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60" i="1" l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<sst xmlns="http://schemas.openxmlformats.org/spreadsheetml/2006/main" count="6231" uniqueCount="3882">
  <si>
    <t>ΠΛΗΡΩΣΗ ΘΕΣΕΩΝ ΜΕ ΣΕΙΡΑ ΠΡΟΤΕΡΑΙΟΤΗΤΑΣ (ΑΡΘΡΟ 18/Ν. 2190/1994) ΠΡΟΚΗΡΥΞΗ : 4Κ/2016</t>
  </si>
  <si>
    <t>ΣΕΙΡΑ ΚΑΤΑΤΑΞΗΣ (ΚΥΡΙΟΣ)</t>
  </si>
  <si>
    <t>ΠΑΝΕΠΙΣΤΗΜΙΑΚΗΣ ΕΚΠΑΙΔΕΥΣΗΣ (ΠΕ)</t>
  </si>
  <si>
    <t>ΓΕΝΙΚΕΣ ΘΕΣΕΙΣ ΧΩΡΙΣ ΕΜΠΕΙΡΙΑ</t>
  </si>
  <si>
    <t>ΠΕ ΧΗΜΙΚΩΝ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</si>
  <si>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</si>
  <si>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</si>
  <si>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</si>
  <si>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</si>
  <si>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</si>
  <si>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</si>
  <si>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</si>
  <si>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</si>
  <si>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ΒΙΖΔΕΛΟΥΚ</t>
  </si>
  <si>
    <t>ΧΡΙΣΤΙΝΑ ΙΩΑΝΝΑ</t>
  </si>
  <si>
    <t>ΜΙΧΑΙ</t>
  </si>
  <si>
    <t>ΑΜ354094</t>
  </si>
  <si>
    <t>1035,1</t>
  </si>
  <si>
    <t>1755,1</t>
  </si>
  <si>
    <t>221-222-230-226-219-225-223-228-217</t>
  </si>
  <si>
    <t>ΠΑΠΑΔΗΜΗΤΡΙΟΥ</t>
  </si>
  <si>
    <t>ΝΙΚΟΛΑΟΣ</t>
  </si>
  <si>
    <t>ΙΩΑΝΝΗΣ</t>
  </si>
  <si>
    <t>ΑΚ535165</t>
  </si>
  <si>
    <t>994,4</t>
  </si>
  <si>
    <t>1664,4</t>
  </si>
  <si>
    <t>224-218-219-217-229-221-226-228-222-223-230-220-232-225-231-227</t>
  </si>
  <si>
    <t>ΤΥΡΟΒΟΥΖΗΣ</t>
  </si>
  <si>
    <t>ΑΣΤΕΡΙΟΣ</t>
  </si>
  <si>
    <t>Π433099</t>
  </si>
  <si>
    <t>872,3</t>
  </si>
  <si>
    <t>1662,3</t>
  </si>
  <si>
    <t>221-224-226-223-228-222-218-219-217-230-220-232-229-227-225-231</t>
  </si>
  <si>
    <t>ΜΕΤΑΞΑ</t>
  </si>
  <si>
    <t>ΙΦΙΓΕΝΕΙΑ</t>
  </si>
  <si>
    <t>ΑΒ695858</t>
  </si>
  <si>
    <t>884,4</t>
  </si>
  <si>
    <t>1654,4</t>
  </si>
  <si>
    <t>221-226-223</t>
  </si>
  <si>
    <t>ΣΤΑΥΡΟΥΛΗ</t>
  </si>
  <si>
    <t>ΝΙΚΟΛΕΤΤΑ</t>
  </si>
  <si>
    <t>ΔΗΜΗΤΡΙΟΣ</t>
  </si>
  <si>
    <t>ΑΒ780277</t>
  </si>
  <si>
    <t>808,5</t>
  </si>
  <si>
    <t>1648,5</t>
  </si>
  <si>
    <t>229-224-218-217-219-228-230-226-225-222-221-223-220-232-231-227</t>
  </si>
  <si>
    <t>ΚΑΡΑΚΑΣΗ</t>
  </si>
  <si>
    <t>ΟΛΓΑ</t>
  </si>
  <si>
    <t>ΚΩΝΣΤΑΝΤΙΝΟΣ</t>
  </si>
  <si>
    <t>Σ099077</t>
  </si>
  <si>
    <t>1037,3</t>
  </si>
  <si>
    <t>1647,3</t>
  </si>
  <si>
    <t>224-218</t>
  </si>
  <si>
    <t>ΤΖΟΥΓΑΝΑΚΗ</t>
  </si>
  <si>
    <t>ΖΑΜΠΙΑ</t>
  </si>
  <si>
    <t>ΑΙ099435</t>
  </si>
  <si>
    <t>914,1</t>
  </si>
  <si>
    <t>1634,1</t>
  </si>
  <si>
    <t>ΓΙΑΛΛΕΛΗ</t>
  </si>
  <si>
    <t>ΑΓΓΕΛΙΚΑ ΙΩΑΝΝΑ</t>
  </si>
  <si>
    <t>ΑΗ729436</t>
  </si>
  <si>
    <t>910,8</t>
  </si>
  <si>
    <t>1630,8</t>
  </si>
  <si>
    <t>224-218-229-221-217-228-219-231-225-232-220-230-222-226-223-227</t>
  </si>
  <si>
    <t>ΤΟΛΙΚΑ</t>
  </si>
  <si>
    <t>ΕΥΑΝΘΙΑ</t>
  </si>
  <si>
    <t>ΠΑΝΑΓΙΩΤΗΣ</t>
  </si>
  <si>
    <t>ΑΕ656006</t>
  </si>
  <si>
    <t>800,8</t>
  </si>
  <si>
    <t>ΝΙΚΟΛΑΚΗ</t>
  </si>
  <si>
    <t>ΣΠΥΡΙΔΟΥΛΑ</t>
  </si>
  <si>
    <t>ΑΙ813236</t>
  </si>
  <si>
    <t>899,8</t>
  </si>
  <si>
    <t>1629,8</t>
  </si>
  <si>
    <t>221-222-223-226-228-230-218-224-217-219-229-232-220-225-231-227</t>
  </si>
  <si>
    <t>ΒΑΛΙΑΝΟΥ</t>
  </si>
  <si>
    <t>ΛΕΜΟΝΙΑ</t>
  </si>
  <si>
    <t>ΑΚ904061</t>
  </si>
  <si>
    <t>865,7</t>
  </si>
  <si>
    <t>1625,7</t>
  </si>
  <si>
    <t>221-223-226-228-224-218-219-217-230-229-222-232-220</t>
  </si>
  <si>
    <t>ΙΩΑΝΝΟΥ</t>
  </si>
  <si>
    <t>ΖΑΧΑΡΙΑΣ</t>
  </si>
  <si>
    <t>ΑΝΔΡΕΑΣ</t>
  </si>
  <si>
    <t>K00051725</t>
  </si>
  <si>
    <t>224-218-217-219-221-228-226-223-229-222-230-227-231-220-232-225</t>
  </si>
  <si>
    <t>ΠΑΠΑΝΙΚΟΛΑΟΥ</t>
  </si>
  <si>
    <t>ΑΛΕΞΑΝΔΡΟΣ</t>
  </si>
  <si>
    <t>ΑΚ263176</t>
  </si>
  <si>
    <t>942,7</t>
  </si>
  <si>
    <t>1622,7</t>
  </si>
  <si>
    <t>221-226-222-228-223-219-230-217-224-218-232-220-229-225-231-227</t>
  </si>
  <si>
    <t>ΠΟΛΥΖΟΥ</t>
  </si>
  <si>
    <t>ΧΡΙΣΤΙΝΑ</t>
  </si>
  <si>
    <t>ΑΜ744453</t>
  </si>
  <si>
    <t>1614,1</t>
  </si>
  <si>
    <t>224-218-232-220-222-229-228-221-230-219-217-225-231-223-226-227</t>
  </si>
  <si>
    <t>ΚΩΣΤΕΝΙΔΟΥ</t>
  </si>
  <si>
    <t>ΕΥΑΓΓΕΛΙΑ</t>
  </si>
  <si>
    <t>ΓΑΒΡΙΗΛ</t>
  </si>
  <si>
    <t>Ρ448390</t>
  </si>
  <si>
    <t>859,1</t>
  </si>
  <si>
    <t>1609,1</t>
  </si>
  <si>
    <t>223-221-220-232</t>
  </si>
  <si>
    <t>ΠΙΖΑΝΙΑ</t>
  </si>
  <si>
    <t>ΜΑΡΚΕΛΛΑ</t>
  </si>
  <si>
    <t>ΕΜΜΑΝΟΥΗΛ</t>
  </si>
  <si>
    <t>ΑΗ113597</t>
  </si>
  <si>
    <t>815,1</t>
  </si>
  <si>
    <t>1605,1</t>
  </si>
  <si>
    <t>224-218-219-217</t>
  </si>
  <si>
    <t>ΜΑΝΤΑΣ</t>
  </si>
  <si>
    <t>ΕΥΑΓΓΕΛΟΣ</t>
  </si>
  <si>
    <t>873,4</t>
  </si>
  <si>
    <t>1603,4</t>
  </si>
  <si>
    <t>224-218-219-217-229-228-230-221-222-226-232-223-220</t>
  </si>
  <si>
    <t>ΖΗΣΗ</t>
  </si>
  <si>
    <t>ΧΡΥΣΟΣΤΟΜΗ</t>
  </si>
  <si>
    <t>ΘΕΜΙΣΤΟΚΛΗΣ</t>
  </si>
  <si>
    <t>ΑΗ190511</t>
  </si>
  <si>
    <t>842,6</t>
  </si>
  <si>
    <t>1602,6</t>
  </si>
  <si>
    <t>221-223-226-228-232-220-224-218-222-219-217-230-229-225-227-231</t>
  </si>
  <si>
    <t>ΘΕΟΔΩΡΟΥ</t>
  </si>
  <si>
    <t>ΓΕΩΡΓΙΟΣ</t>
  </si>
  <si>
    <t>ΑΑ077011</t>
  </si>
  <si>
    <t>1599,8</t>
  </si>
  <si>
    <t>224-218-219-217-221-226-228-220-223-222-229-232-230-231-227-225</t>
  </si>
  <si>
    <t>ΜΗΤΡΟΥΛΗ</t>
  </si>
  <si>
    <t>ΣΟΥΛΤΑΝΑ</t>
  </si>
  <si>
    <t>ΘΕΟΔΩΡΟΣ</t>
  </si>
  <si>
    <t>ΑΚ298480</t>
  </si>
  <si>
    <t>1595,7</t>
  </si>
  <si>
    <t>221-223-226-228-227-225-222-217-218-219-220-224-229-230-231-232</t>
  </si>
  <si>
    <t>ΚΑΤΕΧΑΚΗ</t>
  </si>
  <si>
    <t>ΕΛΕΥΘΕΡΙΑ</t>
  </si>
  <si>
    <t>ΑΕ226656</t>
  </si>
  <si>
    <t>841,5</t>
  </si>
  <si>
    <t>1591,5</t>
  </si>
  <si>
    <t>218-224-222-229-230-217</t>
  </si>
  <si>
    <t>ΒΛΑΣΣΗ</t>
  </si>
  <si>
    <t>ΕΛΕΝΗ</t>
  </si>
  <si>
    <t>ΑΒ291938</t>
  </si>
  <si>
    <t>877,8</t>
  </si>
  <si>
    <t>1587,8</t>
  </si>
  <si>
    <t>224-218-221-230-228-229-232-217-219-223-220-226-222</t>
  </si>
  <si>
    <t>ΤΣΑΓΚΑΡΑΚΗ</t>
  </si>
  <si>
    <t>ΙΩΑΝΝΑ</t>
  </si>
  <si>
    <t>ΑΗ647627</t>
  </si>
  <si>
    <t>866,8</t>
  </si>
  <si>
    <t>1586,8</t>
  </si>
  <si>
    <t>224-218-229-230-225-222-228-226-221-219-220-232-231-227</t>
  </si>
  <si>
    <t>ΚΑΛΟΓΙΑΝΝΗΣ</t>
  </si>
  <si>
    <t>Π432787</t>
  </si>
  <si>
    <t>855,8</t>
  </si>
  <si>
    <t>1585,8</t>
  </si>
  <si>
    <t>221-224-223-228</t>
  </si>
  <si>
    <t>ΤΣΙΜΑΣ</t>
  </si>
  <si>
    <t>ΣΤΑΜΑΤΙΟΣ</t>
  </si>
  <si>
    <t>ΑΕ144778</t>
  </si>
  <si>
    <t>885,5</t>
  </si>
  <si>
    <t>1585,5</t>
  </si>
  <si>
    <t>224-218-219</t>
  </si>
  <si>
    <t>ΜΑΛΑΒΑΚΗ</t>
  </si>
  <si>
    <t>Τ478534</t>
  </si>
  <si>
    <t>854,7</t>
  </si>
  <si>
    <t>1584,7</t>
  </si>
  <si>
    <t>221-226-228-230-223-222-219-225-229-231-232-220-224-218-217-227</t>
  </si>
  <si>
    <t>ΚΑΝΔΥΛΗΣ</t>
  </si>
  <si>
    <t>ΖΩΗΣ</t>
  </si>
  <si>
    <t>Τ236575</t>
  </si>
  <si>
    <t>849,2</t>
  </si>
  <si>
    <t>1579,2</t>
  </si>
  <si>
    <t>230-218-224-217-229-222</t>
  </si>
  <si>
    <t>ΜΑΝΤΖΙΛΑ</t>
  </si>
  <si>
    <t>ΑΙΚΑΤΕΡΙΝΗ</t>
  </si>
  <si>
    <t>ΓΡΗΓΟΡΙΟΣ</t>
  </si>
  <si>
    <t>ΑΙ763019</t>
  </si>
  <si>
    <t>818,4</t>
  </si>
  <si>
    <t>1578,4</t>
  </si>
  <si>
    <t>222-218-224-226-228-221-219-217-230-229-223</t>
  </si>
  <si>
    <t>ΣΟΦΙΑ</t>
  </si>
  <si>
    <t>ΑΝΤΩΝΙΟΣ</t>
  </si>
  <si>
    <t>ΑΜ674150</t>
  </si>
  <si>
    <t>817,3</t>
  </si>
  <si>
    <t>1577,3</t>
  </si>
  <si>
    <t>221-226-224-218-232-222-223-219-228-220-229-217-230-225-231</t>
  </si>
  <si>
    <t>ΘΕΟΔΟΣΗ</t>
  </si>
  <si>
    <t>ΑΚ474630</t>
  </si>
  <si>
    <t>ΠΕΝΛΟΓΛΟΥ</t>
  </si>
  <si>
    <t>ΣΤΑΥΡΟΣ</t>
  </si>
  <si>
    <t>ΑΕ166841</t>
  </si>
  <si>
    <t>1572,7</t>
  </si>
  <si>
    <t>ΚΟΦΙΝΑ</t>
  </si>
  <si>
    <t>ΑΙΚΑΤΕΡΙΝΗ-ΚΑΝΕΛΛΑ</t>
  </si>
  <si>
    <t>ΑΙ071903</t>
  </si>
  <si>
    <t>941,6</t>
  </si>
  <si>
    <t>1571,6</t>
  </si>
  <si>
    <t>ΜΠΟΥΡΤΣΑΛΑ</t>
  </si>
  <si>
    <t>ΑΓΓΕΛΙΚΗ</t>
  </si>
  <si>
    <t>Χ503168</t>
  </si>
  <si>
    <t>850,3</t>
  </si>
  <si>
    <t>1570,3</t>
  </si>
  <si>
    <t>218-224</t>
  </si>
  <si>
    <t>ΓΛΑΜΠΕΔΑΚΗ</t>
  </si>
  <si>
    <t>ΠΕΛΑΓΙΑ</t>
  </si>
  <si>
    <t>ΑΖ687304</t>
  </si>
  <si>
    <t>827,2</t>
  </si>
  <si>
    <t>1567,2</t>
  </si>
  <si>
    <t>221-224-218-219-226-228-222-232-220-223-230-217-229-225-227-231</t>
  </si>
  <si>
    <t>ΝΙΚΟΛΑΟΥ</t>
  </si>
  <si>
    <t>ΠΑΝΑΓΙΩΤΑ</t>
  </si>
  <si>
    <t>ΑΒ568299</t>
  </si>
  <si>
    <t>746,9</t>
  </si>
  <si>
    <t>1566,9</t>
  </si>
  <si>
    <t>ΚΟΥΓΚΟΥΛΗΣ</t>
  </si>
  <si>
    <t>ΙΩΑΝΝΗΣ ΣΤΕΦΑΝ</t>
  </si>
  <si>
    <t>ΧΡΗΣΤΟΣ</t>
  </si>
  <si>
    <t>ΑΚ279987</t>
  </si>
  <si>
    <t>826,1</t>
  </si>
  <si>
    <t>1566,1</t>
  </si>
  <si>
    <t>221-224-218-220-228-223-226-232-229-219-222-225-227-230-217-231</t>
  </si>
  <si>
    <t>ΛΕΒΕΝΤΑΚΟΥ</t>
  </si>
  <si>
    <t>ΒΑΣΙΛΙΚΗ</t>
  </si>
  <si>
    <t>ΑΜ964976</t>
  </si>
  <si>
    <t>763,4</t>
  </si>
  <si>
    <t>1563,4</t>
  </si>
  <si>
    <t>220-232-224-218-229-230-222-219-228-226-221</t>
  </si>
  <si>
    <t>ΣΟΦΙΚΙΤΗ</t>
  </si>
  <si>
    <t>ΑΒ480702</t>
  </si>
  <si>
    <t>224-218-221-219-220-223-228-222-226-232-217-229-230-225-227-231</t>
  </si>
  <si>
    <t>ΜΠΑΛΚΑΤΖΟΠΟΥΛΟΥ</t>
  </si>
  <si>
    <t>ΠΑΣΧΑΛΙΑ</t>
  </si>
  <si>
    <t>ΑΚ932215</t>
  </si>
  <si>
    <t>829,4</t>
  </si>
  <si>
    <t>1549,4</t>
  </si>
  <si>
    <t>ΓΙΑΝΝΑΚΑΚΗ</t>
  </si>
  <si>
    <t>ΜΑΙΡΗ ΠΑΤΡΙΤΣΙΑ</t>
  </si>
  <si>
    <t>ΠΑΝΤΕΛΗΣ</t>
  </si>
  <si>
    <t>ΑΑ499713</t>
  </si>
  <si>
    <t>227-224-218-221-231-220-232-219-222-217-226-228-229-223-230-225</t>
  </si>
  <si>
    <t>ΜΠΛΙΚΑ</t>
  </si>
  <si>
    <t>ΠΑΡΑΣΚΕΥΗ</t>
  </si>
  <si>
    <t>ΣΠΥΡΙΔΩΝ</t>
  </si>
  <si>
    <t>Ρ772637</t>
  </si>
  <si>
    <t>878,9</t>
  </si>
  <si>
    <t>1548,9</t>
  </si>
  <si>
    <t>ΙΕΡΩΝΥΜΑΚH</t>
  </si>
  <si>
    <t>ΜΑΤΘΑΙΑ</t>
  </si>
  <si>
    <t>ΑΚ5358444</t>
  </si>
  <si>
    <t>845,9</t>
  </si>
  <si>
    <t>1545,9</t>
  </si>
  <si>
    <t>224-218-220-232-221-225-219-231-227-230-229-228-222-217</t>
  </si>
  <si>
    <t>ΜΠΟΝΗΣ</t>
  </si>
  <si>
    <t>ΣΤΥΛΙΑΝΟΣ</t>
  </si>
  <si>
    <t>ΑΙ630749</t>
  </si>
  <si>
    <t>974,6</t>
  </si>
  <si>
    <t>1544,6</t>
  </si>
  <si>
    <t>ΓΚΕΜΕΝΤΖΟΓΛΟΥ</t>
  </si>
  <si>
    <t>ΧΡΥΣΟΥΛΑ</t>
  </si>
  <si>
    <t>Χ269825</t>
  </si>
  <si>
    <t>221-223-226-228-222-230-224-218-219-217-225-229-220-232-231-227</t>
  </si>
  <si>
    <t>ΜΠΕΡΜΠΕΡΙΔΟΥ</t>
  </si>
  <si>
    <t>ΧΡΥΣΑΝΘΗ</t>
  </si>
  <si>
    <t>ΑΗ162395</t>
  </si>
  <si>
    <t>221-226-223-222-228</t>
  </si>
  <si>
    <t>ΨΙΜΟΥΛΗ</t>
  </si>
  <si>
    <t>ΑΘΑΝΑΣΙΟΣ</t>
  </si>
  <si>
    <t>Ν889802</t>
  </si>
  <si>
    <t>867,9</t>
  </si>
  <si>
    <t>1537,9</t>
  </si>
  <si>
    <t>224-218-221-219-217-228-225-226-227-222-231-232-220-229-230-223</t>
  </si>
  <si>
    <t>ΛΙΟΥΜΠΑΣ</t>
  </si>
  <si>
    <t>ΣΤΕΡΓΙΟΣ</t>
  </si>
  <si>
    <t>ΑΚ257804</t>
  </si>
  <si>
    <t>1536,8</t>
  </si>
  <si>
    <t>221-223-226-228-222-219-230-217-224-218-232-220-225-231-229-227</t>
  </si>
  <si>
    <t>ΣΕΡΕΤΗΣ</t>
  </si>
  <si>
    <t>ΑΝΑΣΤΑΣΙΟΣ</t>
  </si>
  <si>
    <t>ΑΙ163525</t>
  </si>
  <si>
    <t>906,4</t>
  </si>
  <si>
    <t>1536,4</t>
  </si>
  <si>
    <t>221-228-226-223</t>
  </si>
  <si>
    <t>ΔΗΜΗΤΡΕΛΛΟΥ</t>
  </si>
  <si>
    <t>ΔΗΜΗΤΡΑ</t>
  </si>
  <si>
    <t>ΘΕΟΧΑΡΗΣ</t>
  </si>
  <si>
    <t>Σ776133</t>
  </si>
  <si>
    <t>806,3</t>
  </si>
  <si>
    <t>1536,3</t>
  </si>
  <si>
    <t>ΙΩΣΗΦΙΔΗΣ</t>
  </si>
  <si>
    <t>ΑΓΑΘΑΓΓΕΛΟΣ</t>
  </si>
  <si>
    <t>ΑΚ942844</t>
  </si>
  <si>
    <t>1535,7</t>
  </si>
  <si>
    <t>221-223-226-222-225-219-224-218-220-232-231-228-230-227-217-229</t>
  </si>
  <si>
    <t>ΚΟΛΟΒΟΥ</t>
  </si>
  <si>
    <t>ΝΙΚΗ ΒΑΙΑ</t>
  </si>
  <si>
    <t>ΑΒ309127</t>
  </si>
  <si>
    <t>734,8</t>
  </si>
  <si>
    <t>1534,8</t>
  </si>
  <si>
    <t>ΣΑΜΠΑΤΑΚΑΚΗΣ</t>
  </si>
  <si>
    <t>ΣΤΕΦΑΝΟΣ</t>
  </si>
  <si>
    <t>ΜΙΧΑΗΛ</t>
  </si>
  <si>
    <t>ΑΕ534270</t>
  </si>
  <si>
    <t>754,6</t>
  </si>
  <si>
    <t>1534,6</t>
  </si>
  <si>
    <t>ΧΑΪΔΟΓΙΑΝΝΟΣ</t>
  </si>
  <si>
    <t>ΧΑΡΑΛΑΜΠΟΣ</t>
  </si>
  <si>
    <t>ΑΒ645849</t>
  </si>
  <si>
    <t>224-218-217-219-228-229-221-220-222-226-232-231-225-223-227-230</t>
  </si>
  <si>
    <t>ΚΑΡΑΜΠΙΚΑ</t>
  </si>
  <si>
    <t>ΕΥΓΕΝΙΑ</t>
  </si>
  <si>
    <t>ΞΕΝΟΦΩΝ</t>
  </si>
  <si>
    <t>ΑΚ388561</t>
  </si>
  <si>
    <t>753,5</t>
  </si>
  <si>
    <t>1533,5</t>
  </si>
  <si>
    <t>230-222-226-228-221-223-217-219-229-232-220-224-218-225-231-227</t>
  </si>
  <si>
    <t>ΚΑΠΕΛΛΙΟΣ</t>
  </si>
  <si>
    <t>ΕΥΘΥΜΙΟΣ</t>
  </si>
  <si>
    <t>ΑΙ993612</t>
  </si>
  <si>
    <t>862,4</t>
  </si>
  <si>
    <t>1532,4</t>
  </si>
  <si>
    <t>232-220-219-224-217-221-218-228-229-223-230-222-226</t>
  </si>
  <si>
    <t>ΜΑΝΤΖΟΥΡΑΝΗ</t>
  </si>
  <si>
    <t>Ρ882457</t>
  </si>
  <si>
    <t>811,8</t>
  </si>
  <si>
    <t>1531,8</t>
  </si>
  <si>
    <t>ΚΑΤΣΑΒΟΥ</t>
  </si>
  <si>
    <t>ΑΙ525397</t>
  </si>
  <si>
    <t>1529,4</t>
  </si>
  <si>
    <t>ΚΥΡΙΑΚΟΥΔΗ</t>
  </si>
  <si>
    <t>ΑΝΑΣΤΑΣΙΑ</t>
  </si>
  <si>
    <t>Χ227243</t>
  </si>
  <si>
    <t>221-223-226-222-230-228-224-218-225-219-217-229-220-232-231-227</t>
  </si>
  <si>
    <t>ΚΩΤΟΥΛΑΣ</t>
  </si>
  <si>
    <t>ΣΩΤΗΡΙΟΣ</t>
  </si>
  <si>
    <t>ΑΕ330214</t>
  </si>
  <si>
    <t>898,7</t>
  </si>
  <si>
    <t>1528,7</t>
  </si>
  <si>
    <t>221-226-228</t>
  </si>
  <si>
    <t>ΑΡΔΙΤΣΟΓΛΟΥ</t>
  </si>
  <si>
    <t>ΣΑΒΒΑΣ</t>
  </si>
  <si>
    <t>Ρ200560</t>
  </si>
  <si>
    <t>221-223-226-222-230-228-217-224-218-229-219-225-232-220-227-231</t>
  </si>
  <si>
    <t>ΜΑΝΑΡΑ</t>
  </si>
  <si>
    <t>ΑΗ656379</t>
  </si>
  <si>
    <t>221-226-223-228-219-217-222-224-218-229-230-232-220-225-231-227</t>
  </si>
  <si>
    <t>ΤΡΙΑΝΤΟΥ</t>
  </si>
  <si>
    <t>ΚΩΣΤΟΥΛΑ</t>
  </si>
  <si>
    <t>ΑΚ754217</t>
  </si>
  <si>
    <t>856,9</t>
  </si>
  <si>
    <t>1526,9</t>
  </si>
  <si>
    <t>224-218-219-217-229-226-228-221-230-223-232-220-222-225-231-227</t>
  </si>
  <si>
    <t>ΚΑΤΣΙΚΑ</t>
  </si>
  <si>
    <t>ΛΟΥΚΑΣ</t>
  </si>
  <si>
    <t>ΑΕ485097</t>
  </si>
  <si>
    <t>1526,1</t>
  </si>
  <si>
    <t>224-218-219-217-226-229-228-221-230-222-223-220-232</t>
  </si>
  <si>
    <t>ΠΙΚΑΣΗ</t>
  </si>
  <si>
    <t>ΑΚ227273</t>
  </si>
  <si>
    <t>775,5</t>
  </si>
  <si>
    <t>1525,5</t>
  </si>
  <si>
    <t>217-224-218-221-232-229-230-222-223-225-219-228-227</t>
  </si>
  <si>
    <t>ΓΟΥΛΑ</t>
  </si>
  <si>
    <t>ΓΡΑΜΜΑΤΙΚΗ</t>
  </si>
  <si>
    <t>Ρ039977</t>
  </si>
  <si>
    <t>795,3</t>
  </si>
  <si>
    <t>1525,3</t>
  </si>
  <si>
    <t>232-224</t>
  </si>
  <si>
    <t>ΕΥΑΓΓΕΛΟΠΟΥΛΟΥ</t>
  </si>
  <si>
    <t>ΑΗ654774</t>
  </si>
  <si>
    <t>221-222-226-223</t>
  </si>
  <si>
    <t>ZH</t>
  </si>
  <si>
    <t>ΠΑΝΑΓΙΩΤΗΣ-ΒΑΣΙΛΕΙΟΣ</t>
  </si>
  <si>
    <t>ΑΙ679443</t>
  </si>
  <si>
    <t>1524,1</t>
  </si>
  <si>
    <t>ΓΙΑΝΝΑΚΟΠΟΥΛΟΥ</t>
  </si>
  <si>
    <t>ΚΑΝΕΛΛΙΝΑ</t>
  </si>
  <si>
    <t>ΑΒ615713</t>
  </si>
  <si>
    <t>983,4</t>
  </si>
  <si>
    <t>1523,4</t>
  </si>
  <si>
    <t>ΔΕΡΜΙΤΖΑΚΗ</t>
  </si>
  <si>
    <t>ΔΕΣΠΟΙΝΑ</t>
  </si>
  <si>
    <t>Χ059270</t>
  </si>
  <si>
    <t>821,7</t>
  </si>
  <si>
    <t>1521,7</t>
  </si>
  <si>
    <t>ΒΟΓΙΑΤΖΗΣ</t>
  </si>
  <si>
    <t>851,4</t>
  </si>
  <si>
    <t>1521,4</t>
  </si>
  <si>
    <t>224-218-219-217-221-220-232-226-229-228-223-231-227-225-222-230</t>
  </si>
  <si>
    <t>ΓΕΩΡΓΟΓΙΑΝΝΗ</t>
  </si>
  <si>
    <t>ΚΑΛΛΙΟΠΗ</t>
  </si>
  <si>
    <t>ΑΙ810676</t>
  </si>
  <si>
    <t>771,1</t>
  </si>
  <si>
    <t>1521,1</t>
  </si>
  <si>
    <t>222-230-220-232-224-218-221-228-229</t>
  </si>
  <si>
    <t>ΚΟΛΟΚΑ</t>
  </si>
  <si>
    <t>ΝΑΠΟΛΕΩΝ</t>
  </si>
  <si>
    <t>Ρ334420</t>
  </si>
  <si>
    <t>820,6</t>
  </si>
  <si>
    <t>1520,6</t>
  </si>
  <si>
    <t>222-221-224-218-230-225-220-232-223-217-228-229-226-219-231-227</t>
  </si>
  <si>
    <t>ΧΡΙΣΤΟΔΟΥΛΟΥ</t>
  </si>
  <si>
    <t>ΑΒ696254</t>
  </si>
  <si>
    <t>799,7</t>
  </si>
  <si>
    <t>1519,7</t>
  </si>
  <si>
    <t>221-223-226-228</t>
  </si>
  <si>
    <t>ΚΟΥΤΣΟΥ</t>
  </si>
  <si>
    <t>ΧΡΥΣΑΦΕΝΙΑ</t>
  </si>
  <si>
    <t>ΑΚ949215</t>
  </si>
  <si>
    <t>1519,2</t>
  </si>
  <si>
    <t>221-226-223-228-224-218-222-230-219-217-225-220-232-231-229-227</t>
  </si>
  <si>
    <t>ΒΑΜΒΑΚΑΚΗ</t>
  </si>
  <si>
    <t>ΑΖ973762</t>
  </si>
  <si>
    <t>888,8</t>
  </si>
  <si>
    <t>1518,8</t>
  </si>
  <si>
    <t>229-232-220-224-218-221-219-228-222-223-226-217-230-225-231-227</t>
  </si>
  <si>
    <t>ΚΟΥΣΗ</t>
  </si>
  <si>
    <t>ΒΑΣΙΛΕΙΟΣ</t>
  </si>
  <si>
    <t>ΑΑ308515</t>
  </si>
  <si>
    <t>777,7</t>
  </si>
  <si>
    <t>1517,7</t>
  </si>
  <si>
    <t>224-218-221-229-222-232-230-220-223-226-228-217-219</t>
  </si>
  <si>
    <t>ΤΣΑΓΑΛΑΣ</t>
  </si>
  <si>
    <t>ΑΙ493780</t>
  </si>
  <si>
    <t>217-219-218-228-226-222-229-230-224-221-220-232-223-225-231-227</t>
  </si>
  <si>
    <t>ΛΗΜΝΙΟΣ</t>
  </si>
  <si>
    <t>ΣΩΚΡΑΤΗΣ</t>
  </si>
  <si>
    <t>Φ136924</t>
  </si>
  <si>
    <t>796,4</t>
  </si>
  <si>
    <t>1516,4</t>
  </si>
  <si>
    <t>ΜΙΧΑΗΛΩΦ</t>
  </si>
  <si>
    <t>ΑΙ166922</t>
  </si>
  <si>
    <t>816,2</t>
  </si>
  <si>
    <t>1516,2</t>
  </si>
  <si>
    <t>221-223-226-222-228-224-218-217-230-219</t>
  </si>
  <si>
    <t>ΔΕΛΗΓΙΑΝΝΗ</t>
  </si>
  <si>
    <t>ΑΚ470325</t>
  </si>
  <si>
    <t>1515,1</t>
  </si>
  <si>
    <t>220-224-218-232-221-222-219-230-229-226-223</t>
  </si>
  <si>
    <t>ΑΝΤΩΝΙΑΔΗΣ</t>
  </si>
  <si>
    <t>ΑΠΟΣΤΟΛΟΣ</t>
  </si>
  <si>
    <t>ΑΚ313086</t>
  </si>
  <si>
    <t>224-218-221-228-222-223-226-219-217-230-225-229-232-220-231-227</t>
  </si>
  <si>
    <t>ΣΑΡΡΗ</t>
  </si>
  <si>
    <t>ΚΥΡΙΑΚΟΣ</t>
  </si>
  <si>
    <t>ΑΕ116840</t>
  </si>
  <si>
    <t>764,5</t>
  </si>
  <si>
    <t>1514,5</t>
  </si>
  <si>
    <t>221-222-228-226-220-223-229-232-219-230-217-224-218-231-225-227</t>
  </si>
  <si>
    <t>ΤΣΑΤΣΑΡΩΝΗ</t>
  </si>
  <si>
    <t>ΑΛΕΞΑΝΔΡΑ</t>
  </si>
  <si>
    <t>ΕΛΕΥΘΕΡΙΟΣ</t>
  </si>
  <si>
    <t>ΑΚ760952</t>
  </si>
  <si>
    <t>1514,4</t>
  </si>
  <si>
    <t>ΚΑΛΑΘΑΣ</t>
  </si>
  <si>
    <t>ΑΜ575492</t>
  </si>
  <si>
    <t>793,1</t>
  </si>
  <si>
    <t>1513,1</t>
  </si>
  <si>
    <t>224-226-220-228-229-232-230-217-218-219-221-222-223-231-225-227</t>
  </si>
  <si>
    <t>ΚΙΤΣΙΟΥ</t>
  </si>
  <si>
    <t>ΑΜ672109</t>
  </si>
  <si>
    <t>762,3</t>
  </si>
  <si>
    <t>1512,3</t>
  </si>
  <si>
    <t>221-222-223-226-228</t>
  </si>
  <si>
    <t>ΚΑΛΗΜΕΡΗ</t>
  </si>
  <si>
    <t>ΚΡΥΣΤΑΛΛΙΑ</t>
  </si>
  <si>
    <t>ΑΒ860795</t>
  </si>
  <si>
    <t>1511,8</t>
  </si>
  <si>
    <t>221-222-226-228-223-230-219-217-224-218-229-220-232-225-227-231</t>
  </si>
  <si>
    <t>ΔΗΜΤΣΟΥΔΗ</t>
  </si>
  <si>
    <t>ΣΙΔΕΡΗΣ</t>
  </si>
  <si>
    <t>ΑΗ807069</t>
  </si>
  <si>
    <t>ΑΝΑΓΝΩΣΤΟΠΟΥΛΟΣ</t>
  </si>
  <si>
    <t>ΠΑΝΤΕΛΕΗΜΩΝ-ΣΠΥΡΙΔΩΝ</t>
  </si>
  <si>
    <t>ΑΙ211441</t>
  </si>
  <si>
    <t>931,7</t>
  </si>
  <si>
    <t>1511,7</t>
  </si>
  <si>
    <t>ΚΑΝΑΚΗ</t>
  </si>
  <si>
    <t>ΧΑΡΙΤΩΝ</t>
  </si>
  <si>
    <t>ΑΚ479600</t>
  </si>
  <si>
    <t>860,2</t>
  </si>
  <si>
    <t>1510,2</t>
  </si>
  <si>
    <t>220-232-224-218-223-229-219-221-217-222-226-230-228-231-225-227</t>
  </si>
  <si>
    <t>ΚΥΖΑΣ</t>
  </si>
  <si>
    <t>ΑΒ461793</t>
  </si>
  <si>
    <t>779,9</t>
  </si>
  <si>
    <t>1509,9</t>
  </si>
  <si>
    <t>221-223-226-228-222</t>
  </si>
  <si>
    <t>ΚΑΤΣΩΝΗ</t>
  </si>
  <si>
    <t>ΑΘΑΝΑΣΙΑ</t>
  </si>
  <si>
    <t>ΑΗ474036</t>
  </si>
  <si>
    <t>776,6</t>
  </si>
  <si>
    <t>1506,6</t>
  </si>
  <si>
    <t>232-220-224-218-228-221-226-219-222-230-217-229-223-231-225-227</t>
  </si>
  <si>
    <t>ΔΟΥΝΑΒΗΣ</t>
  </si>
  <si>
    <t>ΑΙ763120</t>
  </si>
  <si>
    <t>221-226-228-223-222-230-219-217-229-218-224-232-220-225-227-231</t>
  </si>
  <si>
    <t>ΦΩΤΙΑΔΟΥ</t>
  </si>
  <si>
    <t>ΑΝΝΑ</t>
  </si>
  <si>
    <t>Φ276667</t>
  </si>
  <si>
    <t>723,8</t>
  </si>
  <si>
    <t>1503,8</t>
  </si>
  <si>
    <t>226-228-221</t>
  </si>
  <si>
    <t>ΖΩΓΑ</t>
  </si>
  <si>
    <t>Χ523684</t>
  </si>
  <si>
    <t>773,3</t>
  </si>
  <si>
    <t>1503,3</t>
  </si>
  <si>
    <t>224-218-219-229-228</t>
  </si>
  <si>
    <t>ΦΡΥΣΑΛΗ</t>
  </si>
  <si>
    <t xml:space="preserve">ΜΑΡΙΑ </t>
  </si>
  <si>
    <t>Σ868895</t>
  </si>
  <si>
    <t>832,7</t>
  </si>
  <si>
    <t>1502,7</t>
  </si>
  <si>
    <t>220-232-224-218-221-219-217-228-231-229-226-225-223-222-230-227</t>
  </si>
  <si>
    <t>ΑΛΕΞΙΑΔΗΣ</t>
  </si>
  <si>
    <t>ΒΑΙΟΣ</t>
  </si>
  <si>
    <t>ΙΩΑΚΕΙΜ</t>
  </si>
  <si>
    <t>ΑΕ679441</t>
  </si>
  <si>
    <t>1500,8</t>
  </si>
  <si>
    <t>221-223-232-228-220-222-230-219-229-226-224-217-218-225-231-227</t>
  </si>
  <si>
    <t>ΣΙΟΥΤΟΠΟΥΛΟΣ</t>
  </si>
  <si>
    <t>ΑΕ335887</t>
  </si>
  <si>
    <t>830,5</t>
  </si>
  <si>
    <t>1500,5</t>
  </si>
  <si>
    <t>221-223-226-222-228-230-219-225-224-218-217-220-232-229-231-227</t>
  </si>
  <si>
    <t>ΔΑΛΕΤΟΥ</t>
  </si>
  <si>
    <t>ΜΑΡΙΑ</t>
  </si>
  <si>
    <t>ΑΒ770164</t>
  </si>
  <si>
    <t>221-224-218-229-222-230-226-217-228-219-223-225-220-232-231-227</t>
  </si>
  <si>
    <t>ΚΩΝΣΤΑ</t>
  </si>
  <si>
    <t>ΑΜ107853</t>
  </si>
  <si>
    <t>730,4</t>
  </si>
  <si>
    <t>1500,4</t>
  </si>
  <si>
    <t>ΚΑΡΑΔΗΜΟΥ</t>
  </si>
  <si>
    <t>ΑΜ1635651</t>
  </si>
  <si>
    <t>778,8</t>
  </si>
  <si>
    <t>1498,8</t>
  </si>
  <si>
    <t>224-218-221-219-228-217-232-223-222-229-231-225-220-226-227-230</t>
  </si>
  <si>
    <t>ΚΑΠΡΑΡΑ</t>
  </si>
  <si>
    <t>ΕΥΘΥΜΙΑ</t>
  </si>
  <si>
    <t>ΑΜ655349</t>
  </si>
  <si>
    <t>767,8</t>
  </si>
  <si>
    <t>1497,8</t>
  </si>
  <si>
    <t>221-224-218-219-228-217-226-229-222-230-223-232-220-231-225-227</t>
  </si>
  <si>
    <t>ΚΟΚΟΤΟΥ</t>
  </si>
  <si>
    <t>ΜΑΡΟΥΛΑ</t>
  </si>
  <si>
    <t>ΓΕΩΡΓΙΟΣ-ΙΣΙΔΩΡΟΣ</t>
  </si>
  <si>
    <t>Τ533563</t>
  </si>
  <si>
    <t>837,1</t>
  </si>
  <si>
    <t>1497,1</t>
  </si>
  <si>
    <t>ΝΙΚΟΚΑΒΟΥΡΑ</t>
  </si>
  <si>
    <t>ΑΣΠΑΣΙΑ</t>
  </si>
  <si>
    <t>Σ521697</t>
  </si>
  <si>
    <t>1496,6</t>
  </si>
  <si>
    <t>224-218-219-217-221-226-232-228-229-230-222-223-231-225-220-227</t>
  </si>
  <si>
    <t>ΝΕΟΧΩΡΙΤΗΣ</t>
  </si>
  <si>
    <t>ΑΚ290335</t>
  </si>
  <si>
    <t>794,2</t>
  </si>
  <si>
    <t>1494,2</t>
  </si>
  <si>
    <t>221-220-223-224-222-226-228-232-219</t>
  </si>
  <si>
    <t>ΚΑΡΑΓΕΩΡΓΟΥ</t>
  </si>
  <si>
    <t xml:space="preserve">ΕΥΤΥΧΙΑ </t>
  </si>
  <si>
    <t>ΑΙ195827</t>
  </si>
  <si>
    <t>221-223-226-222-224-218-228-217-219-220-232-225-231-227-229-230</t>
  </si>
  <si>
    <t>ΚΑΡΑΓΕΩΡΓΟΣ</t>
  </si>
  <si>
    <t>ΠΕΤΡΟΣ</t>
  </si>
  <si>
    <t>Ρ327803</t>
  </si>
  <si>
    <t>863,5</t>
  </si>
  <si>
    <t>1493,5</t>
  </si>
  <si>
    <t>230-222-225-228-226-221-229-223-219</t>
  </si>
  <si>
    <t>ΣΤΑΘΟΠΟΥΛΟΥ</t>
  </si>
  <si>
    <t>ΚΩΝΣΤΑΝΤΙΝΑ</t>
  </si>
  <si>
    <t>ΑΚ536798</t>
  </si>
  <si>
    <t>1493,4</t>
  </si>
  <si>
    <t>224-218-219-217-229-226-228-221-222-230-223</t>
  </si>
  <si>
    <t>ΒΑΝΔΕΡΑ</t>
  </si>
  <si>
    <t>ΕΛΠΙΝΙΚΗ</t>
  </si>
  <si>
    <t>ΑΗ743999</t>
  </si>
  <si>
    <t>1493,1</t>
  </si>
  <si>
    <t>222-230-221-226-223-228-219-217-229-232-220-224-218-225-227-231</t>
  </si>
  <si>
    <t>ΜΠΑΜΠΑΤΣΟΥΛΗ</t>
  </si>
  <si>
    <t>ΑΙ463341</t>
  </si>
  <si>
    <t>1491,7</t>
  </si>
  <si>
    <t>232-224-218-220-219-228</t>
  </si>
  <si>
    <t>ΖΑΡΜΠΑΣ</t>
  </si>
  <si>
    <t>ΠΑΥΛΟΣ</t>
  </si>
  <si>
    <t>ΑΑ373167</t>
  </si>
  <si>
    <t>790,9</t>
  </si>
  <si>
    <t>1490,9</t>
  </si>
  <si>
    <t>220-232-218-224-221</t>
  </si>
  <si>
    <t>ΜΗΝΤΣΟΥΛΗ</t>
  </si>
  <si>
    <t>ΑΒ690619</t>
  </si>
  <si>
    <t>1490,6</t>
  </si>
  <si>
    <t>221-223-228-226-222-230-217-219-224-218-229-220-232-225-227-231</t>
  </si>
  <si>
    <t>ΜΠΑΙΜΠΟΣ</t>
  </si>
  <si>
    <t>ΑΜ300142</t>
  </si>
  <si>
    <t>789,8</t>
  </si>
  <si>
    <t>1489,8</t>
  </si>
  <si>
    <t>224-218-219-221-222-229-220-232-226-228-223-217-225-230-227-231</t>
  </si>
  <si>
    <t>ΟΙΚΟΝΟΜΟΠΟΥΛΟΥ</t>
  </si>
  <si>
    <t>ΑΙ630858</t>
  </si>
  <si>
    <t>1019,7</t>
  </si>
  <si>
    <t>1489,7</t>
  </si>
  <si>
    <t>ΓΙΑΝΝΙΣΗ</t>
  </si>
  <si>
    <t>ΣΤΥΛΙΑΝΗ</t>
  </si>
  <si>
    <t>Φ142478</t>
  </si>
  <si>
    <t>1487,8</t>
  </si>
  <si>
    <t>224-218-219-221-226-217-229-228-232-220-222-230-223</t>
  </si>
  <si>
    <t>ΠΕΤΣΗ</t>
  </si>
  <si>
    <t>ΑΚ551338</t>
  </si>
  <si>
    <t>1487,3</t>
  </si>
  <si>
    <t>ΑΡΓΥΡΟΠΟΥΛΟΣ</t>
  </si>
  <si>
    <t>Τ211921</t>
  </si>
  <si>
    <t>221-226-228-222-223-219-217-230</t>
  </si>
  <si>
    <t>ΖΑΓΚΛΗΣ</t>
  </si>
  <si>
    <t>Χ841865</t>
  </si>
  <si>
    <t>224-218-221-229-222-226-219-228</t>
  </si>
  <si>
    <t>ΧΡΥΣΙΚΟΥ</t>
  </si>
  <si>
    <t>ΛΟΥΚΙΑ</t>
  </si>
  <si>
    <t>ΑΒ724800</t>
  </si>
  <si>
    <t>766,7</t>
  </si>
  <si>
    <t>1486,7</t>
  </si>
  <si>
    <t>221-224-226-223-218-228-222-232-220</t>
  </si>
  <si>
    <t>ΚΑΤΣΑΡΟΥ</t>
  </si>
  <si>
    <t>ΑΗ124814</t>
  </si>
  <si>
    <t>706,2</t>
  </si>
  <si>
    <t>1486,2</t>
  </si>
  <si>
    <t>224-218-219-217-225</t>
  </si>
  <si>
    <t>ΧΑΧΛΑΔΑΚΗΣ</t>
  </si>
  <si>
    <t>ΑΜ975280</t>
  </si>
  <si>
    <t>755,7</t>
  </si>
  <si>
    <t>1485,7</t>
  </si>
  <si>
    <t>232-224-218-220-221</t>
  </si>
  <si>
    <t>ΜΗΤΑΝΗ</t>
  </si>
  <si>
    <t>ΑΗ802976</t>
  </si>
  <si>
    <t>765,6</t>
  </si>
  <si>
    <t>1485,6</t>
  </si>
  <si>
    <t>221-226-223-228-222-230-224-218-219-217-225-229-220-232-227-231</t>
  </si>
  <si>
    <t>ΝΑΝΑΚΗ</t>
  </si>
  <si>
    <t>ΣΤΑΥΡΟΥΛΑ</t>
  </si>
  <si>
    <t>Ρ193002</t>
  </si>
  <si>
    <t>784,3</t>
  </si>
  <si>
    <t>1484,3</t>
  </si>
  <si>
    <t>221-223-226-222-219-224-218-228-217-230-232-220-229-227-225-231</t>
  </si>
  <si>
    <t>ΚΑΛΑΙΤΖΑΚΗΣ</t>
  </si>
  <si>
    <t>ΑΖ458273</t>
  </si>
  <si>
    <t>853,6</t>
  </si>
  <si>
    <t>1483,6</t>
  </si>
  <si>
    <t>220-232-221-222-217-223-230-229-228-226-219-218-224</t>
  </si>
  <si>
    <t>ΚΟΣΟΛΙΑ</t>
  </si>
  <si>
    <t>ΧΡΥΣΑΥΓΗ</t>
  </si>
  <si>
    <t>ΘΕΟΔΟΣΙΟΣ</t>
  </si>
  <si>
    <t>ΑΕ199906</t>
  </si>
  <si>
    <t>743,6</t>
  </si>
  <si>
    <t>224-218-221</t>
  </si>
  <si>
    <t>ΑΑ313283</t>
  </si>
  <si>
    <t>783,2</t>
  </si>
  <si>
    <t>1483,2</t>
  </si>
  <si>
    <t>224-218-219-217-229-228-222</t>
  </si>
  <si>
    <t>ΔΗΜΗΤΡΑΚΕΛΛΗΣ</t>
  </si>
  <si>
    <t>ΑΚ843082</t>
  </si>
  <si>
    <t>812,9</t>
  </si>
  <si>
    <t>1482,9</t>
  </si>
  <si>
    <t>224-218-227-217-221-219-232-220-230-228-229</t>
  </si>
  <si>
    <t>ΑΦΡΑΤΗ</t>
  </si>
  <si>
    <t>ΤΕΡΕΖΑ</t>
  </si>
  <si>
    <t>Σ747799</t>
  </si>
  <si>
    <t>1479,9</t>
  </si>
  <si>
    <t>221-223-226-228-222-230-219-217-218-224-232-220</t>
  </si>
  <si>
    <t>ΕΥΣΤΑΘΙΟΥ</t>
  </si>
  <si>
    <t>ΑΝΤΩΝΙΑ</t>
  </si>
  <si>
    <t>ΕΥΣΤΑΘΙΟΣ</t>
  </si>
  <si>
    <t>ΑΖ600332</t>
  </si>
  <si>
    <t>729,3</t>
  </si>
  <si>
    <t>1479,3</t>
  </si>
  <si>
    <t>ΜΑΥΡΟΥΔΗΣ</t>
  </si>
  <si>
    <t>Χ138344</t>
  </si>
  <si>
    <t>848,1</t>
  </si>
  <si>
    <t>1478,1</t>
  </si>
  <si>
    <t>224-218-219-217-232-228-221-226-229-227-223-222-220-230-225-231</t>
  </si>
  <si>
    <t>ΒΡΟΝΤΑΚΗ</t>
  </si>
  <si>
    <t>ΒΑΡΔΗΣ</t>
  </si>
  <si>
    <t>Χ346255</t>
  </si>
  <si>
    <t>224-220-232-221-228-226-229-218-219-222-217-230-223</t>
  </si>
  <si>
    <t>ΠΑΠΑΔΟΠΟΥΛΟΣ</t>
  </si>
  <si>
    <t>ΑΖ792555</t>
  </si>
  <si>
    <t>786,5</t>
  </si>
  <si>
    <t>1476,5</t>
  </si>
  <si>
    <t>221-222-226-223-228-218-219-232-217-224-230-229-220-225-227-231</t>
  </si>
  <si>
    <t>ΜΠΟΛΗΣ</t>
  </si>
  <si>
    <t>ΔΗΜΟΣΘΕΝΗΣ</t>
  </si>
  <si>
    <t>ΑΚ370943</t>
  </si>
  <si>
    <t>1476,3</t>
  </si>
  <si>
    <t>224-218-225-219-228-232-221-229-220-227-223</t>
  </si>
  <si>
    <t>ΚΟΛΟΚΟΥΡΗ</t>
  </si>
  <si>
    <t>ΦΙΛΟΜΗΛΑ</t>
  </si>
  <si>
    <t>Ν100434</t>
  </si>
  <si>
    <t>1473,5</t>
  </si>
  <si>
    <t>224-218-219-221-217-226-228-223-230-232-229-222-220</t>
  </si>
  <si>
    <t>ΤΣΑΚΑΛΟΒΑ</t>
  </si>
  <si>
    <t>ΜΑΡΙΝΕΛΛΑ</t>
  </si>
  <si>
    <t>ΛΕΩΝΙΔΑΣ</t>
  </si>
  <si>
    <t>Φ143358</t>
  </si>
  <si>
    <t>ΠΟΥΛΙΑΝΙΤΗ</t>
  </si>
  <si>
    <t>ΑΒ022700</t>
  </si>
  <si>
    <t>772,2</t>
  </si>
  <si>
    <t>1472,2</t>
  </si>
  <si>
    <t>224-218-221-226-228-222-217-219-223-230-229-225-220-232-231-227</t>
  </si>
  <si>
    <t>ΑΜΑΡΓΙΑΝΙΤΑΚΗ</t>
  </si>
  <si>
    <t>Χ356552</t>
  </si>
  <si>
    <t>220-221-232-217-218-219-222-223-224-226-228-230-229</t>
  </si>
  <si>
    <t>ΒΑΣΙΛΙΚΟΓΙΑΝΝΑΚΗ</t>
  </si>
  <si>
    <t>ΑΙ437789</t>
  </si>
  <si>
    <t>220-221-232-224-218-219-217-231-222-226-228-229-227-225-230-223</t>
  </si>
  <si>
    <t>ΣΜΥΡΝΙΩΤΑΚΗΣ</t>
  </si>
  <si>
    <t>ΑΚ127605</t>
  </si>
  <si>
    <t>797,5</t>
  </si>
  <si>
    <t>1467,5</t>
  </si>
  <si>
    <t>224-218-219-232-220-221-222-226-223-228-229-230</t>
  </si>
  <si>
    <t>ΒΙΚΕΝΤΙΟΥ</t>
  </si>
  <si>
    <t>ΜΥΡΟΦΟΡΑ</t>
  </si>
  <si>
    <t>1467,1</t>
  </si>
  <si>
    <t>ΜΠΕΛΕΣΗ</t>
  </si>
  <si>
    <t>ΧΑΡΑΛΑΜΠΙΑ ΕΙΡΗΝΗ</t>
  </si>
  <si>
    <t>ΑΖ106302</t>
  </si>
  <si>
    <t>1466,7</t>
  </si>
  <si>
    <t>ΚΟΥΤΣΟΥΡΗ</t>
  </si>
  <si>
    <t>ΝΕΙΛΟΣ</t>
  </si>
  <si>
    <t>Χ193203</t>
  </si>
  <si>
    <t>1465,1</t>
  </si>
  <si>
    <t>Χ011765</t>
  </si>
  <si>
    <t>1464,8</t>
  </si>
  <si>
    <t>ΚΟΝΤΟΓΙΑΝΝΗ</t>
  </si>
  <si>
    <t>ΑΕ278845</t>
  </si>
  <si>
    <t>1464,2</t>
  </si>
  <si>
    <t>222-230-225-228-226-221-223-217-219-232-220-231-229-224</t>
  </si>
  <si>
    <t>ΒΑΓΙΑΣ</t>
  </si>
  <si>
    <t>AΠΟΣΤΟΛΟΣ</t>
  </si>
  <si>
    <t>ΑΕ046539</t>
  </si>
  <si>
    <t>ΜΕΓΑΡΙΤΗΣ</t>
  </si>
  <si>
    <t>ΑΖ712100</t>
  </si>
  <si>
    <t>833,8</t>
  </si>
  <si>
    <t>1463,8</t>
  </si>
  <si>
    <t>224-217-218</t>
  </si>
  <si>
    <t>ΑΝΔΡΕΑΔΟΥ</t>
  </si>
  <si>
    <t>ΑΚ292396</t>
  </si>
  <si>
    <t>1463,4</t>
  </si>
  <si>
    <t>221-223-226-222-228-224-218-230-217-219-229-232-220-225-227-231</t>
  </si>
  <si>
    <t>ΚΟΝΣΟΥΛΑ</t>
  </si>
  <si>
    <t>ΖΩΗ</t>
  </si>
  <si>
    <t>ΑΜ266012</t>
  </si>
  <si>
    <t>1462,7</t>
  </si>
  <si>
    <t>221-222-223-226</t>
  </si>
  <si>
    <t>ΟΡΕΣΤΗΣ</t>
  </si>
  <si>
    <t>ΑΙ213682</t>
  </si>
  <si>
    <t>221-229-230-220-222-232-225-231-228-218-224-226-227-223-217-219</t>
  </si>
  <si>
    <t>ΧΑΝΤΖΗΧΡΗΣΤΟΣ</t>
  </si>
  <si>
    <t>ΑΜ346711</t>
  </si>
  <si>
    <t>222-230-225-221-226-228-223-217-219-229-218-224-232-220-231-227</t>
  </si>
  <si>
    <t>ΨΑΡΟΥΛΗ</t>
  </si>
  <si>
    <t>ΑΙΜΙΛΙΑ</t>
  </si>
  <si>
    <t>Τ491225</t>
  </si>
  <si>
    <t>801,9</t>
  </si>
  <si>
    <t>1461,9</t>
  </si>
  <si>
    <t>218-224-232</t>
  </si>
  <si>
    <t>ΠΟΥΜΠΟΥΡΙΔΟΥ</t>
  </si>
  <si>
    <t>ΝΙΚΟΛΕΤΑ</t>
  </si>
  <si>
    <t>ΑΖ127303</t>
  </si>
  <si>
    <t>761,2</t>
  </si>
  <si>
    <t>1461,2</t>
  </si>
  <si>
    <t>224-218-217-219-229-228-221-232-220-226-222-230-225-223-231-227</t>
  </si>
  <si>
    <t>ΠΑΠΑΛΑΜΠΡΟΥ</t>
  </si>
  <si>
    <t>ΕΥΔΟΞΙΑ</t>
  </si>
  <si>
    <t>Π794920</t>
  </si>
  <si>
    <t>1460,9</t>
  </si>
  <si>
    <t>ΜΠΕΛΛΗΣ</t>
  </si>
  <si>
    <t>Π391409</t>
  </si>
  <si>
    <t>810,7</t>
  </si>
  <si>
    <t>1460,7</t>
  </si>
  <si>
    <t>217-224-218-219-228-229-226-221-230-222-223-227-231-225-220-232</t>
  </si>
  <si>
    <t>ΤΕΛΛΑ</t>
  </si>
  <si>
    <t>ΑΒ754902</t>
  </si>
  <si>
    <t>760,1</t>
  </si>
  <si>
    <t>1460,1</t>
  </si>
  <si>
    <t>224-218-228-226-223-219-217</t>
  </si>
  <si>
    <t>ΜΥΡΙΟΚΕΦΑΛΙΤΑΚΗΣ</t>
  </si>
  <si>
    <t>ΑΚ468658</t>
  </si>
  <si>
    <t>1459,8</t>
  </si>
  <si>
    <t>220-224-218-232</t>
  </si>
  <si>
    <t>ΝΙΚΟΛΑΙΔΗΣ</t>
  </si>
  <si>
    <t>Ρ733518</t>
  </si>
  <si>
    <t>1459,4</t>
  </si>
  <si>
    <t>221-223-226-222-228-230-219-217-224-218-232-220-229-225-227-231</t>
  </si>
  <si>
    <t>ΔΗΜΟΠΟΥΛΟΥ</t>
  </si>
  <si>
    <t>ΑΖ657454</t>
  </si>
  <si>
    <t>739,2</t>
  </si>
  <si>
    <t>1459,2</t>
  </si>
  <si>
    <t>221-228-226</t>
  </si>
  <si>
    <t>ΠΑΠΩΤΗ</t>
  </si>
  <si>
    <t>ΑΙ168564</t>
  </si>
  <si>
    <t>221-223-226-228-222-230</t>
  </si>
  <si>
    <t>ΓΙΑΝΤΖΗ</t>
  </si>
  <si>
    <t>ΑΖ470605</t>
  </si>
  <si>
    <t>788,7</t>
  </si>
  <si>
    <t>1458,7</t>
  </si>
  <si>
    <t>232-220-221-224-218-217-219-228-229-226-223-230-222-231-225-227</t>
  </si>
  <si>
    <t>ΡΑΦΤΟΠΟΥΛΟΥ</t>
  </si>
  <si>
    <t>ΓΑΡΥΦΑΛΛΙΑ</t>
  </si>
  <si>
    <t>ΑΕ075435</t>
  </si>
  <si>
    <t>757,9</t>
  </si>
  <si>
    <t>1457,9</t>
  </si>
  <si>
    <t>ΚΑΛΛΙΤΣΑΚΗΣ</t>
  </si>
  <si>
    <t>ΑΖ973872</t>
  </si>
  <si>
    <t>1457,7</t>
  </si>
  <si>
    <t>221-232</t>
  </si>
  <si>
    <t>ΧΑΤΖΗΣΥΜΕΩΝ</t>
  </si>
  <si>
    <t>ΕΥΘΑΛΙΑ</t>
  </si>
  <si>
    <t>ΑΚ481088</t>
  </si>
  <si>
    <t>787,6</t>
  </si>
  <si>
    <t>1457,6</t>
  </si>
  <si>
    <t>224-218-217-219-221-232-225-222-220-226-228-230-229-223-227-231</t>
  </si>
  <si>
    <t>ΔΕΠΑΣΤΑΣ</t>
  </si>
  <si>
    <t>ΑΒ316881</t>
  </si>
  <si>
    <t>218-219-224-217-229-221-226-228-222-223-230-220-232-225-231-227</t>
  </si>
  <si>
    <t>ΜΑΤΗ</t>
  </si>
  <si>
    <t>ΙΟΥΛΙΑ</t>
  </si>
  <si>
    <t>Φ171723</t>
  </si>
  <si>
    <t>986,7</t>
  </si>
  <si>
    <t>1456,7</t>
  </si>
  <si>
    <t>221-224-228-232-225-220-231-223-222-226-219-227-229-230</t>
  </si>
  <si>
    <t>ΜΠΕΡΕΚΕΤΙΔΟΥ</t>
  </si>
  <si>
    <t>ΑΕ816216</t>
  </si>
  <si>
    <t>1456,5</t>
  </si>
  <si>
    <t>222-226-221-223-228-224</t>
  </si>
  <si>
    <t>ΜΑΜΑΗΣ</t>
  </si>
  <si>
    <t>ΑΗ601144</t>
  </si>
  <si>
    <t>785,4</t>
  </si>
  <si>
    <t>1455,4</t>
  </si>
  <si>
    <t>ΚΑΡΑΚΩΣΤΑ</t>
  </si>
  <si>
    <t>ΑΒ776488</t>
  </si>
  <si>
    <t>221-224-218-223-226-222-228-230-217-219-229-220-231-227-232-225</t>
  </si>
  <si>
    <t>ΛΑΙΝΙΩΤΗ</t>
  </si>
  <si>
    <t>ΓΕΩΡΓΙΑ</t>
  </si>
  <si>
    <t>ΑΜ742499</t>
  </si>
  <si>
    <t>1454,8</t>
  </si>
  <si>
    <t>229-230-224-218-222-228-219-217-226-221-225-223-231-232-220-227</t>
  </si>
  <si>
    <t>ΣΑΡΑΝΤΟΠΟΥΛΟΣ</t>
  </si>
  <si>
    <t>ΝΙΚΟΛΑΟΣ-ΕΛΕΥΘΕΡΙΟΣ</t>
  </si>
  <si>
    <t>1453,2</t>
  </si>
  <si>
    <t>224-229-217-230-219-228-226-221-223-222-232-220-218</t>
  </si>
  <si>
    <t>ΠΟΤΑΜΙΤΗΣ</t>
  </si>
  <si>
    <t>224-218-219-232-220-221-217-229-228-226-222-230-223-231-225-227</t>
  </si>
  <si>
    <t>ΜΑΝΟΥΣΑΚΑΣ</t>
  </si>
  <si>
    <t>ΜΑΝΟΥΣΟΣ-ΙΩΑΝΝΗΣ</t>
  </si>
  <si>
    <t>ΓΕΩΡΓΓΙΟΣ</t>
  </si>
  <si>
    <t>ΑΗ113763</t>
  </si>
  <si>
    <t>782,1</t>
  </si>
  <si>
    <t>1452,1</t>
  </si>
  <si>
    <t>218-224-226-221-220-222-232-227-225-219-223-228-229-230-231</t>
  </si>
  <si>
    <t>ΧΑΡΑΛΑΜΠΙΔΗΣ</t>
  </si>
  <si>
    <t>ΗΡΑΚΛΗΣ</t>
  </si>
  <si>
    <t>ΑΕ907262</t>
  </si>
  <si>
    <t>1450,6</t>
  </si>
  <si>
    <t>223-220-232-221-218-224-226-228-222-219-217-230-229</t>
  </si>
  <si>
    <t>ΕΥΓΕΝΙΔΗΣ</t>
  </si>
  <si>
    <t>ΣΩΤΗΡΗΣ</t>
  </si>
  <si>
    <t>ΑΚ901939</t>
  </si>
  <si>
    <t>221-223-226-222-228-219-217-224-218-230-225-229-220-232-231-227</t>
  </si>
  <si>
    <t>ΖΙΑΒΡΟΥ</t>
  </si>
  <si>
    <t>ΚΑΛΛΙΡΟΗ</t>
  </si>
  <si>
    <t>750,2</t>
  </si>
  <si>
    <t>1450,2</t>
  </si>
  <si>
    <t>222-230-221-226-228-223-217-219-227-225-231-218-224-229-220-232</t>
  </si>
  <si>
    <t>ΑΝΑΣΤΑΣΙΑΔΗΣ</t>
  </si>
  <si>
    <t>ΑΙ788043</t>
  </si>
  <si>
    <t>1448,8</t>
  </si>
  <si>
    <t>224-218-229-222-219-217-225-221-231-228-230-223-226-227-232-220</t>
  </si>
  <si>
    <t>ΤΕΜΠΛΗΣ</t>
  </si>
  <si>
    <t>ΧΡΥΣΟΒΑΛΑΝΤΗΣ</t>
  </si>
  <si>
    <t>Φ129952</t>
  </si>
  <si>
    <t>1017,5</t>
  </si>
  <si>
    <t>1447,5</t>
  </si>
  <si>
    <t>224-218-219-228-230-222</t>
  </si>
  <si>
    <t>ΤΣΙΚΡΙΤΖΗΣ</t>
  </si>
  <si>
    <t>ΔΗΜΗΤΡΗΣ</t>
  </si>
  <si>
    <t>ΑΜ74332</t>
  </si>
  <si>
    <t>1446,6</t>
  </si>
  <si>
    <t>220-232-229-227-231-225-230-222-219-228-226-223-224-218-221-217</t>
  </si>
  <si>
    <t>ΠΑΓΩΝΑ</t>
  </si>
  <si>
    <t>ΑΕ123971</t>
  </si>
  <si>
    <t>1446,4</t>
  </si>
  <si>
    <t>224-218-219-217-228-226-229-221-230-222-220-232-223-231-227-225</t>
  </si>
  <si>
    <t>ΚΑΜΠΟΛΗΣ</t>
  </si>
  <si>
    <t>ΑΕ158881</t>
  </si>
  <si>
    <t>218-224-229-219-217-222-221-230-226-228-223-220-232-225-231-227</t>
  </si>
  <si>
    <t>ΚΟΥΠΑΝΤΣΗΣ</t>
  </si>
  <si>
    <t>ΘΩΜΑΣ</t>
  </si>
  <si>
    <t>ΑΙ177854</t>
  </si>
  <si>
    <t>1445,1</t>
  </si>
  <si>
    <t>ΑΝΤΩΝΙΟΥ</t>
  </si>
  <si>
    <t>ΑΙ967709</t>
  </si>
  <si>
    <t>1442,2</t>
  </si>
  <si>
    <t>232-224-218-220-221-229-219-228-223-222-217-226-230</t>
  </si>
  <si>
    <t>ΜΑΝΙΟΥΔΑΚΗ</t>
  </si>
  <si>
    <t>ΑΙ456162</t>
  </si>
  <si>
    <t>224-218-220-232-219</t>
  </si>
  <si>
    <t>ΚΑΡΑΓΙΑΝΝΗΣ</t>
  </si>
  <si>
    <t>ΕΥΣΤΡΑΤΙΟΣ</t>
  </si>
  <si>
    <t>ΑΖ660890</t>
  </si>
  <si>
    <t>224-218-217-219-229-228-226-221-232-220-223-222-230-225-231</t>
  </si>
  <si>
    <t>ΦΑΡΣΑΡΗ</t>
  </si>
  <si>
    <t>ΕΡΓΙΝΑ</t>
  </si>
  <si>
    <t>ΑΖ214128</t>
  </si>
  <si>
    <t>1441,8</t>
  </si>
  <si>
    <t>220-232-229-230-222-228-226-217-218-219-223-224-221-231-227</t>
  </si>
  <si>
    <t>ΣΤΟΓΙΑΝΝΗΣ</t>
  </si>
  <si>
    <t>ΑΛΚΙΒΙΑΔΗΣ</t>
  </si>
  <si>
    <t>ΑΙ190821</t>
  </si>
  <si>
    <t>1441,1</t>
  </si>
  <si>
    <t>221-223</t>
  </si>
  <si>
    <t>ΚΑΡΓΑΚΗ</t>
  </si>
  <si>
    <t>ΑΖ957055</t>
  </si>
  <si>
    <t>220-232-221-228-229-219-223-231-224-218-225-227-226-222-217-230</t>
  </si>
  <si>
    <t>ΔΟΡΤΣΙΟΥ</t>
  </si>
  <si>
    <t>ΑΕ337447</t>
  </si>
  <si>
    <t>1439,8</t>
  </si>
  <si>
    <t>221-226-223-222-224</t>
  </si>
  <si>
    <t>ΣΤΕΦΑΝΑΚΗΣ</t>
  </si>
  <si>
    <t>ΑΗ457469</t>
  </si>
  <si>
    <t>809,6</t>
  </si>
  <si>
    <t>1439,6</t>
  </si>
  <si>
    <t>220-232-229-219-218-224-228-217-226-230-221-222-223-231-227-225</t>
  </si>
  <si>
    <t>ΒΟΥΓΟΓΙΑΝΝΟΠΟΥΛΟΥ</t>
  </si>
  <si>
    <t>ΑΑ020113</t>
  </si>
  <si>
    <t>1439,2</t>
  </si>
  <si>
    <t>ΤΕΡΖΟΠΟΥΛΟΥ</t>
  </si>
  <si>
    <t>ΑΕ373825</t>
  </si>
  <si>
    <t>738,1</t>
  </si>
  <si>
    <t>1438,1</t>
  </si>
  <si>
    <t>221-223-222-226-228-232-219-220-230-217-229-218-224-227-225-231</t>
  </si>
  <si>
    <t>ΝΕΡΑΝΤΖΑΚΗ</t>
  </si>
  <si>
    <t>ΑΔΑΜ</t>
  </si>
  <si>
    <t>ΑΒ808611</t>
  </si>
  <si>
    <t>1436,2</t>
  </si>
  <si>
    <t>223-221-226-228-220-232</t>
  </si>
  <si>
    <t>ΚΟΥΣΚΟΥΡΑ</t>
  </si>
  <si>
    <t>ΑΙ737336</t>
  </si>
  <si>
    <t>716,1</t>
  </si>
  <si>
    <t>1436,1</t>
  </si>
  <si>
    <t>221-228-222-223-226-232-230-225-224-219-220-229-217</t>
  </si>
  <si>
    <t>ΑΗ594875</t>
  </si>
  <si>
    <t>1434,5</t>
  </si>
  <si>
    <t>ΚΑΖΑΚΗΣ</t>
  </si>
  <si>
    <t>ΑΕ913358</t>
  </si>
  <si>
    <t>963,6</t>
  </si>
  <si>
    <t>1433,6</t>
  </si>
  <si>
    <t>223-221</t>
  </si>
  <si>
    <t>ΚΑΛΤΣΟΝΟΥΔΗΣ</t>
  </si>
  <si>
    <t>ΑΗ980097</t>
  </si>
  <si>
    <t>1432,3</t>
  </si>
  <si>
    <t>228-226-217-218-219-224-230-232-220-221-222-223-229</t>
  </si>
  <si>
    <t>ΦΩΤΟΠΟΥΛΟΥ</t>
  </si>
  <si>
    <t>ΘΕΑΝΩ</t>
  </si>
  <si>
    <t>ΑΙ023997</t>
  </si>
  <si>
    <t>1431,2</t>
  </si>
  <si>
    <t>ΤΑΤΣΗ</t>
  </si>
  <si>
    <t>ΑΧΙΛΛΕΑΣ</t>
  </si>
  <si>
    <t>ΑΜ154439</t>
  </si>
  <si>
    <t>224-218-219-222-230-229-217-221-228-226-232-220-225-231</t>
  </si>
  <si>
    <t>ΣΟΥΦΛΑ</t>
  </si>
  <si>
    <t>ΓΙΑΝΝΟΥΛΑ</t>
  </si>
  <si>
    <t>ΑΑ037961</t>
  </si>
  <si>
    <t>928,4</t>
  </si>
  <si>
    <t>1428,4</t>
  </si>
  <si>
    <t>224-218-220</t>
  </si>
  <si>
    <t>ΖΑΝΙΑ</t>
  </si>
  <si>
    <t>Ρ241843</t>
  </si>
  <si>
    <t>1427,9</t>
  </si>
  <si>
    <t>221-228-224-219-229-222-217-226-223-218-231-225-230-220-232-227</t>
  </si>
  <si>
    <t>ΚΩΤΣΙΟΥ</t>
  </si>
  <si>
    <t>ΚΑΛΗ</t>
  </si>
  <si>
    <t>ΑΕ758943</t>
  </si>
  <si>
    <t>756,8</t>
  </si>
  <si>
    <t>1426,8</t>
  </si>
  <si>
    <t>221-222-224-218-223-219-229-220-231-225-226-217-227-232-228-230</t>
  </si>
  <si>
    <t>ΣΙΟΥΤΑ</t>
  </si>
  <si>
    <t>ΑΗ242292</t>
  </si>
  <si>
    <t>1426,6</t>
  </si>
  <si>
    <t>ΣΥΓΓΟΥΝΗ</t>
  </si>
  <si>
    <t>ΒΑΡΒΑΡΑ</t>
  </si>
  <si>
    <t>ΑΒ771634</t>
  </si>
  <si>
    <t>1424,5</t>
  </si>
  <si>
    <t>218-224-221-222-230-228-229-217-219-232-226-223-225-227-231</t>
  </si>
  <si>
    <t xml:space="preserve">ΚΑΠΛΑΝΗΣ </t>
  </si>
  <si>
    <t xml:space="preserve">ΜΙΧΑΗΛ </t>
  </si>
  <si>
    <t>ΚΛΕΟΜΕΝΗΣ</t>
  </si>
  <si>
    <t>ΑΗ051248</t>
  </si>
  <si>
    <t>1424,2</t>
  </si>
  <si>
    <t>224-218-219-217-220-221-229</t>
  </si>
  <si>
    <t>ΚΟΥΤΡΟΥΜΑΝΗ</t>
  </si>
  <si>
    <t>ΑΝ197444</t>
  </si>
  <si>
    <t>1423,4</t>
  </si>
  <si>
    <t>221-223-226-228-222-224-218-232-220-229-230-217-219</t>
  </si>
  <si>
    <t>ΔΑΦΝΗΣ</t>
  </si>
  <si>
    <t>ΑΕ735744</t>
  </si>
  <si>
    <t>752,4</t>
  </si>
  <si>
    <t>1422,4</t>
  </si>
  <si>
    <t>218-224-229-219-217-222-230-228-221-226-220-232-223-227-225-231</t>
  </si>
  <si>
    <t>ΣΙΑΦΑΚΑ</t>
  </si>
  <si>
    <t>ΠΑΝΩΡΑΙΑ</t>
  </si>
  <si>
    <t>ΑΜ876916</t>
  </si>
  <si>
    <t>221-222-224-230</t>
  </si>
  <si>
    <t>1422,2</t>
  </si>
  <si>
    <t>221-223-226</t>
  </si>
  <si>
    <t>ΑΝΤΩΝΟΠΟΥΛΟΥ</t>
  </si>
  <si>
    <t>Χ277935</t>
  </si>
  <si>
    <t>701,8</t>
  </si>
  <si>
    <t>1421,8</t>
  </si>
  <si>
    <t>221-224-222-230-219-217-228-229-220-232-218-226-223-225-227-231</t>
  </si>
  <si>
    <t>ΠΑΠΑΖΗΣΗ</t>
  </si>
  <si>
    <t>ΚΑΛΛΙΟΠΗ ΜΑΡΙΑ</t>
  </si>
  <si>
    <t>ΑΚ855429</t>
  </si>
  <si>
    <t>751,3</t>
  </si>
  <si>
    <t>1421,3</t>
  </si>
  <si>
    <t>221-226-228-218-219-224-222-223-230-217-220-232-231-229-225-227</t>
  </si>
  <si>
    <t>ΠΑΝΑΓΟΠΟΥΛΟΥ</t>
  </si>
  <si>
    <t>ΑΣΗΜΑΚΗΣ</t>
  </si>
  <si>
    <t>Χ383359</t>
  </si>
  <si>
    <t>740,3</t>
  </si>
  <si>
    <t>1420,3</t>
  </si>
  <si>
    <t>225-222-224-230-228-219-217-220-232-218-221-223-226-229-231-227</t>
  </si>
  <si>
    <t>ΣΤΑΥΡΟΠΟΥΛΟΣ</t>
  </si>
  <si>
    <t>ΑΜ738090</t>
  </si>
  <si>
    <t>749,1</t>
  </si>
  <si>
    <t>1419,1</t>
  </si>
  <si>
    <t>224-218-221-220-219-230-229-222-228-232-226-223-217-225-231-227</t>
  </si>
  <si>
    <t>ΛΑΚΚΑ</t>
  </si>
  <si>
    <t>ΑΧΙΛΛ</t>
  </si>
  <si>
    <t>ΑΧΙΛΛΕΥΣ</t>
  </si>
  <si>
    <t>ΑΕ310489</t>
  </si>
  <si>
    <t>718,3</t>
  </si>
  <si>
    <t>1418,3</t>
  </si>
  <si>
    <t>226-228-221-222-223-219-217-224-218-230-232-220-231-225-229-227</t>
  </si>
  <si>
    <t>ΜΠΑΡΙΑΜΗΣ</t>
  </si>
  <si>
    <t>ΑΜ327398</t>
  </si>
  <si>
    <t>1417,6</t>
  </si>
  <si>
    <t>229-224-218-221-222</t>
  </si>
  <si>
    <t>ΣΤΕΡΙΩΤΗ</t>
  </si>
  <si>
    <t>ΑΡΙΣΤΟΤΕΛΗΣ</t>
  </si>
  <si>
    <t>ΑΖ102287</t>
  </si>
  <si>
    <t>656,7</t>
  </si>
  <si>
    <t>1416,7</t>
  </si>
  <si>
    <t>ΚΩΝΣΤΑΝΤΙΝΙΑ</t>
  </si>
  <si>
    <t>ΑΗ445719</t>
  </si>
  <si>
    <t>745,8</t>
  </si>
  <si>
    <t>1415,8</t>
  </si>
  <si>
    <t>224-221-218-228-226-222-219-217-223-229-230-225-231-220-232-227</t>
  </si>
  <si>
    <t>ΑΝΑΣΤΑΣΟΠΟΥΛΟΥ</t>
  </si>
  <si>
    <t>ΠΑΝΟΥΛΑ</t>
  </si>
  <si>
    <t>ΑΖ599611</t>
  </si>
  <si>
    <t>744,7</t>
  </si>
  <si>
    <t>1414,7</t>
  </si>
  <si>
    <t>218-224-217</t>
  </si>
  <si>
    <t>ΑΙ286777</t>
  </si>
  <si>
    <t>226-217-219-230-228-229-223-232-224-218-220-221-222</t>
  </si>
  <si>
    <t>ΚΟΥΤΣΑΝΔΡΕΑ</t>
  </si>
  <si>
    <t>ΓΕΡΑΣΙΜΟΣ</t>
  </si>
  <si>
    <t>ΑΕ609527</t>
  </si>
  <si>
    <t>1414,6</t>
  </si>
  <si>
    <t>224-221</t>
  </si>
  <si>
    <t>ΚΟΜΠΟΓΕΝΝΗΤΑΚΗ</t>
  </si>
  <si>
    <t>ΡΟΔΑΝΘΗ</t>
  </si>
  <si>
    <t>ΑΙ471644</t>
  </si>
  <si>
    <t>1414,5</t>
  </si>
  <si>
    <t>224-218-232-220</t>
  </si>
  <si>
    <t>ΠΟΛΛΑΤΟΣ</t>
  </si>
  <si>
    <t>ΠΑΝΑΓΗΣ</t>
  </si>
  <si>
    <t>ΑΕ781920</t>
  </si>
  <si>
    <t>742,5</t>
  </si>
  <si>
    <t>1412,5</t>
  </si>
  <si>
    <t>224-218-219-217-229-225-221-228-226-230-222-232-220-223-231-227</t>
  </si>
  <si>
    <t>ΒΟΝΟΡΤΑΣ</t>
  </si>
  <si>
    <t>ΔΙΟΝΥΣΙΟΣ</t>
  </si>
  <si>
    <t>ΑΗ045690</t>
  </si>
  <si>
    <t>892,1</t>
  </si>
  <si>
    <t>1412,1</t>
  </si>
  <si>
    <t>ΦΡΑΓΚΟΓΕΩΡΓΗ</t>
  </si>
  <si>
    <t>ΕΙΡΗΝΗ</t>
  </si>
  <si>
    <t>ΑΕ512524</t>
  </si>
  <si>
    <t>640,2</t>
  </si>
  <si>
    <t>1410,2</t>
  </si>
  <si>
    <t>228-224-218-217-219-226-220-221-222-223-229-230-232</t>
  </si>
  <si>
    <t>ΚΑΚΟΥ</t>
  </si>
  <si>
    <t>ΑΙ039063</t>
  </si>
  <si>
    <t>709,5</t>
  </si>
  <si>
    <t>1409,5</t>
  </si>
  <si>
    <t>224-218-225</t>
  </si>
  <si>
    <t>ΖΑΡΚΟΓΙΑΝΝΗ</t>
  </si>
  <si>
    <t>ΑΖ649838</t>
  </si>
  <si>
    <t>1409,2</t>
  </si>
  <si>
    <t>221-224-218-226-222-223-228-230-219-217-229-225-232-220-227-231</t>
  </si>
  <si>
    <t>ΤΖΟΛΛΑΣ</t>
  </si>
  <si>
    <t>ΜΙΧΑΛΗΣ</t>
  </si>
  <si>
    <t>ΑΜ259942</t>
  </si>
  <si>
    <t>221-223-224-228-226-219-218-222-217-230-229-220-232-225-231-227</t>
  </si>
  <si>
    <t>ΧΑΡΑΥΓΗ</t>
  </si>
  <si>
    <t>ΜΑΡΙΑ ΔΕΣΠΟΙΝΑ</t>
  </si>
  <si>
    <t>ΑΕ978570</t>
  </si>
  <si>
    <t>224-218-219-221-228</t>
  </si>
  <si>
    <t>ΤΡΑΝΤΑΚΗΣ</t>
  </si>
  <si>
    <t>ΑΞΙΩΤΗΣ</t>
  </si>
  <si>
    <t>ΑΖ940459</t>
  </si>
  <si>
    <t>907,5</t>
  </si>
  <si>
    <t>1407,5</t>
  </si>
  <si>
    <t>224-221-219-228-232-225-231-220-229-218-223-226-222-230-227-217</t>
  </si>
  <si>
    <t>ΚΩΔΩΝΑ</t>
  </si>
  <si>
    <t>ΑΕ125930</t>
  </si>
  <si>
    <t>1406,8</t>
  </si>
  <si>
    <t>223-229-228-226-219-232-220-230-222-217-221-218-224-225-227-231</t>
  </si>
  <si>
    <t>ΓΕΩΡΓΙΟΥ</t>
  </si>
  <si>
    <t>ΠΑΡΑΣΚΕΥΑΣ</t>
  </si>
  <si>
    <t>ΑΒ496558</t>
  </si>
  <si>
    <t>905,3</t>
  </si>
  <si>
    <t>1405,3</t>
  </si>
  <si>
    <t>217-219-224-218</t>
  </si>
  <si>
    <t>ΑΡΓΥΡΗ</t>
  </si>
  <si>
    <t>ΑΚ369435</t>
  </si>
  <si>
    <t>705,1</t>
  </si>
  <si>
    <t>1405,1</t>
  </si>
  <si>
    <t>224-218-219-217-229-232-220-221-230-228-223-226-222-227-231-225</t>
  </si>
  <si>
    <t>ΚΟΛΙΑΡΜΟΥ</t>
  </si>
  <si>
    <t>ΠΡΟΔΡΟΜΟΣ</t>
  </si>
  <si>
    <t>ΑΙ395326</t>
  </si>
  <si>
    <t>1402,4</t>
  </si>
  <si>
    <t>223-221-224-218-228-226-220-232-219-222-217-229-230-225-227-231</t>
  </si>
  <si>
    <t>ΓΚΟΤΖΑΜΑΝΗΣ</t>
  </si>
  <si>
    <t>ΑΜ139444</t>
  </si>
  <si>
    <t>1402,2</t>
  </si>
  <si>
    <t>224-218-219-217-229</t>
  </si>
  <si>
    <t>ΜΑΣΕΝ</t>
  </si>
  <si>
    <t>ΑΕ649241</t>
  </si>
  <si>
    <t>231-221-224-220-227-232</t>
  </si>
  <si>
    <t>ΛΑΜΠΡΟΠΟΥΛΟΥ</t>
  </si>
  <si>
    <t>ΑΕ028282</t>
  </si>
  <si>
    <t>679,8</t>
  </si>
  <si>
    <t>1399,8</t>
  </si>
  <si>
    <t>224-218-219-228-229-226-217-221-220-232-230-223-222-225-231-227</t>
  </si>
  <si>
    <t>ΠΟΥΡΝΑΡΑ</t>
  </si>
  <si>
    <t>ΑΖ833776</t>
  </si>
  <si>
    <t>1029,6</t>
  </si>
  <si>
    <t>1399,6</t>
  </si>
  <si>
    <t>221-222-228-223-230</t>
  </si>
  <si>
    <t>ΚΟIΝΗ</t>
  </si>
  <si>
    <t>ΕΥΤΥΧΙΑ</t>
  </si>
  <si>
    <t>ΑΒ501591</t>
  </si>
  <si>
    <t>1399,3</t>
  </si>
  <si>
    <t>224-218-219-217-229-221-232-220-228</t>
  </si>
  <si>
    <t>ΜΗΤΡΗ</t>
  </si>
  <si>
    <t>ΣΤΡΑΤΗΓΟΥΛΑ</t>
  </si>
  <si>
    <t>ΑΕ272832</t>
  </si>
  <si>
    <t>728,2</t>
  </si>
  <si>
    <t>1398,2</t>
  </si>
  <si>
    <t>228-221-224-218-226-220-219-232-229-217-223-230-222-225-231</t>
  </si>
  <si>
    <t>ΧΑΛΚΙΑΔΑΚΗ</t>
  </si>
  <si>
    <t>ΑΜ064187</t>
  </si>
  <si>
    <t>1397,8</t>
  </si>
  <si>
    <t>218-232-219-224-226-228-223-221-220-222-229-230</t>
  </si>
  <si>
    <t>ΜΕΝΙΔΙΑΤΗΣ</t>
  </si>
  <si>
    <t>ΑΕ013814</t>
  </si>
  <si>
    <t>727,1</t>
  </si>
  <si>
    <t>1397,1</t>
  </si>
  <si>
    <t>224-218-229-230-219-217-225-228-226-221-222-223-231-232-220-227</t>
  </si>
  <si>
    <t>ΓΙΑΚΙΣΙΚΛΗ</t>
  </si>
  <si>
    <t>ΑΜ700138</t>
  </si>
  <si>
    <t>221-226-223-222-228-230-219-224-218-217-232-220-229-225-231</t>
  </si>
  <si>
    <t>ΜΥΛΩΝΑ</t>
  </si>
  <si>
    <t>Τ218284</t>
  </si>
  <si>
    <t>1396,7</t>
  </si>
  <si>
    <t>221-217-218-219-220-222-223-224-225-226-227-228-229-230-231-232</t>
  </si>
  <si>
    <t>ΤΡΥΠΟΥ</t>
  </si>
  <si>
    <t>ΑΑ066005</t>
  </si>
  <si>
    <t>665,5</t>
  </si>
  <si>
    <t>1395,5</t>
  </si>
  <si>
    <t>224-218-219-217-221-226-232-220-228-222-229-223-230</t>
  </si>
  <si>
    <t>ΜΑΡΙΑΝΝΑ</t>
  </si>
  <si>
    <t>ΑΚ500162</t>
  </si>
  <si>
    <t>893,2</t>
  </si>
  <si>
    <t>1393,2</t>
  </si>
  <si>
    <t>ΦΙΛΙΠΠΙΔΗΣ</t>
  </si>
  <si>
    <t>ΑΓΓΕΛΟΣ</t>
  </si>
  <si>
    <t>ΜΗΝΑΣ</t>
  </si>
  <si>
    <t>ΑΗ457102</t>
  </si>
  <si>
    <t>1391,2</t>
  </si>
  <si>
    <t>220-223-232-221-228-222-226-217-219-230-229-218-224-231-227-225</t>
  </si>
  <si>
    <t>ΠΡΟΥΣΑΛΗΣ</t>
  </si>
  <si>
    <t>ΑΒ617871</t>
  </si>
  <si>
    <t>689,7</t>
  </si>
  <si>
    <t>1389,7</t>
  </si>
  <si>
    <t>224-218-228-221-219-217-223-226-229-232-220-222-230-225-231-227</t>
  </si>
  <si>
    <t>ΚΑΡΥΔΗ</t>
  </si>
  <si>
    <t>ΑΕ285755</t>
  </si>
  <si>
    <t>221-223-222-225-228-226-224-218-232-220-230-229-219-217-231-227</t>
  </si>
  <si>
    <t>ΚΟΥΤΣΟΔΟΝΤΗΣ</t>
  </si>
  <si>
    <t>ΑΒ795389</t>
  </si>
  <si>
    <t>218-224-217-219-229-221-228-226-222-230-223-225-231-232-220-227</t>
  </si>
  <si>
    <t>ΚΑΠΡΙΔΑΚΗ</t>
  </si>
  <si>
    <t>ΧΡΥΣΗ</t>
  </si>
  <si>
    <t>ΜΑΝΟΥΣΟΣ</t>
  </si>
  <si>
    <t>ΑΜ479448</t>
  </si>
  <si>
    <t>717,2</t>
  </si>
  <si>
    <t>1387,2</t>
  </si>
  <si>
    <t>232-224-218-219-228-226-229-217-221-223-230-222-220</t>
  </si>
  <si>
    <t>ΕΛΙΣΣΑΒΕΤ</t>
  </si>
  <si>
    <t>ΑΚ794561</t>
  </si>
  <si>
    <t>713,9</t>
  </si>
  <si>
    <t>1383,9</t>
  </si>
  <si>
    <t>224-218-217-219-226-228-221-222-229-230</t>
  </si>
  <si>
    <t>ΓΚΟΥΡΟΓΙΑΝΝΗ</t>
  </si>
  <si>
    <t>ΑΛΕΞΙΑ</t>
  </si>
  <si>
    <t>Χ365713</t>
  </si>
  <si>
    <t>662,2</t>
  </si>
  <si>
    <t>1382,2</t>
  </si>
  <si>
    <t>230-222-221-218-224</t>
  </si>
  <si>
    <t>ΜΟΥΚΑΣ</t>
  </si>
  <si>
    <t>ΑΚ024368</t>
  </si>
  <si>
    <t>711,7</t>
  </si>
  <si>
    <t>1381,7</t>
  </si>
  <si>
    <t>224-218-221-217-228-222-226-225-229-220-231-227-219-232-223-230</t>
  </si>
  <si>
    <t>ΣΤΡΟΓΓΥΛΗΣ</t>
  </si>
  <si>
    <t>Ρ438310</t>
  </si>
  <si>
    <t>731,5</t>
  </si>
  <si>
    <t>1381,5</t>
  </si>
  <si>
    <t>226-221-219-228-224-223-222-218-217-229-227</t>
  </si>
  <si>
    <t>ΝΑΖΙΡΗ</t>
  </si>
  <si>
    <t>ΧΡΙΣΤΟΔΟΥΛΟΣ</t>
  </si>
  <si>
    <t>ΑΗ338440</t>
  </si>
  <si>
    <t>221-226-222-228-223-224-218-217-219-229-230-232-220-225-227-231</t>
  </si>
  <si>
    <t>ΜΠΟΥΛΟΥΣΗΣ</t>
  </si>
  <si>
    <t>ΑΙ067306</t>
  </si>
  <si>
    <t>1381,3</t>
  </si>
  <si>
    <t>224-218-219-217-226-229-228-222-221-230-220-232-223-231-225-227</t>
  </si>
  <si>
    <t>ΕΥΑΓΓΕΛΟΥ</t>
  </si>
  <si>
    <t>ΧΡΥΣΟΣΤΟΜΟΣ</t>
  </si>
  <si>
    <t>ΑΜ106726</t>
  </si>
  <si>
    <t>680,9</t>
  </si>
  <si>
    <t>1380,9</t>
  </si>
  <si>
    <t>ΚΟΣΜΟΠΟΥΛΟΥ</t>
  </si>
  <si>
    <t>ΑΕ755333</t>
  </si>
  <si>
    <t>1376,2</t>
  </si>
  <si>
    <t>222-230-224-218-219-228-217-226-221-229-223-232-220</t>
  </si>
  <si>
    <t>ΓΙΑΝΝΑΚΑΣ</t>
  </si>
  <si>
    <t>ΕΠΑΜΕΙΝΩΝΔΑΣ</t>
  </si>
  <si>
    <t>ΑΚ330809</t>
  </si>
  <si>
    <t>1375,1</t>
  </si>
  <si>
    <t>230-224-222-217-218</t>
  </si>
  <si>
    <t>ΖΑΦΕΙΡΑΚΗ</t>
  </si>
  <si>
    <t>ΕΥΦΡΟΣΥΝΗ</t>
  </si>
  <si>
    <t>ΑΙ037270</t>
  </si>
  <si>
    <t>1373,8</t>
  </si>
  <si>
    <t>ΜΗΤΣΙΩΝΗΣ</t>
  </si>
  <si>
    <t>ΑΒ817759</t>
  </si>
  <si>
    <t>222-230-226-225-221-220-228-232</t>
  </si>
  <si>
    <t>ΤΑΤΣΗΣ</t>
  </si>
  <si>
    <t>ΑΗ739397</t>
  </si>
  <si>
    <t>690,8</t>
  </si>
  <si>
    <t>1370,8</t>
  </si>
  <si>
    <t>222-221-230-225-226-228-232-220-218-224-223-219-231-229-227</t>
  </si>
  <si>
    <t>ΦΡΑΓΚΟΥ</t>
  </si>
  <si>
    <t>ΑΕ226296</t>
  </si>
  <si>
    <t>1369,2</t>
  </si>
  <si>
    <t>229-222-230-225-220-232-228-223-226-231-227-224-218-221-219</t>
  </si>
  <si>
    <t>ΚΑΡΑΜΠΑΓΙΑΣ</t>
  </si>
  <si>
    <t>ΑΜ347918</t>
  </si>
  <si>
    <t>708,4</t>
  </si>
  <si>
    <t>1368,4</t>
  </si>
  <si>
    <t>229-222-223-218-224-226-225-219-220-230-228-231-232-217-227-221</t>
  </si>
  <si>
    <t>ΤΣΑΤΣΑΡΑΓΚΟΥ</t>
  </si>
  <si>
    <t>ΚΛΕΟΠΑΤΡΑ</t>
  </si>
  <si>
    <t>Χ065729</t>
  </si>
  <si>
    <t>1366,2</t>
  </si>
  <si>
    <t>224-218-221-220-232-229-219-217-228-226-222-223-230</t>
  </si>
  <si>
    <t>ΣΚΑΡΛΑΣ</t>
  </si>
  <si>
    <t>ΑΗ242949</t>
  </si>
  <si>
    <t>217-219-224-221-218-228-226-230-225-227-231-222-229-223-232-220</t>
  </si>
  <si>
    <t>ΓΕΩΡΓΑΝΤΑΣ</t>
  </si>
  <si>
    <t>ΑΕ175888</t>
  </si>
  <si>
    <t>221-223-226-228-222-230-232-220-231-225-217-219-227-229</t>
  </si>
  <si>
    <t>ΜΑΝΙΑΤΑΚΟΥ</t>
  </si>
  <si>
    <t>ΑΔΑΜΑΝΤΙΑ</t>
  </si>
  <si>
    <t>ΑΙ780450</t>
  </si>
  <si>
    <t>735,9</t>
  </si>
  <si>
    <t>1365,9</t>
  </si>
  <si>
    <t>218-224-219-229</t>
  </si>
  <si>
    <t>ΑΝΑΓΝΩΣΤΟΠΟΥΛΟΥ</t>
  </si>
  <si>
    <t>ΒΑΣΙΛΕΙΑ</t>
  </si>
  <si>
    <t>ΑΕ457905</t>
  </si>
  <si>
    <t>895,4</t>
  </si>
  <si>
    <t>1365,4</t>
  </si>
  <si>
    <t>220-232-224-218-219-228-221</t>
  </si>
  <si>
    <t>ΑΜΒΡΑΖΗ</t>
  </si>
  <si>
    <t>ΑΒ090726</t>
  </si>
  <si>
    <t>685,3</t>
  </si>
  <si>
    <t>1365,3</t>
  </si>
  <si>
    <t>224-228-218-226-221-217-219-222-220-232</t>
  </si>
  <si>
    <t>Χ029323</t>
  </si>
  <si>
    <t>732,6</t>
  </si>
  <si>
    <t>1362,6</t>
  </si>
  <si>
    <t>224-218-229</t>
  </si>
  <si>
    <t>ΧΑΣΑΠΗΣ</t>
  </si>
  <si>
    <t>ΑΒ809482</t>
  </si>
  <si>
    <t>1360,4</t>
  </si>
  <si>
    <t>222-219-218-224-226-221-230-225-228-217-232-220-229-231-223-227</t>
  </si>
  <si>
    <t>ΤΣΟΓΚΑΣ</t>
  </si>
  <si>
    <t>ΖΗΣΗΣ</t>
  </si>
  <si>
    <t>ΑΒ408878</t>
  </si>
  <si>
    <t>222-230-229-228-221-226-223-220-232</t>
  </si>
  <si>
    <t>ΒΛΑΧΟΥ</t>
  </si>
  <si>
    <t>ΒΗΣΣΑΡΙΩΝ</t>
  </si>
  <si>
    <t>ΑΒ108557</t>
  </si>
  <si>
    <t>1359,3</t>
  </si>
  <si>
    <t>222-230-225-221-226-228-224-223-229-227</t>
  </si>
  <si>
    <t>ΚΑΡΑΝΙΚΑΣ</t>
  </si>
  <si>
    <t>Ρ726442</t>
  </si>
  <si>
    <t>221-226-228-217-218-219-224-222-225-230-232-220-223-231-227</t>
  </si>
  <si>
    <t>ΜΑΚΡΑ</t>
  </si>
  <si>
    <t>ΑΚ680620</t>
  </si>
  <si>
    <t>ΧΑΡΙΣΙΑΔΗΣ</t>
  </si>
  <si>
    <t>ΠΑΣΧΑΛΗΣ</t>
  </si>
  <si>
    <t>ΑΖ739096</t>
  </si>
  <si>
    <t>672,1</t>
  </si>
  <si>
    <t>1352,1</t>
  </si>
  <si>
    <t>221-222-217-218-219-220-223-224-225-226-227-228-229-230-231-232</t>
  </si>
  <si>
    <t>ΞΥΛΟΥΡΗ</t>
  </si>
  <si>
    <t>ΑΒ963892</t>
  </si>
  <si>
    <t>220-232-224-218-219-217-222-228-229-230-226-221-223</t>
  </si>
  <si>
    <t>ΠΑΠΠΑ</t>
  </si>
  <si>
    <t>ΑΖ208974</t>
  </si>
  <si>
    <t>ΞΙΑΡΧΟΣ</t>
  </si>
  <si>
    <t>ΑΙ693057</t>
  </si>
  <si>
    <t>1351,4</t>
  </si>
  <si>
    <t>224-218-220-221-223-225-226-227-222-217-219-228-229-231-232-230</t>
  </si>
  <si>
    <t>ΧΑΡΙΚΛΕΙΑ</t>
  </si>
  <si>
    <t>ΑΙ807768</t>
  </si>
  <si>
    <t>980,1</t>
  </si>
  <si>
    <t>1350,1</t>
  </si>
  <si>
    <t>224-218-222</t>
  </si>
  <si>
    <t>ΚΟΥΡΤΗ</t>
  </si>
  <si>
    <t>ΜΑΡΙΑ ΕΥΓΕΝΙΑ</t>
  </si>
  <si>
    <t>ΑΚ504764</t>
  </si>
  <si>
    <t>1349,8</t>
  </si>
  <si>
    <t>224-218-219-217-228-221-226-232-220-222-229-230-223-231-225-227</t>
  </si>
  <si>
    <t>ΑΙΚΑΤΕΡΙΝΗ ΦΩΤΕΙΝΗ</t>
  </si>
  <si>
    <t>ΑΙ138931</t>
  </si>
  <si>
    <t>687,5</t>
  </si>
  <si>
    <t>1347,5</t>
  </si>
  <si>
    <t>ΣΤΑΜΑΤΗΣ</t>
  </si>
  <si>
    <t>Ρ439960</t>
  </si>
  <si>
    <t>222-230-221-224-228-226-219-217-218-229-223-232-220</t>
  </si>
  <si>
    <t>ΑΛΕΞΑΚΗΣ</t>
  </si>
  <si>
    <t>ΑΜ106084</t>
  </si>
  <si>
    <t>1342,1</t>
  </si>
  <si>
    <t>217-218-219-220-221-222-223-224-226-228-229-230-232</t>
  </si>
  <si>
    <t>ΜΑΥΡΟΕΙΔΗ</t>
  </si>
  <si>
    <t>Σ613751</t>
  </si>
  <si>
    <t>224-218-217-219-229-226-228-223-221-222-230-225-231</t>
  </si>
  <si>
    <t>ΑΚ345712</t>
  </si>
  <si>
    <t>641,3</t>
  </si>
  <si>
    <t>1341,3</t>
  </si>
  <si>
    <t>224-218-229-220-232-221-226-219-217-222-228-230-223-225-231-227</t>
  </si>
  <si>
    <t>ΚΑΤΣΑΜΑΚΑΣ</t>
  </si>
  <si>
    <t>Ρ898619</t>
  </si>
  <si>
    <t>1339,7</t>
  </si>
  <si>
    <t>221-224-223-226-229-227-228-217-219-218-220-232-222-230-225-231</t>
  </si>
  <si>
    <t>ΤΣΟΥΜΑΧΙΔΟΥ</t>
  </si>
  <si>
    <t>ΑΜ673315</t>
  </si>
  <si>
    <t>678,7</t>
  </si>
  <si>
    <t>1338,7</t>
  </si>
  <si>
    <t>223-221-228-226-222-230</t>
  </si>
  <si>
    <t>ΓΕΩΡΓΙΑΔΟΥ</t>
  </si>
  <si>
    <t>ΑΜ587944</t>
  </si>
  <si>
    <t>667,7</t>
  </si>
  <si>
    <t>1337,7</t>
  </si>
  <si>
    <t>ΚΑΛΑΝΤΖΑΚΗΣ</t>
  </si>
  <si>
    <t>ΑΖ148813</t>
  </si>
  <si>
    <t>221-223-226-222-228-219-224-218-217-232-220-229-230-225-227-231</t>
  </si>
  <si>
    <t>ΥΨΗΛΑΝΤΗΣ</t>
  </si>
  <si>
    <t>ΑΙ256101</t>
  </si>
  <si>
    <t>702,9</t>
  </si>
  <si>
    <t>1332,9</t>
  </si>
  <si>
    <t>222-230-224-218-219-225-221-228-229-223-232-220-231-226-217-227</t>
  </si>
  <si>
    <t>ΣΤΑΜΑΤΑΚΗΣ</t>
  </si>
  <si>
    <t>ΑΚ073720</t>
  </si>
  <si>
    <t>1331,8</t>
  </si>
  <si>
    <t>224-218-232-229-219-217-226-221-220-222-228-230</t>
  </si>
  <si>
    <t>ΣΤΑΓΓΕΛ</t>
  </si>
  <si>
    <t>ΧΡΙΣΤΙΝΑ ΕΠΙΣΤΗΜΗ</t>
  </si>
  <si>
    <t>ΑΗ455601</t>
  </si>
  <si>
    <t>ΔΑΦΝΟΠΑΤΙΔΟΥ</t>
  </si>
  <si>
    <t>ΑΗ691124</t>
  </si>
  <si>
    <t>ΑΛΥΓΙΖΑΚΗΣ</t>
  </si>
  <si>
    <t>ΝΙΚΗΦΟΡΟΣ</t>
  </si>
  <si>
    <t>ΑΑ496953</t>
  </si>
  <si>
    <t>1009,8</t>
  </si>
  <si>
    <t>1329,8</t>
  </si>
  <si>
    <t>224-218-232-220-219-217-221</t>
  </si>
  <si>
    <t>Χ809526</t>
  </si>
  <si>
    <t>1327,6</t>
  </si>
  <si>
    <t>229-223-224-227-230-222-217-225-221-219-228-226-218-231-232-220</t>
  </si>
  <si>
    <t>ΚΟΝΤΟΘΕΟΔΩΡΟΥ</t>
  </si>
  <si>
    <t>Χ036871</t>
  </si>
  <si>
    <t>673,2</t>
  </si>
  <si>
    <t>1323,2</t>
  </si>
  <si>
    <t>ΜΑΥΡΟΥΔΑΚΗΣ</t>
  </si>
  <si>
    <t>ΑΕ370238</t>
  </si>
  <si>
    <t>1316,6</t>
  </si>
  <si>
    <t>224-218-221-226-220-232-228-219-217-223-222-229-230</t>
  </si>
  <si>
    <t>ΛΟΡΕΝΤΖΟΥ</t>
  </si>
  <si>
    <t>ΣΟΥΖΑΝΑ</t>
  </si>
  <si>
    <t>ΑΜ689915</t>
  </si>
  <si>
    <t>221-222-223</t>
  </si>
  <si>
    <t>ΒΑΣΙΛΑΚΗ</t>
  </si>
  <si>
    <t>ΦΩΤΕΙΝΗ</t>
  </si>
  <si>
    <t>ΑΚ484510</t>
  </si>
  <si>
    <t>676,5</t>
  </si>
  <si>
    <t>1306,5</t>
  </si>
  <si>
    <t>220-218-224-223-232-221-219</t>
  </si>
  <si>
    <t>ΜΟΣΧΙΔΗΣ</t>
  </si>
  <si>
    <t>ΜΟΣΧΟΣ-ΣΤΥΛΙΑΝΟΣ</t>
  </si>
  <si>
    <t>ΑΒ527321</t>
  </si>
  <si>
    <t>1306,3</t>
  </si>
  <si>
    <t>224-219-226-231-223-230</t>
  </si>
  <si>
    <t>ΠΙΠΗΡΟΥ</t>
  </si>
  <si>
    <t>ΑΙ084524</t>
  </si>
  <si>
    <t>1298,8</t>
  </si>
  <si>
    <t>224-218-219-217-226-232</t>
  </si>
  <si>
    <t>ΣΙΟΡΙΚΗ</t>
  </si>
  <si>
    <t>Φ202420</t>
  </si>
  <si>
    <t>647,9</t>
  </si>
  <si>
    <t>1297,9</t>
  </si>
  <si>
    <t>224-221-218-219-217-228-229-226-232-220-222-223-225-230-231-227</t>
  </si>
  <si>
    <t>ΚΟΡΩΝΑΙΟΥ</t>
  </si>
  <si>
    <t>ΑΗ228374</t>
  </si>
  <si>
    <t>1297,6</t>
  </si>
  <si>
    <t>224-218-217-229-219-221-226-228-222-230-223-232-220</t>
  </si>
  <si>
    <t>ΣΚΑΡΜΟΥΤΣΟΣ</t>
  </si>
  <si>
    <t>ΑΖ478381</t>
  </si>
  <si>
    <t>1295,5</t>
  </si>
  <si>
    <t>224-218-228-219-217-221-226-222-229-223-220-232-225-230-227-231</t>
  </si>
  <si>
    <t>ΤΟΥΝΤΟΠΟΥΛΟΣ</t>
  </si>
  <si>
    <t>ΚΑΝΕΛΛΟΣ</t>
  </si>
  <si>
    <t>Ρ493215</t>
  </si>
  <si>
    <t>991,1</t>
  </si>
  <si>
    <t>1291,1</t>
  </si>
  <si>
    <t>224-218-219-217-232-231-225-220-221-229-228-227-226-223-222-230</t>
  </si>
  <si>
    <t>ΓΟΥΡΔΟΥΠΗ</t>
  </si>
  <si>
    <t>Χ297575</t>
  </si>
  <si>
    <t>218-224-221-222-220-232-231-229-228-219-226-223-225-217-230-227</t>
  </si>
  <si>
    <t>ΔΗΜΟΠΟΥΛΟΣ</t>
  </si>
  <si>
    <t>ΑΗ225426</t>
  </si>
  <si>
    <t>1288,4</t>
  </si>
  <si>
    <t>ΓΑΤΣΟΥΛΗ</t>
  </si>
  <si>
    <t>ΑΕ581217</t>
  </si>
  <si>
    <t>1285,1</t>
  </si>
  <si>
    <t>224-218-217-219-229-228-226-221-230-222-223-232-220-225-231</t>
  </si>
  <si>
    <t>ΝΤΟΥΝΤΑΝΙΩΤΗΣ</t>
  </si>
  <si>
    <t>ΑΙ017858</t>
  </si>
  <si>
    <t>624,8</t>
  </si>
  <si>
    <t>1284,8</t>
  </si>
  <si>
    <t>ΠΕΡΙΒΟΛΑΡΗΣ</t>
  </si>
  <si>
    <t>ΕΜΜΑΝΟΥΗΛ ΑΛΕΞΑΝΔΡΟΣ</t>
  </si>
  <si>
    <t>ΑΚ622816</t>
  </si>
  <si>
    <t>634,7</t>
  </si>
  <si>
    <t>1284,7</t>
  </si>
  <si>
    <t>ΣΤΕΦΑΝΟΥ</t>
  </si>
  <si>
    <t>ΒΑΛΕΝΤΙΝΑ</t>
  </si>
  <si>
    <t>ΧΡΙΣΤΟΦΑΣ</t>
  </si>
  <si>
    <t>Ν924925</t>
  </si>
  <si>
    <t>227-224-218</t>
  </si>
  <si>
    <t>ΦΛΩΡΟΣ</t>
  </si>
  <si>
    <t>ΑΙ140080</t>
  </si>
  <si>
    <t>1277,9</t>
  </si>
  <si>
    <t>224-218-219-217-229-228-226-221-220-232-231-227-230-225-223-222</t>
  </si>
  <si>
    <t>ΓΟΥΡΑ</t>
  </si>
  <si>
    <t>ΗΛΙΑΣ</t>
  </si>
  <si>
    <t>ΑΙ648468</t>
  </si>
  <si>
    <t>1277,5</t>
  </si>
  <si>
    <t>224-218-217-219-229-226-228-220-232-221-222-230-223-225-231-227</t>
  </si>
  <si>
    <t>ΣΟΥΕΝΤΙΕ</t>
  </si>
  <si>
    <t>ΝΙΖΑΡ-ΑΝΤΩΝΙΟΣ</t>
  </si>
  <si>
    <t>ΑΒ982380</t>
  </si>
  <si>
    <t>900,9</t>
  </si>
  <si>
    <t>1270,9</t>
  </si>
  <si>
    <t>ΑΓΟΡΗ</t>
  </si>
  <si>
    <t>ΓΕΩΡΓΙΑ ΔΕΣΠΟΙΝΑ</t>
  </si>
  <si>
    <t>ΑΕ622376</t>
  </si>
  <si>
    <t>864,6</t>
  </si>
  <si>
    <t>1264,6</t>
  </si>
  <si>
    <t>224-218-221-232-220-227-219-217-222-225-226-223-228-229-230-231</t>
  </si>
  <si>
    <t>ΜΠΟΚΑΡΗ</t>
  </si>
  <si>
    <t>ΦΑΙΔΡΑ ΕΛΕΝΗ</t>
  </si>
  <si>
    <t>ΑΜ518301</t>
  </si>
  <si>
    <t>1263,1</t>
  </si>
  <si>
    <t>224-218-222-232</t>
  </si>
  <si>
    <t>ΑΣΗΜΑΚΟΠΟΥΛΟΥ</t>
  </si>
  <si>
    <t>ΑΚΡΙΒΗ</t>
  </si>
  <si>
    <t>ΑΗ666727</t>
  </si>
  <si>
    <t>221-220-227</t>
  </si>
  <si>
    <t>ΡΟΝΤΟΓΙΑΝΝΗ</t>
  </si>
  <si>
    <t>ΑΚ636515</t>
  </si>
  <si>
    <t>1256,1</t>
  </si>
  <si>
    <t>224-219-218</t>
  </si>
  <si>
    <t>ΤΣΕΛΟΝΔΡΕ</t>
  </si>
  <si>
    <t>ΠΕΡΙΚΛΗΣ</t>
  </si>
  <si>
    <t>ΑΜ560993</t>
  </si>
  <si>
    <t>1255,4</t>
  </si>
  <si>
    <t>224-218-217-219-229-221-222-228-230-226-232-220-223</t>
  </si>
  <si>
    <t>ΠΑΠΑΡΓΥΡΗΣ</t>
  </si>
  <si>
    <t>ΑΕ322827</t>
  </si>
  <si>
    <t>228-226-221-224</t>
  </si>
  <si>
    <t>ΘΕΙΑΚΟΥ</t>
  </si>
  <si>
    <t>Χ801854</t>
  </si>
  <si>
    <t>823,9</t>
  </si>
  <si>
    <t>1253,9</t>
  </si>
  <si>
    <t>221-223-228-226-222-217-218-224-230-219-220-232-229</t>
  </si>
  <si>
    <t>ΜΟΥΡΟΥΖΙΔΗΣ-ΜΟΥΡΟΥΖΗΣ</t>
  </si>
  <si>
    <t>ΑΕ502014</t>
  </si>
  <si>
    <t>1252,1</t>
  </si>
  <si>
    <t>224-218-219-221-229-223-217-228-226-232-220-231</t>
  </si>
  <si>
    <t>ΚΟΥΡΤΟΓΛΟΥ</t>
  </si>
  <si>
    <t>ΑΝΑΝΙΑΣ</t>
  </si>
  <si>
    <t>ΑΖ532425</t>
  </si>
  <si>
    <t>1250,6</t>
  </si>
  <si>
    <t>224-218-219-221-222-229-226-217-232-220-230-223-231-225-227</t>
  </si>
  <si>
    <t>Κατσούδας</t>
  </si>
  <si>
    <t>Κυπριανός</t>
  </si>
  <si>
    <t>Χρήστος</t>
  </si>
  <si>
    <t>Χ195208</t>
  </si>
  <si>
    <t>1248,4</t>
  </si>
  <si>
    <t>224-218-219-217-221-229-222-223-226-228-231-230-225</t>
  </si>
  <si>
    <t>ΡΩΤΑΣ</t>
  </si>
  <si>
    <t>ΦΡΑΓΚΙΣΚΟΣ</t>
  </si>
  <si>
    <t>ΑΕ093337</t>
  </si>
  <si>
    <t>224-218-219-221-222-226-228-217-223-220-232-229-230-225-227-231</t>
  </si>
  <si>
    <t>ΓΩΓΟΥ</t>
  </si>
  <si>
    <t>Ρ524586</t>
  </si>
  <si>
    <t>1246,6</t>
  </si>
  <si>
    <t>224-218-219-217-226-228-221-232-229-230-223-222-220</t>
  </si>
  <si>
    <t>ΚΟΥΤΣΟΝΙΚΟΛΑΣ</t>
  </si>
  <si>
    <t>ΑΕ682546</t>
  </si>
  <si>
    <t>1245,1</t>
  </si>
  <si>
    <t>ΤΣΕΒΔΟΥ</t>
  </si>
  <si>
    <t>ΑΚ713036</t>
  </si>
  <si>
    <t>1238,5</t>
  </si>
  <si>
    <t>218-219-224</t>
  </si>
  <si>
    <t>ΚΑΝΟΥΤΑ</t>
  </si>
  <si>
    <t>ΘΕΟΦΙΛΟΣ</t>
  </si>
  <si>
    <t>ΑΜ072980</t>
  </si>
  <si>
    <t>1236,9</t>
  </si>
  <si>
    <t>224-218-219-217-222-226-221-228-230-229</t>
  </si>
  <si>
    <t>ΚΟΚΚΑΛΗΣ</t>
  </si>
  <si>
    <t>ΕΥΓΕΝΙΟΣ</t>
  </si>
  <si>
    <t>Π662595</t>
  </si>
  <si>
    <t>1235,6</t>
  </si>
  <si>
    <t>ΚΥΝΗΓΟΠΟΥΛΟΥ</t>
  </si>
  <si>
    <t>Τ209207</t>
  </si>
  <si>
    <t>1233,4</t>
  </si>
  <si>
    <t>221-226-232-220</t>
  </si>
  <si>
    <t>ΠΑΠΛΙΑΚΑ</t>
  </si>
  <si>
    <t>ΖΩΗ ΕΙΡΗΝΗ</t>
  </si>
  <si>
    <t>ΑΜ685502</t>
  </si>
  <si>
    <t>1232,9</t>
  </si>
  <si>
    <t>221-226-228-223-222-220-232-225-224-219-231-230-229-217-218-227</t>
  </si>
  <si>
    <t>ΠΑΛΑΣΚΑ</t>
  </si>
  <si>
    <t>ΠΗΝΕΛΟΠΗ</t>
  </si>
  <si>
    <t>Σ454473</t>
  </si>
  <si>
    <t>1002,1</t>
  </si>
  <si>
    <t>1232,1</t>
  </si>
  <si>
    <t>230-223-217-219-225-229-232-220-231-227-226-228-221-218-224-222</t>
  </si>
  <si>
    <t>ΘΑΝΟΣ</t>
  </si>
  <si>
    <t>ΑΗ149568</t>
  </si>
  <si>
    <t>1230,8</t>
  </si>
  <si>
    <t>224-218-219-217-226-228-229-221</t>
  </si>
  <si>
    <t>ΑΡΓΥΡΙΟΥ</t>
  </si>
  <si>
    <t>ΡΑΦΑΗΛΙΑ-ΧΑΡΑΛΑΜΠΙΑ</t>
  </si>
  <si>
    <t>ΑΕ715859</t>
  </si>
  <si>
    <t>926,2</t>
  </si>
  <si>
    <t>1226,2</t>
  </si>
  <si>
    <t>229-232-220-228-222-219-217-226-218-224-221-225-230-223-231-227</t>
  </si>
  <si>
    <t>ΠΑΝΑΓΙΩΤΟΠΟΥΛΟΥ</t>
  </si>
  <si>
    <t>ΑΖ705461</t>
  </si>
  <si>
    <t>954,8</t>
  </si>
  <si>
    <t>1224,8</t>
  </si>
  <si>
    <t>ΚΑΛΦΑΣ</t>
  </si>
  <si>
    <t>ΑΕ982918</t>
  </si>
  <si>
    <t>1224,6</t>
  </si>
  <si>
    <t>219-217-224-218-228-226-221-223-222-230-229-220-232</t>
  </si>
  <si>
    <t>ΖΕΡΒΑ</t>
  </si>
  <si>
    <t>ΑΗ139242</t>
  </si>
  <si>
    <t>224-218-219-217-229-228</t>
  </si>
  <si>
    <t>ΣΚΙΑΔΑ</t>
  </si>
  <si>
    <t>ΠΑΝΟΣ</t>
  </si>
  <si>
    <t>ΑΕ744997</t>
  </si>
  <si>
    <t>719,4</t>
  </si>
  <si>
    <t>1219,4</t>
  </si>
  <si>
    <t>229-224-218-221-222-232-228-220-219-217-226-230-225-231-227</t>
  </si>
  <si>
    <t>ΓΚΑΡΑΒΟΥΝΗΣ</t>
  </si>
  <si>
    <t>Φ097465</t>
  </si>
  <si>
    <t>949,3</t>
  </si>
  <si>
    <t>1219,3</t>
  </si>
  <si>
    <t>ΧΑΡΩΝΙΤΗ</t>
  </si>
  <si>
    <t>Ρ003595</t>
  </si>
  <si>
    <t>1213,6</t>
  </si>
  <si>
    <t>224-218-219-217-226-220-230-221-232-228-229</t>
  </si>
  <si>
    <t>ΚΙΟΥΠΗΣ</t>
  </si>
  <si>
    <t>ΑΚ555447</t>
  </si>
  <si>
    <t>839,3</t>
  </si>
  <si>
    <t>1209,3</t>
  </si>
  <si>
    <t>224-218-220-219-217-229-226-228-221-222-230-232-223-225-227-231</t>
  </si>
  <si>
    <t>ΝΤΕΤΟΠΟΥΛΟΥ</t>
  </si>
  <si>
    <t>ΑΚ011723</t>
  </si>
  <si>
    <t>224-218-229-219</t>
  </si>
  <si>
    <t>ΓΕΩΡΜΕΖΗ</t>
  </si>
  <si>
    <t>ΑΕ234110</t>
  </si>
  <si>
    <t>1205,5</t>
  </si>
  <si>
    <t>218-224-221-222-232-220-229-219-228-217-230-223-226-225-231-227</t>
  </si>
  <si>
    <t>ΤΣΕΤΣΕΝΗ</t>
  </si>
  <si>
    <t>ΑΗ709247</t>
  </si>
  <si>
    <t>733,7</t>
  </si>
  <si>
    <t>1203,7</t>
  </si>
  <si>
    <t>218-224-217-229-219-222-226-228-230-221-232-220-225-223</t>
  </si>
  <si>
    <t>ΑΚ218472</t>
  </si>
  <si>
    <t>881,1</t>
  </si>
  <si>
    <t>1201,1</t>
  </si>
  <si>
    <t>224-218-221-217-220-232-219-229-222-223-226-228-230-225-231-227</t>
  </si>
  <si>
    <t>ΠΑΥΛΙΔΟΥ</t>
  </si>
  <si>
    <t>ΑΕ835659</t>
  </si>
  <si>
    <t>1199,3</t>
  </si>
  <si>
    <t>224-218-217-219-226-228-229-230-222-231-220-232-221-223-225</t>
  </si>
  <si>
    <t>ΚΛΗΡΟΝΟΜΟΥ</t>
  </si>
  <si>
    <t>ΑΚ108311</t>
  </si>
  <si>
    <t>1197,1</t>
  </si>
  <si>
    <t>224-218-221-229-222-219-228-223-232-220-217-226-231-230-227-225</t>
  </si>
  <si>
    <t>ΚΟΡΜΠΑΚΗΣ</t>
  </si>
  <si>
    <t>AM616071</t>
  </si>
  <si>
    <t>224-218-217-219-221-220-232-229-230-226-228-222-223</t>
  </si>
  <si>
    <t>ΤΣΑΜΗ</t>
  </si>
  <si>
    <t>ΝΑΤΑΛΙΑ</t>
  </si>
  <si>
    <t>ΓΕΩΡΓ</t>
  </si>
  <si>
    <t>ΑΙ000908</t>
  </si>
  <si>
    <t>1186,9</t>
  </si>
  <si>
    <t>ΜΠΑΤΣΙΛΑ</t>
  </si>
  <si>
    <t>ΑΗ787520</t>
  </si>
  <si>
    <t>1186,1</t>
  </si>
  <si>
    <t>222-230-225-221-226-228-223</t>
  </si>
  <si>
    <t>ΣΑΤΟΓΛΟΥ</t>
  </si>
  <si>
    <t>ΜΑΡΙΑ-ΦΩΤΕΙΝΗ</t>
  </si>
  <si>
    <t>ΑΒ050348</t>
  </si>
  <si>
    <t>1184,4</t>
  </si>
  <si>
    <t>ΝΙΚΗΦΟΡΟΥ</t>
  </si>
  <si>
    <t>ΑΓΑΠΗ</t>
  </si>
  <si>
    <t>ΑΕ459697</t>
  </si>
  <si>
    <t>218-224-221-217-219-228-229-223-222-226-230-232-225-231</t>
  </si>
  <si>
    <t>ΧΑΝΔΑΚΑΣ</t>
  </si>
  <si>
    <t>Ρ716067</t>
  </si>
  <si>
    <t>1182,1</t>
  </si>
  <si>
    <t>221-223-222-226-228-224-218-230-232-220-229-225-231-227</t>
  </si>
  <si>
    <t>ΦΡΑΓΓΕΛΑΚΗΣ</t>
  </si>
  <si>
    <t>Σ618021</t>
  </si>
  <si>
    <t>1180,9</t>
  </si>
  <si>
    <t>232-220-218-224</t>
  </si>
  <si>
    <t>Φ180412</t>
  </si>
  <si>
    <t>1180,8</t>
  </si>
  <si>
    <t>221-232-220-223-222-228-226-230-229-224-218-219-217</t>
  </si>
  <si>
    <t>ΒΟΓΙΑΤΖΙΔΑΚΗ</t>
  </si>
  <si>
    <t>ΕΥΓΕΝΙΑ ΕΛΕΝΗ</t>
  </si>
  <si>
    <t>ΑΚ231535</t>
  </si>
  <si>
    <t>1180,2</t>
  </si>
  <si>
    <t>224-218-232-220-217-219</t>
  </si>
  <si>
    <t>ΜΗΤΚΙΔΗΣ</t>
  </si>
  <si>
    <t>ΑΒ907814</t>
  </si>
  <si>
    <t>1178,1</t>
  </si>
  <si>
    <t>223-221-224</t>
  </si>
  <si>
    <t>ΧΑΡΑΛΑΜΠΟΥΣ</t>
  </si>
  <si>
    <t>ΚΩΣΤΑΣ</t>
  </si>
  <si>
    <t>876,7</t>
  </si>
  <si>
    <t>1176,7</t>
  </si>
  <si>
    <t>ΗΛΙΑΔΟΥ</t>
  </si>
  <si>
    <t>ΑΑ472880</t>
  </si>
  <si>
    <t>1175,8</t>
  </si>
  <si>
    <t>223-224-218-219-221-228-217-226-222-229-230-232-231-220-227-225</t>
  </si>
  <si>
    <t>ΜΑΤΙΑΔΗΣ</t>
  </si>
  <si>
    <t>ΑΚ626376</t>
  </si>
  <si>
    <t>724,9</t>
  </si>
  <si>
    <t>1174,9</t>
  </si>
  <si>
    <t>224-218-219-217-228-229</t>
  </si>
  <si>
    <t>ΜΑΚΡΕΛΛΗ</t>
  </si>
  <si>
    <t>ΜΕΛΑΧΡΟΙΝΗ</t>
  </si>
  <si>
    <t>Χ534032</t>
  </si>
  <si>
    <t>874,5</t>
  </si>
  <si>
    <t>1174,5</t>
  </si>
  <si>
    <t>218-224-219-221-232-220-226-223-222</t>
  </si>
  <si>
    <t>ΚΑΦΕΤΖΑΚΗ</t>
  </si>
  <si>
    <t>ΑΜ470993</t>
  </si>
  <si>
    <t>1170,9</t>
  </si>
  <si>
    <t>224-218-220-232-217-221</t>
  </si>
  <si>
    <t>ΜΟΥΛΑΚΑΚΗ</t>
  </si>
  <si>
    <t>ΑΖ031768</t>
  </si>
  <si>
    <t>219-224-218-223-221</t>
  </si>
  <si>
    <t>ΣΑΡΑΤΣΙΩΤΗ</t>
  </si>
  <si>
    <t>Χ593253</t>
  </si>
  <si>
    <t>224-218-217-229-226-219-220-221-222-223-225-227-228-230-231-232</t>
  </si>
  <si>
    <t>ΜΠΕΤΣΙΟΥ</t>
  </si>
  <si>
    <t>ΑΖ894981</t>
  </si>
  <si>
    <t>807,4</t>
  </si>
  <si>
    <t>1167,4</t>
  </si>
  <si>
    <t>217-219-221-218-224-223-226-228-230-222-229-232-220-227-225-231</t>
  </si>
  <si>
    <t>ΤΖΑΓΚΑΡΑΚΗ</t>
  </si>
  <si>
    <t>ΑΜ956018</t>
  </si>
  <si>
    <t>220-232-218-224-219-217-226-228-229-222-221-230-231</t>
  </si>
  <si>
    <t>ΓΑΚΗ</t>
  </si>
  <si>
    <t>ΑΛΕΞΑΝ</t>
  </si>
  <si>
    <t>ΑΕ616691</t>
  </si>
  <si>
    <t>1165,9</t>
  </si>
  <si>
    <t>224-218-229-221-228-219-217</t>
  </si>
  <si>
    <t>ΚΙΚΙΩΝΗΣ</t>
  </si>
  <si>
    <t>Τ239819</t>
  </si>
  <si>
    <t>224-218-219-230-222</t>
  </si>
  <si>
    <t>ΜΑΝΙΤΑΡΑ</t>
  </si>
  <si>
    <t>ΚΥΡΙΑΚΗ</t>
  </si>
  <si>
    <t>ΑΖ636109</t>
  </si>
  <si>
    <t>ΠΑΤΟΥΛΙΑΣ</t>
  </si>
  <si>
    <t>ΔΑΥΙΔ</t>
  </si>
  <si>
    <t>Χ833601</t>
  </si>
  <si>
    <t>933,9</t>
  </si>
  <si>
    <t>1163,9</t>
  </si>
  <si>
    <t>219-218-217-220-221-222-223-224-226-228-229-230-231-232</t>
  </si>
  <si>
    <t>ΦΛΩΡΟΥ</t>
  </si>
  <si>
    <t>Χ041593</t>
  </si>
  <si>
    <t>1160,5</t>
  </si>
  <si>
    <t>218-219-217-220-221-222-223-224-225-226-227-228-229-230-231-232</t>
  </si>
  <si>
    <t>ΠΑΠΑΠΟΣΤΟΛΟΥ</t>
  </si>
  <si>
    <t>ΧΑΡΙΛΑΟΣ</t>
  </si>
  <si>
    <t>ΑΜ029052</t>
  </si>
  <si>
    <t>1159,3</t>
  </si>
  <si>
    <t>224-218-219-229-217-226-228</t>
  </si>
  <si>
    <t>ΤΣΙΡΚΑΣ</t>
  </si>
  <si>
    <t>ΑΒ257851</t>
  </si>
  <si>
    <t>988,9</t>
  </si>
  <si>
    <t>1158,9</t>
  </si>
  <si>
    <t>ΔΗΜΟΥ</t>
  </si>
  <si>
    <t>ΠΑΥΛΙΝΑ</t>
  </si>
  <si>
    <t>Σ806175</t>
  </si>
  <si>
    <t>1157,2</t>
  </si>
  <si>
    <t>221-220-224-218-232-219-217-222-223-225-226-227-228-229-230-231</t>
  </si>
  <si>
    <t>ΒΑΣΙΛΕΙΟΥ</t>
  </si>
  <si>
    <t>ΑΜ135343</t>
  </si>
  <si>
    <t>1156,4</t>
  </si>
  <si>
    <t>ΕΥΔΟΥ</t>
  </si>
  <si>
    <t>ΑΝΤΙΓΟΝΗ</t>
  </si>
  <si>
    <t>ΠΑΝΤΕΛΕΗΜΩΝ</t>
  </si>
  <si>
    <t>Ρ856055</t>
  </si>
  <si>
    <t>1155,7</t>
  </si>
  <si>
    <t>221-223-226-222-228-230-225-219-217-232-220-229-231-227</t>
  </si>
  <si>
    <t>ΤΣΙΡΩΝΗΣ</t>
  </si>
  <si>
    <t>ΑΕ111484</t>
  </si>
  <si>
    <t>1155,5</t>
  </si>
  <si>
    <t>224-218-219-217-230-228-229-226-221-223-220-232</t>
  </si>
  <si>
    <t>ΧΑΤΖΗΝΤΑΗ</t>
  </si>
  <si>
    <t>ΑΖ184850</t>
  </si>
  <si>
    <t>ΠΑΠΑΔΑ</t>
  </si>
  <si>
    <t>Χ829490</t>
  </si>
  <si>
    <t>219-224</t>
  </si>
  <si>
    <t>ΠΑΠΑΣΤΕΡΓΙΟΥ</t>
  </si>
  <si>
    <t>ΑΗ291665</t>
  </si>
  <si>
    <t>831,6</t>
  </si>
  <si>
    <t>1151,6</t>
  </si>
  <si>
    <t>221-222-230-226-228-223-219-217-232-220-224-218-225-231-229</t>
  </si>
  <si>
    <t>ΑΛΥΣΑΝΔΡΑΤΟΥ</t>
  </si>
  <si>
    <t>ΑΛΙΚΗ</t>
  </si>
  <si>
    <t>ΑΜ597937</t>
  </si>
  <si>
    <t>1150,5</t>
  </si>
  <si>
    <t>ΜΑΡΚΟΓΙΑΝΝΑΚΗ</t>
  </si>
  <si>
    <t>ΑΗ822917</t>
  </si>
  <si>
    <t>768,9</t>
  </si>
  <si>
    <t>1148,9</t>
  </si>
  <si>
    <t>ΤΣΙΚΝΑ</t>
  </si>
  <si>
    <t>ΔΙΟΝΥΣΙΑ-ΧΡΥΣΟΒΑΛΑΝΤΟΥ</t>
  </si>
  <si>
    <t>ΑΑ062718</t>
  </si>
  <si>
    <t>ΚΑΨΗ</t>
  </si>
  <si>
    <t>ΑΗ226887</t>
  </si>
  <si>
    <t>916,3</t>
  </si>
  <si>
    <t>1146,3</t>
  </si>
  <si>
    <t>224-218-219-221-232-220-229-228-223-225-226-222-230-217-231-227</t>
  </si>
  <si>
    <t>ΚΟΛΤΣΑΚΙΔΟΥ</t>
  </si>
  <si>
    <t>ΑΝ184291</t>
  </si>
  <si>
    <t>1142,3</t>
  </si>
  <si>
    <t>AΝΔΡΟΜΑΧΗ</t>
  </si>
  <si>
    <t>ΑΜ811854</t>
  </si>
  <si>
    <t>1141,8</t>
  </si>
  <si>
    <t>224-218-226-228-221-217-222-223-230-219-229-220-225-232-231-227</t>
  </si>
  <si>
    <t>ΚΟΡΝΟΥΤΟΥ</t>
  </si>
  <si>
    <t>Χ011999</t>
  </si>
  <si>
    <t>819,5</t>
  </si>
  <si>
    <t>1139,5</t>
  </si>
  <si>
    <t>224-218-228</t>
  </si>
  <si>
    <t>ΛΙΑΡΟΥ</t>
  </si>
  <si>
    <t>Τ808626</t>
  </si>
  <si>
    <t>1138,4</t>
  </si>
  <si>
    <t>221-223-224-218-219-226-220-232-228-217-222-230-229-225-231-227</t>
  </si>
  <si>
    <t>ΕΥΑΓΓΕΛΙΔΟΥ</t>
  </si>
  <si>
    <t>ΑΕ003755</t>
  </si>
  <si>
    <t>1134,6</t>
  </si>
  <si>
    <t>224-218-219-217-228-221-223-229</t>
  </si>
  <si>
    <t>ΠΕΧΛΙΒΑΝΙΔΟΥ</t>
  </si>
  <si>
    <t>ΑΙ705222</t>
  </si>
  <si>
    <t>1133,4</t>
  </si>
  <si>
    <t>218-224-221-232-220-219-228-226-222-230-223-229-217-231-225-227</t>
  </si>
  <si>
    <t>ΤΑΜΠΑΚΙΔΗΣ</t>
  </si>
  <si>
    <t>ΖΑΦΕΙΡΟΥΛΗΣ</t>
  </si>
  <si>
    <t>ΑΒ306816</t>
  </si>
  <si>
    <t>1133,1</t>
  </si>
  <si>
    <t>224-218-221-217-219-222-230-220-226-231-223-232-228-229-225-227</t>
  </si>
  <si>
    <t>ΚΑΝΕΛΛΟΠΟΥΛΟΥ</t>
  </si>
  <si>
    <t>ΑΙ785278</t>
  </si>
  <si>
    <t>1130,8</t>
  </si>
  <si>
    <t>ΤΣΕΡΩΤΑΣ</t>
  </si>
  <si>
    <t>ΦΙΛΙΠΠΟΣ</t>
  </si>
  <si>
    <t>Σ100022</t>
  </si>
  <si>
    <t>1130,2</t>
  </si>
  <si>
    <t>224-218-229-217-228-226-222-221-230-223-219-220-232-231-225-227</t>
  </si>
  <si>
    <t>Χ218496</t>
  </si>
  <si>
    <t>870,1</t>
  </si>
  <si>
    <t>1130,1</t>
  </si>
  <si>
    <t>ΡΟΔΙΤΗΣ</t>
  </si>
  <si>
    <t>ΑΙ301914</t>
  </si>
  <si>
    <t>1129,4</t>
  </si>
  <si>
    <t>228-226-230-227-231-225-220-232-229-219-217-218-221-222-223-224</t>
  </si>
  <si>
    <t>ΧΡΙΣΤΟΦΑΚΗΣ</t>
  </si>
  <si>
    <t>ΑΜ472734</t>
  </si>
  <si>
    <t>1129,1</t>
  </si>
  <si>
    <t>232-220-224-218-231</t>
  </si>
  <si>
    <t>ΠΙΤΤΑ</t>
  </si>
  <si>
    <t>ΑΙ872934</t>
  </si>
  <si>
    <t>1127,5</t>
  </si>
  <si>
    <t>224-218-228-219-232-221-229-226-225-223-220-217-222-230-231-227</t>
  </si>
  <si>
    <t>ΠΕΤΡΑΚΟΠΟΥΛΟΥ</t>
  </si>
  <si>
    <t>ΑΚ933627</t>
  </si>
  <si>
    <t>226-223-221-228</t>
  </si>
  <si>
    <t>ΚΟΝΔΥΛΗ</t>
  </si>
  <si>
    <t>Χ181147</t>
  </si>
  <si>
    <t>1126,9</t>
  </si>
  <si>
    <t>224-218-219-217-229-232-220-221-222-228-230-226-223</t>
  </si>
  <si>
    <t>ΓΚΑΝΑΤΣΙΟΣ</t>
  </si>
  <si>
    <t>ΑΚ423977</t>
  </si>
  <si>
    <t>696,3</t>
  </si>
  <si>
    <t>1126,3</t>
  </si>
  <si>
    <t>221-218-220-222-223-224-226-227-228-229-230-232-217</t>
  </si>
  <si>
    <t>ΚΟΥΝΑΔΗ</t>
  </si>
  <si>
    <t>Χ938976</t>
  </si>
  <si>
    <t>1125,7</t>
  </si>
  <si>
    <t>229-218-224-225-217-220-223-228</t>
  </si>
  <si>
    <t>ΒΑΛΑΡΗ</t>
  </si>
  <si>
    <t>ΑΚ889275</t>
  </si>
  <si>
    <t>221-226-223-228-232</t>
  </si>
  <si>
    <t>ΚΑΝΕΛΛΟΠΟΥΛΟΣ</t>
  </si>
  <si>
    <t>ΑΙ122021</t>
  </si>
  <si>
    <t>1122,4</t>
  </si>
  <si>
    <t>229-217-218-219-220-221-222-223-224-225-226-227-228-230-231-232</t>
  </si>
  <si>
    <t>ΛΑΛΟΥ</t>
  </si>
  <si>
    <t>ΑΜ690763</t>
  </si>
  <si>
    <t>1120,6</t>
  </si>
  <si>
    <t>221-224-217</t>
  </si>
  <si>
    <t>ΤΟΣΙΔΗΣ</t>
  </si>
  <si>
    <t>ΑΝ384375</t>
  </si>
  <si>
    <t>1119,5</t>
  </si>
  <si>
    <t>221-223-226-228-222-230-219-217-232-220-229-224-218-225-227-231</t>
  </si>
  <si>
    <t>ΔΙΑΚΑΚΗ</t>
  </si>
  <si>
    <t>ΕΛΛΗ</t>
  </si>
  <si>
    <t>Φ245810</t>
  </si>
  <si>
    <t>1118,9</t>
  </si>
  <si>
    <t>221-222-223-226-228-219-217-230-225-218-224-229-227-232-220-231</t>
  </si>
  <si>
    <t>ΚΑΡΚΑΝΗ</t>
  </si>
  <si>
    <t>Χ439576</t>
  </si>
  <si>
    <t>223-221-228-226-229-222-224-219-220-232-230-225</t>
  </si>
  <si>
    <t>ΠΑΛΟΥΚΙΔΟΥ</t>
  </si>
  <si>
    <t>ΜΑΤΘΑΙΟΣ</t>
  </si>
  <si>
    <t>ΑΖ830885</t>
  </si>
  <si>
    <t>843,7</t>
  </si>
  <si>
    <t>1113,7</t>
  </si>
  <si>
    <t>218-221-224</t>
  </si>
  <si>
    <t>Ρ331244</t>
  </si>
  <si>
    <t>231-227-219-225-217-223-232-230-229-228-222-226-220-221-218-224</t>
  </si>
  <si>
    <t>ΒΛΑΣΣΗ-ΚΛΕΠΕΤΣΑΝΗ</t>
  </si>
  <si>
    <t>ΑΙ120888</t>
  </si>
  <si>
    <t>712,8</t>
  </si>
  <si>
    <t>1112,8</t>
  </si>
  <si>
    <t>ΜΕΛΑΝΗ</t>
  </si>
  <si>
    <t>ΑΜ956291</t>
  </si>
  <si>
    <t>1110,7</t>
  </si>
  <si>
    <t>220-232-221-222-223-226-230-229-228-217-219-218-224-231-225-227</t>
  </si>
  <si>
    <t>ΠΑΠΑΔΑΚΗ</t>
  </si>
  <si>
    <t>ΑΙ435529</t>
  </si>
  <si>
    <t>1109,3</t>
  </si>
  <si>
    <t>224-218-219-220-217-232</t>
  </si>
  <si>
    <t>ΤΣΕΒΗ</t>
  </si>
  <si>
    <t>ΑΑ076567</t>
  </si>
  <si>
    <t>1109,1</t>
  </si>
  <si>
    <t>ΑΕ101686</t>
  </si>
  <si>
    <t>224-230-218-222-229-223-221-220-226-228-219-232-217</t>
  </si>
  <si>
    <t>ΚΟΥΡΕΜΠΕΛΕ</t>
  </si>
  <si>
    <t>ΑΗ038045</t>
  </si>
  <si>
    <t>1107,4</t>
  </si>
  <si>
    <t>224-218-217</t>
  </si>
  <si>
    <t>ΡΟΓΚΑ</t>
  </si>
  <si>
    <t>ΣΠΥΡΙΔΑ</t>
  </si>
  <si>
    <t>ΑΕ489872</t>
  </si>
  <si>
    <t>1107,1</t>
  </si>
  <si>
    <t>219-217-218-224-221-222-226-228-229-220-230-232-223-231-225-227</t>
  </si>
  <si>
    <t>ΓΑΒΡΑ</t>
  </si>
  <si>
    <t>ΑΑ015168</t>
  </si>
  <si>
    <t>224-218-217-219</t>
  </si>
  <si>
    <t>ΚΥΛΙΝΤΗΡΕΑ</t>
  </si>
  <si>
    <t>Χ112848</t>
  </si>
  <si>
    <t>1106,9</t>
  </si>
  <si>
    <t>ΤΣΙΚΟΓΙΑ</t>
  </si>
  <si>
    <t>ΑΖ154728</t>
  </si>
  <si>
    <t>1106,7</t>
  </si>
  <si>
    <t>221-224-223-222-228-226-232-220-217-219-218-225-227-230-229-231</t>
  </si>
  <si>
    <t>ΧΡΥΣΟΠΟΥΛΟΥ</t>
  </si>
  <si>
    <t>ΑΜ277265</t>
  </si>
  <si>
    <t>1105,5</t>
  </si>
  <si>
    <t>221-223-226-228-218-224-219-217-222-231-225-229-230-227-220-232</t>
  </si>
  <si>
    <t>ΡΑΛΛΗΣ</t>
  </si>
  <si>
    <t>Φ917003</t>
  </si>
  <si>
    <t>834,9</t>
  </si>
  <si>
    <t>1104,9</t>
  </si>
  <si>
    <t>227-232-220-225-229-230-217-226-222-228-223-219-221-224-218-231</t>
  </si>
  <si>
    <t>ΔΕΛΒΕΝΑΚΙΩΤΗ</t>
  </si>
  <si>
    <t>ΑΕ123732</t>
  </si>
  <si>
    <t>804,1</t>
  </si>
  <si>
    <t>1104,1</t>
  </si>
  <si>
    <t>224-218-217-221-219-226-220-232-228-229-230-225-222</t>
  </si>
  <si>
    <t>ΘΕΟΦΑΝΟΠΟΥΛΟΥ</t>
  </si>
  <si>
    <t>ΑΜ599325</t>
  </si>
  <si>
    <t>217-218-219-220-221-222-223-224-225-226-227-228-229-230-231-232</t>
  </si>
  <si>
    <t>ΜΕΓΑΛΟΥ</t>
  </si>
  <si>
    <t>ΑΒ993897</t>
  </si>
  <si>
    <t>1102,1</t>
  </si>
  <si>
    <t>217-218-219-224-232-229-228-230-221-220-222-226-223-225-231-227</t>
  </si>
  <si>
    <t>ΤΖΟΥΡΑ</t>
  </si>
  <si>
    <t>ΠΑΡΑΣΚΕΥΗ-ΔΕΝΑΛΟΗ</t>
  </si>
  <si>
    <t>ΑΛΕΞΙΟΣ</t>
  </si>
  <si>
    <t>Π326961</t>
  </si>
  <si>
    <t>232-220-224-218-217-219-230-222-226-228-229-221-223-225-231-227</t>
  </si>
  <si>
    <t>ΓΙΑΜΑΣ</t>
  </si>
  <si>
    <t>ΓΙΩΡΓΟΣ</t>
  </si>
  <si>
    <t>ΑΚ647425</t>
  </si>
  <si>
    <t>669,9</t>
  </si>
  <si>
    <t>1099,9</t>
  </si>
  <si>
    <t>214-215-218-224-219-217-228-216-226-221-222</t>
  </si>
  <si>
    <t>ΚΑΡΑΣΤΕΡΓΙΟΥ</t>
  </si>
  <si>
    <t>ΑΖ062410</t>
  </si>
  <si>
    <t>1099,7</t>
  </si>
  <si>
    <t>224-218-217-219-221-229-228-225-232-220-222-231-227</t>
  </si>
  <si>
    <t>ΓΚΟΡΓΚΟΛΙΑ</t>
  </si>
  <si>
    <t>ΑΜ202505</t>
  </si>
  <si>
    <t>ΣΜΥΡΝΙΩΤΗ</t>
  </si>
  <si>
    <t>ΑΕ731160</t>
  </si>
  <si>
    <t>998,8</t>
  </si>
  <si>
    <t>1098,8</t>
  </si>
  <si>
    <t>229-224-218-217-219</t>
  </si>
  <si>
    <t>ΚΑΛΛΙΚΑΖΑΡΟΥ</t>
  </si>
  <si>
    <t>ΝΟΜΙΚΗ</t>
  </si>
  <si>
    <t>ΑΙ746776</t>
  </si>
  <si>
    <t>1097,6</t>
  </si>
  <si>
    <t>ΚΑΠΕΤΑΝΑΚΗ</t>
  </si>
  <si>
    <t>Χ149316</t>
  </si>
  <si>
    <t>1096,4</t>
  </si>
  <si>
    <t>224-232-220</t>
  </si>
  <si>
    <t>ΡΟΥΤΖΟΜΑΝΗ</t>
  </si>
  <si>
    <t>ΑΑ313821</t>
  </si>
  <si>
    <t>1096,1</t>
  </si>
  <si>
    <t>224-221-218-219-222-225-230-228-229-217-226-223</t>
  </si>
  <si>
    <t>ΣΒΕΡΩΝΗ</t>
  </si>
  <si>
    <t>ΑΚ407690</t>
  </si>
  <si>
    <t>1094,2</t>
  </si>
  <si>
    <t>226-221-228-224-218-217-222-223-232-220-219-230-229</t>
  </si>
  <si>
    <t>ΚΕΦΑΛΑ</t>
  </si>
  <si>
    <t>ΑΓΓΕΛΙΚΗ ΠΑΝΑΓΙΩΤΑ</t>
  </si>
  <si>
    <t>Χ978740</t>
  </si>
  <si>
    <t>226-228-222-219-218-224-221-230-217</t>
  </si>
  <si>
    <t>ΝΙΚΑ</t>
  </si>
  <si>
    <t>ΑΜ287717</t>
  </si>
  <si>
    <t>1093,8</t>
  </si>
  <si>
    <t>ΑΝΤΩΝΑΚΗΣ</t>
  </si>
  <si>
    <t>ΜΑΜΑΣ</t>
  </si>
  <si>
    <t>ΑΙ940188</t>
  </si>
  <si>
    <t>822,8</t>
  </si>
  <si>
    <t>1092,8</t>
  </si>
  <si>
    <t>220-232-224-218-221-217-226-228-231-219-222-223-229-230-227-225</t>
  </si>
  <si>
    <t>ΓΑΓΛΙΑ</t>
  </si>
  <si>
    <t>ΛΑΜΠΡΙΝΗ</t>
  </si>
  <si>
    <t>ΑΒ040537</t>
  </si>
  <si>
    <t>ΤΖΑΝΗ</t>
  </si>
  <si>
    <t>ΑΝΔΡΟΜΑΧΗ</t>
  </si>
  <si>
    <t>ΑΑ091821</t>
  </si>
  <si>
    <t>ΜΗΤΣΙΚΑ</t>
  </si>
  <si>
    <t>ΕΛΕΝΑ</t>
  </si>
  <si>
    <t>Χ242205</t>
  </si>
  <si>
    <t>221-222-223-226-224-228-230-217-218-219-229</t>
  </si>
  <si>
    <t>ΠΕΡΔΙΚΑΡΗ</t>
  </si>
  <si>
    <t>ΑΕ303066</t>
  </si>
  <si>
    <t>1089,5</t>
  </si>
  <si>
    <t>224-230-221</t>
  </si>
  <si>
    <t>ΝΤΑΤΣΟΠΟΥΛΟΣ</t>
  </si>
  <si>
    <t>ΑΙ624447</t>
  </si>
  <si>
    <t>1088,7</t>
  </si>
  <si>
    <t>224-218-217-219-226-221-229-222-220-232-228-223-230-225-231-227</t>
  </si>
  <si>
    <t>ΚΑΚΙΩΝΗΣ</t>
  </si>
  <si>
    <t>ΘΕΟΦΑΝΗΣ</t>
  </si>
  <si>
    <t>ΑΕ617583</t>
  </si>
  <si>
    <t>1088,4</t>
  </si>
  <si>
    <t>225-218-224-219-217-222-230-228-229-232</t>
  </si>
  <si>
    <t>ΣΚΟΥΡΤΑΝΙΩΤΗ</t>
  </si>
  <si>
    <t>ΕΥΑΓΓΕΛΙΑ ΜΥΡΤΩ</t>
  </si>
  <si>
    <t>Χ082161</t>
  </si>
  <si>
    <t>224-218-217-221-228-220-222-229-231-232-219-225-223-227-226-230</t>
  </si>
  <si>
    <t>MARKATIS</t>
  </si>
  <si>
    <t>ALEXANDROS</t>
  </si>
  <si>
    <t>ANDREAS</t>
  </si>
  <si>
    <t>ΑΗ208614</t>
  </si>
  <si>
    <t>1087,3</t>
  </si>
  <si>
    <t>ΠΑΝΤΕΛΕΑΚΟΥ</t>
  </si>
  <si>
    <t>ΖΑΧΑΡΟΥΛΑ</t>
  </si>
  <si>
    <t>ΑΕ061590</t>
  </si>
  <si>
    <t>ΡΕΚΛΕΙΤΗΣ</t>
  </si>
  <si>
    <t>Σ283917</t>
  </si>
  <si>
    <t>1086,6</t>
  </si>
  <si>
    <t>224-218-221-220-232-230-222-223-228-229-217-219-225-226-227-231</t>
  </si>
  <si>
    <t>ΜΑΝΙΑΤΗ</t>
  </si>
  <si>
    <t>ΑΜ756385</t>
  </si>
  <si>
    <t>1085,4</t>
  </si>
  <si>
    <t>218-224-219-229-221-220-232-225-227-231-222-228-226-230-223-217</t>
  </si>
  <si>
    <t>ΜΟΥΖΑΚΗΣ</t>
  </si>
  <si>
    <t>ΑΖ578281</t>
  </si>
  <si>
    <t>944,9</t>
  </si>
  <si>
    <t>1084,9</t>
  </si>
  <si>
    <t>218-224-221</t>
  </si>
  <si>
    <t>ΜΠΕΓΟΥ</t>
  </si>
  <si>
    <t>ΟΛΓΑ ΑΓΓΕΛΙΚΗ</t>
  </si>
  <si>
    <t>ΑΕ340784</t>
  </si>
  <si>
    <t>1084,5</t>
  </si>
  <si>
    <t>221-222-228-226-223-230</t>
  </si>
  <si>
    <t>ΑΣΛΑΝΙΔΟΥ</t>
  </si>
  <si>
    <t>ΑΖ187666</t>
  </si>
  <si>
    <t>221-225-232-231-220</t>
  </si>
  <si>
    <t>ΛΑΖΑΡΟΥ</t>
  </si>
  <si>
    <t>Χ192457</t>
  </si>
  <si>
    <t>1084,3</t>
  </si>
  <si>
    <t>220-232-218-224</t>
  </si>
  <si>
    <t>ΓΚΑΜΑΡΑΖΗ</t>
  </si>
  <si>
    <t>ΝΕΡΑΝΤΖΟΥΛΑ</t>
  </si>
  <si>
    <t>ΑΚ129790</t>
  </si>
  <si>
    <t>883,3</t>
  </si>
  <si>
    <t>1083,3</t>
  </si>
  <si>
    <t>ΣΥΝΑΡΙΔΟΥ</t>
  </si>
  <si>
    <t>ΜΑΡΙΑ ΕΥΑΓΓΕΛΙΑ</t>
  </si>
  <si>
    <t>ΑΒ122181</t>
  </si>
  <si>
    <t>1083,2</t>
  </si>
  <si>
    <t>221-223-224-218-222</t>
  </si>
  <si>
    <t>ΠΑΠΑΔΗΜΟΥ</t>
  </si>
  <si>
    <t>Χ972417</t>
  </si>
  <si>
    <t>741,4</t>
  </si>
  <si>
    <t>1081,4</t>
  </si>
  <si>
    <t>ΔΟΥΚΑΣ</t>
  </si>
  <si>
    <t>ΑΝΑΡΓΥΡΟΣ</t>
  </si>
  <si>
    <t>ΑΒ028540</t>
  </si>
  <si>
    <t>661,1</t>
  </si>
  <si>
    <t>1081,1</t>
  </si>
  <si>
    <t>224-229-223-218-219-217-221-226-222-228-230-220-232-225-231-227</t>
  </si>
  <si>
    <t>ΑΙ752054</t>
  </si>
  <si>
    <t>720,5</t>
  </si>
  <si>
    <t>1080,5</t>
  </si>
  <si>
    <t>229-224-223-227-225-218-219-221-222-226-217-230-231-228-220-232</t>
  </si>
  <si>
    <t>ΡΙΓΓΑ</t>
  </si>
  <si>
    <t xml:space="preserve">ΈΛΕΝΑ-ΑΛΊΚΗ </t>
  </si>
  <si>
    <t>ΑΑ394817</t>
  </si>
  <si>
    <t>1077,6</t>
  </si>
  <si>
    <t>225-230-231-227-229-223-232-220-228-219-221-222-217-218-226-224</t>
  </si>
  <si>
    <t>ΒΕΛΕΓΡΑΚΗ</t>
  </si>
  <si>
    <t>Χ849967</t>
  </si>
  <si>
    <t>1077,4</t>
  </si>
  <si>
    <t>220-232-224-218-221-219-228-217-229-226-222-223-230</t>
  </si>
  <si>
    <t>ΧΡΙΣΤΟΦΗ</t>
  </si>
  <si>
    <t>ΧΡΥΣΤΑΛΛΑ</t>
  </si>
  <si>
    <t>Σ819046</t>
  </si>
  <si>
    <t>1077,3</t>
  </si>
  <si>
    <t>ΒΕΛΟΥΤΣΟΥ</t>
  </si>
  <si>
    <t>Χ023488</t>
  </si>
  <si>
    <t>1076,6</t>
  </si>
  <si>
    <t>224-218-221-217-219-220-222-223-225-226-227-228-229-230-231-232</t>
  </si>
  <si>
    <t>ΚΑΚΑΡΩΝΗ</t>
  </si>
  <si>
    <t>ΑΕ430448</t>
  </si>
  <si>
    <t>1075,9</t>
  </si>
  <si>
    <t>220-224-227-218</t>
  </si>
  <si>
    <t>ΜΟΥΡΙΚΗΣ</t>
  </si>
  <si>
    <t>Χ432628</t>
  </si>
  <si>
    <t>805,2</t>
  </si>
  <si>
    <t>1075,2</t>
  </si>
  <si>
    <t>229-219-217-230-222-228-227-226-218-223-221-232-220-224-225-231</t>
  </si>
  <si>
    <t>ΚΟΝΤΟΥΛΗΣ</t>
  </si>
  <si>
    <t>ΑΗ217739</t>
  </si>
  <si>
    <t>1074,1</t>
  </si>
  <si>
    <t>224-218-221-223-229-228-226-222-219-230-217-232-220-225-231-227</t>
  </si>
  <si>
    <t>ΓΙΑΝΝΟΥΛΗ</t>
  </si>
  <si>
    <t>ΠΑΝΑΓΙΩΤΑ ΑΝΝΑ</t>
  </si>
  <si>
    <t>ΑΙ480918</t>
  </si>
  <si>
    <t>613,8</t>
  </si>
  <si>
    <t>1073,8</t>
  </si>
  <si>
    <t>217-219-218-224-221-226-229-228-230-223-222-232-220</t>
  </si>
  <si>
    <t>ΚΟΡΑΚΙΑΝΙΤΗ</t>
  </si>
  <si>
    <t>ΑΘΗΝΑ</t>
  </si>
  <si>
    <t>Π907887</t>
  </si>
  <si>
    <t>1072,2</t>
  </si>
  <si>
    <t>225-224-218</t>
  </si>
  <si>
    <t>ΤΖΑΜΠΑΖΗΣ</t>
  </si>
  <si>
    <t>Ρ360512</t>
  </si>
  <si>
    <t>1071,1</t>
  </si>
  <si>
    <t>221-223-226-228-232-220-222-230-219-217-229-224-218-231-225-227</t>
  </si>
  <si>
    <t>ΑΡΚΟΥΛΗ</t>
  </si>
  <si>
    <t>XAΡΑΛΑΜΠΙΑ</t>
  </si>
  <si>
    <t>Χ076823</t>
  </si>
  <si>
    <t>1070,7</t>
  </si>
  <si>
    <t>221-232-220-229-223-222-228-231-217-218-227-224-230-226-219-225</t>
  </si>
  <si>
    <t>ΕΛΕΥΘΕΡΑΤΟΣ</t>
  </si>
  <si>
    <t>ΑΡΙΣΤΟΤΕΛΗΣ ΣΤΥΛΙΑΝΟΣ</t>
  </si>
  <si>
    <t>ΚΛΕΑΝΘΗΣ</t>
  </si>
  <si>
    <t>ΑΚ087797</t>
  </si>
  <si>
    <t>1070,5</t>
  </si>
  <si>
    <t>224-218-217-219-228-229-226-221-230-222-223-220-232-227-225-231</t>
  </si>
  <si>
    <t>ΔΗΜΗΤΡΙΟΥ</t>
  </si>
  <si>
    <t>ΑΜ576352</t>
  </si>
  <si>
    <t>219-218-217-224-229-228-220-222-221-226-223-230-232-227</t>
  </si>
  <si>
    <t>ΤΣΟΥΚΑΛΙΔΟΥ</t>
  </si>
  <si>
    <t>ΑΗ135571</t>
  </si>
  <si>
    <t>1067,5</t>
  </si>
  <si>
    <t>224-218-217-228-229-230-221-222-226-223-232-231</t>
  </si>
  <si>
    <t>ΠΙΝΑ</t>
  </si>
  <si>
    <t>ΑΘΑΝΑΣΙΑ-ΧΡΥΣΟΠΗΓΗ</t>
  </si>
  <si>
    <t>ΑΙ312333</t>
  </si>
  <si>
    <t>228-226-221-222-223-224-219</t>
  </si>
  <si>
    <t>ΠΑΡΑΣΚΑΚΗ</t>
  </si>
  <si>
    <t>ΑΡΓΥΡΩ</t>
  </si>
  <si>
    <t>Σ995917</t>
  </si>
  <si>
    <t>1066,7</t>
  </si>
  <si>
    <t>232-220-224-218-221-229-219-228-222-223-217-226-230-225-231-227</t>
  </si>
  <si>
    <t>ΜΑΥΡΟΜΕΛΑΝΙΔΟΥ</t>
  </si>
  <si>
    <t>ΟΛΓΑ ΚΩΝΣΤΑΝΤΙΝΑ</t>
  </si>
  <si>
    <t>ΑΖ130585</t>
  </si>
  <si>
    <t>ΤΙΤΟΠΟΥΛΟΥ</t>
  </si>
  <si>
    <t>ΑΖ184303</t>
  </si>
  <si>
    <t>1065,9</t>
  </si>
  <si>
    <t>221-224-226-228-223-222-218-220-225-232-230-231-219-229-227</t>
  </si>
  <si>
    <t>ΖΟΡΜΠΑ</t>
  </si>
  <si>
    <t>ΘΕΟΔΩΡΑ-ΕΛΕΝΗ</t>
  </si>
  <si>
    <t>Χ179669</t>
  </si>
  <si>
    <t>1065,6</t>
  </si>
  <si>
    <t>218-224-232-221-220</t>
  </si>
  <si>
    <t>ΚΥΡΙΑΚΙΔΗ</t>
  </si>
  <si>
    <t>ΑΚ207163</t>
  </si>
  <si>
    <t>ΑΕ577677</t>
  </si>
  <si>
    <t>1064,9</t>
  </si>
  <si>
    <t>224-218-221-223-222-226-228-230-232</t>
  </si>
  <si>
    <t>ΣΚΟΡΔΑΚΗ</t>
  </si>
  <si>
    <t>ΑΗ146859</t>
  </si>
  <si>
    <t>1064,5</t>
  </si>
  <si>
    <t>ΜΑΛΛΙΟΥ</t>
  </si>
  <si>
    <t>ΑΖ104000</t>
  </si>
  <si>
    <t>1063,4</t>
  </si>
  <si>
    <t>224-218-217-219-230-221-228-229-222-226-225-231-223-232-227-220</t>
  </si>
  <si>
    <t>ΠΛΑΤΑΝΙΑΣ</t>
  </si>
  <si>
    <t>ΑΑ055522</t>
  </si>
  <si>
    <t>ΜΑΡΙΝΑ</t>
  </si>
  <si>
    <t>Χ362296</t>
  </si>
  <si>
    <t>1063,1</t>
  </si>
  <si>
    <t>222-226-230-228-225-221-219-224-218-217-223-231-232-220-227</t>
  </si>
  <si>
    <t>ΜΕΙΜΑΡΗ</t>
  </si>
  <si>
    <t>ΑΚ208293</t>
  </si>
  <si>
    <t>1061,4</t>
  </si>
  <si>
    <t>224-218-229-219-217</t>
  </si>
  <si>
    <t>ΚΑΛΑΜΠΟΚΑ</t>
  </si>
  <si>
    <t>Χ840260</t>
  </si>
  <si>
    <t>1060,4</t>
  </si>
  <si>
    <t>232-220-222-228-223-221-230-229-218-224-227-231-225-219-226-217</t>
  </si>
  <si>
    <t>ΦΙΛΙΠΠΑΙΟΥ</t>
  </si>
  <si>
    <t>ΑΚ617691</t>
  </si>
  <si>
    <t>1060,2</t>
  </si>
  <si>
    <t>224-218-219-217-221-228-229-222-230-232-225-220-226-223</t>
  </si>
  <si>
    <t>ΒΕΛΛΗ</t>
  </si>
  <si>
    <t>ΑΣΗΜΙΝΑ</t>
  </si>
  <si>
    <t>Χ791092</t>
  </si>
  <si>
    <t>1059,8</t>
  </si>
  <si>
    <t>229-218-224-222-232-226-230-221-220-219-228-223-217</t>
  </si>
  <si>
    <t>ΔΙΑΚΟΓΙΑΝΝΑΚΗ</t>
  </si>
  <si>
    <t>ΑΙ924073</t>
  </si>
  <si>
    <t>1058,7</t>
  </si>
  <si>
    <t>231-220-232-221-224-218-219-222-217-228-226-230-229-223</t>
  </si>
  <si>
    <t>ΑΝΟΙΚΤΟΜΑΤΗ</t>
  </si>
  <si>
    <t>Χ562794</t>
  </si>
  <si>
    <t>828,3</t>
  </si>
  <si>
    <t>1058,3</t>
  </si>
  <si>
    <t>218-224-225</t>
  </si>
  <si>
    <t>ΓΑΔ</t>
  </si>
  <si>
    <t>ΕΛΠΙΔΑ</t>
  </si>
  <si>
    <t>ΑΑ424043</t>
  </si>
  <si>
    <t>1056,5</t>
  </si>
  <si>
    <t>218-224-221-220-232-229-231-219-217-227-222-226-228-223-230-225</t>
  </si>
  <si>
    <t>ΤΟΥΛΑ</t>
  </si>
  <si>
    <t>ΡΟΥΜΠΙΝΑ</t>
  </si>
  <si>
    <t>Χ009007</t>
  </si>
  <si>
    <t>221-224-229-232-220-226-223</t>
  </si>
  <si>
    <t>ΠΑΠΑΡΙΖΟΥ</t>
  </si>
  <si>
    <t>Χ925088</t>
  </si>
  <si>
    <t>1055,4</t>
  </si>
  <si>
    <t>228-226-223-221-222</t>
  </si>
  <si>
    <t>ΑΖ089075</t>
  </si>
  <si>
    <t>1054,6</t>
  </si>
  <si>
    <t>ΤΑΣΙΟΠΟΥΛΟΥ</t>
  </si>
  <si>
    <t>Χ833137</t>
  </si>
  <si>
    <t>219-218-224-226-229</t>
  </si>
  <si>
    <t>ΤΣΙΟΜΛΕΚΤΣΗΣ</t>
  </si>
  <si>
    <t>ΑΖ340518</t>
  </si>
  <si>
    <t>1052,5</t>
  </si>
  <si>
    <t>221-223-226-228-222-217-230-219-225-227-224-218-231-232-220-229</t>
  </si>
  <si>
    <t>ΜΕΡΜΗΓΚΑ</t>
  </si>
  <si>
    <t>ΑΕ961057</t>
  </si>
  <si>
    <t>1051,3</t>
  </si>
  <si>
    <t>224-218-219-221-229-222-230-228-226-217-223-220-232-225-231-227</t>
  </si>
  <si>
    <t>ΔΙΑΜΑΝΤΗ</t>
  </si>
  <si>
    <t>ΑΕ247015</t>
  </si>
  <si>
    <t>981,2</t>
  </si>
  <si>
    <t>1051,2</t>
  </si>
  <si>
    <t>ΤΖΑΜΠΥΡΑ</t>
  </si>
  <si>
    <t>ΑΕ312477</t>
  </si>
  <si>
    <t>1050,2</t>
  </si>
  <si>
    <t>ΤΣΑΜΑΝΔΟΥΡΑ</t>
  </si>
  <si>
    <t>ΝΙΚΟΛΕΤΑ ΝΕΚΤΑΡΙΑ</t>
  </si>
  <si>
    <t>ΑΚ100025</t>
  </si>
  <si>
    <t>1049,9</t>
  </si>
  <si>
    <t>224-223-217-219-228-226-227-225-229-222-230-231-221-218-220-232</t>
  </si>
  <si>
    <t>ΚΕΤΑΝΗ</t>
  </si>
  <si>
    <t>ΑΝΕΣΤΗΣ</t>
  </si>
  <si>
    <t>ΑΗ892453</t>
  </si>
  <si>
    <t>1049,5</t>
  </si>
  <si>
    <t>230-222-225-223-221-228-224-218-226-219-217-229-232-227-220-231</t>
  </si>
  <si>
    <t>ΚΑΡΑΓΙΑΝΝΙΔΗ</t>
  </si>
  <si>
    <t>ΑΒ997982</t>
  </si>
  <si>
    <t>1049,1</t>
  </si>
  <si>
    <t>217-224-218-219-221</t>
  </si>
  <si>
    <t>ΔΙΑΚΟΜΑΝΩΛΗ</t>
  </si>
  <si>
    <t>ΑΜ946685</t>
  </si>
  <si>
    <t>231-221-222-223-226-220-232-228-229-225-224-218-219-217-227-230</t>
  </si>
  <si>
    <t>ΜΟΥΡΤΖΙΟΥ</t>
  </si>
  <si>
    <t>ΜΑΡΙΝΑ ΣΤΕΛΛΑ</t>
  </si>
  <si>
    <t>Χ236102</t>
  </si>
  <si>
    <t>221-224-223-222-225-226-220-232-228-227-231-217-229-230</t>
  </si>
  <si>
    <t>ΚΟΛΥΒΗΡΑ</t>
  </si>
  <si>
    <t>ΛΥΔΙΑ</t>
  </si>
  <si>
    <t>ΑΒ782691</t>
  </si>
  <si>
    <t>908,6</t>
  </si>
  <si>
    <t>1048,6</t>
  </si>
  <si>
    <t>ΤΣΟΥΛΚΑΝΗ</t>
  </si>
  <si>
    <t>ΛΑΣΚΑΡΙΝΑ</t>
  </si>
  <si>
    <t>Χ870546</t>
  </si>
  <si>
    <t>1046,9</t>
  </si>
  <si>
    <t>223-227-228-221-226-232</t>
  </si>
  <si>
    <t>ΙΟΡΔΑΝΙΔΟΥ</t>
  </si>
  <si>
    <t>ΔΟΜΝΑ</t>
  </si>
  <si>
    <t>ΑΜ699436</t>
  </si>
  <si>
    <t>1046,6</t>
  </si>
  <si>
    <t>221-223-226-222-228-230</t>
  </si>
  <si>
    <t>ΠΛΙΑΤΣΙΚΑ</t>
  </si>
  <si>
    <t>ΑΕ523565</t>
  </si>
  <si>
    <t>1045,5</t>
  </si>
  <si>
    <t>224-218-217-219-221-226-228-229-223-222-230-232-220-225-231-227</t>
  </si>
  <si>
    <t>ΤΕΡΖΙΔΗΣ</t>
  </si>
  <si>
    <t>ΤΡΙΑΝΤΑΦΥΛΛΟΣ</t>
  </si>
  <si>
    <t>ΑΜ709324</t>
  </si>
  <si>
    <t>1045,1</t>
  </si>
  <si>
    <t>ΝΙΚΟΛΟΠΟΥΛΟΥ</t>
  </si>
  <si>
    <t>ΑΒ018784</t>
  </si>
  <si>
    <t>1044,7</t>
  </si>
  <si>
    <t>ΚΗΡΥΚΟΥ</t>
  </si>
  <si>
    <t>ΑΗ489178</t>
  </si>
  <si>
    <t>1044,2</t>
  </si>
  <si>
    <t>224-218-219-217-228-232-226-225-229-221-231-220-230-222-223-227</t>
  </si>
  <si>
    <t>ΑΡΑΜΠΑΤΖΙΔΟΥ</t>
  </si>
  <si>
    <t>Χ770097</t>
  </si>
  <si>
    <t>1043,8</t>
  </si>
  <si>
    <t>221-224</t>
  </si>
  <si>
    <t>ΠΑΠΑΕΥΣΤΑΘΙΟΥ</t>
  </si>
  <si>
    <t>ΑΙ522447</t>
  </si>
  <si>
    <t>1043,3</t>
  </si>
  <si>
    <t>ΜΠΟΥΤΣΗ</t>
  </si>
  <si>
    <t>ΑΝΤΙΓΟΝΗ-ΧΡΥΣΟΒΑΛΑΝΤΗ</t>
  </si>
  <si>
    <t>ΑΖ501129</t>
  </si>
  <si>
    <t>218-224-217-232-220-219-221-226-222-230-229-228-231-225-227</t>
  </si>
  <si>
    <t>ΓΕΡΟΣΤΕΡΓΙΟΥ</t>
  </si>
  <si>
    <t>ΒΑΙΤΣΑ</t>
  </si>
  <si>
    <t>Φ288882</t>
  </si>
  <si>
    <t>1042,5</t>
  </si>
  <si>
    <t>226-228-221-219-217-222-230-218-224-223-229-232-220-231-225-227</t>
  </si>
  <si>
    <t>ΜΠΡΕΜΠΟΥ</t>
  </si>
  <si>
    <t>ΧΡΙΣΤΙΝΑ-ΣΟΥΛΤΑΝΑ</t>
  </si>
  <si>
    <t>ΑΙ519243</t>
  </si>
  <si>
    <t>1042,2</t>
  </si>
  <si>
    <t>232-224-218-221-228-226-223</t>
  </si>
  <si>
    <t>ΜΑΓΚΑΝΑΡΗ</t>
  </si>
  <si>
    <t>ΣΤΑΜΑΤΙΝΑ</t>
  </si>
  <si>
    <t>Σ250550</t>
  </si>
  <si>
    <t>1041,7</t>
  </si>
  <si>
    <t>ΑΙΒΑΛΙΩΤΗΣ</t>
  </si>
  <si>
    <t>Π637312</t>
  </si>
  <si>
    <t>871,2</t>
  </si>
  <si>
    <t>1041,2</t>
  </si>
  <si>
    <t>224-218-219-217-229-232-220-221-228-226-230-222-223-227-225-231</t>
  </si>
  <si>
    <t>ΡΑΝΤΟΥ</t>
  </si>
  <si>
    <t>Χ770260</t>
  </si>
  <si>
    <t>221-224-218-219-217-223-222-228-226-232-220-229-231-225-230-227</t>
  </si>
  <si>
    <t>ΙΩΑΝΝΙΔΟΥ</t>
  </si>
  <si>
    <t>ΑΙ281390</t>
  </si>
  <si>
    <t>1039,2</t>
  </si>
  <si>
    <t>224-218-219-217-229-226-228-220-232-231-221-222-225-230-227-223</t>
  </si>
  <si>
    <t>ΑΝΔΡΕΟΥ</t>
  </si>
  <si>
    <t>Χ249490</t>
  </si>
  <si>
    <t>1038,9</t>
  </si>
  <si>
    <t>ΘΛΙΜΜΕΝΟΥ</t>
  </si>
  <si>
    <t>ΑΜΑΛΙΑ</t>
  </si>
  <si>
    <t>Ρ923748</t>
  </si>
  <si>
    <t>1038,5</t>
  </si>
  <si>
    <t>229-224-218-217-219-226-230-228-222-221-220-232-227-225-231-223</t>
  </si>
  <si>
    <t>ΜΠΑΤΣΟΣ</t>
  </si>
  <si>
    <t>ΑΝΤΩΝΗΣ</t>
  </si>
  <si>
    <t>ΑΝ036067</t>
  </si>
  <si>
    <t>1037,8</t>
  </si>
  <si>
    <t>224-218-219-217-229-228-226-221-232-220-223-222-230</t>
  </si>
  <si>
    <t>ΜΙΧΑΛΗ</t>
  </si>
  <si>
    <t>ΑΙ675057</t>
  </si>
  <si>
    <t>1036,7</t>
  </si>
  <si>
    <t>218-224-217-219-230-221-222</t>
  </si>
  <si>
    <t>ΓΚΙΚΑ</t>
  </si>
  <si>
    <t>ΑΗ484506</t>
  </si>
  <si>
    <t>1035,6</t>
  </si>
  <si>
    <t>219-218-224-217</t>
  </si>
  <si>
    <t>ΑΝΤΩΝΟΓΙΑΝΝΑΚΗΣ</t>
  </si>
  <si>
    <t>ΑΕ968196</t>
  </si>
  <si>
    <t>1034,3</t>
  </si>
  <si>
    <t>220-232-224-218-231</t>
  </si>
  <si>
    <t>ΜΕΡΟΥ</t>
  </si>
  <si>
    <t>Σ489355</t>
  </si>
  <si>
    <t>1033,4</t>
  </si>
  <si>
    <t>224-218-221-226-222-228-230-217-219-223-232-220-229-225-227-231</t>
  </si>
  <si>
    <t>ΚΑΖΑΛΑΚΗ</t>
  </si>
  <si>
    <t>ΑΡΙΣΤΕΑ</t>
  </si>
  <si>
    <t>ΑΚ473396</t>
  </si>
  <si>
    <t>232-220-224-218-221-229-222-223-226-228-219-231-225-230-227</t>
  </si>
  <si>
    <t>ΔΕΔΑΚΗ</t>
  </si>
  <si>
    <t>Χ193740</t>
  </si>
  <si>
    <t>224-218-229-219-217-228-221-226-222-232-220-230-231-227-225-223</t>
  </si>
  <si>
    <t>ΑΙ122020</t>
  </si>
  <si>
    <t>1032,6</t>
  </si>
  <si>
    <t>230-226-217-218-219-220-221-222-223-224-225-227-228-229-231-232</t>
  </si>
  <si>
    <t>ΚΟΝΤΟΜΑΡΗΣ</t>
  </si>
  <si>
    <t>ΕΥΤΥΧΙΟΣ</t>
  </si>
  <si>
    <t>ΑΚ581635</t>
  </si>
  <si>
    <t>225-218-224</t>
  </si>
  <si>
    <t>ΙΩΑΝΝΙΔΗΣ</t>
  </si>
  <si>
    <t>ΛΑΜΠΡΟΣ</t>
  </si>
  <si>
    <t>ΑΗ863445</t>
  </si>
  <si>
    <t>1032,1</t>
  </si>
  <si>
    <t>223-221-228-222-226-219-217-230-232-220</t>
  </si>
  <si>
    <t>ΔΕΒΒΕΣ</t>
  </si>
  <si>
    <t>ΑΕ719981</t>
  </si>
  <si>
    <t>721,6</t>
  </si>
  <si>
    <t>1031,6</t>
  </si>
  <si>
    <t>224-218-229-219-221-222-217-226-228-230-220-232-223-225-231-227</t>
  </si>
  <si>
    <t>ΑΚ982509</t>
  </si>
  <si>
    <t>1031,5</t>
  </si>
  <si>
    <t>221-222</t>
  </si>
  <si>
    <t>ΒΑΡΔΑΚΑ</t>
  </si>
  <si>
    <t>Χ892026</t>
  </si>
  <si>
    <t>222-230-221-226</t>
  </si>
  <si>
    <t>ΝΙΜΠΗ</t>
  </si>
  <si>
    <t>ΑΗ658779</t>
  </si>
  <si>
    <t>1030,8</t>
  </si>
  <si>
    <t>221-226-223-228-222-219-232-224-220-217-218-230-229-231-225-227</t>
  </si>
  <si>
    <t>ΤΣΑΡΤΣΑΛΗ</t>
  </si>
  <si>
    <t>ΝΙΚΗ</t>
  </si>
  <si>
    <t>ΑΡΓΥΡΙΟΣ</t>
  </si>
  <si>
    <t>ΑΚ912404</t>
  </si>
  <si>
    <t>221-226-223-222</t>
  </si>
  <si>
    <t>ΠΡΑΣ</t>
  </si>
  <si>
    <t>ΑΖ254020</t>
  </si>
  <si>
    <t>1030,1</t>
  </si>
  <si>
    <t>225-224-221-222-232-220-229-230-223-226</t>
  </si>
  <si>
    <t>ΜΠΕΙΛΕΚΤΣΙΔΟΥ</t>
  </si>
  <si>
    <t>ΞΑΝΘΙΠΠΗ</t>
  </si>
  <si>
    <t>ΑΖ870398</t>
  </si>
  <si>
    <t>223-222-224-218</t>
  </si>
  <si>
    <t>ΠΑΠΑΓΕΩΡΓΙΟΥ</t>
  </si>
  <si>
    <t>ΑΒ849618</t>
  </si>
  <si>
    <t>221-226-228-224-218-220-232-223-222-217-219-230-229-225-231-227</t>
  </si>
  <si>
    <t>ΜΠΑΡΤΣΩΚΑ</t>
  </si>
  <si>
    <t>ΒΗΣΣΑΡΙΑ</t>
  </si>
  <si>
    <t>ΑΗ027184</t>
  </si>
  <si>
    <t>1029,5</t>
  </si>
  <si>
    <t>224-218-219-217-228-226-221-222-229-230</t>
  </si>
  <si>
    <t>ΝΟΤΣΙΚΑ</t>
  </si>
  <si>
    <t>Χ113434</t>
  </si>
  <si>
    <t>221-219-229-224-218-226-222-223-232-220-231-230-228-217-227-225</t>
  </si>
  <si>
    <t>ΓΕΝΝΑΙΟΥ</t>
  </si>
  <si>
    <t>ΠΛΟΥΜΙΣΤΗ</t>
  </si>
  <si>
    <t>ΦΩΤΙΟΣ</t>
  </si>
  <si>
    <t>ΑΑ039706</t>
  </si>
  <si>
    <t>ΓΚΑΙΔΑΤΖΗ</t>
  </si>
  <si>
    <t>ΑΕ928332</t>
  </si>
  <si>
    <t>1028,8</t>
  </si>
  <si>
    <t>224-218-219-221-232-226-227-217-231-228-223-222-220-225-230-229</t>
  </si>
  <si>
    <t>ΜΠΑΚΟΓΙΑΝΝΗ</t>
  </si>
  <si>
    <t>ΑΒ078980</t>
  </si>
  <si>
    <t>1028,2</t>
  </si>
  <si>
    <t>224-221-218-230-232-220-222-219-217-228-226-231-223-227-229-225</t>
  </si>
  <si>
    <t>Περράκη</t>
  </si>
  <si>
    <t>Αντωνία</t>
  </si>
  <si>
    <t>ΔΙΟΜΙΔΗΣ</t>
  </si>
  <si>
    <t>Χ497007</t>
  </si>
  <si>
    <t>232-220-224-218-219-221-222-223-226-229-228-230-217</t>
  </si>
  <si>
    <t>ΝΙΚΟΛΟΥΔΑΚΗΣ</t>
  </si>
  <si>
    <t>ΑΒ182873</t>
  </si>
  <si>
    <t>1027,9</t>
  </si>
  <si>
    <t>220-224-218-232-221-219-217</t>
  </si>
  <si>
    <t>ΖΥΓΟΓΙΑΝΝΗ</t>
  </si>
  <si>
    <t>ΑΒ992621</t>
  </si>
  <si>
    <t>221-217</t>
  </si>
  <si>
    <t>ΤΣΑΜΟΣ</t>
  </si>
  <si>
    <t>Σ770288</t>
  </si>
  <si>
    <t>1026,8</t>
  </si>
  <si>
    <t>ΚΟΝΤΟΓΙΑΝΝΙΔΟΥ</t>
  </si>
  <si>
    <t>Χ786027</t>
  </si>
  <si>
    <t>224-221-218-229-223-232-217-228-226-219-220-230-227-222-225-231</t>
  </si>
  <si>
    <t>ΧΟΥΝΤΟΥΛΕΣΗ</t>
  </si>
  <si>
    <t>ΑΙ204463</t>
  </si>
  <si>
    <t>1026,4</t>
  </si>
  <si>
    <t>224-218-229-217-219-226-228-230-222-221-220-231</t>
  </si>
  <si>
    <t>ΧΑΣΑΠΟΓΛΟΥ</t>
  </si>
  <si>
    <t>ΑΚ498536</t>
  </si>
  <si>
    <t>1024,9</t>
  </si>
  <si>
    <t>224-218-229-219-217-226-222-230-228-221-232-220-231-225-223-227</t>
  </si>
  <si>
    <t>ΒΑΡΔΑΚΩΣΤΑ</t>
  </si>
  <si>
    <t>ΜΑΓΔΑΛΗΝΗ</t>
  </si>
  <si>
    <t>ΑΚ215185</t>
  </si>
  <si>
    <t>219-224-218-217-228-221-220-226-229-222-223-230-232</t>
  </si>
  <si>
    <t>ΤΣΕΡΚΑΚΗ</t>
  </si>
  <si>
    <t>ΑΚ087099</t>
  </si>
  <si>
    <t>1024,6</t>
  </si>
  <si>
    <t>ΚΑΡΑΝΤΖΑΒΕΛΟΥ</t>
  </si>
  <si>
    <t>ΧΡΗΣΤΙΝΑ</t>
  </si>
  <si>
    <t>ΧΡΙΣΤΟΣ</t>
  </si>
  <si>
    <t>ΑΑ975953</t>
  </si>
  <si>
    <t>217-224-218-219-228-226-221-222-223-229-230-232-220</t>
  </si>
  <si>
    <t>ΜΕΛΛΗ</t>
  </si>
  <si>
    <t>ΑΖ759255</t>
  </si>
  <si>
    <t>1023,5</t>
  </si>
  <si>
    <t>ΓΚΑΔΟΛΟΥ</t>
  </si>
  <si>
    <t>ΑΗ093340</t>
  </si>
  <si>
    <t>1023,3</t>
  </si>
  <si>
    <t>ΚΥΚΚΙΔΟΥ</t>
  </si>
  <si>
    <t>ΣΟΝΙΑ</t>
  </si>
  <si>
    <t>ΑΕ818105</t>
  </si>
  <si>
    <t>221-222-226-223-228-230</t>
  </si>
  <si>
    <t>ΤΣΙΚΡΙΤΖΗ</t>
  </si>
  <si>
    <t>ΑΑ367532</t>
  </si>
  <si>
    <t>220-232-224-218</t>
  </si>
  <si>
    <t>ΠΟΥΤΖΑΛΗΣ</t>
  </si>
  <si>
    <t>ΑΑ127256</t>
  </si>
  <si>
    <t>ΜΑΡΤΙΝΟΥ</t>
  </si>
  <si>
    <t>ΕΛΙΣΑΒΕΤ</t>
  </si>
  <si>
    <t>Χ196653</t>
  </si>
  <si>
    <t>1021,6</t>
  </si>
  <si>
    <t>218-224-219-229-217-223-221-228-232-220-226-230-222-225-231-227</t>
  </si>
  <si>
    <t>ΣΙΩΤΑ</t>
  </si>
  <si>
    <t>ΛΑΖΑΡΟΣ</t>
  </si>
  <si>
    <t>ΑΗ189263</t>
  </si>
  <si>
    <t>1021,3</t>
  </si>
  <si>
    <t>ΝΙΚΟΥ</t>
  </si>
  <si>
    <t>Χ241921</t>
  </si>
  <si>
    <t>1021,2</t>
  </si>
  <si>
    <t>ΣΑΡΑΝΤΟΥ</t>
  </si>
  <si>
    <t>ΑΝΤΩΝΙΑ-ΓΕΩΡΓΙΑ</t>
  </si>
  <si>
    <t>ΑΒ274432</t>
  </si>
  <si>
    <t>221-224-217-218-219-220-222-223-225-226-227-228-229-230-231-232</t>
  </si>
  <si>
    <t>ΗΛΙΑΚΗΣ</t>
  </si>
  <si>
    <t>Χ044871</t>
  </si>
  <si>
    <t>1020,9</t>
  </si>
  <si>
    <t>ΜΠΕΝΗΣ</t>
  </si>
  <si>
    <t>ΑΚ966657</t>
  </si>
  <si>
    <t>1020,8</t>
  </si>
  <si>
    <t>226-228-221-217-224-218-222-223-219-220-231-232-230-225-229-227</t>
  </si>
  <si>
    <t>ΜΑΝΩΛΙΔΗ</t>
  </si>
  <si>
    <t>ΚΟΡΙΝΑ</t>
  </si>
  <si>
    <t>Χ381068</t>
  </si>
  <si>
    <t>1020,5</t>
  </si>
  <si>
    <t>225-224-218-221-222-219-228-226-230-229-220-232-217-231-223-227</t>
  </si>
  <si>
    <t>ΡΕΡΡΑΣ</t>
  </si>
  <si>
    <t>Χ098289</t>
  </si>
  <si>
    <t>1020,2</t>
  </si>
  <si>
    <t>224-218-219-217-221-220-222-226-228-223-232-227-229-230-231</t>
  </si>
  <si>
    <t>ΝΑΣΤΟΣ</t>
  </si>
  <si>
    <t>ΑΗ630876</t>
  </si>
  <si>
    <t>1019,8</t>
  </si>
  <si>
    <t>230-222-225-232-220-218-224-219-229-228-226-227-231-221-223-217</t>
  </si>
  <si>
    <t>ΤΖΗΜΟΡΑΓΚΑΣ</t>
  </si>
  <si>
    <t>ΑΑ252648</t>
  </si>
  <si>
    <t>699,6</t>
  </si>
  <si>
    <t>1019,6</t>
  </si>
  <si>
    <t>221-230-222-223-232-220-226-228-219-217-229-224-218-225-231-227</t>
  </si>
  <si>
    <t>ΣΑΡΑΣΙΔΗΣ</t>
  </si>
  <si>
    <t>ΑΙ712116</t>
  </si>
  <si>
    <t>1018,7</t>
  </si>
  <si>
    <t>ΔΗΜΑΚΗ</t>
  </si>
  <si>
    <t>ΒΙΡΙΓΝΙΑ</t>
  </si>
  <si>
    <t>ΑΒ620332</t>
  </si>
  <si>
    <t>221-226-222-228</t>
  </si>
  <si>
    <t>ΑΡΜΑΟΥ</t>
  </si>
  <si>
    <t>ΑΘΑΝΑΣΙΟΣ ΦΡΑΓΚΙΣΚΟΣ</t>
  </si>
  <si>
    <t>Χ537993</t>
  </si>
  <si>
    <t>224-218-228-232-221-220-219-222-227-229-225-230-226-223-231-217</t>
  </si>
  <si>
    <t>ΡΟΔΙΤΗ</t>
  </si>
  <si>
    <t>ΜΑΡΙΓΟΥΛΑ</t>
  </si>
  <si>
    <t>Τ987338</t>
  </si>
  <si>
    <t>1017,9</t>
  </si>
  <si>
    <t>224-218-232-217-219-226-228-221-222-230-229-220-231-225-227</t>
  </si>
  <si>
    <t>ΚΑΚΟΓΙΑΝΝΗ</t>
  </si>
  <si>
    <t>ΑΗ218422</t>
  </si>
  <si>
    <t>1017,6</t>
  </si>
  <si>
    <t>224-221-222-229-230-218-219-228-232-226-223-220-217-227</t>
  </si>
  <si>
    <t>ΚΩΝΣΤΑΝΤΑΡΑ</t>
  </si>
  <si>
    <t>ΑΝΘΟΥΛΑ</t>
  </si>
  <si>
    <t>ΔΗΜΟΣ</t>
  </si>
  <si>
    <t>Χ330633</t>
  </si>
  <si>
    <t>1016,5</t>
  </si>
  <si>
    <t>219-224-217-218-221-228-226-222-229-223-220-232-230-225-231-227</t>
  </si>
  <si>
    <t>ΠΕΡΟΝΤΣΗΣ</t>
  </si>
  <si>
    <t>ΑΑ251344</t>
  </si>
  <si>
    <t>1015,8</t>
  </si>
  <si>
    <t>ΒΛΑΣΕΡΟΥ</t>
  </si>
  <si>
    <t>ΙΣΜΗΝΗ</t>
  </si>
  <si>
    <t>ΑΒ518978</t>
  </si>
  <si>
    <t>1014,7</t>
  </si>
  <si>
    <t>ΜΠΕΗ</t>
  </si>
  <si>
    <t>ΑΗ978440</t>
  </si>
  <si>
    <t>1014,6</t>
  </si>
  <si>
    <t>217-228-226-219-224-218</t>
  </si>
  <si>
    <t>ΜΙΣΥΡΗ</t>
  </si>
  <si>
    <t>ΔΙΟΝΥΣΙΑ</t>
  </si>
  <si>
    <t>ΑΕ236175</t>
  </si>
  <si>
    <t>1013,2</t>
  </si>
  <si>
    <t>224-221-218-229-219-217-228-222-230-226-223-220-225-227-231-232</t>
  </si>
  <si>
    <t>ΒΟΛΤΕΑ</t>
  </si>
  <si>
    <t>Χ749322</t>
  </si>
  <si>
    <t>1011,7</t>
  </si>
  <si>
    <t>ΠΡΙΣΤΟΥΡΗ</t>
  </si>
  <si>
    <t>ΑΒ409655</t>
  </si>
  <si>
    <t>1011,4</t>
  </si>
  <si>
    <t>229-224-223-227-226-228-230-232-221-217-218-219-220-222-225-231</t>
  </si>
  <si>
    <t>ΡΕΝΤΖΙΟΥ</t>
  </si>
  <si>
    <t>Σ497643</t>
  </si>
  <si>
    <t>232-220-224-218-219-221-217-226-229-228-222-230-223-225-231-227</t>
  </si>
  <si>
    <t>ΒΑΛΣΑΜΙΔΟΥ</t>
  </si>
  <si>
    <t>ΑΕ759147</t>
  </si>
  <si>
    <t>1010,3</t>
  </si>
  <si>
    <t>223-221-226-228-222-230-217-219-218-224-227-225-231-220-232-229</t>
  </si>
  <si>
    <t>ΔΑΣΚΑΛΟΥ</t>
  </si>
  <si>
    <t>ΒΙΚΤΩΡΙΑ</t>
  </si>
  <si>
    <t>ΓΑΙΤΑΝΗΣ</t>
  </si>
  <si>
    <t>ΑΕ776151</t>
  </si>
  <si>
    <t>1009,2</t>
  </si>
  <si>
    <t>225-222-221-229-228-223-226-224-218-219-230-220-232</t>
  </si>
  <si>
    <t>ΜΠΑΤΣΑΡΗ</t>
  </si>
  <si>
    <t>ΕΥΜΟΡΦΙΑ</t>
  </si>
  <si>
    <t>ΑΑ491161</t>
  </si>
  <si>
    <t>1009,1</t>
  </si>
  <si>
    <t>232-221-220-224-218-231-223-222-229-219-226-217-228-230-225-227</t>
  </si>
  <si>
    <t>ΚΑΛΟΜΟΙΡΑΚΗ</t>
  </si>
  <si>
    <t>Φ138230</t>
  </si>
  <si>
    <t>1008,5</t>
  </si>
  <si>
    <t>224-218-219-220</t>
  </si>
  <si>
    <t>ΓΑΡΟΥΦΑΣ</t>
  </si>
  <si>
    <t>ΑΖ839019</t>
  </si>
  <si>
    <t>1007,5</t>
  </si>
  <si>
    <t>Κωτσιοπούλου</t>
  </si>
  <si>
    <t>Νικολέττα</t>
  </si>
  <si>
    <t>Γεώργιος</t>
  </si>
  <si>
    <t>ΑΗ188809</t>
  </si>
  <si>
    <t>ΓΙΑΛΟΥΡΗΣ</t>
  </si>
  <si>
    <t>ΓΙΑΝΝΟΥΛΗΣ</t>
  </si>
  <si>
    <t>ΑΗ562341</t>
  </si>
  <si>
    <t>1006,6</t>
  </si>
  <si>
    <t>ΚΟΥΛΟΥΡΗ</t>
  </si>
  <si>
    <t>ΑΜ285128</t>
  </si>
  <si>
    <t>1006,5</t>
  </si>
  <si>
    <t>ΚΩΝΣΤΑΝΤΕΛΛΟΣ</t>
  </si>
  <si>
    <t>ΑΗ534296</t>
  </si>
  <si>
    <t>1006,3</t>
  </si>
  <si>
    <t>ΚΡΗΤΙΚΟΥ</t>
  </si>
  <si>
    <t>ΑΖ073444</t>
  </si>
  <si>
    <t>975,7</t>
  </si>
  <si>
    <t>1005,7</t>
  </si>
  <si>
    <t>ΑΕ120055</t>
  </si>
  <si>
    <t>1005,2</t>
  </si>
  <si>
    <t>ΚΟΓΚΟΣ</t>
  </si>
  <si>
    <t>Χ808708</t>
  </si>
  <si>
    <t>1004,8</t>
  </si>
  <si>
    <t>224-218-221-219-229-222-220-232-228-230-217</t>
  </si>
  <si>
    <t>ΠΑΠΑΔΟΥΛΗ</t>
  </si>
  <si>
    <t>ΑΙ437730</t>
  </si>
  <si>
    <t>1004,5</t>
  </si>
  <si>
    <t>220-232-224-218-221-219-228-226-223-222-217</t>
  </si>
  <si>
    <t>ΓΥΠΑΡΑΚΗΣ</t>
  </si>
  <si>
    <t>ΑΙ941063</t>
  </si>
  <si>
    <t>220-232-224-218-221-219</t>
  </si>
  <si>
    <t>ΜΠΙΛΗΣ</t>
  </si>
  <si>
    <t>ΑΗ737593</t>
  </si>
  <si>
    <t>1002,2</t>
  </si>
  <si>
    <t>222-230-221-225-232-219-218-223-224-217-220-226-227-228-229-231</t>
  </si>
  <si>
    <t>ΑΡΙΣΤΕΡΙΔΟΥ</t>
  </si>
  <si>
    <t>Χ223794</t>
  </si>
  <si>
    <t>221-223-218-224-226-228-219-220-232-222-217-229-230</t>
  </si>
  <si>
    <t>ΠΟΥΛΙΑΡΕΚΟΥ</t>
  </si>
  <si>
    <t>ΑΕ820411</t>
  </si>
  <si>
    <t>1000,5</t>
  </si>
  <si>
    <t>221-222-226-224</t>
  </si>
  <si>
    <t>ΛΟΥΙΖΟΥ</t>
  </si>
  <si>
    <t>ΑΜ110166</t>
  </si>
  <si>
    <t>999,1</t>
  </si>
  <si>
    <t>ΨΑΡΡΟΥ</t>
  </si>
  <si>
    <t>ΘΗΡΕΣΙΑ-ΜΑΡΙΑ</t>
  </si>
  <si>
    <t>Φ137165</t>
  </si>
  <si>
    <t>998,2</t>
  </si>
  <si>
    <t>ΧΑΤΖΗΡΑΒΔΕΛΗΣ</t>
  </si>
  <si>
    <t>ΑΙ899674</t>
  </si>
  <si>
    <t>997,3</t>
  </si>
  <si>
    <t>221-228-222-224-223-232-220-218-219-229-227-230</t>
  </si>
  <si>
    <t>ΠΑΛΤΟΓΛΟΥ</t>
  </si>
  <si>
    <t>Π899331</t>
  </si>
  <si>
    <t>997,1</t>
  </si>
  <si>
    <t>223-224-229-221-228-226-222-218-219-217-230-220-232-225-231-227</t>
  </si>
  <si>
    <t>ΤΟΥΡΤΟΓΛΟΥ</t>
  </si>
  <si>
    <t>ΑΚ253569</t>
  </si>
  <si>
    <t>995,6</t>
  </si>
  <si>
    <t>Φ344509</t>
  </si>
  <si>
    <t>993,4</t>
  </si>
  <si>
    <t>232-220-221-228-219-226-229</t>
  </si>
  <si>
    <t>ΑΙ243574</t>
  </si>
  <si>
    <t>ΤΣΟΥΛΑΡΗ</t>
  </si>
  <si>
    <t>ΑΚ520395</t>
  </si>
  <si>
    <t>992,2</t>
  </si>
  <si>
    <t>ΚΑΡΑΝΙΚΑ</t>
  </si>
  <si>
    <t>ΑΖ770850</t>
  </si>
  <si>
    <t>991,2</t>
  </si>
  <si>
    <t>224-218-226-229-228-223-221-232-220-225-222-219-217-227-231-230</t>
  </si>
  <si>
    <t>ΑΒ022684</t>
  </si>
  <si>
    <t>ΚΟΝΤΟΥ-ΒΡΕΤΤΟΥ</t>
  </si>
  <si>
    <t>ΧΑΡΙΣ</t>
  </si>
  <si>
    <t>ΑΙ145129</t>
  </si>
  <si>
    <t>990,8</t>
  </si>
  <si>
    <t>224-221-218-219-217-228-226-229-232-220-230-222-223</t>
  </si>
  <si>
    <t>ΜΑΝΤΖΟΥ</t>
  </si>
  <si>
    <t>ΓΕΝΟΒΕΦΑ</t>
  </si>
  <si>
    <t>Ρ874305</t>
  </si>
  <si>
    <t>990,3</t>
  </si>
  <si>
    <t>ΣΤΑΜΕΛΑΚΗ</t>
  </si>
  <si>
    <t>Σ049979</t>
  </si>
  <si>
    <t>919,6</t>
  </si>
  <si>
    <t>989,6</t>
  </si>
  <si>
    <t>224-218-217-219-229-221-226-228-220-232-222-230-223-225-231-227</t>
  </si>
  <si>
    <t>Σταματάκη</t>
  </si>
  <si>
    <t>Παναγιώτα</t>
  </si>
  <si>
    <t xml:space="preserve">Ανέστης </t>
  </si>
  <si>
    <t>ΑΜ284986</t>
  </si>
  <si>
    <t>988,7</t>
  </si>
  <si>
    <t>ΡΑΛΛΗ</t>
  </si>
  <si>
    <t>ΑΒ187116</t>
  </si>
  <si>
    <t>988,3</t>
  </si>
  <si>
    <t>220-232-224-223-226-217-218-219-221-222-228-229-230</t>
  </si>
  <si>
    <t>ΑΚ902556</t>
  </si>
  <si>
    <t>987,3</t>
  </si>
  <si>
    <t>221-223-226-228-224-218-222-219-232-230-217</t>
  </si>
  <si>
    <t>ΠΑΤΗΣ</t>
  </si>
  <si>
    <t>ΑΗ259314</t>
  </si>
  <si>
    <t>986,8</t>
  </si>
  <si>
    <t>217-219-224-218-221-232-220-228-226-225-229-230-227-223-222-231</t>
  </si>
  <si>
    <t>ΜΠΟΣΙΩΛΗ</t>
  </si>
  <si>
    <t>ΑΖ574835</t>
  </si>
  <si>
    <t>217-218-219-220-222-221-223-224-226-228-229-230-231-232</t>
  </si>
  <si>
    <t>ΤΣΑΓΓΟΥΡΝΟΣ</t>
  </si>
  <si>
    <t>ΑΚ352259</t>
  </si>
  <si>
    <t>986,1</t>
  </si>
  <si>
    <t>224-221-218-226-222-220-232-219-217-223-228-229-230</t>
  </si>
  <si>
    <t>ΜΑΝΤΑ</t>
  </si>
  <si>
    <t>ΑΙ281869</t>
  </si>
  <si>
    <t>985,9</t>
  </si>
  <si>
    <t>226-228-232-231-230-227-217-218-219-220-221-222-223-224-225-229</t>
  </si>
  <si>
    <t>ΚΟΥΚΟΥΛΑΣ</t>
  </si>
  <si>
    <t>ΑΖ704469</t>
  </si>
  <si>
    <t>985,7</t>
  </si>
  <si>
    <t>229-217-220-232-222-228-230-221-226-223-225-231-227-219-218-224</t>
  </si>
  <si>
    <t>ΝΙΚΟΛΗΣ</t>
  </si>
  <si>
    <t>ΧΡΗΣΤΟΣ ΑΝΤΩΝΙΟΣ</t>
  </si>
  <si>
    <t>Τ302073</t>
  </si>
  <si>
    <t>231-223-224-229-227-221-220</t>
  </si>
  <si>
    <t>ΓΙΑΝΝΙΚΟΠΟΥΛΟΣ</t>
  </si>
  <si>
    <t>ΑΙ771433</t>
  </si>
  <si>
    <t>224-218-232-221-220-222-229-228-230-223-226-217-225-231-227-219</t>
  </si>
  <si>
    <t>ΑΙ989973</t>
  </si>
  <si>
    <t>ΜΗΤΡΟΥ</t>
  </si>
  <si>
    <t>Ρ536758</t>
  </si>
  <si>
    <t>984,9</t>
  </si>
  <si>
    <t>224-221-222-230-223-218-219-220-226-228-229-232</t>
  </si>
  <si>
    <t>ΤΑΜΠΟΥΚΟΣ</t>
  </si>
  <si>
    <t>ΑΗ497919</t>
  </si>
  <si>
    <t>984,6</t>
  </si>
  <si>
    <t>224-218-229-226-228</t>
  </si>
  <si>
    <t>ΚΛΩΝΙΖΑΚΗ</t>
  </si>
  <si>
    <t>ΕΛΕΝΗ ΜΑΡΙΝΑ</t>
  </si>
  <si>
    <t>ΑΡΤΕΜΙΟΣ</t>
  </si>
  <si>
    <t>ΑΜ141700</t>
  </si>
  <si>
    <t>984,3</t>
  </si>
  <si>
    <t>232-224-221-218-220</t>
  </si>
  <si>
    <t>ΡΟΜΠΟΓΙΑΝΝΑΚΗ</t>
  </si>
  <si>
    <t>ΑΖ966792</t>
  </si>
  <si>
    <t>983,8</t>
  </si>
  <si>
    <t>220-232-221</t>
  </si>
  <si>
    <t>ΜΠΟΝΑΤΣΟΣ</t>
  </si>
  <si>
    <t>ΔΑΜΙΑΝΟΣ</t>
  </si>
  <si>
    <t>Χ292673</t>
  </si>
  <si>
    <t>722,7</t>
  </si>
  <si>
    <t>982,7</t>
  </si>
  <si>
    <t>ΔΑΚΤΥΛΟΥΔΗΣ</t>
  </si>
  <si>
    <t>Σ195716</t>
  </si>
  <si>
    <t>981,7</t>
  </si>
  <si>
    <t>228-226-224</t>
  </si>
  <si>
    <t>ΜΑΥΡΟΜΑΤΗ</t>
  </si>
  <si>
    <t>ΑΜ397058</t>
  </si>
  <si>
    <t>980,5</t>
  </si>
  <si>
    <t>ΚΟΝΤΟΣ</t>
  </si>
  <si>
    <t>ΑΕ107738</t>
  </si>
  <si>
    <t>979,5</t>
  </si>
  <si>
    <t>ΧΟΥΛΙΑΡΟΠΟΥΛΟΥ</t>
  </si>
  <si>
    <t>ΑΖ765804</t>
  </si>
  <si>
    <t>224-218-226-228-219-217-221-230-222-229-223-232-220</t>
  </si>
  <si>
    <t>ΘΕΡΜΟΥ</t>
  </si>
  <si>
    <t>ΝΙΚΟΛΕΤΤΑ-ΕΥΑΓΓΕΛΙΑ</t>
  </si>
  <si>
    <t>ΑΑ341437</t>
  </si>
  <si>
    <t>231-224-218-221-232-220-222-226-219-223-230-229-228-217</t>
  </si>
  <si>
    <t>ΚΑΡΑΧΑΛΙΟΥ</t>
  </si>
  <si>
    <t>Ρ249274</t>
  </si>
  <si>
    <t>979,3</t>
  </si>
  <si>
    <t>229-224-218</t>
  </si>
  <si>
    <t>ΣΑΒΒΙΔΟΥ</t>
  </si>
  <si>
    <t>ΘΕΟΔΩΡΑ</t>
  </si>
  <si>
    <t>ΑΑ236852</t>
  </si>
  <si>
    <t>979,1</t>
  </si>
  <si>
    <t>221-223-224-228-226-222-219-218-230-225-229-232-220-217-227-231</t>
  </si>
  <si>
    <t>ΕΥΓΕΝΑΚΗΣ</t>
  </si>
  <si>
    <t>Φ154028</t>
  </si>
  <si>
    <t>221-226-220-232-231-228-224-223</t>
  </si>
  <si>
    <t>ΠΑΥΛΟΥ</t>
  </si>
  <si>
    <t>Φ184915</t>
  </si>
  <si>
    <t>975,3</t>
  </si>
  <si>
    <t>221-226-232-228-222-220-223-224-218-217</t>
  </si>
  <si>
    <t>ΓΚΟΛΦΙΝΟΠΟΥΛΟΥ</t>
  </si>
  <si>
    <t>Φ085322</t>
  </si>
  <si>
    <t>974,7</t>
  </si>
  <si>
    <t>ΚΑΛΟΠΕΤΡΗ</t>
  </si>
  <si>
    <t>ΣΤΕΡΓΟΣ</t>
  </si>
  <si>
    <t>ΑΖ450893</t>
  </si>
  <si>
    <t>694,1</t>
  </si>
  <si>
    <t>974,1</t>
  </si>
  <si>
    <t>231-224-221-223-229-232-220-228-217-218-230-219-222-226-227-225</t>
  </si>
  <si>
    <t>ΔΕΡΝΕΚΤΣΗ</t>
  </si>
  <si>
    <t>ΑΖ363199</t>
  </si>
  <si>
    <t>ΓΟΥΡΝΑ</t>
  </si>
  <si>
    <t>Χ484193</t>
  </si>
  <si>
    <t>973,6</t>
  </si>
  <si>
    <t>222-217-224</t>
  </si>
  <si>
    <t>ΠΑΠΑΣΠΥΡΟΥ</t>
  </si>
  <si>
    <t>ΚΩΝΣΤΑΝΤΙΑ</t>
  </si>
  <si>
    <t>ΑΕ978174</t>
  </si>
  <si>
    <t>973,2</t>
  </si>
  <si>
    <t>217-226-228-219-222-229-221-218-224-223-230-232-220</t>
  </si>
  <si>
    <t>ΜΩΡΟΥ</t>
  </si>
  <si>
    <t>Ρ802789</t>
  </si>
  <si>
    <t>972,9</t>
  </si>
  <si>
    <t>218-224-219-217-229-226-228-223-221-220-222-232-230-231-225-227</t>
  </si>
  <si>
    <t>ΑΝΔΡΟΝΙΚΟΥ</t>
  </si>
  <si>
    <t>ΑΗ378606</t>
  </si>
  <si>
    <t>972,4</t>
  </si>
  <si>
    <t>223-221-220-232-228-218-224-226</t>
  </si>
  <si>
    <t>ΠΡΕΚΑ</t>
  </si>
  <si>
    <t>Σ584437</t>
  </si>
  <si>
    <t>971,8</t>
  </si>
  <si>
    <t>ΤΣΙΛΙΓΓΑΡΙΔΟΥ</t>
  </si>
  <si>
    <t>ΓΑΛΗΝΗ</t>
  </si>
  <si>
    <t>ΑΗ600790</t>
  </si>
  <si>
    <t>971,4</t>
  </si>
  <si>
    <t>ΚΟΝΤΟΓΕΩΡΓΟΣ</t>
  </si>
  <si>
    <t>ΔΡΟΣΟΣ</t>
  </si>
  <si>
    <t>Χ663652</t>
  </si>
  <si>
    <t>ΤΣΑΤΣΑΡΑ</t>
  </si>
  <si>
    <t>ΠΑΝΑΓΙΩΤΑ-ΚΥΒΕΛΗ</t>
  </si>
  <si>
    <t>Σ231253</t>
  </si>
  <si>
    <t>ΜΠΑΡΔΑΚΟΣ</t>
  </si>
  <si>
    <t>ΑΚ243576</t>
  </si>
  <si>
    <t>970,7</t>
  </si>
  <si>
    <t>ΡΗΝΩΤΑ</t>
  </si>
  <si>
    <t>ΑΖ596581</t>
  </si>
  <si>
    <t>710,6</t>
  </si>
  <si>
    <t>970,6</t>
  </si>
  <si>
    <t>224-218-219-230</t>
  </si>
  <si>
    <t>ΔΑΦΝΟΜΗΛΗ</t>
  </si>
  <si>
    <t>ΑΜ657010</t>
  </si>
  <si>
    <t>970,5</t>
  </si>
  <si>
    <t>221-224-223</t>
  </si>
  <si>
    <t>ΚΑΛΑΤΖΗ</t>
  </si>
  <si>
    <t>ΑΕ941465</t>
  </si>
  <si>
    <t>970,3</t>
  </si>
  <si>
    <t>ΚΟΥΝΕΛΛΗ</t>
  </si>
  <si>
    <t>ΑΑ440100</t>
  </si>
  <si>
    <t>969,2</t>
  </si>
  <si>
    <t>227-224-218-221-219-226</t>
  </si>
  <si>
    <t>ΓΕΩΡΓΟΠΟΥΛΟΥ</t>
  </si>
  <si>
    <t>Χ298769</t>
  </si>
  <si>
    <t>967,9</t>
  </si>
  <si>
    <t>221-223-232-225-224</t>
  </si>
  <si>
    <t>ΒΟΝΤΖΑΛΙΔΟΥ</t>
  </si>
  <si>
    <t>ΑΚ038325</t>
  </si>
  <si>
    <t>ΚΑΡΠΕΤΑ</t>
  </si>
  <si>
    <t>Φ135289</t>
  </si>
  <si>
    <t>967,8</t>
  </si>
  <si>
    <t>ΠΑΠΑΚΩΣΤΑ</t>
  </si>
  <si>
    <t>ΑΑ316271</t>
  </si>
  <si>
    <t>224-218-221-232-229-217</t>
  </si>
  <si>
    <t>ΣΑΛΤΑΣ</t>
  </si>
  <si>
    <t>ΑΚ713368</t>
  </si>
  <si>
    <t>228-226-230-223-217-218-219-222-225-221-224-220-231-232-227</t>
  </si>
  <si>
    <t>ΚΟΥΡΤΙΔΟΥ</t>
  </si>
  <si>
    <t>ΑΖ853139</t>
  </si>
  <si>
    <t>965,3</t>
  </si>
  <si>
    <t>221-226-223-232-222-220-228-225-229-230-231-227-224-218-217</t>
  </si>
  <si>
    <t>ΠΑΙΔΟΥΣΗ</t>
  </si>
  <si>
    <t>ΜΗΝΑ</t>
  </si>
  <si>
    <t>ΑΚ215763</t>
  </si>
  <si>
    <t>964,2</t>
  </si>
  <si>
    <t>224-218-219-217-221-222-223-220-225-226-227-228-229-230-231-232</t>
  </si>
  <si>
    <t>ΣΤΑΜΑΤΟΠΟΥΛΟΥ</t>
  </si>
  <si>
    <t>ΑΖ104670</t>
  </si>
  <si>
    <t>ΚΑΛΗΣΠΕΡΑΤΗΣ</t>
  </si>
  <si>
    <t>ΑΕ622904</t>
  </si>
  <si>
    <t>964,1</t>
  </si>
  <si>
    <t>224-218-217-225</t>
  </si>
  <si>
    <t>ΚΑΡΑΜΠΟΥΛΗΣ</t>
  </si>
  <si>
    <t>ΑΗ427901</t>
  </si>
  <si>
    <t>962,6</t>
  </si>
  <si>
    <t>230-222-229-217-225-226-224-219-228-218-221-223-220-232-227-231</t>
  </si>
  <si>
    <t>ΚΑΣΤΑΝΗ</t>
  </si>
  <si>
    <t>ΑΕ013746</t>
  </si>
  <si>
    <t>861,3</t>
  </si>
  <si>
    <t>961,3</t>
  </si>
  <si>
    <t>ΣΕΡΤΗΣ</t>
  </si>
  <si>
    <t>ΑΙ374408</t>
  </si>
  <si>
    <t>960,7</t>
  </si>
  <si>
    <t>221-223-232-222-228-225-220-226-230-219-227-229-224-218-217-231</t>
  </si>
  <si>
    <t>Τ995885</t>
  </si>
  <si>
    <t>700,7</t>
  </si>
  <si>
    <t>ΚΑΡΑΒΑΚΑ</t>
  </si>
  <si>
    <t>ΑΙ281059</t>
  </si>
  <si>
    <t>960,4</t>
  </si>
  <si>
    <t>226-228-221-224-218-222-220-217-232-230-219-229-223-225-231-227</t>
  </si>
  <si>
    <t>ΓΚΕΣΟΥΛΗ</t>
  </si>
  <si>
    <t>ΑΚ375934</t>
  </si>
  <si>
    <t>222-232-230-220-224-221-218-225-228-226-223-231-227-229-219-217</t>
  </si>
  <si>
    <t>ΚΟΛΛΙΑ</t>
  </si>
  <si>
    <t>ΑΜ496514</t>
  </si>
  <si>
    <t>217-219-218-224</t>
  </si>
  <si>
    <t>ΓΙΑΣΑΦΑΚΗ</t>
  </si>
  <si>
    <t>ΑΒ489748</t>
  </si>
  <si>
    <t>897,6</t>
  </si>
  <si>
    <t>957,6</t>
  </si>
  <si>
    <t>232-220-224-221</t>
  </si>
  <si>
    <t>ΠΑΝΟΠΟΥΛΟΥ</t>
  </si>
  <si>
    <t>ΑΕ246562</t>
  </si>
  <si>
    <t>957,1</t>
  </si>
  <si>
    <t>230-222-224-218-217-219-225-226-221-228-229</t>
  </si>
  <si>
    <t>ΜΟΥΡΤΖΙΝΟΣ</t>
  </si>
  <si>
    <t>Χ096491</t>
  </si>
  <si>
    <t>956,8</t>
  </si>
  <si>
    <t>ΚΩΝΣΤΑΝΤΟΠΟΥΛΟΥ</t>
  </si>
  <si>
    <t>ΑΚ783958</t>
  </si>
  <si>
    <t>956,1</t>
  </si>
  <si>
    <t>ΤΡΙΑΝΤΑΦΥΛΛΑΚΟΥ</t>
  </si>
  <si>
    <t>ΗΡΩ</t>
  </si>
  <si>
    <t>ΑΒ394821</t>
  </si>
  <si>
    <t>224-218-217-230-222-226-229-228-219-221-231-225-232-220-223-227</t>
  </si>
  <si>
    <t>Ευθυμίου</t>
  </si>
  <si>
    <t>Μαρία</t>
  </si>
  <si>
    <t>Ευστράτιος</t>
  </si>
  <si>
    <t>ΑΕ933709</t>
  </si>
  <si>
    <t>955,7</t>
  </si>
  <si>
    <t>227-221-223-222-226-228-229-230-217-219-224-218</t>
  </si>
  <si>
    <t>ΝΤΑΣΚΑΓΙΑΝΝΗ</t>
  </si>
  <si>
    <t>ΑΒ813203</t>
  </si>
  <si>
    <t>954,6</t>
  </si>
  <si>
    <t>218-224-219-230-222</t>
  </si>
  <si>
    <t>ΔΡΟΣΙΤΗ</t>
  </si>
  <si>
    <t>ΕΥΜΟΡΦΙΑ- ΣΤΑΥΡΟΥΛΑ</t>
  </si>
  <si>
    <t>Χ422053</t>
  </si>
  <si>
    <t>228-226-224-218-221-222</t>
  </si>
  <si>
    <t>ΚΟΥΜΡΟΓΛΟΥ</t>
  </si>
  <si>
    <t>ΙΩΑΝΝΗΣ ΠΡΟΔΡΟΜΟΣ</t>
  </si>
  <si>
    <t>ΑΜ200973</t>
  </si>
  <si>
    <t>952,4</t>
  </si>
  <si>
    <t>ΧΟΥΖΟΥΡΗ</t>
  </si>
  <si>
    <t>AM628342</t>
  </si>
  <si>
    <t>224-218-219-217-229-228-226-223-227-225-230-231-232-221-220-222</t>
  </si>
  <si>
    <t>ΜΑΚΕΡΟΥΦΑ</t>
  </si>
  <si>
    <t>ΜΕΤΑΞΙΑ</t>
  </si>
  <si>
    <t>Χ630076</t>
  </si>
  <si>
    <t>950,9</t>
  </si>
  <si>
    <t>224-218-217-226-222-219-228-229-230-223-220-232</t>
  </si>
  <si>
    <t>ΜΑΡΓΑΡΙΤΑ</t>
  </si>
  <si>
    <t>Φ095756</t>
  </si>
  <si>
    <t>950,5</t>
  </si>
  <si>
    <t>220-232-222-223-230-219-228-221-231-229-225-218-224-227-226-217</t>
  </si>
  <si>
    <t>ΤΖΙΑΒΑ</t>
  </si>
  <si>
    <t>ΣΤΕΛΙΟΣ</t>
  </si>
  <si>
    <t>ΑΖ609331</t>
  </si>
  <si>
    <t>949,9</t>
  </si>
  <si>
    <t>ΝΤΑΛΑΓΙΑΝΝΗ</t>
  </si>
  <si>
    <t>ΑΖ209282</t>
  </si>
  <si>
    <t>949,4</t>
  </si>
  <si>
    <t>224-230-228-223-222-221-219-218-217-220-226-229</t>
  </si>
  <si>
    <t>ΚΥΛΙΝΔΡΗ</t>
  </si>
  <si>
    <t>ΑΑ909810</t>
  </si>
  <si>
    <t>948,8</t>
  </si>
  <si>
    <t>228-226-221-222-219-223-230-220</t>
  </si>
  <si>
    <t>Φ162612</t>
  </si>
  <si>
    <t>946,5</t>
  </si>
  <si>
    <t>227-221-223-230-231-228-222-226-224-232-225</t>
  </si>
  <si>
    <t>ΚΟΚΟΛΗ</t>
  </si>
  <si>
    <t>ΑΗ222782</t>
  </si>
  <si>
    <t>946,2</t>
  </si>
  <si>
    <t>230-222-225-221-218-217-219-224-226-228-229-227-232-220-231-223</t>
  </si>
  <si>
    <t>ΓΛΥΚΑ</t>
  </si>
  <si>
    <t>Ρ566014</t>
  </si>
  <si>
    <t>695,2</t>
  </si>
  <si>
    <t>945,2</t>
  </si>
  <si>
    <t>224-218-219-220-221-222-223-226</t>
  </si>
  <si>
    <t>ΒΑΣΙΛΟΓΛΟΥ</t>
  </si>
  <si>
    <t>ΧΡΥΣΟΒΕΡΓΗΣ</t>
  </si>
  <si>
    <t>ΑΙ386520</t>
  </si>
  <si>
    <t>945,1</t>
  </si>
  <si>
    <t>ΤΖΟΥΜΑ</t>
  </si>
  <si>
    <t>Χ106699</t>
  </si>
  <si>
    <t>684,2</t>
  </si>
  <si>
    <t>944,2</t>
  </si>
  <si>
    <t>218-224-219-217-221-229-226-228-230-223-220-232-222</t>
  </si>
  <si>
    <t>ΜΠΙΛΙΑΣ</t>
  </si>
  <si>
    <t>ΑΗ110293</t>
  </si>
  <si>
    <t>944,1</t>
  </si>
  <si>
    <t>224-218-219-217-220-229-232-228-226-227-231-221-230-222-223-225</t>
  </si>
  <si>
    <t>ΡΗΓΟΠΟΥΛΟΣ</t>
  </si>
  <si>
    <t>Ρ526865</t>
  </si>
  <si>
    <t>943,9</t>
  </si>
  <si>
    <t>ΧΟΥΛΙΑΡΑ</t>
  </si>
  <si>
    <t>ΑΚ013049</t>
  </si>
  <si>
    <t>218-224-232-229-219-228</t>
  </si>
  <si>
    <t>ΛΕΖΗ</t>
  </si>
  <si>
    <t>ΝΙΚΟΛΙΤΣΑ</t>
  </si>
  <si>
    <t>Φ039166</t>
  </si>
  <si>
    <t>943,6</t>
  </si>
  <si>
    <t>ΧΑΡΙΤΟΠΟΥΛΟΥ</t>
  </si>
  <si>
    <t>ΜΑΡΙΑ ΑΝΝΑ</t>
  </si>
  <si>
    <t>ΧΡΥΣΟΣΤΕΦΑΝΟΣ</t>
  </si>
  <si>
    <t>ΑΒ356081</t>
  </si>
  <si>
    <t>943,2</t>
  </si>
  <si>
    <t>221-224-226-223-218-219-228-222-230-220-232-217-231-225</t>
  </si>
  <si>
    <t>ΕΜΜΑΝΟΥΗΛΙΔΟΥ</t>
  </si>
  <si>
    <t>ΑΑ468420</t>
  </si>
  <si>
    <t>942,2</t>
  </si>
  <si>
    <t>230-223-232-219-217-222-226-228-220-229-221</t>
  </si>
  <si>
    <t>ΣΚΟΡΔΑ</t>
  </si>
  <si>
    <t>Ρ982404</t>
  </si>
  <si>
    <t>691,9</t>
  </si>
  <si>
    <t>941,9</t>
  </si>
  <si>
    <t>221-226-228-217-224-222-225-223-229-218-219-220-230-231-232-227</t>
  </si>
  <si>
    <t>ΑΗ030467</t>
  </si>
  <si>
    <t>941,7</t>
  </si>
  <si>
    <t>ΜΑΡΙΑΝΟΥ</t>
  </si>
  <si>
    <t>ΑΜ256029</t>
  </si>
  <si>
    <t>223-221-217-222-220-230-232-229-228-219-225-226-218-224-227-231</t>
  </si>
  <si>
    <t>ΦΩΤΟΥ</t>
  </si>
  <si>
    <t>ΑΙ258259</t>
  </si>
  <si>
    <t>940,2</t>
  </si>
  <si>
    <t>222-221-230</t>
  </si>
  <si>
    <t>ΜΑΝΩΛΟΠΟΥΛΟΥ</t>
  </si>
  <si>
    <t>ΕΥΣΤΑΘΙΑ</t>
  </si>
  <si>
    <t>Χ140615</t>
  </si>
  <si>
    <t>939,5</t>
  </si>
  <si>
    <t>ΚΟΥΛΟΥΡΗΣ</t>
  </si>
  <si>
    <t>ΑΚ272437</t>
  </si>
  <si>
    <t>939,4</t>
  </si>
  <si>
    <t>221-222-225</t>
  </si>
  <si>
    <t>ΓΙΑΝΝΑ ΑΛΕΞΙΑ</t>
  </si>
  <si>
    <t>Τ419038</t>
  </si>
  <si>
    <t>668,8</t>
  </si>
  <si>
    <t>938,8</t>
  </si>
  <si>
    <t>229-224-218-228-221-222-223-232-220-226-219-230-217</t>
  </si>
  <si>
    <t>Χ886816</t>
  </si>
  <si>
    <t>938,4</t>
  </si>
  <si>
    <t>223-232-220-221-222-230-226-228-229-219-217-218-224</t>
  </si>
  <si>
    <t>ΝΤΟΝΤΟΥ</t>
  </si>
  <si>
    <t>Χ928393</t>
  </si>
  <si>
    <t>937,5</t>
  </si>
  <si>
    <t>227-223-228-221-226-232-220-224-218-230</t>
  </si>
  <si>
    <t>ΟΙΚΟΝΟΜΟΥ</t>
  </si>
  <si>
    <t>ΚΟΣΜΑΣ</t>
  </si>
  <si>
    <t>Χ431938</t>
  </si>
  <si>
    <t>937,2</t>
  </si>
  <si>
    <t>ΤΣΑΚΜΑΚΑ</t>
  </si>
  <si>
    <t>ΑΗ197628</t>
  </si>
  <si>
    <t>936,4</t>
  </si>
  <si>
    <t>ΛΕΠΕΝΙΩΤΗ</t>
  </si>
  <si>
    <t>ΑΙ219543</t>
  </si>
  <si>
    <t>936,2</t>
  </si>
  <si>
    <t>229-224-218-221-219-217-230-228-226-222-223-220-232-227-225-231</t>
  </si>
  <si>
    <t>ΜΗΤΡΟΠΟΥΛΟΣ</t>
  </si>
  <si>
    <t>ΑΙ660706</t>
  </si>
  <si>
    <t>935,3</t>
  </si>
  <si>
    <t>224-218-219-222-221-230-229-228-226-223-220-232</t>
  </si>
  <si>
    <t>ΦΟΥΦΑ</t>
  </si>
  <si>
    <t>Χ617253</t>
  </si>
  <si>
    <t>222-230-225-217-228-229-231-232-227-226-223-219-220-218-221-224</t>
  </si>
  <si>
    <t>ΑΜ607627</t>
  </si>
  <si>
    <t>664,4</t>
  </si>
  <si>
    <t>934,4</t>
  </si>
  <si>
    <t>ΤΕΡΖΙΔΑΚΗ</t>
  </si>
  <si>
    <t>Χ622763</t>
  </si>
  <si>
    <t>663,3</t>
  </si>
  <si>
    <t>933,3</t>
  </si>
  <si>
    <t>218-217-219-220-221-222-223-224-225-226-227-228-229-230-231-232</t>
  </si>
  <si>
    <t>ΚΑΣΚΑΦΕΤΟΥ</t>
  </si>
  <si>
    <t>Χ282517</t>
  </si>
  <si>
    <t>932,9</t>
  </si>
  <si>
    <t>217-218-219-224-228-229-221-222-230-226-223-225-227-231-220-232</t>
  </si>
  <si>
    <t>ΛΙΝΑΡΔΑΤΟΣ</t>
  </si>
  <si>
    <t>ΑΚ342193</t>
  </si>
  <si>
    <t>932,3</t>
  </si>
  <si>
    <t>ΝΙΚΟΛΕΤΖΕΑ</t>
  </si>
  <si>
    <t>Τ422234</t>
  </si>
  <si>
    <t>932,1</t>
  </si>
  <si>
    <t>224-218-229-219-228-222-221-230-223-217-225</t>
  </si>
  <si>
    <t>ΑΡΕΤΗ</t>
  </si>
  <si>
    <t>Χ460594</t>
  </si>
  <si>
    <t>224-218-217-230-219-222-220-221-223-226-228-229-232</t>
  </si>
  <si>
    <t>ΓΙΑΝΝΑΚΟΠΟΥΛΟΣ</t>
  </si>
  <si>
    <t>ΑΚ114853</t>
  </si>
  <si>
    <t>931,2</t>
  </si>
  <si>
    <t>224-218-219-229-217-228-223-222-230-220-232-226-221-227-225-231</t>
  </si>
  <si>
    <t>ΒΟΥΡΔΑΝΟΥ</t>
  </si>
  <si>
    <t>Π870964</t>
  </si>
  <si>
    <t>ΚΑΡΑΠΕΤΗΣ</t>
  </si>
  <si>
    <t>ΑΚ016008</t>
  </si>
  <si>
    <t>ΤΣΑΜΑΣΦΥΡΑΣ</t>
  </si>
  <si>
    <t>Χ326204</t>
  </si>
  <si>
    <t>929,6</t>
  </si>
  <si>
    <t>221-224-219-218-217-220-222-223-225-226-227-228-229-230-231-232</t>
  </si>
  <si>
    <t>ΚΟΚΟΥΛΑ</t>
  </si>
  <si>
    <t>ΑΙ700037</t>
  </si>
  <si>
    <t>928,5</t>
  </si>
  <si>
    <t>ΒΑΛΟΔΗΜΟΥ</t>
  </si>
  <si>
    <t>ΑΜ822592</t>
  </si>
  <si>
    <t>926,3</t>
  </si>
  <si>
    <t>226-228-217-224-218-221-219-223-222-230-229-225-220-232-231-227</t>
  </si>
  <si>
    <t>ΤΙΜΟΛΕΩΝ</t>
  </si>
  <si>
    <t>ΑΑ258099</t>
  </si>
  <si>
    <t>926,1</t>
  </si>
  <si>
    <t>ΚΩΝΣΤΑΝΤΙΝΙΔΟΥ</t>
  </si>
  <si>
    <t>ΑΖ330638</t>
  </si>
  <si>
    <t>925,7</t>
  </si>
  <si>
    <t>221-226-225</t>
  </si>
  <si>
    <t>ΜΠΟΤΣΗ</t>
  </si>
  <si>
    <t>Τ050673</t>
  </si>
  <si>
    <t>224-218-221-228-232-219-220-217-222-226-230-229-231-225-223-227</t>
  </si>
  <si>
    <t>ΚΟΥΜΟΥΣΗ</t>
  </si>
  <si>
    <t>ΑΑ418522</t>
  </si>
  <si>
    <t>923,5</t>
  </si>
  <si>
    <t>224-218-217-219-229-221-220</t>
  </si>
  <si>
    <t>ΤΟΤΤΑ</t>
  </si>
  <si>
    <t>ΞΑΝΘΙΠΗ</t>
  </si>
  <si>
    <t>Χ870563</t>
  </si>
  <si>
    <t>221-223-226-228-230-222-217-224-218-219-220-229-232-227-225-231</t>
  </si>
  <si>
    <t>ΚΑΡΑΝΑΣΙΟΥ</t>
  </si>
  <si>
    <t>ΑΖ175502</t>
  </si>
  <si>
    <t>922,8</t>
  </si>
  <si>
    <t>221-228-223-226-222-230-225-218-220-232-227-224-219-217-229-231</t>
  </si>
  <si>
    <t>ΓΕΩΡΓΑΚΗ</t>
  </si>
  <si>
    <t>ΑΡΙΣΤΟΥΛΑ</t>
  </si>
  <si>
    <t>ΑΙ612664</t>
  </si>
  <si>
    <t>921,9</t>
  </si>
  <si>
    <t>224-218-230-222</t>
  </si>
  <si>
    <t>ΡΟΥΜΕΛΙΩΤΗ</t>
  </si>
  <si>
    <t>ΑΗ506891</t>
  </si>
  <si>
    <t>224-221-218-217-229-219-228-232-220-222-226-223-230-225-231-227</t>
  </si>
  <si>
    <t>ΣΒΟΥΡΑΚΗ</t>
  </si>
  <si>
    <t>ΑΚ140188</t>
  </si>
  <si>
    <t>920,2</t>
  </si>
  <si>
    <t>218-224-219-217-229-226-221-222-228-230-223-220-232-231-227-225</t>
  </si>
  <si>
    <t>ΑΖ198669</t>
  </si>
  <si>
    <t>919,4</t>
  </si>
  <si>
    <t>ΟΡΦΑΝΙΔΟΥ</t>
  </si>
  <si>
    <t>ΑΚ979833</t>
  </si>
  <si>
    <t>918,7</t>
  </si>
  <si>
    <t>ΚΑΛΑΜΠΟΚΗΣ</t>
  </si>
  <si>
    <t>ΑΚ845441</t>
  </si>
  <si>
    <t>688,6</t>
  </si>
  <si>
    <t>918,6</t>
  </si>
  <si>
    <t>224-218-221-232-220-225</t>
  </si>
  <si>
    <t>ΤΣΟΧΑ</t>
  </si>
  <si>
    <t>ΑΒ120423</t>
  </si>
  <si>
    <t>221-223-226-222-228-224-232</t>
  </si>
  <si>
    <t>ΜΑΝΤΑΛΟΥΦΑ</t>
  </si>
  <si>
    <t>ΜΑΡΚΟΣ</t>
  </si>
  <si>
    <t>ΑΗ954927</t>
  </si>
  <si>
    <t>917,5</t>
  </si>
  <si>
    <t>224-218-221-222-232-220-219-217-230-229-228-223-226</t>
  </si>
  <si>
    <t>ΜΠΑΡΔΑ</t>
  </si>
  <si>
    <t>ΑΑ968723</t>
  </si>
  <si>
    <t>636,9</t>
  </si>
  <si>
    <t>916,9</t>
  </si>
  <si>
    <t>222-226-228-221-230-224-218-223-229-217-232-220-225-219-231-227</t>
  </si>
  <si>
    <t>ΘΕΟΔΩΡΟΠΟΥΛΟΣ</t>
  </si>
  <si>
    <t>ΑΜ241269</t>
  </si>
  <si>
    <t>915,3</t>
  </si>
  <si>
    <t>224-218-219-217-229-228-226-221-222-230-223-232-220-225-227-231</t>
  </si>
  <si>
    <t>ΧΑΤΖΗΧΗΔΗΡΟΓΛΟΥ</t>
  </si>
  <si>
    <t>ΑΗ816828</t>
  </si>
  <si>
    <t>221-226</t>
  </si>
  <si>
    <t>ΤΣΙΑΡΑΣ</t>
  </si>
  <si>
    <t>Χ425017</t>
  </si>
  <si>
    <t>228-226-223-219-221-222-220-224-218-230-232-231-229-217-227-225</t>
  </si>
  <si>
    <t>ΔΙΑΜΑΝΤΟΠΟΥΛΟΥ</t>
  </si>
  <si>
    <t>Χ435455</t>
  </si>
  <si>
    <t>912,4</t>
  </si>
  <si>
    <t>229-218-224-221-222-226-225-228</t>
  </si>
  <si>
    <t>ΑΣΗΜΑΚΟΠΟΥΛΟΣ</t>
  </si>
  <si>
    <t>ΑΕ702975</t>
  </si>
  <si>
    <t>909,2</t>
  </si>
  <si>
    <t>224-218-221-226-222-220-232-230-219-228-229-225-217-231-223-227</t>
  </si>
  <si>
    <t>ΜΠΟΝΤΡΟΥΑ</t>
  </si>
  <si>
    <t>ΕΛΕΝ ΑΝ ΓΚΙΣΛΕΝ</t>
  </si>
  <si>
    <t>ΠΩΛ ΡΕΝΕ</t>
  </si>
  <si>
    <t>ΑΖ389144</t>
  </si>
  <si>
    <t>905,9</t>
  </si>
  <si>
    <t>223-232-220-231-221-224-227-218-222-228-226-219-230-225-217-229</t>
  </si>
  <si>
    <t>Σ522831</t>
  </si>
  <si>
    <t>902,2</t>
  </si>
  <si>
    <t>ΕΞΗΝΤΑΒΕΛΩΝΗΣ</t>
  </si>
  <si>
    <t>Σ241160</t>
  </si>
  <si>
    <t>902,1</t>
  </si>
  <si>
    <t>224-218-229-219-217-221-222-226-228-232-223-230-220</t>
  </si>
  <si>
    <t>ΜΠΕΚΟΥ</t>
  </si>
  <si>
    <t>ΑΒ100557</t>
  </si>
  <si>
    <t>901,6</t>
  </si>
  <si>
    <t>226-228-224-218-221-222-230-219-217-223-229-231-232-220-225-227</t>
  </si>
  <si>
    <t>ΘΕΟΛΟΓΟΣ</t>
  </si>
  <si>
    <t>ΑΚ569100</t>
  </si>
  <si>
    <t>899,9</t>
  </si>
  <si>
    <t>221-224-232-220-217-219-229-228-226-223-230-222-218</t>
  </si>
  <si>
    <t>ΤΖΙΜΟΠΟΥΛΟΥ</t>
  </si>
  <si>
    <t>Φ140024</t>
  </si>
  <si>
    <t>224-218-217-219-226-228-229-221-222-223-230</t>
  </si>
  <si>
    <t>ΠΕΤΡΙΔΟΥ</t>
  </si>
  <si>
    <t>Χ430890</t>
  </si>
  <si>
    <t>222-228-230-226-232-220-225-218-224-221-219-227-223-217</t>
  </si>
  <si>
    <t>ΑΕ778459</t>
  </si>
  <si>
    <t>897,8</t>
  </si>
  <si>
    <t>232-224-218-221-228-222-219-220-230-223-225-231-229-217-226-227</t>
  </si>
  <si>
    <t>ΚΥΛΙΝΔΡΗΣ</t>
  </si>
  <si>
    <t>ΑΙ317274</t>
  </si>
  <si>
    <t>897,1</t>
  </si>
  <si>
    <t>228-226-221-222-223-225-227-230-231-220-232</t>
  </si>
  <si>
    <t>ΤΣΟΥΜΑΡΗ</t>
  </si>
  <si>
    <t>ΚΕΛΛΥ</t>
  </si>
  <si>
    <t>Ρ776835</t>
  </si>
  <si>
    <t>896,7</t>
  </si>
  <si>
    <t>224-218-219-227-232-221-217-220-222-223-226-228-229-230</t>
  </si>
  <si>
    <t>ΚΑΖΑΜΙΑΣ</t>
  </si>
  <si>
    <t>Χ532835</t>
  </si>
  <si>
    <t>666,6</t>
  </si>
  <si>
    <t>896,6</t>
  </si>
  <si>
    <t>ΛΥΜΠΕΡΗ</t>
  </si>
  <si>
    <t>ΑΖ117963</t>
  </si>
  <si>
    <t>895,3</t>
  </si>
  <si>
    <t>ΜΗΛΙΟΥ</t>
  </si>
  <si>
    <t>ΑΗ691989</t>
  </si>
  <si>
    <t>895,1</t>
  </si>
  <si>
    <t>224-221-230-218-222-226-220-232-228-219-217-223-229</t>
  </si>
  <si>
    <t>ΜΟΥΣΤΑΚΑΣ</t>
  </si>
  <si>
    <t>ΑΗ823883</t>
  </si>
  <si>
    <t>894,8</t>
  </si>
  <si>
    <t>ΣΤΕΦΟΥ</t>
  </si>
  <si>
    <t>ΑΜ368533</t>
  </si>
  <si>
    <t>893,9</t>
  </si>
  <si>
    <t>ΔΙΑΜΑΝΤΟΓΛΟΥ</t>
  </si>
  <si>
    <t>Χ563771</t>
  </si>
  <si>
    <t>893,3</t>
  </si>
  <si>
    <t>224-218-217-219-229-228-226-221-232-222-223-230-231-220-227-225</t>
  </si>
  <si>
    <t>ΠΑΣΒΑΝΚΑ</t>
  </si>
  <si>
    <t>Χ527462</t>
  </si>
  <si>
    <t>ΓΚΟΒΑΡΗ</t>
  </si>
  <si>
    <t>ΑΑ427845</t>
  </si>
  <si>
    <t>892,8</t>
  </si>
  <si>
    <t>226-221-228-220-224-218-229-230-231-217-219-222-223-225-227-232</t>
  </si>
  <si>
    <t>ΛΥΡΙΤΣΗ</t>
  </si>
  <si>
    <t>Π029594</t>
  </si>
  <si>
    <t>622,6</t>
  </si>
  <si>
    <t>892,6</t>
  </si>
  <si>
    <t>224-218-217-219-222</t>
  </si>
  <si>
    <t>ΣΔΡΑΛΛΗΣ</t>
  </si>
  <si>
    <t>ΑΑ096523</t>
  </si>
  <si>
    <t>891,8</t>
  </si>
  <si>
    <t>224-218-219-217-229-221-228-226-220-232-225-222-231-230-223-227</t>
  </si>
  <si>
    <t>ΠΙΣΣΙΑ</t>
  </si>
  <si>
    <t>ΜΑΡΙΑ ΑΠΟΣΤΟΛΙΑ</t>
  </si>
  <si>
    <t>ΑΕ143684</t>
  </si>
  <si>
    <t>890,9</t>
  </si>
  <si>
    <t>228-221-226</t>
  </si>
  <si>
    <t>ΜΑΚΡΥΓΙΑΝΝΗ</t>
  </si>
  <si>
    <t>ΑΖ004772</t>
  </si>
  <si>
    <t>889,3</t>
  </si>
  <si>
    <t>ΜΠΕΝΟΣ</t>
  </si>
  <si>
    <t>Σ570203</t>
  </si>
  <si>
    <t>889,2</t>
  </si>
  <si>
    <t>ΦΟΡΛΙΔΑΣ</t>
  </si>
  <si>
    <t>ΙΩΑΝΝΗΣ ΟΔΥΣΣΕΥΣ</t>
  </si>
  <si>
    <t>Τ954567</t>
  </si>
  <si>
    <t>886,8</t>
  </si>
  <si>
    <t>228-226-221-224-232-220-219-222-218-231-230-229-227-225-223-217</t>
  </si>
  <si>
    <t>ΑΛΕΞΟΠΟΥΛΟΥ</t>
  </si>
  <si>
    <t>ΑΖ204952</t>
  </si>
  <si>
    <t>886,7</t>
  </si>
  <si>
    <t>229-230-222-225-232-223-221-226-224-220-218-219-217-228-231-227</t>
  </si>
  <si>
    <t>ΚΟΚΚΙΝΗ</t>
  </si>
  <si>
    <t>ΑΑ388100</t>
  </si>
  <si>
    <t>886,1</t>
  </si>
  <si>
    <t>223-221-222-226-228-230-217-219-218-224-229-227-231-232-220-225</t>
  </si>
  <si>
    <t>ΠΑΤΙΝΙΩΤΗ</t>
  </si>
  <si>
    <t>ΖΑΜΠΕΛΟΥ</t>
  </si>
  <si>
    <t>ΚΑΡΛΟΣ</t>
  </si>
  <si>
    <t>Τ298761</t>
  </si>
  <si>
    <t>655,6</t>
  </si>
  <si>
    <t>885,6</t>
  </si>
  <si>
    <t>ΠΟΥΠΑΚΗΣ</t>
  </si>
  <si>
    <t>ΣΕΡΓΚΕΙ</t>
  </si>
  <si>
    <t>Τ542011</t>
  </si>
  <si>
    <t>218-224-217-219</t>
  </si>
  <si>
    <t>ΔΑΜΗΛΟΣ</t>
  </si>
  <si>
    <t>Σ585734</t>
  </si>
  <si>
    <t>883,2</t>
  </si>
  <si>
    <t>ΣΤΑΜΑΤΙΟΥ</t>
  </si>
  <si>
    <t>Χ005972</t>
  </si>
  <si>
    <t>881,8</t>
  </si>
  <si>
    <t>224-223-227-229-218-217-219-220-221-222-226-225-228-230-231-232</t>
  </si>
  <si>
    <t>ΚΥΠΡΙΑΔΗΣ</t>
  </si>
  <si>
    <t>ΑΖ437770</t>
  </si>
  <si>
    <t>651,2</t>
  </si>
  <si>
    <t>881,2</t>
  </si>
  <si>
    <t>221-224-222-223-226-218-232-220-217-228-229-230</t>
  </si>
  <si>
    <t>ΝΙΚΟΛΑΙΔΟΥ</t>
  </si>
  <si>
    <t>ΑΒΡΑΑΜ</t>
  </si>
  <si>
    <t>ΑΚ384824</t>
  </si>
  <si>
    <t>221-223-228-226-220-232-225-224-218-230-231-219-227-229-217-222</t>
  </si>
  <si>
    <t>ΚΑΙΚΑ</t>
  </si>
  <si>
    <t>ΑΒ530096</t>
  </si>
  <si>
    <t>224-218-219-217-229-226-221-220-228-222-223-232-225-231-230-227</t>
  </si>
  <si>
    <t>ΣΙΟΒΑ</t>
  </si>
  <si>
    <t>ΑΙ012331</t>
  </si>
  <si>
    <t>880,6</t>
  </si>
  <si>
    <t>ΨΑΡΟΥΔΑΚΗΣ</t>
  </si>
  <si>
    <t>ΑΖ475396</t>
  </si>
  <si>
    <t>880,2</t>
  </si>
  <si>
    <t>217-226-218-219-220-221-222-223-224-225-227-228-229-230-231-232</t>
  </si>
  <si>
    <t>ΤΣΑΓΓΑΡΗΣ</t>
  </si>
  <si>
    <t>ΑΕ735836</t>
  </si>
  <si>
    <t>224-218-219-217-229-232-220-221-222-226-228-230-231-227-225-223</t>
  </si>
  <si>
    <t>ΨΑΡΟΜΑΤΗ</t>
  </si>
  <si>
    <t>ΑΔΑΜΑΝΤΙΟΣ</t>
  </si>
  <si>
    <t>ΑΒ231298</t>
  </si>
  <si>
    <t>879,9</t>
  </si>
  <si>
    <t>224-221-232-220-219-222-218</t>
  </si>
  <si>
    <t>ΦΡΑΝΤΖΕΤΗΣ</t>
  </si>
  <si>
    <t>ΑΒ248957</t>
  </si>
  <si>
    <t>ΠΑΠΠΑΣ</t>
  </si>
  <si>
    <t>ΑΖ766813</t>
  </si>
  <si>
    <t>675,4</t>
  </si>
  <si>
    <t>875,4</t>
  </si>
  <si>
    <t>226-228-221-217-219-222-224-218-232-220-231-225-230-229-223-227</t>
  </si>
  <si>
    <t>ΒΑΛΛΙΑΝΑΤΟΥ</t>
  </si>
  <si>
    <t>ΑΗ718362</t>
  </si>
  <si>
    <t>875,1</t>
  </si>
  <si>
    <t>218-224-219-226-222-228-221-230-223-229-232-225-220-231-227</t>
  </si>
  <si>
    <t>ΔΗΜΑΣ</t>
  </si>
  <si>
    <t>ΑΒ249361</t>
  </si>
  <si>
    <t>874,6</t>
  </si>
  <si>
    <t>ΑΡΓΥΡΟΠΟΥΛΟΥ</t>
  </si>
  <si>
    <t>ΑΒ874553</t>
  </si>
  <si>
    <t>ΧΡΙΣΤΟΠΟΥΛΟΣ</t>
  </si>
  <si>
    <t>ΑΜ244517</t>
  </si>
  <si>
    <t>873,8</t>
  </si>
  <si>
    <t>ΚΟΥΒΑΡΙΤΑΚΗ</t>
  </si>
  <si>
    <t>Χ096052</t>
  </si>
  <si>
    <t>871,3</t>
  </si>
  <si>
    <t>ΜΟΔΕ</t>
  </si>
  <si>
    <t>Χ804238</t>
  </si>
  <si>
    <t>869,6</t>
  </si>
  <si>
    <t>229-217-222-219-230-226-218-224-228-225-221-220-232-227-231-223</t>
  </si>
  <si>
    <t>ΓΕΜΕΝΕΤΖΗ</t>
  </si>
  <si>
    <t>222-223-221</t>
  </si>
  <si>
    <t>ΑΚ641834</t>
  </si>
  <si>
    <t>866,9</t>
  </si>
  <si>
    <t>230-225-222-229-226-228-223-221-219-217-218-224-220-232-231-227</t>
  </si>
  <si>
    <t>ΚΑΛΙΑΚΟΥΔΑ</t>
  </si>
  <si>
    <t>ΑΜ660309</t>
  </si>
  <si>
    <t>866,4</t>
  </si>
  <si>
    <t>231-221-223-226-220-232-228-224-218-217-219-222-229-230-225-227</t>
  </si>
  <si>
    <t>ΒΑΣΙΛΑΚΗΣ</t>
  </si>
  <si>
    <t>Φ119345</t>
  </si>
  <si>
    <t>633,6</t>
  </si>
  <si>
    <t>863,6</t>
  </si>
  <si>
    <t>NΑΤΑΛΙΑ-ΑΝΑΣΤΑΣΙΑ</t>
  </si>
  <si>
    <t>ΑΑ479604</t>
  </si>
  <si>
    <t>232-225-220-229-231-228-227-223-230-219-222-217-226-218-224-221</t>
  </si>
  <si>
    <t>ΜΑΝΙΑΤΟΠΟΥΛΟΣ</t>
  </si>
  <si>
    <t>ΑΖ110861</t>
  </si>
  <si>
    <t>862,7</t>
  </si>
  <si>
    <t>224-218-225-232-219</t>
  </si>
  <si>
    <t>ΧΡΟΝΗΣ</t>
  </si>
  <si>
    <t>ΑΚ673831</t>
  </si>
  <si>
    <t>224-218-229-230</t>
  </si>
  <si>
    <t>ΧΕΙΛΑΔΑΚΗ</t>
  </si>
  <si>
    <t>ΑΒ489694</t>
  </si>
  <si>
    <t>861,6</t>
  </si>
  <si>
    <t>232-220-224-218-221-228-219-231-225-217-226-227-229-230-222-223</t>
  </si>
  <si>
    <t>ΠΑΠΑΔΟΠΟΥΛΟΥ</t>
  </si>
  <si>
    <t>Χ819139</t>
  </si>
  <si>
    <t>860,1</t>
  </si>
  <si>
    <t>ΠΑΠΑΓΕΡΑ</t>
  </si>
  <si>
    <t>ΠΟΛΥΞΕΝΗ</t>
  </si>
  <si>
    <t>ΑΗ695208</t>
  </si>
  <si>
    <t>855,2</t>
  </si>
  <si>
    <t>221-224-218-223-219-222-226-228-230-217-225-232-229-231-220-227</t>
  </si>
  <si>
    <t>ΙΑΚΩΒΑΚΗΣ</t>
  </si>
  <si>
    <t>ΑΗ995653</t>
  </si>
  <si>
    <t>854,8</t>
  </si>
  <si>
    <t>217-221</t>
  </si>
  <si>
    <t>ΡΙΖΟΥ</t>
  </si>
  <si>
    <t>ΑΜ705056</t>
  </si>
  <si>
    <t>854,3</t>
  </si>
  <si>
    <t>226-228-223-221-222-224-218-230-232</t>
  </si>
  <si>
    <t>ΑΕ519161</t>
  </si>
  <si>
    <t>853,9</t>
  </si>
  <si>
    <t>224-218-219-217-229-230-221-228-226-222-223-225-220-232-227-231</t>
  </si>
  <si>
    <t>ΛΕΙΒΑΔΑΡΑ</t>
  </si>
  <si>
    <t>ΑΜ160385</t>
  </si>
  <si>
    <t>623,7</t>
  </si>
  <si>
    <t>853,7</t>
  </si>
  <si>
    <t>ΣΥΛΛΙΓΑΡΔΟΥ</t>
  </si>
  <si>
    <t>ΑΙ671848</t>
  </si>
  <si>
    <t>852,1</t>
  </si>
  <si>
    <t>ΖΗΣΟΠΟΥΛΟΥ</t>
  </si>
  <si>
    <t>ΑΕ789060</t>
  </si>
  <si>
    <t>851,9</t>
  </si>
  <si>
    <t>226-228-224-221</t>
  </si>
  <si>
    <t>ΚΟΜΙΝΙΑ</t>
  </si>
  <si>
    <t>ΑΑ800974</t>
  </si>
  <si>
    <t>850,2</t>
  </si>
  <si>
    <t>231-221</t>
  </si>
  <si>
    <t>ΜΑΥΡΙΚΟΥ</t>
  </si>
  <si>
    <t>ΑΜ184692</t>
  </si>
  <si>
    <t>849,9</t>
  </si>
  <si>
    <t>224-218-219-217-221-222-229-230-228-231-232-227-225-220-226-223</t>
  </si>
  <si>
    <t>ΚΥΡΚΟΥ</t>
  </si>
  <si>
    <t>ΑΜ425978</t>
  </si>
  <si>
    <t>226-221-228-224-223-218-222-230-219-225-217-229-232</t>
  </si>
  <si>
    <t>ΞΗΡΟΥ</t>
  </si>
  <si>
    <t>ΑΙ754751</t>
  </si>
  <si>
    <t>849,8</t>
  </si>
  <si>
    <t>224-218-221-222-229-220</t>
  </si>
  <si>
    <t>ΡΟΥΣΣΟΣ</t>
  </si>
  <si>
    <t>ΑΒ781303</t>
  </si>
  <si>
    <t>848,9</t>
  </si>
  <si>
    <t>ΣΟΦΟΥΛΑΚΗ</t>
  </si>
  <si>
    <t>ΑΙ441940</t>
  </si>
  <si>
    <t>848,8</t>
  </si>
  <si>
    <t>220-232-221-224-218-219-217-228-222-223-226-227-225-231</t>
  </si>
  <si>
    <t>ΜΑΖΑΡΑΚΗ</t>
  </si>
  <si>
    <t>ΕΡΑΣΜΙΑ</t>
  </si>
  <si>
    <t>ΑΜ086994</t>
  </si>
  <si>
    <t>848,4</t>
  </si>
  <si>
    <t>224-218-219-217-221-229-228-230-222-226-232-220-225-231-223-227</t>
  </si>
  <si>
    <t>ΔΡΑΜΟΥΝΤΑΝΗ</t>
  </si>
  <si>
    <t>ΑΒ181048</t>
  </si>
  <si>
    <t>845,1</t>
  </si>
  <si>
    <t>232-220-221-224-218</t>
  </si>
  <si>
    <t>ΛΩΤΙΔΟΥ</t>
  </si>
  <si>
    <t>ΑΗ344949</t>
  </si>
  <si>
    <t>843,3</t>
  </si>
  <si>
    <t>221-223-226-229</t>
  </si>
  <si>
    <t>ΦΑΡΜΑΚΑΚΗΣ</t>
  </si>
  <si>
    <t>ΑΙ818570</t>
  </si>
  <si>
    <t>842,5</t>
  </si>
  <si>
    <t>230-221-223-222-219-228-229-232-220-218-224-226</t>
  </si>
  <si>
    <t>ΠΙΚΙΟΥ</t>
  </si>
  <si>
    <t>ΜΑΡΙΚΑ</t>
  </si>
  <si>
    <t>ΑΚ367851</t>
  </si>
  <si>
    <t>842,1</t>
  </si>
  <si>
    <t>224-218-229-217-228-221-230-219-227-222-220-232-223-225-226-231</t>
  </si>
  <si>
    <t>ΠΑΛΙΟΥΡΑ</t>
  </si>
  <si>
    <t>Σ352627</t>
  </si>
  <si>
    <t>841,3</t>
  </si>
  <si>
    <t>224-221-223-218-222-232-220-226-228-229-219</t>
  </si>
  <si>
    <t>ΚΟΥΛΑΛΗ</t>
  </si>
  <si>
    <t>ΚΩΝ/ΝΟΣ</t>
  </si>
  <si>
    <t>ΑΜ719088</t>
  </si>
  <si>
    <t>839,7</t>
  </si>
  <si>
    <t>223-228-226-221-219-232-229-222-230-220-217</t>
  </si>
  <si>
    <t>ΜΟΥΤΟΠΟΥΛΟΥ</t>
  </si>
  <si>
    <t>ΑΖ720079</t>
  </si>
  <si>
    <t>836,7</t>
  </si>
  <si>
    <t>230-224-222-218-229</t>
  </si>
  <si>
    <t>ΚΑΤΣΙΝΑ</t>
  </si>
  <si>
    <t>ΑΒ161284</t>
  </si>
  <si>
    <t>836,6</t>
  </si>
  <si>
    <t>ΜΑΝΘΑ</t>
  </si>
  <si>
    <t>ΑΗ273761</t>
  </si>
  <si>
    <t>836,3</t>
  </si>
  <si>
    <t>219-222-226-228-221-224-218-217-223-230-229-220-232-225-227-231</t>
  </si>
  <si>
    <t>ΑΕ721012</t>
  </si>
  <si>
    <t>834,8</t>
  </si>
  <si>
    <t>224-218-222-221-230-229-226-219-217-223-228-225-231-232-220-227</t>
  </si>
  <si>
    <t>ΖΑΠΟΥΝΙΔΟΥ</t>
  </si>
  <si>
    <t>ΑΗ154377</t>
  </si>
  <si>
    <t>833,3</t>
  </si>
  <si>
    <t>221-223-226-228-224-222-218-217-219</t>
  </si>
  <si>
    <t>ΚΕΡΜΕΛΙΩΤΟΥ</t>
  </si>
  <si>
    <t>ΑΖ587416</t>
  </si>
  <si>
    <t>832,2</t>
  </si>
  <si>
    <t>226-228-224-218-221-219-231-232-220-217</t>
  </si>
  <si>
    <t>ΚΑΡΑΛΗ</t>
  </si>
  <si>
    <t>ΑΖ668197</t>
  </si>
  <si>
    <t>831,9</t>
  </si>
  <si>
    <t>ΣΚΛΑΒΟΥΝΟΥ</t>
  </si>
  <si>
    <t>ΒΑΡΒΑΡΑ-ΑΛΚΗΣΤΙΣ</t>
  </si>
  <si>
    <t>ΠΑΤΡΟΚΛΟΣ</t>
  </si>
  <si>
    <t>ΑΗ632032</t>
  </si>
  <si>
    <t>224-218-219-220-232-221-228-217-226-231-222-225-230-223-229-227</t>
  </si>
  <si>
    <t>ΑΗ671912</t>
  </si>
  <si>
    <t>829,3</t>
  </si>
  <si>
    <t>221-228-223-226-225-218-224-222-220-232-230-217-231-219-227-229</t>
  </si>
  <si>
    <t>ΝΤΖΙΦΑ</t>
  </si>
  <si>
    <t>Φ102967</t>
  </si>
  <si>
    <t>828,2</t>
  </si>
  <si>
    <t>Σιαφάκας</t>
  </si>
  <si>
    <t>Κωνσταντίνος</t>
  </si>
  <si>
    <t>ΑΚ901124</t>
  </si>
  <si>
    <t>826,8</t>
  </si>
  <si>
    <t>228-221-224-226-218-222</t>
  </si>
  <si>
    <t>ΚΟΤΣΗ</t>
  </si>
  <si>
    <t>ΑΗ629532</t>
  </si>
  <si>
    <t>825,7</t>
  </si>
  <si>
    <t>224-218-217-219-225-222-220-221-223-226-227-228-229-230-231-232</t>
  </si>
  <si>
    <t>ΝΙΚΟΠΟΥΛΟΥ</t>
  </si>
  <si>
    <t xml:space="preserve">ΦΩΤΕΙΝΗ </t>
  </si>
  <si>
    <t>ΔΗΜΗTΡΙΟΣ</t>
  </si>
  <si>
    <t>Σ368972</t>
  </si>
  <si>
    <t>825,3</t>
  </si>
  <si>
    <t>217-218-219-221-222-224-230</t>
  </si>
  <si>
    <t>ΑΕ030093</t>
  </si>
  <si>
    <t>824,9</t>
  </si>
  <si>
    <t>224-218-219-221-229-217-232-220-222-230-228-226-225-223</t>
  </si>
  <si>
    <t>ΣΤΑΥΡΟΠΟΥΛΟΥ</t>
  </si>
  <si>
    <t>ΑΖ200568</t>
  </si>
  <si>
    <t>824,6</t>
  </si>
  <si>
    <t>228-229-224-218-222-230-226-219-217-221-223-232-220-231-225-227</t>
  </si>
  <si>
    <t>ΗΡΓΗ</t>
  </si>
  <si>
    <t>Χ879268</t>
  </si>
  <si>
    <t>221-222-226-228-232-220-223-225-230-229-224-219-218-231</t>
  </si>
  <si>
    <t>ΛΑΖΟΥ</t>
  </si>
  <si>
    <t>ΜΑΡΙΑΛΕΝΑ</t>
  </si>
  <si>
    <t>ΑΖ310294</t>
  </si>
  <si>
    <t>774,4</t>
  </si>
  <si>
    <t>824,4</t>
  </si>
  <si>
    <t>ΠΑΠΑΓΙΑΝΝΗ</t>
  </si>
  <si>
    <t xml:space="preserve">ΕΛΕΥΘΕΡΙΑ </t>
  </si>
  <si>
    <t>ΧΡΙΣΤΟΦΟΡΟΣ</t>
  </si>
  <si>
    <t>ΑΗ049672</t>
  </si>
  <si>
    <t>824,2</t>
  </si>
  <si>
    <t>221-218-224</t>
  </si>
  <si>
    <t>ΒΑΡΤΖΩΚΑ</t>
  </si>
  <si>
    <t>ΑΖ291363</t>
  </si>
  <si>
    <t>823,5</t>
  </si>
  <si>
    <t>221-222-228-226-230-223-232-220-225-231</t>
  </si>
  <si>
    <t>ΚΑΡΑΝΤΖΟΥΛΗΣ</t>
  </si>
  <si>
    <t>Χ284867</t>
  </si>
  <si>
    <t>822,1</t>
  </si>
  <si>
    <t>224-218-229-219-221-222-226-228-230-223-232-220-217</t>
  </si>
  <si>
    <t>ΚΟΓΙΑΣ</t>
  </si>
  <si>
    <t>ΑΙ128972</t>
  </si>
  <si>
    <t>821,3</t>
  </si>
  <si>
    <t>224-218-219-217-226-221-222-223-228-229-230-232-220-225-227-231</t>
  </si>
  <si>
    <t>Χ811910</t>
  </si>
  <si>
    <t>820,1</t>
  </si>
  <si>
    <t>217-219-225-227-231-232-229-230-228-223-220-222-226-221-218-224</t>
  </si>
  <si>
    <t>ΚΡΑΣΑΚΗ</t>
  </si>
  <si>
    <t>ΑΒ184411</t>
  </si>
  <si>
    <t>819,2</t>
  </si>
  <si>
    <t>220-221-232</t>
  </si>
  <si>
    <t>ΒΑΣΙΛΙΚΙΩΤΗ</t>
  </si>
  <si>
    <t>ΑΖ504826</t>
  </si>
  <si>
    <t>819,1</t>
  </si>
  <si>
    <t>ΠΕΤΡΑΚΗ</t>
  </si>
  <si>
    <t>ΑΙ551894</t>
  </si>
  <si>
    <t>ΑΚ763801</t>
  </si>
  <si>
    <t>ΓΙΔΑΡΗ-ΓΟΥΝΑΡΙΔΟΥ</t>
  </si>
  <si>
    <t>ΑΒ872364</t>
  </si>
  <si>
    <t>815,8</t>
  </si>
  <si>
    <t>221-226-224-218-223-217-219-220-222-228-230-229-232</t>
  </si>
  <si>
    <t>ΝΤΑΜΠΑΝΗΣ</t>
  </si>
  <si>
    <t>Σ312096</t>
  </si>
  <si>
    <t>814,7</t>
  </si>
  <si>
    <t>ΚΑΒΒΑΛΑΚΗΣ</t>
  </si>
  <si>
    <t>ΑΚ479546</t>
  </si>
  <si>
    <t>814,6</t>
  </si>
  <si>
    <t>231-220-221-232-224-218-222-219-225-226-227-223-228-229-230</t>
  </si>
  <si>
    <t>ΛΑΔΑ</t>
  </si>
  <si>
    <t>ΠΑΡΑΣΧΟΣ</t>
  </si>
  <si>
    <t>Χ750160</t>
  </si>
  <si>
    <t>814,3</t>
  </si>
  <si>
    <t>ΘΕΟΔΩΡΟΠΟΥΛΟΥ</t>
  </si>
  <si>
    <t>Π740960</t>
  </si>
  <si>
    <t>812,8</t>
  </si>
  <si>
    <t>224-218-219-229-232-220-221-222-228-230-223-226-227-225-231</t>
  </si>
  <si>
    <t>ΛΙΤΣΑΣ</t>
  </si>
  <si>
    <t>ΑΚ735956</t>
  </si>
  <si>
    <t>229-224-218-221-219-223-231-232-220-222-228-226-225-230-217-227</t>
  </si>
  <si>
    <t>ΚΟΥΤΡΑ</t>
  </si>
  <si>
    <t>ΑΖ662629</t>
  </si>
  <si>
    <t>809,9</t>
  </si>
  <si>
    <t>223-221-228-226-222-232-220-225-217-231-227-218-224-229-230-219</t>
  </si>
  <si>
    <t>ΓΟΛΕΓΟΥ</t>
  </si>
  <si>
    <t>ΑΕ734960</t>
  </si>
  <si>
    <t>808,1</t>
  </si>
  <si>
    <t>224-228-229</t>
  </si>
  <si>
    <t>ΤΣΙΠΡΑΣ</t>
  </si>
  <si>
    <t>ΑΒ025129</t>
  </si>
  <si>
    <t>224-218-219-217-221-222-226-229-228-230-220-232-225-223-231-227</t>
  </si>
  <si>
    <t>ΚΑΛΑΙΤΖΗΣ</t>
  </si>
  <si>
    <t>ΑΗ655380</t>
  </si>
  <si>
    <t>804,4</t>
  </si>
  <si>
    <t>223-221-231-227-225-228-232-220-219-218-217-224-226-229-222-230</t>
  </si>
  <si>
    <t>ΑΘΑΝΑΣΙΑΔΟΥ</t>
  </si>
  <si>
    <t>ΑΕ335044</t>
  </si>
  <si>
    <t>803,6</t>
  </si>
  <si>
    <t>221-226-223-222-228-225-230-229-224-218-219-217-232-220-231-227</t>
  </si>
  <si>
    <t>ΜΙΧΑΛΟΠΟΥΛΟΣ</t>
  </si>
  <si>
    <t>ΑΚ358848</t>
  </si>
  <si>
    <t>803,3</t>
  </si>
  <si>
    <t>229-219-228-232-224-218-220-221-217-222-230-223</t>
  </si>
  <si>
    <t>ΒΡΙΖΑΣ</t>
  </si>
  <si>
    <t>ΑΗ413308</t>
  </si>
  <si>
    <t>801,1</t>
  </si>
  <si>
    <t>ΑΠΟΣΤΟΛΟΥ</t>
  </si>
  <si>
    <t>Χ368551</t>
  </si>
  <si>
    <t>800,9</t>
  </si>
  <si>
    <t>223-221-224-222</t>
  </si>
  <si>
    <t>ΒΕΝΤΗ</t>
  </si>
  <si>
    <t>ΑΦΡΟΔΙΤΗ</t>
  </si>
  <si>
    <t>Τ151811</t>
  </si>
  <si>
    <t>ΠΟΥΛΑΚΗΣ</t>
  </si>
  <si>
    <t>ΑΚ038084</t>
  </si>
  <si>
    <t>ΝΤΟΥΡΟΥΤΛΗΣ</t>
  </si>
  <si>
    <t>Χ891351</t>
  </si>
  <si>
    <t>798,2</t>
  </si>
  <si>
    <t>221-228-222-226-224-218-232-220-223-230-219-229-217</t>
  </si>
  <si>
    <t>ΛΩΛΗ</t>
  </si>
  <si>
    <t>ΜΑΡΙΑΝΘΗ</t>
  </si>
  <si>
    <t>ΑΙ297495</t>
  </si>
  <si>
    <t>797,8</t>
  </si>
  <si>
    <t>226-222-228-221-230-225-217-219-223-218-224-229-232-220-231-227</t>
  </si>
  <si>
    <t>Χ875033</t>
  </si>
  <si>
    <t>795,6</t>
  </si>
  <si>
    <t>226-228-224-218-221-222-230-219-225-223-229-220-232-227-231</t>
  </si>
  <si>
    <t>ΓΚΙΒΑΛΟΣ</t>
  </si>
  <si>
    <t>ΑΒ211820</t>
  </si>
  <si>
    <t>224-218-221-222</t>
  </si>
  <si>
    <t>ΚΑΛΛΑΣ</t>
  </si>
  <si>
    <t>ΒΡΑΣΙΔΑΣ</t>
  </si>
  <si>
    <t>Χ539921</t>
  </si>
  <si>
    <t>224-218-232-229-227</t>
  </si>
  <si>
    <t>ΠΟΛΙΤΗ</t>
  </si>
  <si>
    <t>ΑΖ220080</t>
  </si>
  <si>
    <t>793,8</t>
  </si>
  <si>
    <t>ΧΟΥΡΔΑΚΗΣ</t>
  </si>
  <si>
    <t>ΑΝ470140</t>
  </si>
  <si>
    <t>793,6</t>
  </si>
  <si>
    <t>224-221-232-220-228-229-223-231-219-227-225-230-218-222-217-226</t>
  </si>
  <si>
    <t>ΓΑΡΑ</t>
  </si>
  <si>
    <t>ΣΤΕΦΑΝΙΑ</t>
  </si>
  <si>
    <t>ΑΚ459323</t>
  </si>
  <si>
    <t>224-218-219-228-221-217-222-226-230-229-232-220-231-227-225-223</t>
  </si>
  <si>
    <t>ΜΠΑΝΤΡΑ</t>
  </si>
  <si>
    <t>Σ040939</t>
  </si>
  <si>
    <t>652,3</t>
  </si>
  <si>
    <t>792,3</t>
  </si>
  <si>
    <t>ΑΙ291888</t>
  </si>
  <si>
    <t>791,6</t>
  </si>
  <si>
    <t>226-221-222</t>
  </si>
  <si>
    <t>ΜΟΥΛΑΤΣΙΩΤΗ</t>
  </si>
  <si>
    <t>ΑΕ523222</t>
  </si>
  <si>
    <t>791,5</t>
  </si>
  <si>
    <t>ΔΑΜΟΥΡΑΣ</t>
  </si>
  <si>
    <t>Χ434238</t>
  </si>
  <si>
    <t>791,4</t>
  </si>
  <si>
    <t>229-218-224-221-222-220-232-219-217-223-225-226-228-230-231-227</t>
  </si>
  <si>
    <t>ΜΠΑΡΚΑΣ</t>
  </si>
  <si>
    <t>ΑΙ780473</t>
  </si>
  <si>
    <t>790,5</t>
  </si>
  <si>
    <t>229-218-224-221-222-228-219-217-230-226-220-232-223-225-227-231</t>
  </si>
  <si>
    <t>ΚΑΠΝΟΠΟΥΛΟΣ</t>
  </si>
  <si>
    <t>Ρ507200</t>
  </si>
  <si>
    <t>789,2</t>
  </si>
  <si>
    <t>224-218-219-217-229-226-222-223-230-228-221-220-232-227-231-225</t>
  </si>
  <si>
    <t>ΜΠΕΛΗΓΙΑΝΝΗΣ</t>
  </si>
  <si>
    <t>Φ234235</t>
  </si>
  <si>
    <t>219-217-224-218</t>
  </si>
  <si>
    <t>ΚΟΥΤΗ</t>
  </si>
  <si>
    <t>ΒΑΓΙΑ</t>
  </si>
  <si>
    <t>ΑΙ 320651</t>
  </si>
  <si>
    <t>788,6</t>
  </si>
  <si>
    <t>ΚΟΛΟΒΟΣ</t>
  </si>
  <si>
    <t>ΑΗ519439</t>
  </si>
  <si>
    <t>788,4</t>
  </si>
  <si>
    <t>224-218-221-217-219-226-223-228-229-222-230-220-232-227-225-231</t>
  </si>
  <si>
    <t>ΓΚΙΚΑΣ</t>
  </si>
  <si>
    <t>ΑΗ078664</t>
  </si>
  <si>
    <t>785,5</t>
  </si>
  <si>
    <t>229-223-218-224</t>
  </si>
  <si>
    <t>ΛΥΚΟΥΡΑ</t>
  </si>
  <si>
    <t>Χ334996</t>
  </si>
  <si>
    <t>ΣΙΩΡΗ</t>
  </si>
  <si>
    <t>ΑΒ596333</t>
  </si>
  <si>
    <t>ΚΛΑΠΑ</t>
  </si>
  <si>
    <t>ΟΥΡΑΝΙΑ</t>
  </si>
  <si>
    <t>ΜΙΛΤΙΑΔΗΣ</t>
  </si>
  <si>
    <t>ΑΗ746098</t>
  </si>
  <si>
    <t>780,4</t>
  </si>
  <si>
    <t>230-222-221-224-218-225-219-217-223-226-228-229-232-220-231-227</t>
  </si>
  <si>
    <t>ΤΕΡΖΗ</t>
  </si>
  <si>
    <t>ΑΙ135103</t>
  </si>
  <si>
    <t>780,2</t>
  </si>
  <si>
    <t>218-224-219-217-229-226</t>
  </si>
  <si>
    <t>ΚΟΝΤΟΥΛΗ</t>
  </si>
  <si>
    <t>Φ053083</t>
  </si>
  <si>
    <t>775,1</t>
  </si>
  <si>
    <t>217-218-224-229-228-232-220-230-226-221-223-222</t>
  </si>
  <si>
    <t>ΜΠΑΡΙΩΤΑΚΗ</t>
  </si>
  <si>
    <t>ΑΚ470913</t>
  </si>
  <si>
    <t>232-220-221-231-224-218-222-219-225-226-227-223-228-229-230-217</t>
  </si>
  <si>
    <t>ΖΟΥΜΠΟΥΛΗ</t>
  </si>
  <si>
    <t>ΣΜΑΡΩ</t>
  </si>
  <si>
    <t>Χ280275</t>
  </si>
  <si>
    <t>226-228-221-219-232-220</t>
  </si>
  <si>
    <t>ΑΛΙΡΗ</t>
  </si>
  <si>
    <t>ΑΚ311191</t>
  </si>
  <si>
    <t>770,3</t>
  </si>
  <si>
    <t>ΑΗ 842267</t>
  </si>
  <si>
    <t>ΝΕΡΟΥΤΣΟΥ</t>
  </si>
  <si>
    <t>ΑΚ531795</t>
  </si>
  <si>
    <t>769,9</t>
  </si>
  <si>
    <t>218-224-221-217-232-228</t>
  </si>
  <si>
    <t>ΚΑΜΠΕΡΗΣ</t>
  </si>
  <si>
    <t>ΑΑ 012934</t>
  </si>
  <si>
    <t>765,2</t>
  </si>
  <si>
    <t>224-218-219-229-217-220-221-222-223-225-226-227-228-230-231-232</t>
  </si>
  <si>
    <t>ΤΣΙΣΤΡΑΚΗ</t>
  </si>
  <si>
    <t>Φ353129</t>
  </si>
  <si>
    <t>761,5</t>
  </si>
  <si>
    <t>224-218-229-221-219-217-222-226-228-230-223</t>
  </si>
  <si>
    <t>ΣΟΥΡΟΥΤΖΙΔΗΣ</t>
  </si>
  <si>
    <t>AM920034</t>
  </si>
  <si>
    <t>760,7</t>
  </si>
  <si>
    <t>223-221-224-218-222-226-228-219-217-230-229-220-232-225-227-231</t>
  </si>
  <si>
    <t>ΠΕΤΡΟΥΛΑΚΗΣ</t>
  </si>
  <si>
    <t>ΑΜ605844</t>
  </si>
  <si>
    <t>224-218-232-220-219</t>
  </si>
  <si>
    <t>ΕΛΕΝΗ ΝΙΚΗ</t>
  </si>
  <si>
    <t>ΑΖ731079</t>
  </si>
  <si>
    <t>758,2</t>
  </si>
  <si>
    <t>229-226-232-221-217-218-219-220-222-223-224-225-227-228-230-231</t>
  </si>
  <si>
    <t>ΓΡΟΠΑΤΣΑΚΗ</t>
  </si>
  <si>
    <t>ΑΚ544836</t>
  </si>
  <si>
    <t>ΛΑΜΠΟΓΛΟΥ</t>
  </si>
  <si>
    <t>Σ789681</t>
  </si>
  <si>
    <t>752,9</t>
  </si>
  <si>
    <t>221-222-223-228-226-230-220-224-218-225-231-229-227-232-219-217</t>
  </si>
  <si>
    <t>ΔΑΣΟΠΟΥΛΟΥ</t>
  </si>
  <si>
    <t>ΑΙ495111</t>
  </si>
  <si>
    <t>749,4</t>
  </si>
  <si>
    <t>217-223-228-229-230-231-232-227-226-224-225-220-219-218-221-222</t>
  </si>
  <si>
    <t>ΑΚ763767</t>
  </si>
  <si>
    <t>746,1</t>
  </si>
  <si>
    <t>232-231-220-219-218-224-217-221-222-223-226-227-228-229-230-225</t>
  </si>
  <si>
    <t>ΚΟΝΤΟΔΗΜΟΣ</t>
  </si>
  <si>
    <t>ΑΗ789339</t>
  </si>
  <si>
    <t>222-221-226-228-223-230-224-218-217-219-220-232-229</t>
  </si>
  <si>
    <t>ΒΛΗΤΑ</t>
  </si>
  <si>
    <t>Χ404549</t>
  </si>
  <si>
    <t>645,7</t>
  </si>
  <si>
    <t>745,7</t>
  </si>
  <si>
    <t>229-221-220-232</t>
  </si>
  <si>
    <t>ΛΟΓΔΑΝΙΔΟΥ</t>
  </si>
  <si>
    <t>ΑΒ883157</t>
  </si>
  <si>
    <t>221-222-223-226-232-220</t>
  </si>
  <si>
    <t>ΦΩΤΗ</t>
  </si>
  <si>
    <t>Χ363541</t>
  </si>
  <si>
    <t>740,6</t>
  </si>
  <si>
    <t>222-230-225-221-228-226-229-218-224-219-217-223</t>
  </si>
  <si>
    <t>ΣΦΑΚΙΑΝΑΚΗΣ</t>
  </si>
  <si>
    <t>Τ330500</t>
  </si>
  <si>
    <t>739,5</t>
  </si>
  <si>
    <t>220-221-223-232-218-224-228</t>
  </si>
  <si>
    <t>ΒΑΝΔΟΥΛΑΚΗ</t>
  </si>
  <si>
    <t>ΜΑΡΘΑ</t>
  </si>
  <si>
    <t>ΑΑ493831</t>
  </si>
  <si>
    <t>677,6</t>
  </si>
  <si>
    <t>737,6</t>
  </si>
  <si>
    <t>232-220-221-223-224-222-225-228-229-230-226-227-231</t>
  </si>
  <si>
    <t>ΚΑΤΣΙΚΗ</t>
  </si>
  <si>
    <t>Χ991337</t>
  </si>
  <si>
    <t>686,4</t>
  </si>
  <si>
    <t>736,4</t>
  </si>
  <si>
    <t>ΠΕΝΤΟΤΗ</t>
  </si>
  <si>
    <t>ΑΜ098605</t>
  </si>
  <si>
    <t>735,1</t>
  </si>
  <si>
    <t>218-224-229-219-221-228-230-226-225-222-217-223-232-220-231-227</t>
  </si>
  <si>
    <t>ΚΟΖΑΡΗ</t>
  </si>
  <si>
    <t>ΑΒ859021</t>
  </si>
  <si>
    <t>734,2</t>
  </si>
  <si>
    <t>ΣΤΑΛΙΝ</t>
  </si>
  <si>
    <t>ΑΗ277446</t>
  </si>
  <si>
    <t>228-226-223-224-229</t>
  </si>
  <si>
    <t>ΣΦΕΤΣΙΟΥ</t>
  </si>
  <si>
    <t>ΑΗ284594</t>
  </si>
  <si>
    <t>730,7</t>
  </si>
  <si>
    <t>224-226-228-218-219-217-221-223-222-230-232-220-229</t>
  </si>
  <si>
    <t>Ρ748724</t>
  </si>
  <si>
    <t>221-223-226-228-217-222-224-218-230-219-229</t>
  </si>
  <si>
    <t>ΛΕΟΝΤΑΡΙΔΟΥ</t>
  </si>
  <si>
    <t>ΦΑΙΔΡΑ</t>
  </si>
  <si>
    <t>ΑΑ021322</t>
  </si>
  <si>
    <t>698,5</t>
  </si>
  <si>
    <t>728,5</t>
  </si>
  <si>
    <t>ΠΛΕΣΣΑ</t>
  </si>
  <si>
    <t>Χ521632</t>
  </si>
  <si>
    <t>725,6</t>
  </si>
  <si>
    <t>ΚΟΚΚΟΡΕΛΗ</t>
  </si>
  <si>
    <t>Χ310000</t>
  </si>
  <si>
    <t>716,4</t>
  </si>
  <si>
    <t>ΠΑΝΟΥΡΓΙΑΣ</t>
  </si>
  <si>
    <t>ΑΗ991565</t>
  </si>
  <si>
    <t>715,3</t>
  </si>
  <si>
    <t>217-224-218-219-226-222</t>
  </si>
  <si>
    <t>ΔΕΚΑΡΙΣΤΟΥ</t>
  </si>
  <si>
    <t>ΜΙΧΑΗΛ-ΚΩΝΣΤΑΝΤΙΝΟΣ</t>
  </si>
  <si>
    <t>ΑΕ564830</t>
  </si>
  <si>
    <t>710,2</t>
  </si>
  <si>
    <t>ΚΟΣΜΑΤΟΣ</t>
  </si>
  <si>
    <t>ΔΙΟΑΝΥΣΙΟΣ</t>
  </si>
  <si>
    <t>ΑΑ400089</t>
  </si>
  <si>
    <t>222-218-221-226-224-228</t>
  </si>
  <si>
    <t>ΑΝΑΣΤΑΣΟΠΟΥΛΟΣ</t>
  </si>
  <si>
    <t>ΑΚ507926</t>
  </si>
  <si>
    <t>658,9</t>
  </si>
  <si>
    <t>708,9</t>
  </si>
  <si>
    <t>ΚΑΜΠΑΝΤΑΗ</t>
  </si>
  <si>
    <t>ΑΖ870721</t>
  </si>
  <si>
    <t>705,4</t>
  </si>
  <si>
    <t>ΜΑΡΙΑ ΝΕΚΤΑΡΙΑ</t>
  </si>
  <si>
    <t>ΑΒ406186</t>
  </si>
  <si>
    <t>218-224-229-217-219-228-226-221-222-230</t>
  </si>
  <si>
    <t>ΑΛΕΞΑΚΟΥ</t>
  </si>
  <si>
    <t>ΕΥΡΥΔΙΚΗ</t>
  </si>
  <si>
    <t>ΑΜ530674</t>
  </si>
  <si>
    <t>639,1</t>
  </si>
  <si>
    <t>699,1</t>
  </si>
  <si>
    <t>224-218-229-219-217-228-221-226-222-230-223-220-232</t>
  </si>
  <si>
    <t>ΣΟΥΣΟΥΝΗ</t>
  </si>
  <si>
    <t>ΑΗ535013</t>
  </si>
  <si>
    <t>694,8</t>
  </si>
  <si>
    <t>224-218-219-217-229-228-226-221-232-220-230-222-223</t>
  </si>
  <si>
    <t>ΜΙΧΑΛΕΛΗ</t>
  </si>
  <si>
    <t>Φ330272</t>
  </si>
  <si>
    <t>694,4</t>
  </si>
  <si>
    <t>ΝΙΚΗΤΟΠΟΥΛΟΥ</t>
  </si>
  <si>
    <t>Χ286976</t>
  </si>
  <si>
    <t>692,2</t>
  </si>
  <si>
    <t>224-229-218-219-223-217-226-232-228-220-221-231-230-227-225-222</t>
  </si>
  <si>
    <t>ΑΛΕΞΙΟΥ</t>
  </si>
  <si>
    <t>ΕΛΕΝΗ ΑΙΚΑΤΕΡΙΝΗ</t>
  </si>
  <si>
    <t>ΑΙ479491</t>
  </si>
  <si>
    <t>630,3</t>
  </si>
  <si>
    <t>690,3</t>
  </si>
  <si>
    <t>224-218-217-228-226-219-221-223-222-229-232-220</t>
  </si>
  <si>
    <t>ΠΑΝΑΓΙΩΤΟΥ</t>
  </si>
  <si>
    <t>ΑΙ292657</t>
  </si>
  <si>
    <t>654,5</t>
  </si>
  <si>
    <t>684,5</t>
  </si>
  <si>
    <t>226-228-221-230-222-217-219</t>
  </si>
  <si>
    <t>ΑΕ638242</t>
  </si>
  <si>
    <t>653,4</t>
  </si>
  <si>
    <t>683,4</t>
  </si>
  <si>
    <t>218-224-223-219</t>
  </si>
  <si>
    <t>ΜΑΡΓΙΩΡΑ</t>
  </si>
  <si>
    <t>ΑΗ351082</t>
  </si>
  <si>
    <t>681,2</t>
  </si>
  <si>
    <t>221-223-228-232-226-222</t>
  </si>
  <si>
    <t>ΑΓΑΘΑΓΓΕΛΟΥ</t>
  </si>
  <si>
    <t>ΑΗ157088</t>
  </si>
  <si>
    <t>675,7</t>
  </si>
  <si>
    <t>221-218-224-226-217-223-228-222-219-230-225-227-232-229-231</t>
  </si>
  <si>
    <t>ΜΠΑΚΑΛΙΟΣ</t>
  </si>
  <si>
    <t>ΑΚ342109</t>
  </si>
  <si>
    <t>644,6</t>
  </si>
  <si>
    <t>674,6</t>
  </si>
  <si>
    <t>217-218-219-222-229-230-228-225-226-227-220-221-223-224-231-232</t>
  </si>
  <si>
    <t>ΚΑΤΣΙΜΠΡΑ</t>
  </si>
  <si>
    <t>ΑΜ004632</t>
  </si>
  <si>
    <t>666,9</t>
  </si>
  <si>
    <t>224-222-221-220-219-230-218-226-232-229-228-223</t>
  </si>
  <si>
    <t>ΑΙ253798</t>
  </si>
  <si>
    <t>635,8</t>
  </si>
  <si>
    <t>665,8</t>
  </si>
  <si>
    <t>ΓΑΜΒΡΙΛΗΣ</t>
  </si>
  <si>
    <t>ΑΗ604242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</si>
  <si>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</si>
  <si>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</si>
  <si>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</si>
  <si>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</si>
  <si>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</si>
  <si>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</si>
  <si>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</si>
  <si>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</si>
  <si>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</si>
  <si>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</si>
  <si>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</si>
  <si>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</si>
  <si>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2</t>
  </si>
  <si>
    <t>14:ΑΛΛΗ ΓΛΩΣΣΑ 1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</si>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</sst>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79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199</v>
      </c>
      <c r="C8" t="s">
        <v>13</v>
      </c>
      <c r="D8" t="s">
        <v>14</v>
      </c>
      <c r="E8" t="s">
        <v>15</v>
      </c>
      <c r="F8" t="s">
        <v>16</v>
      </c>
      <c r="G8" t="str">
        <f>"201510000501"</f>
        <v>201510000501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70</v>
      </c>
      <c r="X8">
        <v>0</v>
      </c>
      <c r="Y8" t="s">
        <v>18</v>
      </c>
    </row>
    <row r="9" spans="1:25" x14ac:dyDescent="0.25">
      <c r="H9" t="s">
        <v>19</v>
      </c>
    </row>
    <row r="10" spans="1:25" x14ac:dyDescent="0.25">
      <c r="A10">
        <v>2</v>
      </c>
      <c r="B10">
        <v>2299</v>
      </c>
      <c r="C10" t="s">
        <v>20</v>
      </c>
      <c r="D10" t="s">
        <v>21</v>
      </c>
      <c r="E10" t="s">
        <v>22</v>
      </c>
      <c r="F10" t="s">
        <v>23</v>
      </c>
      <c r="G10" t="str">
        <f>"201504004679"</f>
        <v>201504004679</v>
      </c>
      <c r="H10" t="s">
        <v>24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X10">
        <v>0</v>
      </c>
      <c r="Y10" t="s">
        <v>25</v>
      </c>
    </row>
    <row r="11" spans="1:25" x14ac:dyDescent="0.25">
      <c r="H11" t="s">
        <v>26</v>
      </c>
    </row>
    <row r="12" spans="1:25" x14ac:dyDescent="0.25">
      <c r="A12">
        <v>3</v>
      </c>
      <c r="B12">
        <v>2710</v>
      </c>
      <c r="C12" t="s">
        <v>27</v>
      </c>
      <c r="D12" t="s">
        <v>21</v>
      </c>
      <c r="E12" t="s">
        <v>28</v>
      </c>
      <c r="F12" t="s">
        <v>29</v>
      </c>
      <c r="G12" t="str">
        <f>"201504004469"</f>
        <v>201504004469</v>
      </c>
      <c r="H12" t="s">
        <v>30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50</v>
      </c>
      <c r="P12">
        <v>70</v>
      </c>
      <c r="Q12">
        <v>0</v>
      </c>
      <c r="R12">
        <v>0</v>
      </c>
      <c r="S12">
        <v>0</v>
      </c>
      <c r="T12">
        <v>0</v>
      </c>
      <c r="U12">
        <v>0</v>
      </c>
      <c r="X12">
        <v>0</v>
      </c>
      <c r="Y12" t="s">
        <v>31</v>
      </c>
    </row>
    <row r="13" spans="1:25" x14ac:dyDescent="0.25">
      <c r="H13" t="s">
        <v>32</v>
      </c>
    </row>
    <row r="14" spans="1:25" x14ac:dyDescent="0.25">
      <c r="A14">
        <v>4</v>
      </c>
      <c r="B14">
        <v>3231</v>
      </c>
      <c r="C14" t="s">
        <v>33</v>
      </c>
      <c r="D14" t="s">
        <v>34</v>
      </c>
      <c r="E14" t="s">
        <v>21</v>
      </c>
      <c r="F14" t="s">
        <v>35</v>
      </c>
      <c r="G14" t="str">
        <f>"200810001163"</f>
        <v>200810001163</v>
      </c>
      <c r="H14" t="s">
        <v>36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70</v>
      </c>
      <c r="P14">
        <v>0</v>
      </c>
      <c r="Q14">
        <v>30</v>
      </c>
      <c r="R14">
        <v>0</v>
      </c>
      <c r="S14">
        <v>0</v>
      </c>
      <c r="T14">
        <v>0</v>
      </c>
      <c r="U14">
        <v>0</v>
      </c>
      <c r="X14">
        <v>0</v>
      </c>
      <c r="Y14" t="s">
        <v>37</v>
      </c>
    </row>
    <row r="15" spans="1:25" x14ac:dyDescent="0.25">
      <c r="H15" t="s">
        <v>38</v>
      </c>
    </row>
    <row r="16" spans="1:25" x14ac:dyDescent="0.25">
      <c r="A16">
        <v>5</v>
      </c>
      <c r="B16">
        <v>2737</v>
      </c>
      <c r="C16" t="s">
        <v>39</v>
      </c>
      <c r="D16" t="s">
        <v>40</v>
      </c>
      <c r="E16" t="s">
        <v>41</v>
      </c>
      <c r="F16" t="s">
        <v>42</v>
      </c>
      <c r="G16" t="str">
        <f>"00014858"</f>
        <v>00014858</v>
      </c>
      <c r="H16" t="s">
        <v>43</v>
      </c>
      <c r="I16">
        <v>150</v>
      </c>
      <c r="J16">
        <v>400</v>
      </c>
      <c r="K16">
        <v>0</v>
      </c>
      <c r="L16">
        <v>260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X16">
        <v>0</v>
      </c>
      <c r="Y16" t="s">
        <v>44</v>
      </c>
    </row>
    <row r="17" spans="1:25" x14ac:dyDescent="0.25">
      <c r="H17" t="s">
        <v>45</v>
      </c>
    </row>
    <row r="18" spans="1:25" x14ac:dyDescent="0.25">
      <c r="A18">
        <v>6</v>
      </c>
      <c r="B18">
        <v>1402</v>
      </c>
      <c r="C18" t="s">
        <v>46</v>
      </c>
      <c r="D18" t="s">
        <v>47</v>
      </c>
      <c r="E18" t="s">
        <v>48</v>
      </c>
      <c r="F18" t="s">
        <v>49</v>
      </c>
      <c r="G18" t="str">
        <f>"201504001059"</f>
        <v>201504001059</v>
      </c>
      <c r="H18" t="s">
        <v>50</v>
      </c>
      <c r="I18">
        <v>0</v>
      </c>
      <c r="J18">
        <v>400</v>
      </c>
      <c r="K18">
        <v>0</v>
      </c>
      <c r="L18">
        <v>0</v>
      </c>
      <c r="M18">
        <v>0</v>
      </c>
      <c r="N18">
        <v>70</v>
      </c>
      <c r="O18">
        <v>70</v>
      </c>
      <c r="P18">
        <v>70</v>
      </c>
      <c r="Q18">
        <v>0</v>
      </c>
      <c r="R18">
        <v>0</v>
      </c>
      <c r="S18">
        <v>0</v>
      </c>
      <c r="T18">
        <v>0</v>
      </c>
      <c r="U18">
        <v>0</v>
      </c>
      <c r="X18">
        <v>0</v>
      </c>
      <c r="Y18" t="s">
        <v>51</v>
      </c>
    </row>
    <row r="19" spans="1:25" x14ac:dyDescent="0.25">
      <c r="H19" t="s">
        <v>52</v>
      </c>
    </row>
    <row r="20" spans="1:25" x14ac:dyDescent="0.25">
      <c r="A20">
        <v>7</v>
      </c>
      <c r="B20">
        <v>2992</v>
      </c>
      <c r="C20" t="s">
        <v>53</v>
      </c>
      <c r="D20" t="s">
        <v>54</v>
      </c>
      <c r="E20" t="s">
        <v>41</v>
      </c>
      <c r="F20" t="s">
        <v>55</v>
      </c>
      <c r="G20" t="str">
        <f>"00013406"</f>
        <v>00013406</v>
      </c>
      <c r="H20" t="s">
        <v>56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50</v>
      </c>
      <c r="Q20">
        <v>0</v>
      </c>
      <c r="R20">
        <v>0</v>
      </c>
      <c r="S20">
        <v>0</v>
      </c>
      <c r="T20">
        <v>0</v>
      </c>
      <c r="U20">
        <v>0</v>
      </c>
      <c r="X20">
        <v>1</v>
      </c>
      <c r="Y20" t="s">
        <v>57</v>
      </c>
    </row>
    <row r="21" spans="1:25" x14ac:dyDescent="0.25">
      <c r="H21">
        <v>224</v>
      </c>
    </row>
    <row r="22" spans="1:25" x14ac:dyDescent="0.25">
      <c r="A22">
        <v>8</v>
      </c>
      <c r="B22">
        <v>1525</v>
      </c>
      <c r="C22" t="s">
        <v>58</v>
      </c>
      <c r="D22" t="s">
        <v>59</v>
      </c>
      <c r="E22" t="s">
        <v>22</v>
      </c>
      <c r="F22" t="s">
        <v>60</v>
      </c>
      <c r="G22" t="str">
        <f>"00011843"</f>
        <v>00011843</v>
      </c>
      <c r="H22" t="s">
        <v>61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50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X22">
        <v>0</v>
      </c>
      <c r="Y22" t="s">
        <v>62</v>
      </c>
    </row>
    <row r="23" spans="1:25" x14ac:dyDescent="0.25">
      <c r="H23" t="s">
        <v>63</v>
      </c>
    </row>
    <row r="24" spans="1:25" x14ac:dyDescent="0.25">
      <c r="A24">
        <v>9</v>
      </c>
      <c r="B24">
        <v>1304</v>
      </c>
      <c r="C24" t="s">
        <v>64</v>
      </c>
      <c r="D24" t="s">
        <v>65</v>
      </c>
      <c r="E24" t="s">
        <v>66</v>
      </c>
      <c r="F24" t="s">
        <v>67</v>
      </c>
      <c r="G24" t="str">
        <f>"00013960"</f>
        <v>00013960</v>
      </c>
      <c r="H24" t="s">
        <v>68</v>
      </c>
      <c r="I24">
        <v>0</v>
      </c>
      <c r="J24">
        <v>400</v>
      </c>
      <c r="K24">
        <v>0</v>
      </c>
      <c r="L24">
        <v>260</v>
      </c>
      <c r="M24">
        <v>0</v>
      </c>
      <c r="N24">
        <v>70</v>
      </c>
      <c r="O24">
        <v>50</v>
      </c>
      <c r="P24">
        <v>50</v>
      </c>
      <c r="Q24">
        <v>0</v>
      </c>
      <c r="R24">
        <v>0</v>
      </c>
      <c r="S24">
        <v>0</v>
      </c>
      <c r="T24">
        <v>0</v>
      </c>
      <c r="U24">
        <v>0</v>
      </c>
      <c r="X24">
        <v>0</v>
      </c>
      <c r="Y24" t="s">
        <v>62</v>
      </c>
    </row>
    <row r="25" spans="1:25" x14ac:dyDescent="0.25">
      <c r="H25">
        <v>221</v>
      </c>
    </row>
    <row r="26" spans="1:25" x14ac:dyDescent="0.25">
      <c r="A26">
        <v>10</v>
      </c>
      <c r="B26">
        <v>3298</v>
      </c>
      <c r="C26" t="s">
        <v>69</v>
      </c>
      <c r="D26" t="s">
        <v>70</v>
      </c>
      <c r="E26" t="s">
        <v>21</v>
      </c>
      <c r="F26" t="s">
        <v>71</v>
      </c>
      <c r="G26" t="str">
        <f>"201504000586"</f>
        <v>201504000586</v>
      </c>
      <c r="H26" t="s">
        <v>72</v>
      </c>
      <c r="I26">
        <v>0</v>
      </c>
      <c r="J26">
        <v>400</v>
      </c>
      <c r="K26">
        <v>0</v>
      </c>
      <c r="L26">
        <v>260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X26">
        <v>0</v>
      </c>
      <c r="Y26" t="s">
        <v>73</v>
      </c>
    </row>
    <row r="27" spans="1:25" x14ac:dyDescent="0.25">
      <c r="H27" t="s">
        <v>74</v>
      </c>
    </row>
    <row r="28" spans="1:25" x14ac:dyDescent="0.25">
      <c r="A28">
        <v>11</v>
      </c>
      <c r="B28">
        <v>896</v>
      </c>
      <c r="C28" t="s">
        <v>75</v>
      </c>
      <c r="D28" t="s">
        <v>76</v>
      </c>
      <c r="E28" t="s">
        <v>22</v>
      </c>
      <c r="F28" t="s">
        <v>77</v>
      </c>
      <c r="G28" t="str">
        <f>"200802000779"</f>
        <v>200802000779</v>
      </c>
      <c r="H28" t="s">
        <v>78</v>
      </c>
      <c r="I28">
        <v>0</v>
      </c>
      <c r="J28">
        <v>400</v>
      </c>
      <c r="K28">
        <v>0</v>
      </c>
      <c r="L28">
        <v>260</v>
      </c>
      <c r="M28">
        <v>0</v>
      </c>
      <c r="N28">
        <v>70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X28">
        <v>0</v>
      </c>
      <c r="Y28" t="s">
        <v>79</v>
      </c>
    </row>
    <row r="29" spans="1:25" x14ac:dyDescent="0.25">
      <c r="H29" t="s">
        <v>80</v>
      </c>
    </row>
    <row r="30" spans="1:25" x14ac:dyDescent="0.25">
      <c r="A30">
        <v>12</v>
      </c>
      <c r="B30">
        <v>1579</v>
      </c>
      <c r="C30" t="s">
        <v>81</v>
      </c>
      <c r="D30" t="s">
        <v>82</v>
      </c>
      <c r="E30" t="s">
        <v>83</v>
      </c>
      <c r="F30" t="s">
        <v>84</v>
      </c>
      <c r="G30" t="str">
        <f>"00013043"</f>
        <v>00013043</v>
      </c>
      <c r="H30">
        <v>924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30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X30">
        <v>0</v>
      </c>
      <c r="Y30">
        <v>1624</v>
      </c>
    </row>
    <row r="31" spans="1:25" x14ac:dyDescent="0.25">
      <c r="H31" t="s">
        <v>85</v>
      </c>
    </row>
    <row r="32" spans="1:25" x14ac:dyDescent="0.25">
      <c r="A32">
        <v>13</v>
      </c>
      <c r="B32">
        <v>856</v>
      </c>
      <c r="C32" t="s">
        <v>86</v>
      </c>
      <c r="D32" t="s">
        <v>66</v>
      </c>
      <c r="E32" t="s">
        <v>87</v>
      </c>
      <c r="F32" t="s">
        <v>88</v>
      </c>
      <c r="G32" t="str">
        <f>"201406012214"</f>
        <v>201406012214</v>
      </c>
      <c r="H32" t="s">
        <v>89</v>
      </c>
      <c r="I32">
        <v>0</v>
      </c>
      <c r="J32">
        <v>400</v>
      </c>
      <c r="K32">
        <v>0</v>
      </c>
      <c r="L32">
        <v>200</v>
      </c>
      <c r="M32">
        <v>0</v>
      </c>
      <c r="N32">
        <v>30</v>
      </c>
      <c r="O32">
        <v>50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X32">
        <v>0</v>
      </c>
      <c r="Y32" t="s">
        <v>90</v>
      </c>
    </row>
    <row r="33" spans="1:25" x14ac:dyDescent="0.25">
      <c r="H33" t="s">
        <v>91</v>
      </c>
    </row>
    <row r="34" spans="1:25" x14ac:dyDescent="0.25">
      <c r="A34">
        <v>14</v>
      </c>
      <c r="B34">
        <v>1759</v>
      </c>
      <c r="C34" t="s">
        <v>92</v>
      </c>
      <c r="D34" t="s">
        <v>93</v>
      </c>
      <c r="E34" t="s">
        <v>41</v>
      </c>
      <c r="F34" t="s">
        <v>94</v>
      </c>
      <c r="G34" t="str">
        <f>"00011217"</f>
        <v>00011217</v>
      </c>
      <c r="H34" t="s">
        <v>56</v>
      </c>
      <c r="I34">
        <v>0</v>
      </c>
      <c r="J34">
        <v>400</v>
      </c>
      <c r="K34">
        <v>0</v>
      </c>
      <c r="L34">
        <v>200</v>
      </c>
      <c r="M34">
        <v>0</v>
      </c>
      <c r="N34">
        <v>70</v>
      </c>
      <c r="O34">
        <v>0</v>
      </c>
      <c r="P34">
        <v>30</v>
      </c>
      <c r="Q34">
        <v>0</v>
      </c>
      <c r="R34">
        <v>0</v>
      </c>
      <c r="S34">
        <v>0</v>
      </c>
      <c r="T34">
        <v>0</v>
      </c>
      <c r="U34">
        <v>0</v>
      </c>
      <c r="X34">
        <v>0</v>
      </c>
      <c r="Y34" t="s">
        <v>95</v>
      </c>
    </row>
    <row r="35" spans="1:25" x14ac:dyDescent="0.25">
      <c r="H35" t="s">
        <v>96</v>
      </c>
    </row>
    <row r="36" spans="1:25" x14ac:dyDescent="0.25">
      <c r="A36">
        <v>15</v>
      </c>
      <c r="B36">
        <v>2079</v>
      </c>
      <c r="C36" t="s">
        <v>97</v>
      </c>
      <c r="D36" t="s">
        <v>98</v>
      </c>
      <c r="E36" t="s">
        <v>99</v>
      </c>
      <c r="F36" t="s">
        <v>100</v>
      </c>
      <c r="G36" t="str">
        <f>"00012899"</f>
        <v>00012899</v>
      </c>
      <c r="H36" t="s">
        <v>101</v>
      </c>
      <c r="I36">
        <v>0</v>
      </c>
      <c r="J36">
        <v>400</v>
      </c>
      <c r="K36">
        <v>0</v>
      </c>
      <c r="L36">
        <v>200</v>
      </c>
      <c r="M36">
        <v>0</v>
      </c>
      <c r="N36">
        <v>70</v>
      </c>
      <c r="O36">
        <v>0</v>
      </c>
      <c r="P36">
        <v>50</v>
      </c>
      <c r="Q36">
        <v>0</v>
      </c>
      <c r="R36">
        <v>30</v>
      </c>
      <c r="S36">
        <v>0</v>
      </c>
      <c r="T36">
        <v>0</v>
      </c>
      <c r="U36">
        <v>0</v>
      </c>
      <c r="X36">
        <v>2</v>
      </c>
      <c r="Y36" t="s">
        <v>102</v>
      </c>
    </row>
    <row r="37" spans="1:25" x14ac:dyDescent="0.25">
      <c r="H37" t="s">
        <v>103</v>
      </c>
    </row>
    <row r="38" spans="1:25" x14ac:dyDescent="0.25">
      <c r="A38">
        <v>16</v>
      </c>
      <c r="B38">
        <v>1450</v>
      </c>
      <c r="C38" t="s">
        <v>104</v>
      </c>
      <c r="D38" t="s">
        <v>105</v>
      </c>
      <c r="E38" t="s">
        <v>106</v>
      </c>
      <c r="F38" t="s">
        <v>107</v>
      </c>
      <c r="G38" t="str">
        <f>"201503000256"</f>
        <v>201503000256</v>
      </c>
      <c r="H38" t="s">
        <v>108</v>
      </c>
      <c r="I38">
        <v>0</v>
      </c>
      <c r="J38">
        <v>400</v>
      </c>
      <c r="K38">
        <v>0</v>
      </c>
      <c r="L38">
        <v>200</v>
      </c>
      <c r="M38">
        <v>0</v>
      </c>
      <c r="N38">
        <v>70</v>
      </c>
      <c r="O38">
        <v>50</v>
      </c>
      <c r="P38">
        <v>70</v>
      </c>
      <c r="Q38">
        <v>0</v>
      </c>
      <c r="R38">
        <v>0</v>
      </c>
      <c r="S38">
        <v>0</v>
      </c>
      <c r="T38">
        <v>0</v>
      </c>
      <c r="U38">
        <v>0</v>
      </c>
      <c r="X38">
        <v>0</v>
      </c>
      <c r="Y38" t="s">
        <v>109</v>
      </c>
    </row>
    <row r="39" spans="1:25" x14ac:dyDescent="0.25">
      <c r="H39" t="s">
        <v>110</v>
      </c>
    </row>
    <row r="40" spans="1:25" x14ac:dyDescent="0.25">
      <c r="A40">
        <v>17</v>
      </c>
      <c r="B40">
        <v>2358</v>
      </c>
      <c r="C40" t="s">
        <v>111</v>
      </c>
      <c r="D40" t="s">
        <v>112</v>
      </c>
      <c r="E40" t="s">
        <v>112</v>
      </c>
      <c r="F40">
        <v>5158009</v>
      </c>
      <c r="G40" t="str">
        <f>"200811001739"</f>
        <v>200811001739</v>
      </c>
      <c r="H40" t="s">
        <v>113</v>
      </c>
      <c r="I40">
        <v>0</v>
      </c>
      <c r="J40">
        <v>400</v>
      </c>
      <c r="K40">
        <v>0</v>
      </c>
      <c r="L40">
        <v>260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X40">
        <v>0</v>
      </c>
      <c r="Y40" t="s">
        <v>114</v>
      </c>
    </row>
    <row r="41" spans="1:25" x14ac:dyDescent="0.25">
      <c r="H41" t="s">
        <v>115</v>
      </c>
    </row>
    <row r="42" spans="1:25" x14ac:dyDescent="0.25">
      <c r="A42">
        <v>18</v>
      </c>
      <c r="B42">
        <v>1782</v>
      </c>
      <c r="C42" t="s">
        <v>116</v>
      </c>
      <c r="D42" t="s">
        <v>117</v>
      </c>
      <c r="E42" t="s">
        <v>118</v>
      </c>
      <c r="F42" t="s">
        <v>119</v>
      </c>
      <c r="G42" t="str">
        <f>"201511013089"</f>
        <v>201511013089</v>
      </c>
      <c r="H42" t="s">
        <v>120</v>
      </c>
      <c r="I42">
        <v>0</v>
      </c>
      <c r="J42">
        <v>400</v>
      </c>
      <c r="K42">
        <v>0</v>
      </c>
      <c r="L42">
        <v>260</v>
      </c>
      <c r="M42">
        <v>0</v>
      </c>
      <c r="N42">
        <v>50</v>
      </c>
      <c r="O42">
        <v>0</v>
      </c>
      <c r="P42">
        <v>0</v>
      </c>
      <c r="Q42">
        <v>0</v>
      </c>
      <c r="R42">
        <v>50</v>
      </c>
      <c r="S42">
        <v>0</v>
      </c>
      <c r="T42">
        <v>0</v>
      </c>
      <c r="U42">
        <v>0</v>
      </c>
      <c r="X42">
        <v>0</v>
      </c>
      <c r="Y42" t="s">
        <v>121</v>
      </c>
    </row>
    <row r="43" spans="1:25" x14ac:dyDescent="0.25">
      <c r="H43" t="s">
        <v>122</v>
      </c>
    </row>
    <row r="44" spans="1:25" x14ac:dyDescent="0.25">
      <c r="A44">
        <v>19</v>
      </c>
      <c r="B44">
        <v>2151</v>
      </c>
      <c r="C44" t="s">
        <v>123</v>
      </c>
      <c r="D44" t="s">
        <v>41</v>
      </c>
      <c r="E44" t="s">
        <v>124</v>
      </c>
      <c r="F44" t="s">
        <v>125</v>
      </c>
      <c r="G44" t="str">
        <f>"200801005423"</f>
        <v>200801005423</v>
      </c>
      <c r="H44" t="s">
        <v>72</v>
      </c>
      <c r="I44">
        <v>0</v>
      </c>
      <c r="J44">
        <v>400</v>
      </c>
      <c r="K44">
        <v>0</v>
      </c>
      <c r="L44">
        <v>200</v>
      </c>
      <c r="M44">
        <v>30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X44">
        <v>0</v>
      </c>
      <c r="Y44" t="s">
        <v>126</v>
      </c>
    </row>
    <row r="45" spans="1:25" x14ac:dyDescent="0.25">
      <c r="H45" t="s">
        <v>127</v>
      </c>
    </row>
    <row r="46" spans="1:25" x14ac:dyDescent="0.25">
      <c r="A46">
        <v>20</v>
      </c>
      <c r="B46">
        <v>2053</v>
      </c>
      <c r="C46" t="s">
        <v>128</v>
      </c>
      <c r="D46" t="s">
        <v>129</v>
      </c>
      <c r="E46" t="s">
        <v>130</v>
      </c>
      <c r="F46" t="s">
        <v>131</v>
      </c>
      <c r="G46" t="str">
        <f>"200712001997"</f>
        <v>200712001997</v>
      </c>
      <c r="H46" t="s">
        <v>78</v>
      </c>
      <c r="I46">
        <v>0</v>
      </c>
      <c r="J46">
        <v>400</v>
      </c>
      <c r="K46">
        <v>0</v>
      </c>
      <c r="L46">
        <v>260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X46">
        <v>0</v>
      </c>
      <c r="Y46" t="s">
        <v>132</v>
      </c>
    </row>
    <row r="47" spans="1:25" x14ac:dyDescent="0.25">
      <c r="H47" t="s">
        <v>133</v>
      </c>
    </row>
    <row r="48" spans="1:25" x14ac:dyDescent="0.25">
      <c r="A48">
        <v>21</v>
      </c>
      <c r="B48">
        <v>284</v>
      </c>
      <c r="C48" t="s">
        <v>134</v>
      </c>
      <c r="D48" t="s">
        <v>135</v>
      </c>
      <c r="E48" t="s">
        <v>48</v>
      </c>
      <c r="F48" t="s">
        <v>136</v>
      </c>
      <c r="G48" t="str">
        <f>"200801010975"</f>
        <v>200801010975</v>
      </c>
      <c r="H48" t="s">
        <v>137</v>
      </c>
      <c r="I48">
        <v>0</v>
      </c>
      <c r="J48">
        <v>400</v>
      </c>
      <c r="K48">
        <v>0</v>
      </c>
      <c r="L48">
        <v>200</v>
      </c>
      <c r="M48">
        <v>0</v>
      </c>
      <c r="N48">
        <v>70</v>
      </c>
      <c r="O48">
        <v>30</v>
      </c>
      <c r="P48">
        <v>0</v>
      </c>
      <c r="Q48">
        <v>0</v>
      </c>
      <c r="R48">
        <v>50</v>
      </c>
      <c r="S48">
        <v>0</v>
      </c>
      <c r="T48">
        <v>0</v>
      </c>
      <c r="U48">
        <v>0</v>
      </c>
      <c r="X48">
        <v>0</v>
      </c>
      <c r="Y48" t="s">
        <v>138</v>
      </c>
    </row>
    <row r="49" spans="1:25" x14ac:dyDescent="0.25">
      <c r="H49" t="s">
        <v>139</v>
      </c>
    </row>
    <row r="50" spans="1:25" x14ac:dyDescent="0.25">
      <c r="A50">
        <v>22</v>
      </c>
      <c r="B50">
        <v>1679</v>
      </c>
      <c r="C50" t="s">
        <v>140</v>
      </c>
      <c r="D50" t="s">
        <v>141</v>
      </c>
      <c r="E50" t="s">
        <v>130</v>
      </c>
      <c r="F50" t="s">
        <v>142</v>
      </c>
      <c r="G50" t="str">
        <f>"201308000076"</f>
        <v>201308000076</v>
      </c>
      <c r="H50" t="s">
        <v>143</v>
      </c>
      <c r="I50">
        <v>0</v>
      </c>
      <c r="J50">
        <v>400</v>
      </c>
      <c r="K50">
        <v>0</v>
      </c>
      <c r="L50">
        <v>260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X50">
        <v>0</v>
      </c>
      <c r="Y50" t="s">
        <v>144</v>
      </c>
    </row>
    <row r="51" spans="1:25" x14ac:dyDescent="0.25">
      <c r="H51" t="s">
        <v>145</v>
      </c>
    </row>
    <row r="52" spans="1:25" x14ac:dyDescent="0.25">
      <c r="A52">
        <v>23</v>
      </c>
      <c r="B52">
        <v>2021</v>
      </c>
      <c r="C52" t="s">
        <v>146</v>
      </c>
      <c r="D52" t="s">
        <v>147</v>
      </c>
      <c r="E52" t="s">
        <v>106</v>
      </c>
      <c r="F52" t="s">
        <v>148</v>
      </c>
      <c r="G52" t="str">
        <f>"200802005150"</f>
        <v>200802005150</v>
      </c>
      <c r="H52" t="s">
        <v>149</v>
      </c>
      <c r="I52">
        <v>0</v>
      </c>
      <c r="J52">
        <v>400</v>
      </c>
      <c r="K52">
        <v>0</v>
      </c>
      <c r="L52">
        <v>200</v>
      </c>
      <c r="M52">
        <v>0</v>
      </c>
      <c r="N52">
        <v>70</v>
      </c>
      <c r="O52">
        <v>50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X52">
        <v>0</v>
      </c>
      <c r="Y52" t="s">
        <v>150</v>
      </c>
    </row>
    <row r="53" spans="1:25" x14ac:dyDescent="0.25">
      <c r="H53" t="s">
        <v>151</v>
      </c>
    </row>
    <row r="54" spans="1:25" x14ac:dyDescent="0.25">
      <c r="A54">
        <v>24</v>
      </c>
      <c r="B54">
        <v>1581</v>
      </c>
      <c r="C54" t="s">
        <v>152</v>
      </c>
      <c r="D54" t="s">
        <v>48</v>
      </c>
      <c r="E54" t="s">
        <v>124</v>
      </c>
      <c r="F54" t="s">
        <v>153</v>
      </c>
      <c r="G54" t="str">
        <f>"00013697"</f>
        <v>00013697</v>
      </c>
      <c r="H54" t="s">
        <v>154</v>
      </c>
      <c r="I54">
        <v>0</v>
      </c>
      <c r="J54">
        <v>400</v>
      </c>
      <c r="K54">
        <v>0</v>
      </c>
      <c r="L54">
        <v>200</v>
      </c>
      <c r="M54">
        <v>0</v>
      </c>
      <c r="N54">
        <v>70</v>
      </c>
      <c r="O54">
        <v>30</v>
      </c>
      <c r="P54">
        <v>0</v>
      </c>
      <c r="Q54">
        <v>30</v>
      </c>
      <c r="R54">
        <v>0</v>
      </c>
      <c r="S54">
        <v>0</v>
      </c>
      <c r="T54">
        <v>0</v>
      </c>
      <c r="U54">
        <v>0</v>
      </c>
      <c r="X54">
        <v>0</v>
      </c>
      <c r="Y54" t="s">
        <v>155</v>
      </c>
    </row>
    <row r="55" spans="1:25" x14ac:dyDescent="0.25">
      <c r="H55" t="s">
        <v>156</v>
      </c>
    </row>
    <row r="56" spans="1:25" x14ac:dyDescent="0.25">
      <c r="A56">
        <v>25</v>
      </c>
      <c r="B56">
        <v>2342</v>
      </c>
      <c r="C56" t="s">
        <v>157</v>
      </c>
      <c r="D56" t="s">
        <v>106</v>
      </c>
      <c r="E56" t="s">
        <v>158</v>
      </c>
      <c r="F56" t="s">
        <v>159</v>
      </c>
      <c r="G56" t="str">
        <f>"00013572"</f>
        <v>00013572</v>
      </c>
      <c r="H56" t="s">
        <v>160</v>
      </c>
      <c r="I56">
        <v>0</v>
      </c>
      <c r="J56">
        <v>400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30</v>
      </c>
      <c r="S56">
        <v>0</v>
      </c>
      <c r="T56">
        <v>0</v>
      </c>
      <c r="U56">
        <v>0</v>
      </c>
      <c r="X56">
        <v>0</v>
      </c>
      <c r="Y56" t="s">
        <v>161</v>
      </c>
    </row>
    <row r="57" spans="1:25" x14ac:dyDescent="0.25">
      <c r="H57" t="s">
        <v>162</v>
      </c>
    </row>
    <row r="58" spans="1:25" x14ac:dyDescent="0.25">
      <c r="A58">
        <v>26</v>
      </c>
      <c r="B58">
        <v>2064</v>
      </c>
      <c r="C58" t="s">
        <v>163</v>
      </c>
      <c r="D58" t="s">
        <v>93</v>
      </c>
      <c r="E58" t="s">
        <v>22</v>
      </c>
      <c r="F58" t="s">
        <v>164</v>
      </c>
      <c r="G58" t="str">
        <f>"201402012245"</f>
        <v>201402012245</v>
      </c>
      <c r="H58" t="s">
        <v>165</v>
      </c>
      <c r="I58">
        <v>0</v>
      </c>
      <c r="J58">
        <v>400</v>
      </c>
      <c r="K58">
        <v>0</v>
      </c>
      <c r="L58">
        <v>260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X58">
        <v>0</v>
      </c>
      <c r="Y58" t="s">
        <v>166</v>
      </c>
    </row>
    <row r="59" spans="1:25" x14ac:dyDescent="0.25">
      <c r="H59" t="s">
        <v>167</v>
      </c>
    </row>
    <row r="60" spans="1:25" x14ac:dyDescent="0.25">
      <c r="A60">
        <v>27</v>
      </c>
      <c r="B60">
        <v>444</v>
      </c>
      <c r="C60" t="s">
        <v>168</v>
      </c>
      <c r="D60" t="s">
        <v>66</v>
      </c>
      <c r="E60" t="s">
        <v>169</v>
      </c>
      <c r="F60" t="s">
        <v>170</v>
      </c>
      <c r="G60" t="str">
        <f>"00014390"</f>
        <v>00014390</v>
      </c>
      <c r="H60" t="s">
        <v>171</v>
      </c>
      <c r="I60">
        <v>0</v>
      </c>
      <c r="J60">
        <v>400</v>
      </c>
      <c r="K60">
        <v>0</v>
      </c>
      <c r="L60">
        <v>260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X60">
        <v>0</v>
      </c>
      <c r="Y60" t="s">
        <v>172</v>
      </c>
    </row>
    <row r="61" spans="1:25" x14ac:dyDescent="0.25">
      <c r="H61" t="s">
        <v>173</v>
      </c>
    </row>
    <row r="62" spans="1:25" x14ac:dyDescent="0.25">
      <c r="A62">
        <v>28</v>
      </c>
      <c r="B62">
        <v>2902</v>
      </c>
      <c r="C62" t="s">
        <v>174</v>
      </c>
      <c r="D62" t="s">
        <v>175</v>
      </c>
      <c r="E62" t="s">
        <v>176</v>
      </c>
      <c r="F62" t="s">
        <v>177</v>
      </c>
      <c r="G62" t="str">
        <f>"200712001425"</f>
        <v>200712001425</v>
      </c>
      <c r="H62" t="s">
        <v>178</v>
      </c>
      <c r="I62">
        <v>0</v>
      </c>
      <c r="J62">
        <v>400</v>
      </c>
      <c r="K62">
        <v>0</v>
      </c>
      <c r="L62">
        <v>260</v>
      </c>
      <c r="M62">
        <v>0</v>
      </c>
      <c r="N62">
        <v>70</v>
      </c>
      <c r="O62">
        <v>0</v>
      </c>
      <c r="P62">
        <v>0</v>
      </c>
      <c r="Q62">
        <v>30</v>
      </c>
      <c r="R62">
        <v>0</v>
      </c>
      <c r="S62">
        <v>0</v>
      </c>
      <c r="T62">
        <v>0</v>
      </c>
      <c r="U62">
        <v>0</v>
      </c>
      <c r="X62">
        <v>0</v>
      </c>
      <c r="Y62" t="s">
        <v>179</v>
      </c>
    </row>
    <row r="63" spans="1:25" x14ac:dyDescent="0.25">
      <c r="H63" t="s">
        <v>180</v>
      </c>
    </row>
    <row r="64" spans="1:25" x14ac:dyDescent="0.25">
      <c r="A64">
        <v>29</v>
      </c>
      <c r="B64">
        <v>2009</v>
      </c>
      <c r="C64" t="s">
        <v>20</v>
      </c>
      <c r="D64" t="s">
        <v>181</v>
      </c>
      <c r="E64" t="s">
        <v>182</v>
      </c>
      <c r="F64" t="s">
        <v>183</v>
      </c>
      <c r="G64" t="str">
        <f>"00014526"</f>
        <v>00014526</v>
      </c>
      <c r="H64" t="s">
        <v>184</v>
      </c>
      <c r="I64">
        <v>0</v>
      </c>
      <c r="J64">
        <v>400</v>
      </c>
      <c r="K64">
        <v>0</v>
      </c>
      <c r="L64">
        <v>260</v>
      </c>
      <c r="M64">
        <v>0</v>
      </c>
      <c r="N64">
        <v>70</v>
      </c>
      <c r="O64">
        <v>0</v>
      </c>
      <c r="P64">
        <v>0</v>
      </c>
      <c r="Q64">
        <v>30</v>
      </c>
      <c r="R64">
        <v>0</v>
      </c>
      <c r="S64">
        <v>0</v>
      </c>
      <c r="T64">
        <v>0</v>
      </c>
      <c r="U64">
        <v>0</v>
      </c>
      <c r="X64">
        <v>0</v>
      </c>
      <c r="Y64" t="s">
        <v>185</v>
      </c>
    </row>
    <row r="65" spans="1:25" x14ac:dyDescent="0.25">
      <c r="H65" t="s">
        <v>186</v>
      </c>
    </row>
    <row r="66" spans="1:25" x14ac:dyDescent="0.25">
      <c r="A66">
        <v>30</v>
      </c>
      <c r="B66">
        <v>1858</v>
      </c>
      <c r="C66" t="s">
        <v>187</v>
      </c>
      <c r="D66" t="s">
        <v>93</v>
      </c>
      <c r="E66" t="s">
        <v>21</v>
      </c>
      <c r="F66" t="s">
        <v>188</v>
      </c>
      <c r="G66" t="str">
        <f>"200906000668"</f>
        <v>200906000668</v>
      </c>
      <c r="H66">
        <v>924</v>
      </c>
      <c r="I66">
        <v>0</v>
      </c>
      <c r="J66">
        <v>400</v>
      </c>
      <c r="K66">
        <v>0</v>
      </c>
      <c r="L66">
        <v>200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X66">
        <v>0</v>
      </c>
      <c r="Y66">
        <v>1574</v>
      </c>
    </row>
    <row r="67" spans="1:25" x14ac:dyDescent="0.25">
      <c r="H67" t="s">
        <v>52</v>
      </c>
    </row>
    <row r="68" spans="1:25" x14ac:dyDescent="0.25">
      <c r="A68">
        <v>31</v>
      </c>
      <c r="B68">
        <v>2202</v>
      </c>
      <c r="C68" t="s">
        <v>189</v>
      </c>
      <c r="D68" t="s">
        <v>22</v>
      </c>
      <c r="E68" t="s">
        <v>190</v>
      </c>
      <c r="F68" t="s">
        <v>191</v>
      </c>
      <c r="G68" t="str">
        <f>"201412005868"</f>
        <v>201412005868</v>
      </c>
      <c r="H68" t="s">
        <v>89</v>
      </c>
      <c r="I68">
        <v>0</v>
      </c>
      <c r="J68">
        <v>400</v>
      </c>
      <c r="K68">
        <v>0</v>
      </c>
      <c r="L68">
        <v>200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X68">
        <v>0</v>
      </c>
      <c r="Y68" t="s">
        <v>192</v>
      </c>
    </row>
    <row r="69" spans="1:25" x14ac:dyDescent="0.25">
      <c r="H69">
        <v>221</v>
      </c>
    </row>
    <row r="70" spans="1:25" x14ac:dyDescent="0.25">
      <c r="A70">
        <v>32</v>
      </c>
      <c r="B70">
        <v>1804</v>
      </c>
      <c r="C70" t="s">
        <v>193</v>
      </c>
      <c r="D70" t="s">
        <v>194</v>
      </c>
      <c r="E70" t="s">
        <v>21</v>
      </c>
      <c r="F70" t="s">
        <v>195</v>
      </c>
      <c r="G70" t="str">
        <f>"201504002872"</f>
        <v>201504002872</v>
      </c>
      <c r="H70" t="s">
        <v>196</v>
      </c>
      <c r="I70">
        <v>0</v>
      </c>
      <c r="J70">
        <v>400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X70">
        <v>2</v>
      </c>
      <c r="Y70" t="s">
        <v>197</v>
      </c>
    </row>
    <row r="71" spans="1:25" x14ac:dyDescent="0.25">
      <c r="H71" t="s">
        <v>52</v>
      </c>
    </row>
    <row r="72" spans="1:25" x14ac:dyDescent="0.25">
      <c r="A72">
        <v>33</v>
      </c>
      <c r="B72">
        <v>2068</v>
      </c>
      <c r="C72" t="s">
        <v>198</v>
      </c>
      <c r="D72" t="s">
        <v>199</v>
      </c>
      <c r="E72" t="s">
        <v>48</v>
      </c>
      <c r="F72" t="s">
        <v>200</v>
      </c>
      <c r="G72" t="str">
        <f>"00015051"</f>
        <v>00015051</v>
      </c>
      <c r="H72" t="s">
        <v>201</v>
      </c>
      <c r="I72">
        <v>0</v>
      </c>
      <c r="J72">
        <v>400</v>
      </c>
      <c r="K72">
        <v>0</v>
      </c>
      <c r="L72">
        <v>200</v>
      </c>
      <c r="M72">
        <v>0</v>
      </c>
      <c r="N72">
        <v>70</v>
      </c>
      <c r="O72">
        <v>50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X72">
        <v>0</v>
      </c>
      <c r="Y72" t="s">
        <v>202</v>
      </c>
    </row>
    <row r="73" spans="1:25" x14ac:dyDescent="0.25">
      <c r="H73" t="s">
        <v>203</v>
      </c>
    </row>
    <row r="74" spans="1:25" x14ac:dyDescent="0.25">
      <c r="A74">
        <v>34</v>
      </c>
      <c r="B74">
        <v>945</v>
      </c>
      <c r="C74" t="s">
        <v>204</v>
      </c>
      <c r="D74" t="s">
        <v>205</v>
      </c>
      <c r="E74" t="s">
        <v>41</v>
      </c>
      <c r="F74" t="s">
        <v>206</v>
      </c>
      <c r="G74" t="str">
        <f>"00013197"</f>
        <v>00013197</v>
      </c>
      <c r="H74" t="s">
        <v>207</v>
      </c>
      <c r="I74">
        <v>0</v>
      </c>
      <c r="J74">
        <v>400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70</v>
      </c>
      <c r="S74">
        <v>0</v>
      </c>
      <c r="T74">
        <v>0</v>
      </c>
      <c r="U74">
        <v>0</v>
      </c>
      <c r="X74">
        <v>0</v>
      </c>
      <c r="Y74" t="s">
        <v>208</v>
      </c>
    </row>
    <row r="75" spans="1:25" x14ac:dyDescent="0.25">
      <c r="H75" t="s">
        <v>209</v>
      </c>
    </row>
    <row r="76" spans="1:25" x14ac:dyDescent="0.25">
      <c r="A76">
        <v>35</v>
      </c>
      <c r="B76">
        <v>2896</v>
      </c>
      <c r="C76" t="s">
        <v>210</v>
      </c>
      <c r="D76" t="s">
        <v>211</v>
      </c>
      <c r="E76" t="s">
        <v>41</v>
      </c>
      <c r="F76" t="s">
        <v>212</v>
      </c>
      <c r="G76" t="str">
        <f>"00014728"</f>
        <v>00014728</v>
      </c>
      <c r="H76" t="s">
        <v>213</v>
      </c>
      <c r="I76">
        <v>0</v>
      </c>
      <c r="J76">
        <v>520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30</v>
      </c>
      <c r="S76">
        <v>0</v>
      </c>
      <c r="T76">
        <v>0</v>
      </c>
      <c r="U76">
        <v>0</v>
      </c>
      <c r="X76">
        <v>0</v>
      </c>
      <c r="Y76" t="s">
        <v>214</v>
      </c>
    </row>
    <row r="77" spans="1:25" x14ac:dyDescent="0.25">
      <c r="H77" t="s">
        <v>52</v>
      </c>
    </row>
    <row r="78" spans="1:25" x14ac:dyDescent="0.25">
      <c r="A78">
        <v>36</v>
      </c>
      <c r="B78">
        <v>720</v>
      </c>
      <c r="C78" t="s">
        <v>215</v>
      </c>
      <c r="D78" t="s">
        <v>216</v>
      </c>
      <c r="E78" t="s">
        <v>217</v>
      </c>
      <c r="F78" t="s">
        <v>218</v>
      </c>
      <c r="G78" t="str">
        <f>"00013721"</f>
        <v>00013721</v>
      </c>
      <c r="H78" t="s">
        <v>219</v>
      </c>
      <c r="I78">
        <v>0</v>
      </c>
      <c r="J78">
        <v>400</v>
      </c>
      <c r="K78">
        <v>0</v>
      </c>
      <c r="L78">
        <v>200</v>
      </c>
      <c r="M78">
        <v>0</v>
      </c>
      <c r="N78">
        <v>70</v>
      </c>
      <c r="O78">
        <v>0</v>
      </c>
      <c r="P78">
        <v>70</v>
      </c>
      <c r="Q78">
        <v>0</v>
      </c>
      <c r="R78">
        <v>0</v>
      </c>
      <c r="S78">
        <v>0</v>
      </c>
      <c r="T78">
        <v>0</v>
      </c>
      <c r="U78">
        <v>0</v>
      </c>
      <c r="X78">
        <v>0</v>
      </c>
      <c r="Y78" t="s">
        <v>220</v>
      </c>
    </row>
    <row r="79" spans="1:25" x14ac:dyDescent="0.25">
      <c r="H79" t="s">
        <v>221</v>
      </c>
    </row>
    <row r="80" spans="1:25" x14ac:dyDescent="0.25">
      <c r="A80">
        <v>37</v>
      </c>
      <c r="B80">
        <v>2083</v>
      </c>
      <c r="C80" t="s">
        <v>222</v>
      </c>
      <c r="D80" t="s">
        <v>223</v>
      </c>
      <c r="E80" t="s">
        <v>124</v>
      </c>
      <c r="F80" t="s">
        <v>224</v>
      </c>
      <c r="G80" t="str">
        <f>"00014326"</f>
        <v>00014326</v>
      </c>
      <c r="H80" t="s">
        <v>225</v>
      </c>
      <c r="I80">
        <v>0</v>
      </c>
      <c r="J80">
        <v>400</v>
      </c>
      <c r="K80">
        <v>0</v>
      </c>
      <c r="L80">
        <v>260</v>
      </c>
      <c r="M80">
        <v>0</v>
      </c>
      <c r="N80">
        <v>70</v>
      </c>
      <c r="O80">
        <v>70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X80">
        <v>0</v>
      </c>
      <c r="Y80" t="s">
        <v>226</v>
      </c>
    </row>
    <row r="81" spans="1:25" x14ac:dyDescent="0.25">
      <c r="H81" t="s">
        <v>227</v>
      </c>
    </row>
    <row r="82" spans="1:25" x14ac:dyDescent="0.25">
      <c r="A82">
        <v>38</v>
      </c>
      <c r="B82">
        <v>3141</v>
      </c>
      <c r="C82" t="s">
        <v>228</v>
      </c>
      <c r="D82" t="s">
        <v>40</v>
      </c>
      <c r="E82" t="s">
        <v>124</v>
      </c>
      <c r="F82" t="s">
        <v>229</v>
      </c>
      <c r="G82" t="str">
        <f>"201412005977"</f>
        <v>201412005977</v>
      </c>
      <c r="H82">
        <v>880</v>
      </c>
      <c r="I82">
        <v>0</v>
      </c>
      <c r="J82">
        <v>400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X82">
        <v>0</v>
      </c>
      <c r="Y82">
        <v>1550</v>
      </c>
    </row>
    <row r="83" spans="1:25" x14ac:dyDescent="0.25">
      <c r="H83" t="s">
        <v>230</v>
      </c>
    </row>
    <row r="84" spans="1:25" x14ac:dyDescent="0.25">
      <c r="A84">
        <v>39</v>
      </c>
      <c r="B84">
        <v>1667</v>
      </c>
      <c r="C84" t="s">
        <v>231</v>
      </c>
      <c r="D84" t="s">
        <v>232</v>
      </c>
      <c r="E84" t="s">
        <v>217</v>
      </c>
      <c r="F84" t="s">
        <v>233</v>
      </c>
      <c r="G84" t="str">
        <f>"00014551"</f>
        <v>00014551</v>
      </c>
      <c r="H84" t="s">
        <v>234</v>
      </c>
      <c r="I84">
        <v>0</v>
      </c>
      <c r="J84">
        <v>400</v>
      </c>
      <c r="K84">
        <v>0</v>
      </c>
      <c r="L84">
        <v>260</v>
      </c>
      <c r="M84">
        <v>0</v>
      </c>
      <c r="N84">
        <v>30</v>
      </c>
      <c r="O84">
        <v>30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X84">
        <v>0</v>
      </c>
      <c r="Y84" t="s">
        <v>235</v>
      </c>
    </row>
    <row r="85" spans="1:25" x14ac:dyDescent="0.25">
      <c r="H85">
        <v>221</v>
      </c>
    </row>
    <row r="86" spans="1:25" x14ac:dyDescent="0.25">
      <c r="A86">
        <v>40</v>
      </c>
      <c r="B86">
        <v>2445</v>
      </c>
      <c r="C86" t="s">
        <v>236</v>
      </c>
      <c r="D86" t="s">
        <v>237</v>
      </c>
      <c r="E86" t="s">
        <v>238</v>
      </c>
      <c r="F86" t="s">
        <v>239</v>
      </c>
      <c r="G86" t="str">
        <f>"00014509"</f>
        <v>00014509</v>
      </c>
      <c r="H86" t="s">
        <v>234</v>
      </c>
      <c r="I86">
        <v>0</v>
      </c>
      <c r="J86">
        <v>400</v>
      </c>
      <c r="K86">
        <v>0</v>
      </c>
      <c r="L86">
        <v>200</v>
      </c>
      <c r="M86">
        <v>0</v>
      </c>
      <c r="N86">
        <v>70</v>
      </c>
      <c r="O86">
        <v>50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X86">
        <v>0</v>
      </c>
      <c r="Y86" t="s">
        <v>235</v>
      </c>
    </row>
    <row r="87" spans="1:25" x14ac:dyDescent="0.25">
      <c r="H87" t="s">
        <v>240</v>
      </c>
    </row>
    <row r="88" spans="1:25" x14ac:dyDescent="0.25">
      <c r="A88">
        <v>41</v>
      </c>
      <c r="B88">
        <v>2239</v>
      </c>
      <c r="C88" t="s">
        <v>241</v>
      </c>
      <c r="D88" t="s">
        <v>242</v>
      </c>
      <c r="E88" t="s">
        <v>243</v>
      </c>
      <c r="F88" t="s">
        <v>244</v>
      </c>
      <c r="G88" t="str">
        <f>"00013528"</f>
        <v>00013528</v>
      </c>
      <c r="H88" t="s">
        <v>245</v>
      </c>
      <c r="I88">
        <v>0</v>
      </c>
      <c r="J88">
        <v>400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X88">
        <v>0</v>
      </c>
      <c r="Y88" t="s">
        <v>246</v>
      </c>
    </row>
    <row r="89" spans="1:25" x14ac:dyDescent="0.25">
      <c r="H89" t="s">
        <v>52</v>
      </c>
    </row>
    <row r="90" spans="1:25" x14ac:dyDescent="0.25">
      <c r="A90">
        <v>42</v>
      </c>
      <c r="B90">
        <v>2542</v>
      </c>
      <c r="C90" t="s">
        <v>247</v>
      </c>
      <c r="D90" t="s">
        <v>248</v>
      </c>
      <c r="E90" t="s">
        <v>124</v>
      </c>
      <c r="F90" t="s">
        <v>249</v>
      </c>
      <c r="G90" t="str">
        <f>"00015066"</f>
        <v>00015066</v>
      </c>
      <c r="H90" t="s">
        <v>250</v>
      </c>
      <c r="I90">
        <v>0</v>
      </c>
      <c r="J90">
        <v>400</v>
      </c>
      <c r="K90">
        <v>0</v>
      </c>
      <c r="L90">
        <v>200</v>
      </c>
      <c r="M90">
        <v>0</v>
      </c>
      <c r="N90">
        <v>50</v>
      </c>
      <c r="O90">
        <v>50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X90">
        <v>0</v>
      </c>
      <c r="Y90" t="s">
        <v>251</v>
      </c>
    </row>
    <row r="91" spans="1:25" x14ac:dyDescent="0.25">
      <c r="H91" t="s">
        <v>252</v>
      </c>
    </row>
    <row r="92" spans="1:25" x14ac:dyDescent="0.25">
      <c r="A92">
        <v>43</v>
      </c>
      <c r="B92">
        <v>815</v>
      </c>
      <c r="C92" t="s">
        <v>253</v>
      </c>
      <c r="D92" t="s">
        <v>22</v>
      </c>
      <c r="E92" t="s">
        <v>254</v>
      </c>
      <c r="F92" t="s">
        <v>255</v>
      </c>
      <c r="G92" t="str">
        <f>"00013668"</f>
        <v>00013668</v>
      </c>
      <c r="H92" t="s">
        <v>256</v>
      </c>
      <c r="I92">
        <v>0</v>
      </c>
      <c r="J92">
        <v>400</v>
      </c>
      <c r="K92">
        <v>0</v>
      </c>
      <c r="L92">
        <v>0</v>
      </c>
      <c r="M92">
        <v>100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X92">
        <v>0</v>
      </c>
      <c r="Y92" t="s">
        <v>257</v>
      </c>
    </row>
    <row r="93" spans="1:25" x14ac:dyDescent="0.25">
      <c r="H93" t="s">
        <v>162</v>
      </c>
    </row>
    <row r="94" spans="1:25" x14ac:dyDescent="0.25">
      <c r="A94">
        <v>44</v>
      </c>
      <c r="B94">
        <v>67</v>
      </c>
      <c r="C94" t="s">
        <v>258</v>
      </c>
      <c r="D94" t="s">
        <v>259</v>
      </c>
      <c r="E94" t="s">
        <v>22</v>
      </c>
      <c r="F94" t="s">
        <v>260</v>
      </c>
      <c r="G94" t="str">
        <f>"201504001003"</f>
        <v>201504001003</v>
      </c>
      <c r="H94">
        <v>869</v>
      </c>
      <c r="I94">
        <v>0</v>
      </c>
      <c r="J94">
        <v>400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X94">
        <v>0</v>
      </c>
      <c r="Y94">
        <v>1539</v>
      </c>
    </row>
    <row r="95" spans="1:25" x14ac:dyDescent="0.25">
      <c r="H95" t="s">
        <v>261</v>
      </c>
    </row>
    <row r="96" spans="1:25" x14ac:dyDescent="0.25">
      <c r="A96">
        <v>45</v>
      </c>
      <c r="B96">
        <v>2197</v>
      </c>
      <c r="C96" t="s">
        <v>262</v>
      </c>
      <c r="D96" t="s">
        <v>263</v>
      </c>
      <c r="E96" t="s">
        <v>21</v>
      </c>
      <c r="F96" t="s">
        <v>264</v>
      </c>
      <c r="G96" t="str">
        <f>"200801010828"</f>
        <v>200801010828</v>
      </c>
      <c r="H96">
        <v>759</v>
      </c>
      <c r="I96">
        <v>0</v>
      </c>
      <c r="J96">
        <v>400</v>
      </c>
      <c r="K96">
        <v>0</v>
      </c>
      <c r="L96">
        <v>260</v>
      </c>
      <c r="M96">
        <v>0</v>
      </c>
      <c r="N96">
        <v>70</v>
      </c>
      <c r="O96">
        <v>0</v>
      </c>
      <c r="P96">
        <v>50</v>
      </c>
      <c r="Q96">
        <v>0</v>
      </c>
      <c r="R96">
        <v>0</v>
      </c>
      <c r="S96">
        <v>0</v>
      </c>
      <c r="T96">
        <v>0</v>
      </c>
      <c r="U96">
        <v>0</v>
      </c>
      <c r="X96">
        <v>0</v>
      </c>
      <c r="Y96">
        <v>1539</v>
      </c>
    </row>
    <row r="97" spans="1:25" x14ac:dyDescent="0.25">
      <c r="H97" t="s">
        <v>265</v>
      </c>
    </row>
    <row r="98" spans="1:25" x14ac:dyDescent="0.25">
      <c r="A98">
        <v>46</v>
      </c>
      <c r="B98">
        <v>767</v>
      </c>
      <c r="C98" t="s">
        <v>266</v>
      </c>
      <c r="D98" t="s">
        <v>223</v>
      </c>
      <c r="E98" t="s">
        <v>267</v>
      </c>
      <c r="F98" t="s">
        <v>268</v>
      </c>
      <c r="G98" t="str">
        <f>"00015124"</f>
        <v>00015124</v>
      </c>
      <c r="H98" t="s">
        <v>269</v>
      </c>
      <c r="I98">
        <v>0</v>
      </c>
      <c r="J98">
        <v>400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X98">
        <v>0</v>
      </c>
      <c r="Y98" t="s">
        <v>270</v>
      </c>
    </row>
    <row r="99" spans="1:25" x14ac:dyDescent="0.25">
      <c r="H99" t="s">
        <v>271</v>
      </c>
    </row>
    <row r="100" spans="1:25" x14ac:dyDescent="0.25">
      <c r="A100">
        <v>47</v>
      </c>
      <c r="B100">
        <v>2380</v>
      </c>
      <c r="C100" t="s">
        <v>272</v>
      </c>
      <c r="D100" t="s">
        <v>22</v>
      </c>
      <c r="E100" t="s">
        <v>273</v>
      </c>
      <c r="F100" t="s">
        <v>274</v>
      </c>
      <c r="G100" t="str">
        <f>"200801011100"</f>
        <v>200801011100</v>
      </c>
      <c r="H100" t="s">
        <v>149</v>
      </c>
      <c r="I100">
        <v>0</v>
      </c>
      <c r="J100">
        <v>400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X100">
        <v>0</v>
      </c>
      <c r="Y100" t="s">
        <v>275</v>
      </c>
    </row>
    <row r="101" spans="1:25" x14ac:dyDescent="0.25">
      <c r="H101" t="s">
        <v>276</v>
      </c>
    </row>
    <row r="102" spans="1:25" x14ac:dyDescent="0.25">
      <c r="A102">
        <v>48</v>
      </c>
      <c r="B102">
        <v>3153</v>
      </c>
      <c r="C102" t="s">
        <v>277</v>
      </c>
      <c r="D102" t="s">
        <v>182</v>
      </c>
      <c r="E102" t="s">
        <v>278</v>
      </c>
      <c r="F102" t="s">
        <v>279</v>
      </c>
      <c r="G102" t="str">
        <f>"200801002882"</f>
        <v>200801002882</v>
      </c>
      <c r="H102" t="s">
        <v>280</v>
      </c>
      <c r="I102">
        <v>0</v>
      </c>
      <c r="J102">
        <v>400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X102">
        <v>0</v>
      </c>
      <c r="Y102" t="s">
        <v>281</v>
      </c>
    </row>
    <row r="103" spans="1:25" x14ac:dyDescent="0.25">
      <c r="H103" t="s">
        <v>282</v>
      </c>
    </row>
    <row r="104" spans="1:25" x14ac:dyDescent="0.25">
      <c r="A104">
        <v>49</v>
      </c>
      <c r="B104">
        <v>1510</v>
      </c>
      <c r="C104" t="s">
        <v>283</v>
      </c>
      <c r="D104" t="s">
        <v>284</v>
      </c>
      <c r="E104" t="s">
        <v>285</v>
      </c>
      <c r="F104" t="s">
        <v>286</v>
      </c>
      <c r="G104" t="str">
        <f>"00014956"</f>
        <v>00014956</v>
      </c>
      <c r="H104" t="s">
        <v>287</v>
      </c>
      <c r="I104">
        <v>0</v>
      </c>
      <c r="J104">
        <v>400</v>
      </c>
      <c r="K104">
        <v>0</v>
      </c>
      <c r="L104">
        <v>260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X104">
        <v>0</v>
      </c>
      <c r="Y104" t="s">
        <v>288</v>
      </c>
    </row>
    <row r="105" spans="1:25" x14ac:dyDescent="0.25">
      <c r="H105" t="s">
        <v>173</v>
      </c>
    </row>
    <row r="106" spans="1:25" x14ac:dyDescent="0.25">
      <c r="A106">
        <v>50</v>
      </c>
      <c r="B106">
        <v>499</v>
      </c>
      <c r="C106" t="s">
        <v>289</v>
      </c>
      <c r="D106" t="s">
        <v>290</v>
      </c>
      <c r="E106" t="s">
        <v>48</v>
      </c>
      <c r="F106" t="s">
        <v>291</v>
      </c>
      <c r="G106" t="str">
        <f>"201511015682"</f>
        <v>201511015682</v>
      </c>
      <c r="H106" t="s">
        <v>78</v>
      </c>
      <c r="I106">
        <v>0</v>
      </c>
      <c r="J106">
        <v>400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X106">
        <v>0</v>
      </c>
      <c r="Y106" t="s">
        <v>292</v>
      </c>
    </row>
    <row r="107" spans="1:25" x14ac:dyDescent="0.25">
      <c r="H107" t="s">
        <v>293</v>
      </c>
    </row>
    <row r="108" spans="1:25" x14ac:dyDescent="0.25">
      <c r="A108">
        <v>51</v>
      </c>
      <c r="B108">
        <v>1673</v>
      </c>
      <c r="C108" t="s">
        <v>294</v>
      </c>
      <c r="D108" t="s">
        <v>295</v>
      </c>
      <c r="E108" t="s">
        <v>41</v>
      </c>
      <c r="F108" t="s">
        <v>296</v>
      </c>
      <c r="G108" t="str">
        <f>"00013183"</f>
        <v>00013183</v>
      </c>
      <c r="H108" t="s">
        <v>297</v>
      </c>
      <c r="I108">
        <v>150</v>
      </c>
      <c r="J108">
        <v>400</v>
      </c>
      <c r="K108">
        <v>0</v>
      </c>
      <c r="L108">
        <v>200</v>
      </c>
      <c r="M108">
        <v>0</v>
      </c>
      <c r="N108">
        <v>50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X108">
        <v>0</v>
      </c>
      <c r="Y108" t="s">
        <v>298</v>
      </c>
    </row>
    <row r="109" spans="1:25" x14ac:dyDescent="0.25">
      <c r="H109" t="s">
        <v>203</v>
      </c>
    </row>
    <row r="110" spans="1:25" x14ac:dyDescent="0.25">
      <c r="A110">
        <v>52</v>
      </c>
      <c r="B110">
        <v>2153</v>
      </c>
      <c r="C110" t="s">
        <v>299</v>
      </c>
      <c r="D110" t="s">
        <v>300</v>
      </c>
      <c r="E110" t="s">
        <v>301</v>
      </c>
      <c r="F110" t="s">
        <v>302</v>
      </c>
      <c r="G110" t="str">
        <f>"00014066"</f>
        <v>00014066</v>
      </c>
      <c r="H110" t="s">
        <v>303</v>
      </c>
      <c r="I110">
        <v>0</v>
      </c>
      <c r="J110">
        <v>400</v>
      </c>
      <c r="K110">
        <v>0</v>
      </c>
      <c r="L110">
        <v>260</v>
      </c>
      <c r="M110">
        <v>0</v>
      </c>
      <c r="N110">
        <v>70</v>
      </c>
      <c r="O110">
        <v>50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X110">
        <v>0</v>
      </c>
      <c r="Y110" t="s">
        <v>304</v>
      </c>
    </row>
    <row r="111" spans="1:25" x14ac:dyDescent="0.25">
      <c r="H111" t="s">
        <v>52</v>
      </c>
    </row>
    <row r="112" spans="1:25" x14ac:dyDescent="0.25">
      <c r="A112">
        <v>53</v>
      </c>
      <c r="B112">
        <v>3056</v>
      </c>
      <c r="C112" t="s">
        <v>305</v>
      </c>
      <c r="D112" t="s">
        <v>124</v>
      </c>
      <c r="E112" t="s">
        <v>306</v>
      </c>
      <c r="F112" t="s">
        <v>307</v>
      </c>
      <c r="G112" t="str">
        <f>"200712000875"</f>
        <v>200712000875</v>
      </c>
      <c r="H112">
        <v>814</v>
      </c>
      <c r="I112">
        <v>0</v>
      </c>
      <c r="J112">
        <v>400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50</v>
      </c>
      <c r="Q112">
        <v>0</v>
      </c>
      <c r="R112">
        <v>0</v>
      </c>
      <c r="S112">
        <v>0</v>
      </c>
      <c r="T112">
        <v>0</v>
      </c>
      <c r="U112">
        <v>0</v>
      </c>
      <c r="X112">
        <v>0</v>
      </c>
      <c r="Y112">
        <v>1534</v>
      </c>
    </row>
    <row r="113" spans="1:25" x14ac:dyDescent="0.25">
      <c r="H113" t="s">
        <v>308</v>
      </c>
    </row>
    <row r="114" spans="1:25" x14ac:dyDescent="0.25">
      <c r="A114">
        <v>54</v>
      </c>
      <c r="B114">
        <v>208</v>
      </c>
      <c r="C114" t="s">
        <v>309</v>
      </c>
      <c r="D114" t="s">
        <v>310</v>
      </c>
      <c r="E114" t="s">
        <v>311</v>
      </c>
      <c r="F114" t="s">
        <v>312</v>
      </c>
      <c r="G114" t="str">
        <f>"201511021896"</f>
        <v>201511021896</v>
      </c>
      <c r="H114" t="s">
        <v>313</v>
      </c>
      <c r="I114">
        <v>0</v>
      </c>
      <c r="J114">
        <v>400</v>
      </c>
      <c r="K114">
        <v>0</v>
      </c>
      <c r="L114">
        <v>200</v>
      </c>
      <c r="M114">
        <v>0</v>
      </c>
      <c r="N114">
        <v>70</v>
      </c>
      <c r="O114">
        <v>50</v>
      </c>
      <c r="P114">
        <v>0</v>
      </c>
      <c r="Q114">
        <v>30</v>
      </c>
      <c r="R114">
        <v>30</v>
      </c>
      <c r="S114">
        <v>0</v>
      </c>
      <c r="T114">
        <v>0</v>
      </c>
      <c r="U114">
        <v>0</v>
      </c>
      <c r="X114">
        <v>0</v>
      </c>
      <c r="Y114" t="s">
        <v>314</v>
      </c>
    </row>
    <row r="115" spans="1:25" x14ac:dyDescent="0.25">
      <c r="H115" t="s">
        <v>315</v>
      </c>
    </row>
    <row r="116" spans="1:25" x14ac:dyDescent="0.25">
      <c r="A116">
        <v>55</v>
      </c>
      <c r="B116">
        <v>196</v>
      </c>
      <c r="C116" t="s">
        <v>316</v>
      </c>
      <c r="D116" t="s">
        <v>317</v>
      </c>
      <c r="E116" t="s">
        <v>182</v>
      </c>
      <c r="F116" t="s">
        <v>318</v>
      </c>
      <c r="G116" t="str">
        <f>"00001036"</f>
        <v>00001036</v>
      </c>
      <c r="H116" t="s">
        <v>319</v>
      </c>
      <c r="I116">
        <v>0</v>
      </c>
      <c r="J116">
        <v>400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X116">
        <v>0</v>
      </c>
      <c r="Y116" t="s">
        <v>320</v>
      </c>
    </row>
    <row r="117" spans="1:25" x14ac:dyDescent="0.25">
      <c r="H117" t="s">
        <v>321</v>
      </c>
    </row>
    <row r="118" spans="1:25" x14ac:dyDescent="0.25">
      <c r="A118">
        <v>56</v>
      </c>
      <c r="B118">
        <v>731</v>
      </c>
      <c r="C118" t="s">
        <v>322</v>
      </c>
      <c r="D118" t="s">
        <v>147</v>
      </c>
      <c r="E118" t="s">
        <v>190</v>
      </c>
      <c r="F118" t="s">
        <v>323</v>
      </c>
      <c r="G118" t="str">
        <f>"00014089"</f>
        <v>00014089</v>
      </c>
      <c r="H118" t="s">
        <v>324</v>
      </c>
      <c r="I118">
        <v>0</v>
      </c>
      <c r="J118">
        <v>400</v>
      </c>
      <c r="K118">
        <v>0</v>
      </c>
      <c r="L118">
        <v>200</v>
      </c>
      <c r="M118">
        <v>0</v>
      </c>
      <c r="N118">
        <v>70</v>
      </c>
      <c r="O118">
        <v>50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X118">
        <v>0</v>
      </c>
      <c r="Y118" t="s">
        <v>325</v>
      </c>
    </row>
    <row r="119" spans="1:25" x14ac:dyDescent="0.25">
      <c r="H119" t="s">
        <v>203</v>
      </c>
    </row>
    <row r="120" spans="1:25" x14ac:dyDescent="0.25">
      <c r="A120">
        <v>57</v>
      </c>
      <c r="B120">
        <v>214</v>
      </c>
      <c r="C120" t="s">
        <v>326</v>
      </c>
      <c r="D120" t="s">
        <v>147</v>
      </c>
      <c r="E120" t="s">
        <v>41</v>
      </c>
      <c r="F120" t="s">
        <v>327</v>
      </c>
      <c r="G120" t="str">
        <f>"200801000619"</f>
        <v>200801000619</v>
      </c>
      <c r="H120" t="s">
        <v>234</v>
      </c>
      <c r="I120">
        <v>0</v>
      </c>
      <c r="J120">
        <v>400</v>
      </c>
      <c r="K120">
        <v>0</v>
      </c>
      <c r="L120">
        <v>200</v>
      </c>
      <c r="M120">
        <v>0</v>
      </c>
      <c r="N120">
        <v>70</v>
      </c>
      <c r="O120">
        <v>30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X120">
        <v>0</v>
      </c>
      <c r="Y120" t="s">
        <v>328</v>
      </c>
    </row>
    <row r="121" spans="1:25" x14ac:dyDescent="0.25">
      <c r="H121" t="s">
        <v>52</v>
      </c>
    </row>
    <row r="122" spans="1:25" x14ac:dyDescent="0.25">
      <c r="A122">
        <v>58</v>
      </c>
      <c r="B122">
        <v>217</v>
      </c>
      <c r="C122" t="s">
        <v>329</v>
      </c>
      <c r="D122" t="s">
        <v>330</v>
      </c>
      <c r="E122" t="s">
        <v>217</v>
      </c>
      <c r="F122" t="s">
        <v>331</v>
      </c>
      <c r="G122" t="str">
        <f>"00014615"</f>
        <v>00014615</v>
      </c>
      <c r="H122" t="s">
        <v>234</v>
      </c>
      <c r="I122">
        <v>0</v>
      </c>
      <c r="J122">
        <v>400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30</v>
      </c>
      <c r="R122">
        <v>0</v>
      </c>
      <c r="S122">
        <v>0</v>
      </c>
      <c r="T122">
        <v>0</v>
      </c>
      <c r="U122">
        <v>0</v>
      </c>
      <c r="X122">
        <v>0</v>
      </c>
      <c r="Y122" t="s">
        <v>328</v>
      </c>
    </row>
    <row r="123" spans="1:25" x14ac:dyDescent="0.25">
      <c r="H123" t="s">
        <v>332</v>
      </c>
    </row>
    <row r="124" spans="1:25" x14ac:dyDescent="0.25">
      <c r="A124">
        <v>59</v>
      </c>
      <c r="B124">
        <v>2875</v>
      </c>
      <c r="C124" t="s">
        <v>333</v>
      </c>
      <c r="D124" t="s">
        <v>300</v>
      </c>
      <c r="E124" t="s">
        <v>334</v>
      </c>
      <c r="F124" t="s">
        <v>335</v>
      </c>
      <c r="G124" t="str">
        <f>"00015190"</f>
        <v>00015190</v>
      </c>
      <c r="H124" t="s">
        <v>336</v>
      </c>
      <c r="I124">
        <v>0</v>
      </c>
      <c r="J124">
        <v>400</v>
      </c>
      <c r="K124">
        <v>0</v>
      </c>
      <c r="L124">
        <v>200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X124">
        <v>2</v>
      </c>
      <c r="Y124" t="s">
        <v>337</v>
      </c>
    </row>
    <row r="125" spans="1:25" x14ac:dyDescent="0.25">
      <c r="H125" t="s">
        <v>338</v>
      </c>
    </row>
    <row r="126" spans="1:25" x14ac:dyDescent="0.25">
      <c r="A126">
        <v>60</v>
      </c>
      <c r="B126">
        <v>970</v>
      </c>
      <c r="C126" t="s">
        <v>339</v>
      </c>
      <c r="D126" t="s">
        <v>330</v>
      </c>
      <c r="E126" t="s">
        <v>340</v>
      </c>
      <c r="F126" t="s">
        <v>341</v>
      </c>
      <c r="G126" t="str">
        <f>"201402001850"</f>
        <v>201402001850</v>
      </c>
      <c r="H126">
        <v>858</v>
      </c>
      <c r="I126">
        <v>0</v>
      </c>
      <c r="J126">
        <v>400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X126">
        <v>0</v>
      </c>
      <c r="Y126">
        <v>1528</v>
      </c>
    </row>
    <row r="127" spans="1:25" x14ac:dyDescent="0.25">
      <c r="H127" t="s">
        <v>342</v>
      </c>
    </row>
    <row r="128" spans="1:25" x14ac:dyDescent="0.25">
      <c r="A128">
        <v>61</v>
      </c>
      <c r="B128">
        <v>1483</v>
      </c>
      <c r="C128" t="s">
        <v>343</v>
      </c>
      <c r="D128" t="s">
        <v>211</v>
      </c>
      <c r="E128" t="s">
        <v>306</v>
      </c>
      <c r="F128" t="s">
        <v>344</v>
      </c>
      <c r="G128" t="str">
        <f>"00011668"</f>
        <v>00011668</v>
      </c>
      <c r="H128">
        <v>858</v>
      </c>
      <c r="I128">
        <v>0</v>
      </c>
      <c r="J128">
        <v>400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X128">
        <v>0</v>
      </c>
      <c r="Y128">
        <v>1528</v>
      </c>
    </row>
    <row r="129" spans="1:25" x14ac:dyDescent="0.25">
      <c r="H129" t="s">
        <v>345</v>
      </c>
    </row>
    <row r="130" spans="1:25" x14ac:dyDescent="0.25">
      <c r="A130">
        <v>62</v>
      </c>
      <c r="B130">
        <v>1222</v>
      </c>
      <c r="C130" t="s">
        <v>346</v>
      </c>
      <c r="D130" t="s">
        <v>347</v>
      </c>
      <c r="E130" t="s">
        <v>22</v>
      </c>
      <c r="F130" t="s">
        <v>348</v>
      </c>
      <c r="G130" t="str">
        <f>"201504004140"</f>
        <v>201504004140</v>
      </c>
      <c r="H130" t="s">
        <v>349</v>
      </c>
      <c r="I130">
        <v>0</v>
      </c>
      <c r="J130">
        <v>400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X130">
        <v>1</v>
      </c>
      <c r="Y130" t="s">
        <v>350</v>
      </c>
    </row>
    <row r="131" spans="1:25" x14ac:dyDescent="0.25">
      <c r="H131" t="s">
        <v>351</v>
      </c>
    </row>
    <row r="132" spans="1:25" x14ac:dyDescent="0.25">
      <c r="A132">
        <v>63</v>
      </c>
      <c r="B132">
        <v>1973</v>
      </c>
      <c r="C132" t="s">
        <v>352</v>
      </c>
      <c r="D132" t="s">
        <v>141</v>
      </c>
      <c r="E132" t="s">
        <v>353</v>
      </c>
      <c r="F132" t="s">
        <v>354</v>
      </c>
      <c r="G132" t="str">
        <f>"201412006232"</f>
        <v>201412006232</v>
      </c>
      <c r="H132" t="s">
        <v>219</v>
      </c>
      <c r="I132">
        <v>0</v>
      </c>
      <c r="J132">
        <v>400</v>
      </c>
      <c r="K132">
        <v>0</v>
      </c>
      <c r="L132">
        <v>200</v>
      </c>
      <c r="M132">
        <v>0</v>
      </c>
      <c r="N132">
        <v>70</v>
      </c>
      <c r="O132">
        <v>30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X132">
        <v>0</v>
      </c>
      <c r="Y132" t="s">
        <v>355</v>
      </c>
    </row>
    <row r="133" spans="1:25" x14ac:dyDescent="0.25">
      <c r="H133" t="s">
        <v>356</v>
      </c>
    </row>
    <row r="134" spans="1:25" x14ac:dyDescent="0.25">
      <c r="A134">
        <v>64</v>
      </c>
      <c r="B134">
        <v>411</v>
      </c>
      <c r="C134" t="s">
        <v>357</v>
      </c>
      <c r="D134" t="s">
        <v>330</v>
      </c>
      <c r="E134" t="s">
        <v>301</v>
      </c>
      <c r="F134" t="s">
        <v>358</v>
      </c>
      <c r="G134" t="str">
        <f>"201504003453"</f>
        <v>201504003453</v>
      </c>
      <c r="H134" t="s">
        <v>359</v>
      </c>
      <c r="I134">
        <v>0</v>
      </c>
      <c r="J134">
        <v>400</v>
      </c>
      <c r="K134">
        <v>0</v>
      </c>
      <c r="L134">
        <v>200</v>
      </c>
      <c r="M134">
        <v>0</v>
      </c>
      <c r="N134">
        <v>70</v>
      </c>
      <c r="O134">
        <v>50</v>
      </c>
      <c r="P134">
        <v>30</v>
      </c>
      <c r="Q134">
        <v>0</v>
      </c>
      <c r="R134">
        <v>0</v>
      </c>
      <c r="S134">
        <v>0</v>
      </c>
      <c r="T134">
        <v>0</v>
      </c>
      <c r="U134">
        <v>0</v>
      </c>
      <c r="X134">
        <v>0</v>
      </c>
      <c r="Y134" t="s">
        <v>360</v>
      </c>
    </row>
    <row r="135" spans="1:25" x14ac:dyDescent="0.25">
      <c r="H135" t="s">
        <v>361</v>
      </c>
    </row>
    <row r="136" spans="1:25" x14ac:dyDescent="0.25">
      <c r="A136">
        <v>65</v>
      </c>
      <c r="B136">
        <v>2997</v>
      </c>
      <c r="C136" t="s">
        <v>362</v>
      </c>
      <c r="D136" t="s">
        <v>363</v>
      </c>
      <c r="E136" t="s">
        <v>217</v>
      </c>
      <c r="F136" t="s">
        <v>364</v>
      </c>
      <c r="G136" t="str">
        <f>"00013258"</f>
        <v>00013258</v>
      </c>
      <c r="H136" t="s">
        <v>365</v>
      </c>
      <c r="I136">
        <v>0</v>
      </c>
      <c r="J136">
        <v>400</v>
      </c>
      <c r="K136">
        <v>0</v>
      </c>
      <c r="L136">
        <v>200</v>
      </c>
      <c r="M136">
        <v>30</v>
      </c>
      <c r="N136">
        <v>70</v>
      </c>
      <c r="O136">
        <v>30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X136">
        <v>0</v>
      </c>
      <c r="Y136" t="s">
        <v>366</v>
      </c>
    </row>
    <row r="137" spans="1:25" x14ac:dyDescent="0.25">
      <c r="H137" t="s">
        <v>367</v>
      </c>
    </row>
    <row r="138" spans="1:25" x14ac:dyDescent="0.25">
      <c r="A138">
        <v>66</v>
      </c>
      <c r="B138">
        <v>2205</v>
      </c>
      <c r="C138" t="s">
        <v>368</v>
      </c>
      <c r="D138" t="s">
        <v>98</v>
      </c>
      <c r="E138" t="s">
        <v>21</v>
      </c>
      <c r="F138" t="s">
        <v>369</v>
      </c>
      <c r="G138" t="str">
        <f>"00013603"</f>
        <v>00013603</v>
      </c>
      <c r="H138">
        <v>825</v>
      </c>
      <c r="I138">
        <v>0</v>
      </c>
      <c r="J138">
        <v>400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30</v>
      </c>
      <c r="Q138">
        <v>0</v>
      </c>
      <c r="R138">
        <v>0</v>
      </c>
      <c r="S138">
        <v>0</v>
      </c>
      <c r="T138">
        <v>0</v>
      </c>
      <c r="U138">
        <v>0</v>
      </c>
      <c r="X138">
        <v>0</v>
      </c>
      <c r="Y138">
        <v>1525</v>
      </c>
    </row>
    <row r="139" spans="1:25" x14ac:dyDescent="0.25">
      <c r="H139" t="s">
        <v>370</v>
      </c>
    </row>
    <row r="140" spans="1:25" x14ac:dyDescent="0.25">
      <c r="A140">
        <v>67</v>
      </c>
      <c r="B140">
        <v>2812</v>
      </c>
      <c r="C140" t="s">
        <v>371</v>
      </c>
      <c r="D140" t="s">
        <v>175</v>
      </c>
      <c r="E140" t="s">
        <v>372</v>
      </c>
      <c r="F140" t="s">
        <v>373</v>
      </c>
      <c r="G140" t="str">
        <f>"201502002149"</f>
        <v>201502002149</v>
      </c>
      <c r="H140" t="s">
        <v>56</v>
      </c>
      <c r="I140">
        <v>0</v>
      </c>
      <c r="J140">
        <v>400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70</v>
      </c>
      <c r="Q140">
        <v>0</v>
      </c>
      <c r="R140">
        <v>70</v>
      </c>
      <c r="S140">
        <v>0</v>
      </c>
      <c r="T140">
        <v>0</v>
      </c>
      <c r="U140">
        <v>0</v>
      </c>
      <c r="X140">
        <v>0</v>
      </c>
      <c r="Y140" t="s">
        <v>374</v>
      </c>
    </row>
    <row r="141" spans="1:25" x14ac:dyDescent="0.25">
      <c r="H141" t="s">
        <v>52</v>
      </c>
    </row>
    <row r="142" spans="1:25" x14ac:dyDescent="0.25">
      <c r="A142">
        <v>68</v>
      </c>
      <c r="B142">
        <v>842</v>
      </c>
      <c r="C142" t="s">
        <v>375</v>
      </c>
      <c r="D142" t="s">
        <v>376</v>
      </c>
      <c r="E142" t="s">
        <v>21</v>
      </c>
      <c r="F142" t="s">
        <v>377</v>
      </c>
      <c r="G142" t="str">
        <f>"201504004562"</f>
        <v>201504004562</v>
      </c>
      <c r="H142" t="s">
        <v>378</v>
      </c>
      <c r="I142">
        <v>0</v>
      </c>
      <c r="J142">
        <v>400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70</v>
      </c>
      <c r="Q142">
        <v>0</v>
      </c>
      <c r="R142">
        <v>0</v>
      </c>
      <c r="S142">
        <v>0</v>
      </c>
      <c r="T142">
        <v>0</v>
      </c>
      <c r="U142">
        <v>0</v>
      </c>
      <c r="X142">
        <v>0</v>
      </c>
      <c r="Y142" t="s">
        <v>379</v>
      </c>
    </row>
    <row r="143" spans="1:25" x14ac:dyDescent="0.25">
      <c r="H143" t="s">
        <v>203</v>
      </c>
    </row>
    <row r="144" spans="1:25" x14ac:dyDescent="0.25">
      <c r="A144">
        <v>69</v>
      </c>
      <c r="B144">
        <v>2621</v>
      </c>
      <c r="C144" t="s">
        <v>380</v>
      </c>
      <c r="D144" t="s">
        <v>381</v>
      </c>
      <c r="E144" t="s">
        <v>106</v>
      </c>
      <c r="F144" t="s">
        <v>382</v>
      </c>
      <c r="G144" t="str">
        <f>"00010935"</f>
        <v>00010935</v>
      </c>
      <c r="H144" t="s">
        <v>383</v>
      </c>
      <c r="I144">
        <v>0</v>
      </c>
      <c r="J144">
        <v>400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X144">
        <v>0</v>
      </c>
      <c r="Y144" t="s">
        <v>384</v>
      </c>
    </row>
    <row r="145" spans="1:25" x14ac:dyDescent="0.25">
      <c r="H145" t="s">
        <v>52</v>
      </c>
    </row>
    <row r="146" spans="1:25" x14ac:dyDescent="0.25">
      <c r="A146">
        <v>70</v>
      </c>
      <c r="B146">
        <v>1741</v>
      </c>
      <c r="C146" t="s">
        <v>385</v>
      </c>
      <c r="D146" t="s">
        <v>112</v>
      </c>
      <c r="E146" t="s">
        <v>41</v>
      </c>
      <c r="F146">
        <v>410214</v>
      </c>
      <c r="G146" t="str">
        <f>"200801002358"</f>
        <v>200801002358</v>
      </c>
      <c r="H146" t="s">
        <v>386</v>
      </c>
      <c r="I146">
        <v>0</v>
      </c>
      <c r="J146">
        <v>400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X146">
        <v>0</v>
      </c>
      <c r="Y146" t="s">
        <v>387</v>
      </c>
    </row>
    <row r="147" spans="1:25" x14ac:dyDescent="0.25">
      <c r="H147" t="s">
        <v>388</v>
      </c>
    </row>
    <row r="148" spans="1:25" x14ac:dyDescent="0.25">
      <c r="A148">
        <v>71</v>
      </c>
      <c r="B148">
        <v>1442</v>
      </c>
      <c r="C148" t="s">
        <v>389</v>
      </c>
      <c r="D148" t="s">
        <v>390</v>
      </c>
      <c r="E148" t="s">
        <v>124</v>
      </c>
      <c r="F148" t="s">
        <v>391</v>
      </c>
      <c r="G148" t="str">
        <f>"201411001685"</f>
        <v>201411001685</v>
      </c>
      <c r="H148" t="s">
        <v>392</v>
      </c>
      <c r="I148">
        <v>0</v>
      </c>
      <c r="J148">
        <v>400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30</v>
      </c>
      <c r="Q148">
        <v>50</v>
      </c>
      <c r="R148">
        <v>0</v>
      </c>
      <c r="S148">
        <v>0</v>
      </c>
      <c r="T148">
        <v>0</v>
      </c>
      <c r="U148">
        <v>0</v>
      </c>
      <c r="X148">
        <v>0</v>
      </c>
      <c r="Y148" t="s">
        <v>393</v>
      </c>
    </row>
    <row r="149" spans="1:25" x14ac:dyDescent="0.25">
      <c r="H149" t="s">
        <v>394</v>
      </c>
    </row>
    <row r="150" spans="1:25" x14ac:dyDescent="0.25">
      <c r="A150">
        <v>72</v>
      </c>
      <c r="B150">
        <v>1687</v>
      </c>
      <c r="C150" t="s">
        <v>395</v>
      </c>
      <c r="D150" t="s">
        <v>223</v>
      </c>
      <c r="E150" t="s">
        <v>396</v>
      </c>
      <c r="F150" t="s">
        <v>397</v>
      </c>
      <c r="G150" t="str">
        <f>"00012283"</f>
        <v>00012283</v>
      </c>
      <c r="H150" t="s">
        <v>398</v>
      </c>
      <c r="I150">
        <v>0</v>
      </c>
      <c r="J150">
        <v>400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30</v>
      </c>
      <c r="R150">
        <v>0</v>
      </c>
      <c r="S150">
        <v>0</v>
      </c>
      <c r="T150">
        <v>0</v>
      </c>
      <c r="U150">
        <v>0</v>
      </c>
      <c r="X150">
        <v>0</v>
      </c>
      <c r="Y150" t="s">
        <v>399</v>
      </c>
    </row>
    <row r="151" spans="1:25" x14ac:dyDescent="0.25">
      <c r="H151" t="s">
        <v>400</v>
      </c>
    </row>
    <row r="152" spans="1:25" x14ac:dyDescent="0.25">
      <c r="A152">
        <v>73</v>
      </c>
      <c r="B152">
        <v>2876</v>
      </c>
      <c r="C152" t="s">
        <v>401</v>
      </c>
      <c r="D152" t="s">
        <v>141</v>
      </c>
      <c r="E152" t="s">
        <v>87</v>
      </c>
      <c r="F152" t="s">
        <v>402</v>
      </c>
      <c r="G152" t="str">
        <f>"00012743"</f>
        <v>00012743</v>
      </c>
      <c r="H152" t="s">
        <v>403</v>
      </c>
      <c r="I152">
        <v>0</v>
      </c>
      <c r="J152">
        <v>400</v>
      </c>
      <c r="K152">
        <v>0</v>
      </c>
      <c r="L152">
        <v>200</v>
      </c>
      <c r="M152">
        <v>0</v>
      </c>
      <c r="N152">
        <v>70</v>
      </c>
      <c r="O152">
        <v>50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X152">
        <v>0</v>
      </c>
      <c r="Y152" t="s">
        <v>404</v>
      </c>
    </row>
    <row r="153" spans="1:25" x14ac:dyDescent="0.25">
      <c r="H153" t="s">
        <v>405</v>
      </c>
    </row>
    <row r="154" spans="1:25" x14ac:dyDescent="0.25">
      <c r="A154">
        <v>74</v>
      </c>
      <c r="B154">
        <v>1572</v>
      </c>
      <c r="C154" t="s">
        <v>406</v>
      </c>
      <c r="D154" t="s">
        <v>407</v>
      </c>
      <c r="E154" t="s">
        <v>66</v>
      </c>
      <c r="F154" t="s">
        <v>408</v>
      </c>
      <c r="G154" t="str">
        <f>"200811001487"</f>
        <v>200811001487</v>
      </c>
      <c r="H154" t="s">
        <v>171</v>
      </c>
      <c r="I154">
        <v>0</v>
      </c>
      <c r="J154">
        <v>400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X154">
        <v>0</v>
      </c>
      <c r="Y154" t="s">
        <v>409</v>
      </c>
    </row>
    <row r="155" spans="1:25" x14ac:dyDescent="0.25">
      <c r="H155" t="s">
        <v>410</v>
      </c>
    </row>
    <row r="156" spans="1:25" x14ac:dyDescent="0.25">
      <c r="A156">
        <v>75</v>
      </c>
      <c r="B156">
        <v>2981</v>
      </c>
      <c r="C156" t="s">
        <v>411</v>
      </c>
      <c r="D156" t="s">
        <v>223</v>
      </c>
      <c r="E156" t="s">
        <v>41</v>
      </c>
      <c r="F156" t="s">
        <v>412</v>
      </c>
      <c r="G156" t="str">
        <f>"00011440"</f>
        <v>00011440</v>
      </c>
      <c r="H156" t="s">
        <v>413</v>
      </c>
      <c r="I156">
        <v>0</v>
      </c>
      <c r="J156">
        <v>400</v>
      </c>
      <c r="K156">
        <v>0</v>
      </c>
      <c r="L156">
        <v>200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X156">
        <v>0</v>
      </c>
      <c r="Y156" t="s">
        <v>414</v>
      </c>
    </row>
    <row r="157" spans="1:25" x14ac:dyDescent="0.25">
      <c r="H157" t="s">
        <v>415</v>
      </c>
    </row>
    <row r="158" spans="1:25" x14ac:dyDescent="0.25">
      <c r="A158">
        <v>76</v>
      </c>
      <c r="B158">
        <v>2136</v>
      </c>
      <c r="C158" t="s">
        <v>416</v>
      </c>
      <c r="D158" t="s">
        <v>390</v>
      </c>
      <c r="E158" t="s">
        <v>417</v>
      </c>
      <c r="F158" t="s">
        <v>418</v>
      </c>
      <c r="G158" t="str">
        <f>"00014746"</f>
        <v>00014746</v>
      </c>
      <c r="H158" t="s">
        <v>419</v>
      </c>
      <c r="I158">
        <v>0</v>
      </c>
      <c r="J158">
        <v>400</v>
      </c>
      <c r="K158">
        <v>0</v>
      </c>
      <c r="L158">
        <v>200</v>
      </c>
      <c r="M158">
        <v>0</v>
      </c>
      <c r="N158">
        <v>70</v>
      </c>
      <c r="O158">
        <v>70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X158">
        <v>0</v>
      </c>
      <c r="Y158" t="s">
        <v>420</v>
      </c>
    </row>
    <row r="159" spans="1:25" x14ac:dyDescent="0.25">
      <c r="H159" t="s">
        <v>421</v>
      </c>
    </row>
    <row r="160" spans="1:25" x14ac:dyDescent="0.25">
      <c r="A160">
        <v>77</v>
      </c>
      <c r="B160">
        <v>747</v>
      </c>
      <c r="C160" t="s">
        <v>422</v>
      </c>
      <c r="D160" t="s">
        <v>353</v>
      </c>
      <c r="E160" t="s">
        <v>190</v>
      </c>
      <c r="F160" t="s">
        <v>423</v>
      </c>
      <c r="G160" t="str">
        <f>"201503000589"</f>
        <v>201503000589</v>
      </c>
      <c r="H160">
        <v>847</v>
      </c>
      <c r="I160">
        <v>0</v>
      </c>
      <c r="J160">
        <v>400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X160">
        <v>0</v>
      </c>
      <c r="Y160">
        <v>1517</v>
      </c>
    </row>
    <row r="161" spans="1:25" x14ac:dyDescent="0.25">
      <c r="H161" t="s">
        <v>424</v>
      </c>
    </row>
    <row r="162" spans="1:25" x14ac:dyDescent="0.25">
      <c r="A162">
        <v>78</v>
      </c>
      <c r="B162">
        <v>1497</v>
      </c>
      <c r="C162" t="s">
        <v>425</v>
      </c>
      <c r="D162" t="s">
        <v>41</v>
      </c>
      <c r="E162" t="s">
        <v>426</v>
      </c>
      <c r="F162" t="s">
        <v>427</v>
      </c>
      <c r="G162" t="str">
        <f>"201408000175"</f>
        <v>201408000175</v>
      </c>
      <c r="H162" t="s">
        <v>428</v>
      </c>
      <c r="I162">
        <v>0</v>
      </c>
      <c r="J162">
        <v>400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50</v>
      </c>
      <c r="Q162">
        <v>0</v>
      </c>
      <c r="R162">
        <v>0</v>
      </c>
      <c r="S162">
        <v>0</v>
      </c>
      <c r="T162">
        <v>0</v>
      </c>
      <c r="U162">
        <v>0</v>
      </c>
      <c r="X162">
        <v>0</v>
      </c>
      <c r="Y162" t="s">
        <v>429</v>
      </c>
    </row>
    <row r="163" spans="1:25" x14ac:dyDescent="0.25">
      <c r="H163" t="s">
        <v>52</v>
      </c>
    </row>
    <row r="164" spans="1:25" x14ac:dyDescent="0.25">
      <c r="A164">
        <v>79</v>
      </c>
      <c r="B164">
        <v>2414</v>
      </c>
      <c r="C164" t="s">
        <v>430</v>
      </c>
      <c r="D164" t="s">
        <v>259</v>
      </c>
      <c r="E164" t="s">
        <v>301</v>
      </c>
      <c r="F164" t="s">
        <v>431</v>
      </c>
      <c r="G164" t="str">
        <f>"200801001919"</f>
        <v>200801001919</v>
      </c>
      <c r="H164" t="s">
        <v>432</v>
      </c>
      <c r="I164">
        <v>0</v>
      </c>
      <c r="J164">
        <v>400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30</v>
      </c>
      <c r="R164">
        <v>0</v>
      </c>
      <c r="S164">
        <v>0</v>
      </c>
      <c r="T164">
        <v>0</v>
      </c>
      <c r="U164">
        <v>0</v>
      </c>
      <c r="X164">
        <v>0</v>
      </c>
      <c r="Y164" t="s">
        <v>433</v>
      </c>
    </row>
    <row r="165" spans="1:25" x14ac:dyDescent="0.25">
      <c r="H165" t="s">
        <v>434</v>
      </c>
    </row>
    <row r="166" spans="1:25" x14ac:dyDescent="0.25">
      <c r="A166">
        <v>80</v>
      </c>
      <c r="B166">
        <v>1020</v>
      </c>
      <c r="C166" t="s">
        <v>435</v>
      </c>
      <c r="D166" t="s">
        <v>141</v>
      </c>
      <c r="E166" t="s">
        <v>66</v>
      </c>
      <c r="F166" t="s">
        <v>436</v>
      </c>
      <c r="G166" t="str">
        <f>"00014842"</f>
        <v>00014842</v>
      </c>
      <c r="H166" t="s">
        <v>108</v>
      </c>
      <c r="I166">
        <v>0</v>
      </c>
      <c r="J166">
        <v>400</v>
      </c>
      <c r="K166">
        <v>0</v>
      </c>
      <c r="L166">
        <v>200</v>
      </c>
      <c r="M166">
        <v>0</v>
      </c>
      <c r="N166">
        <v>70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X166">
        <v>0</v>
      </c>
      <c r="Y166" t="s">
        <v>437</v>
      </c>
    </row>
    <row r="167" spans="1:25" x14ac:dyDescent="0.25">
      <c r="H167" t="s">
        <v>438</v>
      </c>
    </row>
    <row r="168" spans="1:25" x14ac:dyDescent="0.25">
      <c r="A168">
        <v>81</v>
      </c>
      <c r="B168">
        <v>292</v>
      </c>
      <c r="C168" t="s">
        <v>439</v>
      </c>
      <c r="D168" t="s">
        <v>440</v>
      </c>
      <c r="E168" t="s">
        <v>124</v>
      </c>
      <c r="F168" t="s">
        <v>441</v>
      </c>
      <c r="G168" t="str">
        <f>"201412006727"</f>
        <v>201412006727</v>
      </c>
      <c r="H168" t="s">
        <v>108</v>
      </c>
      <c r="I168">
        <v>0</v>
      </c>
      <c r="J168">
        <v>400</v>
      </c>
      <c r="K168">
        <v>0</v>
      </c>
      <c r="L168">
        <v>200</v>
      </c>
      <c r="M168">
        <v>0</v>
      </c>
      <c r="N168">
        <v>70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X168">
        <v>0</v>
      </c>
      <c r="Y168" t="s">
        <v>437</v>
      </c>
    </row>
    <row r="169" spans="1:25" x14ac:dyDescent="0.25">
      <c r="H169" t="s">
        <v>442</v>
      </c>
    </row>
    <row r="170" spans="1:25" x14ac:dyDescent="0.25">
      <c r="A170">
        <v>82</v>
      </c>
      <c r="B170">
        <v>2908</v>
      </c>
      <c r="C170" t="s">
        <v>443</v>
      </c>
      <c r="D170" t="s">
        <v>181</v>
      </c>
      <c r="E170" t="s">
        <v>444</v>
      </c>
      <c r="F170" t="s">
        <v>445</v>
      </c>
      <c r="G170" t="str">
        <f>"201410008574"</f>
        <v>201410008574</v>
      </c>
      <c r="H170" t="s">
        <v>446</v>
      </c>
      <c r="I170">
        <v>0</v>
      </c>
      <c r="J170">
        <v>400</v>
      </c>
      <c r="K170">
        <v>0</v>
      </c>
      <c r="L170">
        <v>200</v>
      </c>
      <c r="M170">
        <v>0</v>
      </c>
      <c r="N170">
        <v>70</v>
      </c>
      <c r="O170">
        <v>50</v>
      </c>
      <c r="P170">
        <v>0</v>
      </c>
      <c r="Q170">
        <v>0</v>
      </c>
      <c r="R170">
        <v>0</v>
      </c>
      <c r="S170">
        <v>30</v>
      </c>
      <c r="T170">
        <v>0</v>
      </c>
      <c r="U170">
        <v>0</v>
      </c>
      <c r="X170">
        <v>0</v>
      </c>
      <c r="Y170" t="s">
        <v>447</v>
      </c>
    </row>
    <row r="171" spans="1:25" x14ac:dyDescent="0.25">
      <c r="H171" t="s">
        <v>448</v>
      </c>
    </row>
    <row r="172" spans="1:25" x14ac:dyDescent="0.25">
      <c r="A172">
        <v>83</v>
      </c>
      <c r="B172">
        <v>2951</v>
      </c>
      <c r="C172" t="s">
        <v>449</v>
      </c>
      <c r="D172" t="s">
        <v>450</v>
      </c>
      <c r="E172" t="s">
        <v>451</v>
      </c>
      <c r="F172" t="s">
        <v>452</v>
      </c>
      <c r="G172" t="str">
        <f>"00013677"</f>
        <v>00013677</v>
      </c>
      <c r="H172" t="s">
        <v>36</v>
      </c>
      <c r="I172">
        <v>0</v>
      </c>
      <c r="J172">
        <v>400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X172">
        <v>0</v>
      </c>
      <c r="Y172" t="s">
        <v>453</v>
      </c>
    </row>
    <row r="173" spans="1:25" x14ac:dyDescent="0.25">
      <c r="H173" t="s">
        <v>52</v>
      </c>
    </row>
    <row r="174" spans="1:25" x14ac:dyDescent="0.25">
      <c r="A174">
        <v>84</v>
      </c>
      <c r="B174">
        <v>574</v>
      </c>
      <c r="C174" t="s">
        <v>454</v>
      </c>
      <c r="D174" t="s">
        <v>41</v>
      </c>
      <c r="E174" t="s">
        <v>21</v>
      </c>
      <c r="F174" t="s">
        <v>455</v>
      </c>
      <c r="G174" t="str">
        <f>"201511004440"</f>
        <v>201511004440</v>
      </c>
      <c r="H174" t="s">
        <v>456</v>
      </c>
      <c r="I174">
        <v>0</v>
      </c>
      <c r="J174">
        <v>400</v>
      </c>
      <c r="K174">
        <v>0</v>
      </c>
      <c r="L174">
        <v>200</v>
      </c>
      <c r="M174">
        <v>0</v>
      </c>
      <c r="N174">
        <v>70</v>
      </c>
      <c r="O174">
        <v>50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X174">
        <v>0</v>
      </c>
      <c r="Y174" t="s">
        <v>457</v>
      </c>
    </row>
    <row r="175" spans="1:25" x14ac:dyDescent="0.25">
      <c r="H175" t="s">
        <v>458</v>
      </c>
    </row>
    <row r="176" spans="1:25" x14ac:dyDescent="0.25">
      <c r="A176">
        <v>85</v>
      </c>
      <c r="B176">
        <v>2881</v>
      </c>
      <c r="C176" t="s">
        <v>459</v>
      </c>
      <c r="D176" t="s">
        <v>223</v>
      </c>
      <c r="E176" t="s">
        <v>217</v>
      </c>
      <c r="F176" t="s">
        <v>460</v>
      </c>
      <c r="G176" t="str">
        <f>"00012413"</f>
        <v>00012413</v>
      </c>
      <c r="H176" t="s">
        <v>461</v>
      </c>
      <c r="I176">
        <v>0</v>
      </c>
      <c r="J176">
        <v>400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50</v>
      </c>
      <c r="Q176">
        <v>0</v>
      </c>
      <c r="R176">
        <v>30</v>
      </c>
      <c r="S176">
        <v>0</v>
      </c>
      <c r="T176">
        <v>0</v>
      </c>
      <c r="U176">
        <v>0</v>
      </c>
      <c r="X176">
        <v>0</v>
      </c>
      <c r="Y176" t="s">
        <v>462</v>
      </c>
    </row>
    <row r="177" spans="1:25" x14ac:dyDescent="0.25">
      <c r="H177" t="s">
        <v>463</v>
      </c>
    </row>
    <row r="178" spans="1:25" x14ac:dyDescent="0.25">
      <c r="A178">
        <v>86</v>
      </c>
      <c r="B178">
        <v>1558</v>
      </c>
      <c r="C178" t="s">
        <v>464</v>
      </c>
      <c r="D178" t="s">
        <v>465</v>
      </c>
      <c r="E178" t="s">
        <v>48</v>
      </c>
      <c r="F178" t="s">
        <v>466</v>
      </c>
      <c r="G178" t="str">
        <f>"200801005098"</f>
        <v>200801005098</v>
      </c>
      <c r="H178" t="s">
        <v>324</v>
      </c>
      <c r="I178">
        <v>0</v>
      </c>
      <c r="J178">
        <v>400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30</v>
      </c>
      <c r="S178">
        <v>0</v>
      </c>
      <c r="T178">
        <v>0</v>
      </c>
      <c r="U178">
        <v>0</v>
      </c>
      <c r="X178">
        <v>0</v>
      </c>
      <c r="Y178" t="s">
        <v>467</v>
      </c>
    </row>
    <row r="179" spans="1:25" x14ac:dyDescent="0.25">
      <c r="H179" t="s">
        <v>468</v>
      </c>
    </row>
    <row r="180" spans="1:25" x14ac:dyDescent="0.25">
      <c r="A180">
        <v>87</v>
      </c>
      <c r="B180">
        <v>2415</v>
      </c>
      <c r="C180" t="s">
        <v>469</v>
      </c>
      <c r="D180" t="s">
        <v>284</v>
      </c>
      <c r="E180" t="s">
        <v>470</v>
      </c>
      <c r="F180" t="s">
        <v>471</v>
      </c>
      <c r="G180" t="str">
        <f>"00014603"</f>
        <v>00014603</v>
      </c>
      <c r="H180" t="s">
        <v>324</v>
      </c>
      <c r="I180">
        <v>0</v>
      </c>
      <c r="J180">
        <v>400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30</v>
      </c>
      <c r="R180">
        <v>0</v>
      </c>
      <c r="S180">
        <v>0</v>
      </c>
      <c r="T180">
        <v>0</v>
      </c>
      <c r="U180">
        <v>0</v>
      </c>
      <c r="X180">
        <v>0</v>
      </c>
      <c r="Y180" t="s">
        <v>467</v>
      </c>
    </row>
    <row r="181" spans="1:25" x14ac:dyDescent="0.25">
      <c r="H181">
        <v>221</v>
      </c>
    </row>
    <row r="182" spans="1:25" x14ac:dyDescent="0.25">
      <c r="A182">
        <v>88</v>
      </c>
      <c r="B182">
        <v>1078</v>
      </c>
      <c r="C182" t="s">
        <v>472</v>
      </c>
      <c r="D182" t="s">
        <v>124</v>
      </c>
      <c r="E182" t="s">
        <v>473</v>
      </c>
      <c r="F182" t="s">
        <v>474</v>
      </c>
      <c r="G182" t="str">
        <f>"201504002360"</f>
        <v>201504002360</v>
      </c>
      <c r="H182" t="s">
        <v>475</v>
      </c>
      <c r="I182">
        <v>0</v>
      </c>
      <c r="J182">
        <v>400</v>
      </c>
      <c r="K182">
        <v>0</v>
      </c>
      <c r="L182">
        <v>0</v>
      </c>
      <c r="M182">
        <v>100</v>
      </c>
      <c r="N182">
        <v>30</v>
      </c>
      <c r="O182">
        <v>0</v>
      </c>
      <c r="P182">
        <v>50</v>
      </c>
      <c r="Q182">
        <v>0</v>
      </c>
      <c r="R182">
        <v>0</v>
      </c>
      <c r="S182">
        <v>0</v>
      </c>
      <c r="T182">
        <v>0</v>
      </c>
      <c r="U182">
        <v>0</v>
      </c>
      <c r="X182">
        <v>0</v>
      </c>
      <c r="Y182" t="s">
        <v>476</v>
      </c>
    </row>
    <row r="183" spans="1:25" x14ac:dyDescent="0.25">
      <c r="H183">
        <v>224</v>
      </c>
    </row>
    <row r="184" spans="1:25" x14ac:dyDescent="0.25">
      <c r="A184">
        <v>89</v>
      </c>
      <c r="B184">
        <v>2141</v>
      </c>
      <c r="C184" t="s">
        <v>477</v>
      </c>
      <c r="D184" t="s">
        <v>175</v>
      </c>
      <c r="E184" t="s">
        <v>478</v>
      </c>
      <c r="F184" t="s">
        <v>479</v>
      </c>
      <c r="G184" t="str">
        <f>"201504002958"</f>
        <v>201504002958</v>
      </c>
      <c r="H184" t="s">
        <v>480</v>
      </c>
      <c r="I184">
        <v>0</v>
      </c>
      <c r="J184">
        <v>400</v>
      </c>
      <c r="K184">
        <v>0</v>
      </c>
      <c r="L184">
        <v>200</v>
      </c>
      <c r="M184">
        <v>0</v>
      </c>
      <c r="N184">
        <v>50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X184">
        <v>0</v>
      </c>
      <c r="Y184" t="s">
        <v>481</v>
      </c>
    </row>
    <row r="185" spans="1:25" x14ac:dyDescent="0.25">
      <c r="H185" t="s">
        <v>482</v>
      </c>
    </row>
    <row r="186" spans="1:25" x14ac:dyDescent="0.25">
      <c r="A186">
        <v>90</v>
      </c>
      <c r="B186">
        <v>2998</v>
      </c>
      <c r="C186" t="s">
        <v>483</v>
      </c>
      <c r="D186" t="s">
        <v>124</v>
      </c>
      <c r="E186" t="s">
        <v>82</v>
      </c>
      <c r="F186" t="s">
        <v>484</v>
      </c>
      <c r="G186" t="str">
        <f>"200906000540"</f>
        <v>200906000540</v>
      </c>
      <c r="H186" t="s">
        <v>485</v>
      </c>
      <c r="I186">
        <v>0</v>
      </c>
      <c r="J186">
        <v>400</v>
      </c>
      <c r="K186">
        <v>0</v>
      </c>
      <c r="L186">
        <v>200</v>
      </c>
      <c r="M186">
        <v>0</v>
      </c>
      <c r="N186">
        <v>70</v>
      </c>
      <c r="O186">
        <v>30</v>
      </c>
      <c r="P186">
        <v>0</v>
      </c>
      <c r="Q186">
        <v>30</v>
      </c>
      <c r="R186">
        <v>0</v>
      </c>
      <c r="S186">
        <v>0</v>
      </c>
      <c r="T186">
        <v>0</v>
      </c>
      <c r="U186">
        <v>0</v>
      </c>
      <c r="X186">
        <v>0</v>
      </c>
      <c r="Y186" t="s">
        <v>486</v>
      </c>
    </row>
    <row r="187" spans="1:25" x14ac:dyDescent="0.25">
      <c r="H187" t="s">
        <v>487</v>
      </c>
    </row>
    <row r="188" spans="1:25" x14ac:dyDescent="0.25">
      <c r="A188">
        <v>91</v>
      </c>
      <c r="B188">
        <v>2822</v>
      </c>
      <c r="C188" t="s">
        <v>488</v>
      </c>
      <c r="D188" t="s">
        <v>489</v>
      </c>
      <c r="E188" t="s">
        <v>217</v>
      </c>
      <c r="F188" t="s">
        <v>490</v>
      </c>
      <c r="G188" t="str">
        <f>"201504000131"</f>
        <v>201504000131</v>
      </c>
      <c r="H188" t="s">
        <v>491</v>
      </c>
      <c r="I188">
        <v>0</v>
      </c>
      <c r="J188">
        <v>400</v>
      </c>
      <c r="K188">
        <v>0</v>
      </c>
      <c r="L188">
        <v>260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X188">
        <v>0</v>
      </c>
      <c r="Y188" t="s">
        <v>492</v>
      </c>
    </row>
    <row r="189" spans="1:25" x14ac:dyDescent="0.25">
      <c r="H189" t="s">
        <v>493</v>
      </c>
    </row>
    <row r="190" spans="1:25" x14ac:dyDescent="0.25">
      <c r="A190">
        <v>92</v>
      </c>
      <c r="B190">
        <v>2573</v>
      </c>
      <c r="C190" t="s">
        <v>494</v>
      </c>
      <c r="D190" t="s">
        <v>267</v>
      </c>
      <c r="E190" t="s">
        <v>334</v>
      </c>
      <c r="F190" t="s">
        <v>495</v>
      </c>
      <c r="G190" t="str">
        <f>"00013369"</f>
        <v>00013369</v>
      </c>
      <c r="H190">
        <v>836</v>
      </c>
      <c r="I190">
        <v>0</v>
      </c>
      <c r="J190">
        <v>400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X190">
        <v>0</v>
      </c>
      <c r="Y190">
        <v>1506</v>
      </c>
    </row>
    <row r="191" spans="1:25" x14ac:dyDescent="0.25">
      <c r="H191" t="s">
        <v>496</v>
      </c>
    </row>
    <row r="192" spans="1:25" x14ac:dyDescent="0.25">
      <c r="A192">
        <v>93</v>
      </c>
      <c r="B192">
        <v>1661</v>
      </c>
      <c r="C192" t="s">
        <v>497</v>
      </c>
      <c r="D192" t="s">
        <v>498</v>
      </c>
      <c r="E192" t="s">
        <v>41</v>
      </c>
      <c r="F192" t="s">
        <v>499</v>
      </c>
      <c r="G192" t="str">
        <f>"00013607"</f>
        <v>00013607</v>
      </c>
      <c r="H192" t="s">
        <v>500</v>
      </c>
      <c r="I192">
        <v>150</v>
      </c>
      <c r="J192">
        <v>400</v>
      </c>
      <c r="K192">
        <v>0</v>
      </c>
      <c r="L192">
        <v>200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X192">
        <v>0</v>
      </c>
      <c r="Y192" t="s">
        <v>501</v>
      </c>
    </row>
    <row r="193" spans="1:25" x14ac:dyDescent="0.25">
      <c r="H193" t="s">
        <v>502</v>
      </c>
    </row>
    <row r="194" spans="1:25" x14ac:dyDescent="0.25">
      <c r="A194">
        <v>94</v>
      </c>
      <c r="B194">
        <v>2145</v>
      </c>
      <c r="C194" t="s">
        <v>503</v>
      </c>
      <c r="D194" t="s">
        <v>330</v>
      </c>
      <c r="E194" t="s">
        <v>267</v>
      </c>
      <c r="F194" t="s">
        <v>504</v>
      </c>
      <c r="G194" t="str">
        <f>"200712003001"</f>
        <v>200712003001</v>
      </c>
      <c r="H194" t="s">
        <v>505</v>
      </c>
      <c r="I194">
        <v>0</v>
      </c>
      <c r="J194">
        <v>400</v>
      </c>
      <c r="K194">
        <v>60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X194">
        <v>0</v>
      </c>
      <c r="Y194" t="s">
        <v>506</v>
      </c>
    </row>
    <row r="195" spans="1:25" x14ac:dyDescent="0.25">
      <c r="H195" t="s">
        <v>507</v>
      </c>
    </row>
    <row r="196" spans="1:25" x14ac:dyDescent="0.25">
      <c r="A196">
        <v>95</v>
      </c>
      <c r="B196">
        <v>2574</v>
      </c>
      <c r="C196" t="s">
        <v>508</v>
      </c>
      <c r="D196" t="s">
        <v>509</v>
      </c>
      <c r="E196" t="s">
        <v>124</v>
      </c>
      <c r="F196" t="s">
        <v>510</v>
      </c>
      <c r="G196" t="str">
        <f>"00014520"</f>
        <v>00014520</v>
      </c>
      <c r="H196" t="s">
        <v>511</v>
      </c>
      <c r="I196">
        <v>0</v>
      </c>
      <c r="J196">
        <v>400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X196">
        <v>0</v>
      </c>
      <c r="Y196" t="s">
        <v>512</v>
      </c>
    </row>
    <row r="197" spans="1:25" x14ac:dyDescent="0.25">
      <c r="H197" t="s">
        <v>513</v>
      </c>
    </row>
    <row r="198" spans="1:25" x14ac:dyDescent="0.25">
      <c r="A198">
        <v>96</v>
      </c>
      <c r="B198">
        <v>1038</v>
      </c>
      <c r="C198" t="s">
        <v>514</v>
      </c>
      <c r="D198" t="s">
        <v>515</v>
      </c>
      <c r="E198" t="s">
        <v>516</v>
      </c>
      <c r="F198" t="s">
        <v>517</v>
      </c>
      <c r="G198" t="str">
        <f>"201504000547"</f>
        <v>201504000547</v>
      </c>
      <c r="H198" t="s">
        <v>68</v>
      </c>
      <c r="I198">
        <v>0</v>
      </c>
      <c r="J198">
        <v>400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30</v>
      </c>
      <c r="X198">
        <v>0</v>
      </c>
      <c r="Y198" t="s">
        <v>518</v>
      </c>
    </row>
    <row r="199" spans="1:25" x14ac:dyDescent="0.25">
      <c r="H199" t="s">
        <v>519</v>
      </c>
    </row>
    <row r="200" spans="1:25" x14ac:dyDescent="0.25">
      <c r="A200">
        <v>97</v>
      </c>
      <c r="B200">
        <v>382</v>
      </c>
      <c r="C200" t="s">
        <v>520</v>
      </c>
      <c r="D200" t="s">
        <v>41</v>
      </c>
      <c r="E200" t="s">
        <v>217</v>
      </c>
      <c r="F200" t="s">
        <v>521</v>
      </c>
      <c r="G200" t="str">
        <f>"200804000258"</f>
        <v>200804000258</v>
      </c>
      <c r="H200" t="s">
        <v>522</v>
      </c>
      <c r="I200">
        <v>0</v>
      </c>
      <c r="J200">
        <v>400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X200">
        <v>0</v>
      </c>
      <c r="Y200" t="s">
        <v>523</v>
      </c>
    </row>
    <row r="201" spans="1:25" x14ac:dyDescent="0.25">
      <c r="H201" t="s">
        <v>524</v>
      </c>
    </row>
    <row r="202" spans="1:25" x14ac:dyDescent="0.25">
      <c r="A202">
        <v>98</v>
      </c>
      <c r="B202">
        <v>2980</v>
      </c>
      <c r="C202" t="s">
        <v>525</v>
      </c>
      <c r="D202" t="s">
        <v>526</v>
      </c>
      <c r="E202" t="s">
        <v>48</v>
      </c>
      <c r="F202" t="s">
        <v>527</v>
      </c>
      <c r="G202" t="str">
        <f>"00013615"</f>
        <v>00013615</v>
      </c>
      <c r="H202" t="s">
        <v>522</v>
      </c>
      <c r="I202">
        <v>0</v>
      </c>
      <c r="J202">
        <v>400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X202">
        <v>0</v>
      </c>
      <c r="Y202" t="s">
        <v>523</v>
      </c>
    </row>
    <row r="203" spans="1:25" x14ac:dyDescent="0.25">
      <c r="H203" t="s">
        <v>528</v>
      </c>
    </row>
    <row r="204" spans="1:25" x14ac:dyDescent="0.25">
      <c r="A204">
        <v>99</v>
      </c>
      <c r="B204">
        <v>2905</v>
      </c>
      <c r="C204" t="s">
        <v>529</v>
      </c>
      <c r="D204" t="s">
        <v>310</v>
      </c>
      <c r="E204" t="s">
        <v>66</v>
      </c>
      <c r="F204" t="s">
        <v>530</v>
      </c>
      <c r="G204" t="str">
        <f>"00013894"</f>
        <v>00013894</v>
      </c>
      <c r="H204" t="s">
        <v>531</v>
      </c>
      <c r="I204">
        <v>0</v>
      </c>
      <c r="J204">
        <v>400</v>
      </c>
      <c r="K204">
        <v>0</v>
      </c>
      <c r="L204">
        <v>200</v>
      </c>
      <c r="M204">
        <v>0</v>
      </c>
      <c r="N204">
        <v>70</v>
      </c>
      <c r="O204">
        <v>50</v>
      </c>
      <c r="P204">
        <v>0</v>
      </c>
      <c r="Q204">
        <v>50</v>
      </c>
      <c r="R204">
        <v>0</v>
      </c>
      <c r="S204">
        <v>0</v>
      </c>
      <c r="T204">
        <v>0</v>
      </c>
      <c r="U204">
        <v>0</v>
      </c>
      <c r="X204">
        <v>0</v>
      </c>
      <c r="Y204" t="s">
        <v>532</v>
      </c>
    </row>
    <row r="205" spans="1:25" x14ac:dyDescent="0.25">
      <c r="H205" t="s">
        <v>162</v>
      </c>
    </row>
    <row r="206" spans="1:25" x14ac:dyDescent="0.25">
      <c r="A206">
        <v>100</v>
      </c>
      <c r="B206">
        <v>976</v>
      </c>
      <c r="C206" t="s">
        <v>533</v>
      </c>
      <c r="D206" t="s">
        <v>381</v>
      </c>
      <c r="E206" t="s">
        <v>66</v>
      </c>
      <c r="F206" t="s">
        <v>534</v>
      </c>
      <c r="G206" t="str">
        <f>"201504004259"</f>
        <v>201504004259</v>
      </c>
      <c r="H206" t="s">
        <v>535</v>
      </c>
      <c r="I206">
        <v>0</v>
      </c>
      <c r="J206">
        <v>400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50</v>
      </c>
      <c r="Q206">
        <v>0</v>
      </c>
      <c r="R206">
        <v>0</v>
      </c>
      <c r="S206">
        <v>0</v>
      </c>
      <c r="T206">
        <v>0</v>
      </c>
      <c r="U206">
        <v>0</v>
      </c>
      <c r="X206">
        <v>0</v>
      </c>
      <c r="Y206" t="s">
        <v>536</v>
      </c>
    </row>
    <row r="207" spans="1:25" x14ac:dyDescent="0.25">
      <c r="H207" t="s">
        <v>537</v>
      </c>
    </row>
    <row r="208" spans="1:25" x14ac:dyDescent="0.25">
      <c r="A208">
        <v>101</v>
      </c>
      <c r="B208">
        <v>131</v>
      </c>
      <c r="C208" t="s">
        <v>538</v>
      </c>
      <c r="D208" t="s">
        <v>539</v>
      </c>
      <c r="E208" t="s">
        <v>440</v>
      </c>
      <c r="F208" t="s">
        <v>540</v>
      </c>
      <c r="G208" t="str">
        <f>"00012965"</f>
        <v>00012965</v>
      </c>
      <c r="H208" t="s">
        <v>541</v>
      </c>
      <c r="I208">
        <v>0</v>
      </c>
      <c r="J208">
        <v>400</v>
      </c>
      <c r="K208">
        <v>0</v>
      </c>
      <c r="L208">
        <v>200</v>
      </c>
      <c r="M208">
        <v>30</v>
      </c>
      <c r="N208">
        <v>70</v>
      </c>
      <c r="O208">
        <v>30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X208">
        <v>0</v>
      </c>
      <c r="Y208" t="s">
        <v>542</v>
      </c>
    </row>
    <row r="209" spans="1:25" x14ac:dyDescent="0.25">
      <c r="H209" t="s">
        <v>543</v>
      </c>
    </row>
    <row r="210" spans="1:25" x14ac:dyDescent="0.25">
      <c r="A210">
        <v>102</v>
      </c>
      <c r="B210">
        <v>3061</v>
      </c>
      <c r="C210" t="s">
        <v>544</v>
      </c>
      <c r="D210" t="s">
        <v>545</v>
      </c>
      <c r="E210" t="s">
        <v>546</v>
      </c>
      <c r="F210" t="s">
        <v>547</v>
      </c>
      <c r="G210" t="str">
        <f>"00013643"</f>
        <v>00013643</v>
      </c>
      <c r="H210" t="s">
        <v>548</v>
      </c>
      <c r="I210">
        <v>0</v>
      </c>
      <c r="J210">
        <v>400</v>
      </c>
      <c r="K210">
        <v>0</v>
      </c>
      <c r="L210">
        <v>200</v>
      </c>
      <c r="M210">
        <v>30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X210">
        <v>0</v>
      </c>
      <c r="Y210" t="s">
        <v>549</v>
      </c>
    </row>
    <row r="211" spans="1:25" x14ac:dyDescent="0.25">
      <c r="H211" t="s">
        <v>162</v>
      </c>
    </row>
    <row r="212" spans="1:25" x14ac:dyDescent="0.25">
      <c r="A212">
        <v>103</v>
      </c>
      <c r="B212">
        <v>1897</v>
      </c>
      <c r="C212" t="s">
        <v>550</v>
      </c>
      <c r="D212" t="s">
        <v>551</v>
      </c>
      <c r="E212" t="s">
        <v>22</v>
      </c>
      <c r="F212" t="s">
        <v>552</v>
      </c>
      <c r="G212" t="str">
        <f>"201511009105"</f>
        <v>201511009105</v>
      </c>
      <c r="H212" t="s">
        <v>491</v>
      </c>
      <c r="I212">
        <v>0</v>
      </c>
      <c r="J212">
        <v>400</v>
      </c>
      <c r="K212">
        <v>0</v>
      </c>
      <c r="L212">
        <v>200</v>
      </c>
      <c r="M212">
        <v>0</v>
      </c>
      <c r="N212">
        <v>70</v>
      </c>
      <c r="O212">
        <v>50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X212">
        <v>1</v>
      </c>
      <c r="Y212" t="s">
        <v>553</v>
      </c>
    </row>
    <row r="213" spans="1:25" x14ac:dyDescent="0.25">
      <c r="H213" t="s">
        <v>554</v>
      </c>
    </row>
    <row r="214" spans="1:25" x14ac:dyDescent="0.25">
      <c r="A214">
        <v>104</v>
      </c>
      <c r="B214">
        <v>995</v>
      </c>
      <c r="C214" t="s">
        <v>555</v>
      </c>
      <c r="D214" t="s">
        <v>48</v>
      </c>
      <c r="E214" t="s">
        <v>124</v>
      </c>
      <c r="F214" t="s">
        <v>556</v>
      </c>
      <c r="G214" t="str">
        <f>"00014798"</f>
        <v>00014798</v>
      </c>
      <c r="H214" t="s">
        <v>557</v>
      </c>
      <c r="I214">
        <v>0</v>
      </c>
      <c r="J214">
        <v>400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30</v>
      </c>
      <c r="Q214">
        <v>0</v>
      </c>
      <c r="R214">
        <v>0</v>
      </c>
      <c r="S214">
        <v>0</v>
      </c>
      <c r="T214">
        <v>0</v>
      </c>
      <c r="U214">
        <v>0</v>
      </c>
      <c r="X214">
        <v>0</v>
      </c>
      <c r="Y214" t="s">
        <v>558</v>
      </c>
    </row>
    <row r="215" spans="1:25" x14ac:dyDescent="0.25">
      <c r="H215" t="s">
        <v>559</v>
      </c>
    </row>
    <row r="216" spans="1:25" x14ac:dyDescent="0.25">
      <c r="A216">
        <v>105</v>
      </c>
      <c r="B216">
        <v>2811</v>
      </c>
      <c r="C216" t="s">
        <v>560</v>
      </c>
      <c r="D216" t="s">
        <v>561</v>
      </c>
      <c r="E216" t="s">
        <v>124</v>
      </c>
      <c r="F216" t="s">
        <v>562</v>
      </c>
      <c r="G216" t="str">
        <f>"00013705"</f>
        <v>00013705</v>
      </c>
      <c r="H216" t="s">
        <v>557</v>
      </c>
      <c r="I216">
        <v>0</v>
      </c>
      <c r="J216">
        <v>400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30</v>
      </c>
      <c r="Q216">
        <v>0</v>
      </c>
      <c r="R216">
        <v>0</v>
      </c>
      <c r="S216">
        <v>0</v>
      </c>
      <c r="T216">
        <v>0</v>
      </c>
      <c r="U216">
        <v>0</v>
      </c>
      <c r="X216">
        <v>0</v>
      </c>
      <c r="Y216" t="s">
        <v>558</v>
      </c>
    </row>
    <row r="217" spans="1:25" x14ac:dyDescent="0.25">
      <c r="H217" t="s">
        <v>563</v>
      </c>
    </row>
    <row r="218" spans="1:25" x14ac:dyDescent="0.25">
      <c r="A218">
        <v>106</v>
      </c>
      <c r="B218">
        <v>1653</v>
      </c>
      <c r="C218" t="s">
        <v>564</v>
      </c>
      <c r="D218" t="s">
        <v>565</v>
      </c>
      <c r="E218" t="s">
        <v>41</v>
      </c>
      <c r="F218" t="s">
        <v>566</v>
      </c>
      <c r="G218" t="str">
        <f>"200801004598"</f>
        <v>200801004598</v>
      </c>
      <c r="H218" t="s">
        <v>567</v>
      </c>
      <c r="I218">
        <v>0</v>
      </c>
      <c r="J218">
        <v>400</v>
      </c>
      <c r="K218">
        <v>0</v>
      </c>
      <c r="L218">
        <v>200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X218">
        <v>0</v>
      </c>
      <c r="Y218" t="s">
        <v>568</v>
      </c>
    </row>
    <row r="219" spans="1:25" x14ac:dyDescent="0.25">
      <c r="H219" t="s">
        <v>569</v>
      </c>
    </row>
    <row r="220" spans="1:25" x14ac:dyDescent="0.25">
      <c r="A220">
        <v>107</v>
      </c>
      <c r="B220">
        <v>2425</v>
      </c>
      <c r="C220" t="s">
        <v>570</v>
      </c>
      <c r="D220" t="s">
        <v>571</v>
      </c>
      <c r="E220" t="s">
        <v>48</v>
      </c>
      <c r="F220" t="s">
        <v>572</v>
      </c>
      <c r="G220" t="str">
        <f>"00013844"</f>
        <v>00013844</v>
      </c>
      <c r="H220" t="s">
        <v>225</v>
      </c>
      <c r="I220">
        <v>0</v>
      </c>
      <c r="J220">
        <v>400</v>
      </c>
      <c r="K220">
        <v>0</v>
      </c>
      <c r="L220">
        <v>260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X220">
        <v>2</v>
      </c>
      <c r="Y220" t="s">
        <v>573</v>
      </c>
    </row>
    <row r="221" spans="1:25" x14ac:dyDescent="0.25">
      <c r="H221" t="s">
        <v>574</v>
      </c>
    </row>
    <row r="222" spans="1:25" x14ac:dyDescent="0.25">
      <c r="A222">
        <v>108</v>
      </c>
      <c r="B222">
        <v>788</v>
      </c>
      <c r="C222" t="s">
        <v>575</v>
      </c>
      <c r="D222" t="s">
        <v>576</v>
      </c>
      <c r="E222" t="s">
        <v>22</v>
      </c>
      <c r="F222" t="s">
        <v>577</v>
      </c>
      <c r="G222" t="str">
        <f>"201511006144"</f>
        <v>201511006144</v>
      </c>
      <c r="H222" t="s">
        <v>456</v>
      </c>
      <c r="I222">
        <v>0</v>
      </c>
      <c r="J222">
        <v>400</v>
      </c>
      <c r="K222">
        <v>0</v>
      </c>
      <c r="L222">
        <v>200</v>
      </c>
      <c r="M222">
        <v>0</v>
      </c>
      <c r="N222">
        <v>70</v>
      </c>
      <c r="O222">
        <v>30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X222">
        <v>0</v>
      </c>
      <c r="Y222" t="s">
        <v>578</v>
      </c>
    </row>
    <row r="223" spans="1:25" x14ac:dyDescent="0.25">
      <c r="H223" t="s">
        <v>579</v>
      </c>
    </row>
    <row r="224" spans="1:25" x14ac:dyDescent="0.25">
      <c r="A224">
        <v>109</v>
      </c>
      <c r="B224">
        <v>231</v>
      </c>
      <c r="C224" t="s">
        <v>580</v>
      </c>
      <c r="D224" t="s">
        <v>211</v>
      </c>
      <c r="E224" t="s">
        <v>267</v>
      </c>
      <c r="F224" t="s">
        <v>581</v>
      </c>
      <c r="G224" t="str">
        <f>"00013851"</f>
        <v>00013851</v>
      </c>
      <c r="H224" t="s">
        <v>383</v>
      </c>
      <c r="I224">
        <v>0</v>
      </c>
      <c r="J224">
        <v>400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X224">
        <v>0</v>
      </c>
      <c r="Y224" t="s">
        <v>582</v>
      </c>
    </row>
    <row r="225" spans="1:25" x14ac:dyDescent="0.25">
      <c r="H225" t="s">
        <v>583</v>
      </c>
    </row>
    <row r="226" spans="1:25" x14ac:dyDescent="0.25">
      <c r="A226">
        <v>110</v>
      </c>
      <c r="B226">
        <v>1255</v>
      </c>
      <c r="C226" t="s">
        <v>584</v>
      </c>
      <c r="D226" t="s">
        <v>585</v>
      </c>
      <c r="E226" t="s">
        <v>417</v>
      </c>
      <c r="F226" t="s">
        <v>586</v>
      </c>
      <c r="G226" t="str">
        <f>"00014734"</f>
        <v>00014734</v>
      </c>
      <c r="H226" t="s">
        <v>587</v>
      </c>
      <c r="I226">
        <v>0</v>
      </c>
      <c r="J226">
        <v>400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30</v>
      </c>
      <c r="S226">
        <v>0</v>
      </c>
      <c r="T226">
        <v>0</v>
      </c>
      <c r="U226">
        <v>0</v>
      </c>
      <c r="X226">
        <v>0</v>
      </c>
      <c r="Y226" t="s">
        <v>588</v>
      </c>
    </row>
    <row r="227" spans="1:25" x14ac:dyDescent="0.25">
      <c r="H227" t="s">
        <v>589</v>
      </c>
    </row>
    <row r="228" spans="1:25" x14ac:dyDescent="0.25">
      <c r="A228">
        <v>111</v>
      </c>
      <c r="B228">
        <v>917</v>
      </c>
      <c r="C228" t="s">
        <v>590</v>
      </c>
      <c r="D228" t="s">
        <v>147</v>
      </c>
      <c r="E228" t="s">
        <v>130</v>
      </c>
      <c r="F228" t="s">
        <v>591</v>
      </c>
      <c r="G228" t="str">
        <f>"201511022803"</f>
        <v>201511022803</v>
      </c>
      <c r="H228" t="s">
        <v>398</v>
      </c>
      <c r="I228">
        <v>0</v>
      </c>
      <c r="J228">
        <v>400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X228">
        <v>0</v>
      </c>
      <c r="Y228" t="s">
        <v>592</v>
      </c>
    </row>
    <row r="229" spans="1:25" x14ac:dyDescent="0.25">
      <c r="H229" t="s">
        <v>593</v>
      </c>
    </row>
    <row r="230" spans="1:25" x14ac:dyDescent="0.25">
      <c r="A230">
        <v>112</v>
      </c>
      <c r="B230">
        <v>1452</v>
      </c>
      <c r="C230" t="s">
        <v>594</v>
      </c>
      <c r="D230" t="s">
        <v>130</v>
      </c>
      <c r="E230" t="s">
        <v>417</v>
      </c>
      <c r="F230" t="s">
        <v>595</v>
      </c>
      <c r="G230" t="str">
        <f>"00012698"</f>
        <v>00012698</v>
      </c>
      <c r="H230" t="s">
        <v>596</v>
      </c>
      <c r="I230">
        <v>0</v>
      </c>
      <c r="J230">
        <v>400</v>
      </c>
      <c r="K230">
        <v>0</v>
      </c>
      <c r="L230">
        <v>200</v>
      </c>
      <c r="M230">
        <v>0</v>
      </c>
      <c r="N230">
        <v>70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X230">
        <v>0</v>
      </c>
      <c r="Y230" t="s">
        <v>597</v>
      </c>
    </row>
    <row r="231" spans="1:25" x14ac:dyDescent="0.25">
      <c r="H231" t="s">
        <v>598</v>
      </c>
    </row>
    <row r="232" spans="1:25" x14ac:dyDescent="0.25">
      <c r="A232">
        <v>113</v>
      </c>
      <c r="B232">
        <v>508</v>
      </c>
      <c r="C232" t="s">
        <v>599</v>
      </c>
      <c r="D232" t="s">
        <v>223</v>
      </c>
      <c r="E232" t="s">
        <v>585</v>
      </c>
      <c r="F232" t="s">
        <v>600</v>
      </c>
      <c r="G232" t="str">
        <f>"00014051"</f>
        <v>00014051</v>
      </c>
      <c r="H232" t="s">
        <v>601</v>
      </c>
      <c r="I232">
        <v>0</v>
      </c>
      <c r="J232">
        <v>400</v>
      </c>
      <c r="K232">
        <v>0</v>
      </c>
      <c r="L232">
        <v>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X232">
        <v>0</v>
      </c>
      <c r="Y232" t="s">
        <v>602</v>
      </c>
    </row>
    <row r="233" spans="1:25" x14ac:dyDescent="0.25">
      <c r="H233" t="s">
        <v>110</v>
      </c>
    </row>
    <row r="234" spans="1:25" x14ac:dyDescent="0.25">
      <c r="A234">
        <v>114</v>
      </c>
      <c r="B234">
        <v>3253</v>
      </c>
      <c r="C234" t="s">
        <v>603</v>
      </c>
      <c r="D234" t="s">
        <v>604</v>
      </c>
      <c r="E234" t="s">
        <v>124</v>
      </c>
      <c r="F234" t="s">
        <v>605</v>
      </c>
      <c r="G234" t="str">
        <f>"00013305"</f>
        <v>00013305</v>
      </c>
      <c r="H234" t="s">
        <v>541</v>
      </c>
      <c r="I234">
        <v>0</v>
      </c>
      <c r="J234">
        <v>400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50</v>
      </c>
      <c r="Q234">
        <v>0</v>
      </c>
      <c r="R234">
        <v>0</v>
      </c>
      <c r="S234">
        <v>0</v>
      </c>
      <c r="T234">
        <v>0</v>
      </c>
      <c r="U234">
        <v>0</v>
      </c>
      <c r="X234">
        <v>0</v>
      </c>
      <c r="Y234" t="s">
        <v>606</v>
      </c>
    </row>
    <row r="235" spans="1:25" x14ac:dyDescent="0.25">
      <c r="H235" t="s">
        <v>607</v>
      </c>
    </row>
    <row r="236" spans="1:25" x14ac:dyDescent="0.25">
      <c r="A236">
        <v>115</v>
      </c>
      <c r="B236">
        <v>1042</v>
      </c>
      <c r="C236" t="s">
        <v>608</v>
      </c>
      <c r="D236" t="s">
        <v>330</v>
      </c>
      <c r="E236" t="s">
        <v>22</v>
      </c>
      <c r="F236" t="s">
        <v>609</v>
      </c>
      <c r="G236" t="str">
        <f>"00014546"</f>
        <v>00014546</v>
      </c>
      <c r="H236" t="s">
        <v>184</v>
      </c>
      <c r="I236">
        <v>0</v>
      </c>
      <c r="J236">
        <v>400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X236">
        <v>0</v>
      </c>
      <c r="Y236" t="s">
        <v>610</v>
      </c>
    </row>
    <row r="237" spans="1:25" x14ac:dyDescent="0.25">
      <c r="H237" t="s">
        <v>203</v>
      </c>
    </row>
    <row r="238" spans="1:25" x14ac:dyDescent="0.25">
      <c r="A238">
        <v>116</v>
      </c>
      <c r="B238">
        <v>723</v>
      </c>
      <c r="C238" t="s">
        <v>611</v>
      </c>
      <c r="D238" t="s">
        <v>124</v>
      </c>
      <c r="E238" t="s">
        <v>21</v>
      </c>
      <c r="F238" t="s">
        <v>612</v>
      </c>
      <c r="G238" t="str">
        <f>"201504004046"</f>
        <v>201504004046</v>
      </c>
      <c r="H238" t="s">
        <v>184</v>
      </c>
      <c r="I238">
        <v>0</v>
      </c>
      <c r="J238">
        <v>400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X238">
        <v>0</v>
      </c>
      <c r="Y238" t="s">
        <v>610</v>
      </c>
    </row>
    <row r="239" spans="1:25" x14ac:dyDescent="0.25">
      <c r="H239" t="s">
        <v>613</v>
      </c>
    </row>
    <row r="240" spans="1:25" x14ac:dyDescent="0.25">
      <c r="A240">
        <v>117</v>
      </c>
      <c r="B240">
        <v>2484</v>
      </c>
      <c r="C240" t="s">
        <v>614</v>
      </c>
      <c r="D240" t="s">
        <v>41</v>
      </c>
      <c r="E240" t="s">
        <v>66</v>
      </c>
      <c r="F240" t="s">
        <v>615</v>
      </c>
      <c r="G240" t="str">
        <f>"00014280"</f>
        <v>00014280</v>
      </c>
      <c r="H240" t="s">
        <v>184</v>
      </c>
      <c r="I240">
        <v>0</v>
      </c>
      <c r="J240">
        <v>400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X240">
        <v>0</v>
      </c>
      <c r="Y240" t="s">
        <v>610</v>
      </c>
    </row>
    <row r="241" spans="1:25" x14ac:dyDescent="0.25">
      <c r="H241" t="s">
        <v>616</v>
      </c>
    </row>
    <row r="242" spans="1:25" x14ac:dyDescent="0.25">
      <c r="A242">
        <v>118</v>
      </c>
      <c r="B242">
        <v>2874</v>
      </c>
      <c r="C242" t="s">
        <v>617</v>
      </c>
      <c r="D242" t="s">
        <v>618</v>
      </c>
      <c r="E242" t="s">
        <v>66</v>
      </c>
      <c r="F242" t="s">
        <v>619</v>
      </c>
      <c r="G242" t="str">
        <f>"00013867"</f>
        <v>00013867</v>
      </c>
      <c r="H242" t="s">
        <v>620</v>
      </c>
      <c r="I242">
        <v>0</v>
      </c>
      <c r="J242">
        <v>400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50</v>
      </c>
      <c r="Q242">
        <v>0</v>
      </c>
      <c r="R242">
        <v>0</v>
      </c>
      <c r="S242">
        <v>0</v>
      </c>
      <c r="T242">
        <v>0</v>
      </c>
      <c r="U242">
        <v>0</v>
      </c>
      <c r="X242">
        <v>0</v>
      </c>
      <c r="Y242" t="s">
        <v>621</v>
      </c>
    </row>
    <row r="243" spans="1:25" x14ac:dyDescent="0.25">
      <c r="H243" t="s">
        <v>622</v>
      </c>
    </row>
    <row r="244" spans="1:25" x14ac:dyDescent="0.25">
      <c r="A244">
        <v>119</v>
      </c>
      <c r="B244">
        <v>94</v>
      </c>
      <c r="C244" t="s">
        <v>623</v>
      </c>
      <c r="D244" t="s">
        <v>526</v>
      </c>
      <c r="E244" t="s">
        <v>112</v>
      </c>
      <c r="F244" t="s">
        <v>624</v>
      </c>
      <c r="G244" t="str">
        <f>"201511004689"</f>
        <v>201511004689</v>
      </c>
      <c r="H244" t="s">
        <v>625</v>
      </c>
      <c r="I244">
        <v>0</v>
      </c>
      <c r="J244">
        <v>400</v>
      </c>
      <c r="K244">
        <v>0</v>
      </c>
      <c r="L244">
        <v>200</v>
      </c>
      <c r="M244">
        <v>0</v>
      </c>
      <c r="N244">
        <v>70</v>
      </c>
      <c r="O244">
        <v>30</v>
      </c>
      <c r="P244">
        <v>0</v>
      </c>
      <c r="Q244">
        <v>50</v>
      </c>
      <c r="R244">
        <v>30</v>
      </c>
      <c r="S244">
        <v>0</v>
      </c>
      <c r="T244">
        <v>0</v>
      </c>
      <c r="U244">
        <v>0</v>
      </c>
      <c r="X244">
        <v>0</v>
      </c>
      <c r="Y244" t="s">
        <v>626</v>
      </c>
    </row>
    <row r="245" spans="1:25" x14ac:dyDescent="0.25">
      <c r="H245" t="s">
        <v>627</v>
      </c>
    </row>
    <row r="246" spans="1:25" x14ac:dyDescent="0.25">
      <c r="A246">
        <v>120</v>
      </c>
      <c r="B246">
        <v>1566</v>
      </c>
      <c r="C246" t="s">
        <v>628</v>
      </c>
      <c r="D246" t="s">
        <v>22</v>
      </c>
      <c r="E246" t="s">
        <v>21</v>
      </c>
      <c r="F246" t="s">
        <v>629</v>
      </c>
      <c r="G246" t="str">
        <f>"200801005976"</f>
        <v>200801005976</v>
      </c>
      <c r="H246" t="s">
        <v>630</v>
      </c>
      <c r="I246">
        <v>0</v>
      </c>
      <c r="J246">
        <v>400</v>
      </c>
      <c r="K246">
        <v>0</v>
      </c>
      <c r="L246">
        <v>260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X246">
        <v>0</v>
      </c>
      <c r="Y246" t="s">
        <v>631</v>
      </c>
    </row>
    <row r="247" spans="1:25" x14ac:dyDescent="0.25">
      <c r="H247" t="s">
        <v>632</v>
      </c>
    </row>
    <row r="248" spans="1:25" x14ac:dyDescent="0.25">
      <c r="A248">
        <v>121</v>
      </c>
      <c r="B248">
        <v>1607</v>
      </c>
      <c r="C248" t="s">
        <v>633</v>
      </c>
      <c r="D248" t="s">
        <v>571</v>
      </c>
      <c r="E248" t="s">
        <v>417</v>
      </c>
      <c r="F248" t="s">
        <v>634</v>
      </c>
      <c r="G248" t="str">
        <f>"00013805"</f>
        <v>00013805</v>
      </c>
      <c r="H248" t="s">
        <v>635</v>
      </c>
      <c r="I248">
        <v>0</v>
      </c>
      <c r="J248">
        <v>400</v>
      </c>
      <c r="K248">
        <v>0</v>
      </c>
      <c r="L248">
        <v>260</v>
      </c>
      <c r="M248">
        <v>0</v>
      </c>
      <c r="N248">
        <v>30</v>
      </c>
      <c r="O248">
        <v>0</v>
      </c>
      <c r="P248">
        <v>30</v>
      </c>
      <c r="Q248">
        <v>0</v>
      </c>
      <c r="R248">
        <v>0</v>
      </c>
      <c r="S248">
        <v>0</v>
      </c>
      <c r="T248">
        <v>0</v>
      </c>
      <c r="U248">
        <v>0</v>
      </c>
      <c r="X248">
        <v>0</v>
      </c>
      <c r="Y248" t="s">
        <v>636</v>
      </c>
    </row>
    <row r="249" spans="1:25" x14ac:dyDescent="0.25">
      <c r="H249" t="s">
        <v>637</v>
      </c>
    </row>
    <row r="250" spans="1:25" x14ac:dyDescent="0.25">
      <c r="A250">
        <v>122</v>
      </c>
      <c r="B250">
        <v>985</v>
      </c>
      <c r="C250" t="s">
        <v>638</v>
      </c>
      <c r="D250" t="s">
        <v>639</v>
      </c>
      <c r="E250" t="s">
        <v>124</v>
      </c>
      <c r="F250" t="s">
        <v>640</v>
      </c>
      <c r="G250" t="str">
        <f>"201511014316"</f>
        <v>201511014316</v>
      </c>
      <c r="H250" t="s">
        <v>641</v>
      </c>
      <c r="I250">
        <v>0</v>
      </c>
      <c r="J250">
        <v>400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30</v>
      </c>
      <c r="R250">
        <v>0</v>
      </c>
      <c r="S250">
        <v>0</v>
      </c>
      <c r="T250">
        <v>0</v>
      </c>
      <c r="U250">
        <v>0</v>
      </c>
      <c r="X250">
        <v>0</v>
      </c>
      <c r="Y250" t="s">
        <v>642</v>
      </c>
    </row>
    <row r="251" spans="1:25" x14ac:dyDescent="0.25">
      <c r="H251" t="s">
        <v>643</v>
      </c>
    </row>
    <row r="252" spans="1:25" x14ac:dyDescent="0.25">
      <c r="A252">
        <v>123</v>
      </c>
      <c r="B252">
        <v>2395</v>
      </c>
      <c r="C252" t="s">
        <v>644</v>
      </c>
      <c r="D252" t="s">
        <v>41</v>
      </c>
      <c r="E252" t="s">
        <v>21</v>
      </c>
      <c r="F252" t="s">
        <v>645</v>
      </c>
      <c r="G252" t="str">
        <f>"00013565"</f>
        <v>00013565</v>
      </c>
      <c r="H252" t="s">
        <v>646</v>
      </c>
      <c r="I252">
        <v>0</v>
      </c>
      <c r="J252">
        <v>400</v>
      </c>
      <c r="K252">
        <v>0</v>
      </c>
      <c r="L252">
        <v>200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X252">
        <v>0</v>
      </c>
      <c r="Y252" t="s">
        <v>647</v>
      </c>
    </row>
    <row r="253" spans="1:25" x14ac:dyDescent="0.25">
      <c r="H253" t="s">
        <v>648</v>
      </c>
    </row>
    <row r="254" spans="1:25" x14ac:dyDescent="0.25">
      <c r="A254">
        <v>124</v>
      </c>
      <c r="B254">
        <v>1920</v>
      </c>
      <c r="C254" t="s">
        <v>649</v>
      </c>
      <c r="D254" t="s">
        <v>650</v>
      </c>
      <c r="E254" t="s">
        <v>651</v>
      </c>
      <c r="F254" t="s">
        <v>652</v>
      </c>
      <c r="G254" t="str">
        <f>"200801005785"</f>
        <v>200801005785</v>
      </c>
      <c r="H254" t="s">
        <v>653</v>
      </c>
      <c r="I254">
        <v>0</v>
      </c>
      <c r="J254">
        <v>400</v>
      </c>
      <c r="K254">
        <v>0</v>
      </c>
      <c r="L254">
        <v>200</v>
      </c>
      <c r="M254">
        <v>0</v>
      </c>
      <c r="N254">
        <v>70</v>
      </c>
      <c r="O254">
        <v>70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X254">
        <v>0</v>
      </c>
      <c r="Y254" t="s">
        <v>647</v>
      </c>
    </row>
    <row r="255" spans="1:25" x14ac:dyDescent="0.25">
      <c r="H255" t="s">
        <v>654</v>
      </c>
    </row>
    <row r="256" spans="1:25" x14ac:dyDescent="0.25">
      <c r="A256">
        <v>125</v>
      </c>
      <c r="B256">
        <v>2011</v>
      </c>
      <c r="C256" t="s">
        <v>263</v>
      </c>
      <c r="D256" t="s">
        <v>284</v>
      </c>
      <c r="E256" t="s">
        <v>124</v>
      </c>
      <c r="F256" t="s">
        <v>655</v>
      </c>
      <c r="G256" t="str">
        <f>"00012352"</f>
        <v>00012352</v>
      </c>
      <c r="H256" t="s">
        <v>656</v>
      </c>
      <c r="I256">
        <v>0</v>
      </c>
      <c r="J256">
        <v>400</v>
      </c>
      <c r="K256">
        <v>0</v>
      </c>
      <c r="L256">
        <v>200</v>
      </c>
      <c r="M256">
        <v>0</v>
      </c>
      <c r="N256">
        <v>70</v>
      </c>
      <c r="O256">
        <v>30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X256">
        <v>0</v>
      </c>
      <c r="Y256" t="s">
        <v>657</v>
      </c>
    </row>
    <row r="257" spans="1:25" x14ac:dyDescent="0.25">
      <c r="H257" t="s">
        <v>658</v>
      </c>
    </row>
    <row r="258" spans="1:25" x14ac:dyDescent="0.25">
      <c r="A258">
        <v>126</v>
      </c>
      <c r="B258">
        <v>1176</v>
      </c>
      <c r="C258" t="s">
        <v>659</v>
      </c>
      <c r="D258" t="s">
        <v>66</v>
      </c>
      <c r="E258" t="s">
        <v>41</v>
      </c>
      <c r="F258" t="s">
        <v>660</v>
      </c>
      <c r="G258" t="str">
        <f>"00013316"</f>
        <v>00013316</v>
      </c>
      <c r="H258" t="s">
        <v>661</v>
      </c>
      <c r="I258">
        <v>0</v>
      </c>
      <c r="J258">
        <v>400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X258">
        <v>0</v>
      </c>
      <c r="Y258" t="s">
        <v>662</v>
      </c>
    </row>
    <row r="259" spans="1:25" x14ac:dyDescent="0.25">
      <c r="H259" t="s">
        <v>663</v>
      </c>
    </row>
    <row r="260" spans="1:25" x14ac:dyDescent="0.25">
      <c r="A260">
        <v>127</v>
      </c>
      <c r="B260">
        <v>1257</v>
      </c>
      <c r="C260" t="s">
        <v>664</v>
      </c>
      <c r="D260" t="s">
        <v>665</v>
      </c>
      <c r="E260" t="s">
        <v>243</v>
      </c>
      <c r="F260" t="s">
        <v>666</v>
      </c>
      <c r="G260" t="str">
        <f>"200801006642"</f>
        <v>200801006642</v>
      </c>
      <c r="H260" t="s">
        <v>485</v>
      </c>
      <c r="I260">
        <v>0</v>
      </c>
      <c r="J260">
        <v>400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30</v>
      </c>
      <c r="R260">
        <v>0</v>
      </c>
      <c r="S260">
        <v>0</v>
      </c>
      <c r="T260">
        <v>0</v>
      </c>
      <c r="U260">
        <v>0</v>
      </c>
      <c r="X260">
        <v>0</v>
      </c>
      <c r="Y260" t="s">
        <v>667</v>
      </c>
    </row>
    <row r="261" spans="1:25" x14ac:dyDescent="0.25">
      <c r="H261" t="s">
        <v>668</v>
      </c>
    </row>
    <row r="262" spans="1:25" x14ac:dyDescent="0.25">
      <c r="A262">
        <v>128</v>
      </c>
      <c r="B262">
        <v>430</v>
      </c>
      <c r="C262" t="s">
        <v>669</v>
      </c>
      <c r="D262" t="s">
        <v>670</v>
      </c>
      <c r="E262" t="s">
        <v>671</v>
      </c>
      <c r="F262" t="s">
        <v>672</v>
      </c>
      <c r="G262" t="str">
        <f>"00014650"</f>
        <v>00014650</v>
      </c>
      <c r="H262" t="s">
        <v>673</v>
      </c>
      <c r="I262">
        <v>0</v>
      </c>
      <c r="J262">
        <v>400</v>
      </c>
      <c r="K262">
        <v>0</v>
      </c>
      <c r="L262">
        <v>200</v>
      </c>
      <c r="M262">
        <v>30</v>
      </c>
      <c r="N262">
        <v>70</v>
      </c>
      <c r="O262">
        <v>50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X262">
        <v>0</v>
      </c>
      <c r="Y262" t="s">
        <v>674</v>
      </c>
    </row>
    <row r="263" spans="1:25" x14ac:dyDescent="0.25">
      <c r="H263" t="s">
        <v>110</v>
      </c>
    </row>
    <row r="264" spans="1:25" x14ac:dyDescent="0.25">
      <c r="A264">
        <v>129</v>
      </c>
      <c r="B264">
        <v>1668</v>
      </c>
      <c r="C264" t="s">
        <v>675</v>
      </c>
      <c r="D264" t="s">
        <v>278</v>
      </c>
      <c r="E264" t="s">
        <v>417</v>
      </c>
      <c r="F264" t="s">
        <v>676</v>
      </c>
      <c r="G264" t="str">
        <f>"00013351"</f>
        <v>00013351</v>
      </c>
      <c r="H264" t="s">
        <v>677</v>
      </c>
      <c r="I264">
        <v>0</v>
      </c>
      <c r="J264">
        <v>400</v>
      </c>
      <c r="K264">
        <v>0</v>
      </c>
      <c r="L264">
        <v>200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X264">
        <v>0</v>
      </c>
      <c r="Y264" t="s">
        <v>678</v>
      </c>
    </row>
    <row r="265" spans="1:25" x14ac:dyDescent="0.25">
      <c r="H265" t="s">
        <v>679</v>
      </c>
    </row>
    <row r="266" spans="1:25" x14ac:dyDescent="0.25">
      <c r="A266">
        <v>130</v>
      </c>
      <c r="B266">
        <v>331</v>
      </c>
      <c r="C266" t="s">
        <v>680</v>
      </c>
      <c r="D266" t="s">
        <v>141</v>
      </c>
      <c r="E266" t="s">
        <v>681</v>
      </c>
      <c r="F266" t="s">
        <v>682</v>
      </c>
      <c r="G266" t="str">
        <f>"00013313"</f>
        <v>00013313</v>
      </c>
      <c r="H266" t="s">
        <v>677</v>
      </c>
      <c r="I266">
        <v>0</v>
      </c>
      <c r="J266">
        <v>400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X266">
        <v>0</v>
      </c>
      <c r="Y266" t="s">
        <v>678</v>
      </c>
    </row>
    <row r="267" spans="1:25" x14ac:dyDescent="0.25">
      <c r="H267" t="s">
        <v>683</v>
      </c>
    </row>
    <row r="268" spans="1:25" x14ac:dyDescent="0.25">
      <c r="A268">
        <v>131</v>
      </c>
      <c r="B268">
        <v>2511</v>
      </c>
      <c r="C268" t="s">
        <v>684</v>
      </c>
      <c r="D268" t="s">
        <v>278</v>
      </c>
      <c r="E268" t="s">
        <v>124</v>
      </c>
      <c r="F268" t="s">
        <v>685</v>
      </c>
      <c r="G268" t="str">
        <f>"00013202"</f>
        <v>00013202</v>
      </c>
      <c r="H268" t="s">
        <v>686</v>
      </c>
      <c r="I268">
        <v>0</v>
      </c>
      <c r="J268">
        <v>400</v>
      </c>
      <c r="K268">
        <v>0</v>
      </c>
      <c r="L268">
        <v>260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X268">
        <v>0</v>
      </c>
      <c r="Y268" t="s">
        <v>687</v>
      </c>
    </row>
    <row r="269" spans="1:25" x14ac:dyDescent="0.25">
      <c r="H269" t="s">
        <v>688</v>
      </c>
    </row>
    <row r="270" spans="1:25" x14ac:dyDescent="0.25">
      <c r="A270">
        <v>132</v>
      </c>
      <c r="B270">
        <v>1168</v>
      </c>
      <c r="C270" t="s">
        <v>689</v>
      </c>
      <c r="D270" t="s">
        <v>690</v>
      </c>
      <c r="E270" t="s">
        <v>41</v>
      </c>
      <c r="F270" t="s">
        <v>691</v>
      </c>
      <c r="G270" t="str">
        <f>"201511020702"</f>
        <v>201511020702</v>
      </c>
      <c r="H270" t="s">
        <v>287</v>
      </c>
      <c r="I270">
        <v>0</v>
      </c>
      <c r="J270">
        <v>400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X270">
        <v>0</v>
      </c>
      <c r="Y270" t="s">
        <v>692</v>
      </c>
    </row>
    <row r="271" spans="1:25" x14ac:dyDescent="0.25">
      <c r="H271" t="s">
        <v>693</v>
      </c>
    </row>
    <row r="272" spans="1:25" x14ac:dyDescent="0.25">
      <c r="A272">
        <v>133</v>
      </c>
      <c r="B272">
        <v>2932</v>
      </c>
      <c r="C272" t="s">
        <v>694</v>
      </c>
      <c r="D272" t="s">
        <v>695</v>
      </c>
      <c r="E272" t="s">
        <v>21</v>
      </c>
      <c r="F272" t="s">
        <v>696</v>
      </c>
      <c r="G272" t="str">
        <f>"200801000426"</f>
        <v>200801000426</v>
      </c>
      <c r="H272" t="s">
        <v>313</v>
      </c>
      <c r="I272">
        <v>0</v>
      </c>
      <c r="J272">
        <v>400</v>
      </c>
      <c r="K272">
        <v>0</v>
      </c>
      <c r="L272">
        <v>200</v>
      </c>
      <c r="M272">
        <v>0</v>
      </c>
      <c r="N272">
        <v>70</v>
      </c>
      <c r="O272">
        <v>50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X272">
        <v>0</v>
      </c>
      <c r="Y272" t="s">
        <v>697</v>
      </c>
    </row>
    <row r="273" spans="1:25" x14ac:dyDescent="0.25">
      <c r="H273" t="s">
        <v>698</v>
      </c>
    </row>
    <row r="274" spans="1:25" x14ac:dyDescent="0.25">
      <c r="A274">
        <v>134</v>
      </c>
      <c r="B274">
        <v>440</v>
      </c>
      <c r="C274" t="s">
        <v>699</v>
      </c>
      <c r="D274" t="s">
        <v>700</v>
      </c>
      <c r="E274" t="s">
        <v>701</v>
      </c>
      <c r="F274" t="s">
        <v>702</v>
      </c>
      <c r="G274" t="str">
        <f>"00014246"</f>
        <v>00014246</v>
      </c>
      <c r="H274">
        <v>803</v>
      </c>
      <c r="I274">
        <v>0</v>
      </c>
      <c r="J274">
        <v>400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X274">
        <v>0</v>
      </c>
      <c r="Y274">
        <v>1473</v>
      </c>
    </row>
    <row r="275" spans="1:25" x14ac:dyDescent="0.25">
      <c r="H275" t="s">
        <v>52</v>
      </c>
    </row>
    <row r="276" spans="1:25" x14ac:dyDescent="0.25">
      <c r="A276">
        <v>135</v>
      </c>
      <c r="B276">
        <v>1435</v>
      </c>
      <c r="C276" t="s">
        <v>703</v>
      </c>
      <c r="D276" t="s">
        <v>571</v>
      </c>
      <c r="E276" t="s">
        <v>66</v>
      </c>
      <c r="F276" t="s">
        <v>704</v>
      </c>
      <c r="G276" t="str">
        <f>"00013556"</f>
        <v>00013556</v>
      </c>
      <c r="H276" t="s">
        <v>705</v>
      </c>
      <c r="I276">
        <v>0</v>
      </c>
      <c r="J276">
        <v>400</v>
      </c>
      <c r="K276">
        <v>0</v>
      </c>
      <c r="L276">
        <v>200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30</v>
      </c>
      <c r="S276">
        <v>0</v>
      </c>
      <c r="T276">
        <v>0</v>
      </c>
      <c r="U276">
        <v>0</v>
      </c>
      <c r="X276">
        <v>0</v>
      </c>
      <c r="Y276" t="s">
        <v>706</v>
      </c>
    </row>
    <row r="277" spans="1:25" x14ac:dyDescent="0.25">
      <c r="H277" t="s">
        <v>707</v>
      </c>
    </row>
    <row r="278" spans="1:25" x14ac:dyDescent="0.25">
      <c r="A278">
        <v>136</v>
      </c>
      <c r="B278">
        <v>3112</v>
      </c>
      <c r="C278" t="s">
        <v>708</v>
      </c>
      <c r="D278" t="s">
        <v>526</v>
      </c>
      <c r="E278" t="s">
        <v>182</v>
      </c>
      <c r="F278" t="s">
        <v>709</v>
      </c>
      <c r="G278" t="str">
        <f>"201604000737"</f>
        <v>201604000737</v>
      </c>
      <c r="H278">
        <v>770</v>
      </c>
      <c r="I278">
        <v>0</v>
      </c>
      <c r="J278">
        <v>400</v>
      </c>
      <c r="K278">
        <v>0</v>
      </c>
      <c r="L278">
        <v>200</v>
      </c>
      <c r="M278">
        <v>0</v>
      </c>
      <c r="N278">
        <v>70</v>
      </c>
      <c r="O278">
        <v>30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X278">
        <v>0</v>
      </c>
      <c r="Y278">
        <v>1470</v>
      </c>
    </row>
    <row r="279" spans="1:25" x14ac:dyDescent="0.25">
      <c r="H279" t="s">
        <v>710</v>
      </c>
    </row>
    <row r="280" spans="1:25" x14ac:dyDescent="0.25">
      <c r="A280">
        <v>137</v>
      </c>
      <c r="B280">
        <v>2762</v>
      </c>
      <c r="C280" t="s">
        <v>711</v>
      </c>
      <c r="D280" t="s">
        <v>141</v>
      </c>
      <c r="E280" t="s">
        <v>417</v>
      </c>
      <c r="F280" t="s">
        <v>712</v>
      </c>
      <c r="G280" t="str">
        <f>"201411001524"</f>
        <v>201411001524</v>
      </c>
      <c r="H280">
        <v>748</v>
      </c>
      <c r="I280">
        <v>0</v>
      </c>
      <c r="J280">
        <v>400</v>
      </c>
      <c r="K280">
        <v>0</v>
      </c>
      <c r="L280">
        <v>200</v>
      </c>
      <c r="M280">
        <v>0</v>
      </c>
      <c r="N280">
        <v>70</v>
      </c>
      <c r="O280">
        <v>0</v>
      </c>
      <c r="P280">
        <v>50</v>
      </c>
      <c r="Q280">
        <v>0</v>
      </c>
      <c r="R280">
        <v>0</v>
      </c>
      <c r="S280">
        <v>0</v>
      </c>
      <c r="T280">
        <v>0</v>
      </c>
      <c r="U280">
        <v>0</v>
      </c>
      <c r="X280">
        <v>0</v>
      </c>
      <c r="Y280">
        <v>1468</v>
      </c>
    </row>
    <row r="281" spans="1:25" x14ac:dyDescent="0.25">
      <c r="H281" t="s">
        <v>713</v>
      </c>
    </row>
    <row r="282" spans="1:25" x14ac:dyDescent="0.25">
      <c r="A282">
        <v>138</v>
      </c>
      <c r="B282">
        <v>2809</v>
      </c>
      <c r="C282" t="s">
        <v>714</v>
      </c>
      <c r="D282" t="s">
        <v>48</v>
      </c>
      <c r="E282" t="s">
        <v>176</v>
      </c>
      <c r="F282" t="s">
        <v>715</v>
      </c>
      <c r="G282" t="str">
        <f>"00014219"</f>
        <v>00014219</v>
      </c>
      <c r="H282" t="s">
        <v>716</v>
      </c>
      <c r="I282">
        <v>0</v>
      </c>
      <c r="J282">
        <v>400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X282">
        <v>0</v>
      </c>
      <c r="Y282" t="s">
        <v>717</v>
      </c>
    </row>
    <row r="283" spans="1:25" x14ac:dyDescent="0.25">
      <c r="H283" t="s">
        <v>718</v>
      </c>
    </row>
    <row r="284" spans="1:25" x14ac:dyDescent="0.25">
      <c r="A284">
        <v>139</v>
      </c>
      <c r="B284">
        <v>866</v>
      </c>
      <c r="C284" t="s">
        <v>719</v>
      </c>
      <c r="D284" t="s">
        <v>720</v>
      </c>
      <c r="E284" t="s">
        <v>124</v>
      </c>
      <c r="F284">
        <v>819559</v>
      </c>
      <c r="G284" t="str">
        <f>"00009205"</f>
        <v>00009205</v>
      </c>
      <c r="H284" t="s">
        <v>548</v>
      </c>
      <c r="I284">
        <v>0</v>
      </c>
      <c r="J284">
        <v>400</v>
      </c>
      <c r="K284">
        <v>0</v>
      </c>
      <c r="L284">
        <v>200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X284">
        <v>2</v>
      </c>
      <c r="Y284" t="s">
        <v>721</v>
      </c>
    </row>
    <row r="285" spans="1:25" x14ac:dyDescent="0.25">
      <c r="H285" t="s">
        <v>52</v>
      </c>
    </row>
    <row r="286" spans="1:25" x14ac:dyDescent="0.25">
      <c r="A286">
        <v>140</v>
      </c>
      <c r="B286">
        <v>241</v>
      </c>
      <c r="C286" t="s">
        <v>722</v>
      </c>
      <c r="D286" t="s">
        <v>723</v>
      </c>
      <c r="E286" t="s">
        <v>278</v>
      </c>
      <c r="F286" t="s">
        <v>724</v>
      </c>
      <c r="G286" t="str">
        <f>"00013898"</f>
        <v>00013898</v>
      </c>
      <c r="H286" t="s">
        <v>620</v>
      </c>
      <c r="I286">
        <v>0</v>
      </c>
      <c r="J286">
        <v>400</v>
      </c>
      <c r="K286">
        <v>0</v>
      </c>
      <c r="L286">
        <v>200</v>
      </c>
      <c r="M286">
        <v>0</v>
      </c>
      <c r="N286">
        <v>70</v>
      </c>
      <c r="O286">
        <v>30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X286">
        <v>0</v>
      </c>
      <c r="Y286" t="s">
        <v>725</v>
      </c>
    </row>
    <row r="287" spans="1:25" x14ac:dyDescent="0.25">
      <c r="H287" t="s">
        <v>52</v>
      </c>
    </row>
    <row r="288" spans="1:25" x14ac:dyDescent="0.25">
      <c r="A288">
        <v>141</v>
      </c>
      <c r="B288">
        <v>1397</v>
      </c>
      <c r="C288" t="s">
        <v>726</v>
      </c>
      <c r="D288" t="s">
        <v>310</v>
      </c>
      <c r="E288" t="s">
        <v>727</v>
      </c>
      <c r="F288" t="s">
        <v>728</v>
      </c>
      <c r="G288" t="str">
        <f>"201506002797"</f>
        <v>201506002797</v>
      </c>
      <c r="H288" t="s">
        <v>108</v>
      </c>
      <c r="I288">
        <v>0</v>
      </c>
      <c r="J288">
        <v>400</v>
      </c>
      <c r="K288">
        <v>0</v>
      </c>
      <c r="L288">
        <v>200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X288">
        <v>0</v>
      </c>
      <c r="Y288" t="s">
        <v>729</v>
      </c>
    </row>
    <row r="289" spans="1:25" x14ac:dyDescent="0.25">
      <c r="H289" t="s">
        <v>52</v>
      </c>
    </row>
    <row r="290" spans="1:25" x14ac:dyDescent="0.25">
      <c r="A290">
        <v>142</v>
      </c>
      <c r="B290">
        <v>2275</v>
      </c>
      <c r="C290" t="s">
        <v>210</v>
      </c>
      <c r="D290" t="s">
        <v>175</v>
      </c>
      <c r="E290" t="s">
        <v>21</v>
      </c>
      <c r="F290" t="s">
        <v>730</v>
      </c>
      <c r="G290" t="str">
        <f>"00014315"</f>
        <v>00014315</v>
      </c>
      <c r="H290" t="s">
        <v>297</v>
      </c>
      <c r="I290">
        <v>0</v>
      </c>
      <c r="J290">
        <v>400</v>
      </c>
      <c r="K290">
        <v>0</v>
      </c>
      <c r="L290">
        <v>200</v>
      </c>
      <c r="M290">
        <v>0</v>
      </c>
      <c r="N290">
        <v>70</v>
      </c>
      <c r="O290">
        <v>30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30</v>
      </c>
      <c r="X290">
        <v>0</v>
      </c>
      <c r="Y290" t="s">
        <v>731</v>
      </c>
    </row>
    <row r="291" spans="1:25" x14ac:dyDescent="0.25">
      <c r="H291" t="s">
        <v>52</v>
      </c>
    </row>
    <row r="292" spans="1:25" x14ac:dyDescent="0.25">
      <c r="A292">
        <v>143</v>
      </c>
      <c r="B292">
        <v>778</v>
      </c>
      <c r="C292" t="s">
        <v>732</v>
      </c>
      <c r="D292" t="s">
        <v>223</v>
      </c>
      <c r="E292" t="s">
        <v>124</v>
      </c>
      <c r="F292" t="s">
        <v>733</v>
      </c>
      <c r="G292" t="str">
        <f>"00014210"</f>
        <v>00014210</v>
      </c>
      <c r="H292" t="s">
        <v>557</v>
      </c>
      <c r="I292">
        <v>0</v>
      </c>
      <c r="J292">
        <v>400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X292">
        <v>0</v>
      </c>
      <c r="Y292" t="s">
        <v>734</v>
      </c>
    </row>
    <row r="293" spans="1:25" x14ac:dyDescent="0.25">
      <c r="H293" t="s">
        <v>735</v>
      </c>
    </row>
    <row r="294" spans="1:25" x14ac:dyDescent="0.25">
      <c r="A294">
        <v>144</v>
      </c>
      <c r="B294">
        <v>3308</v>
      </c>
      <c r="C294" t="s">
        <v>736</v>
      </c>
      <c r="D294" t="s">
        <v>737</v>
      </c>
      <c r="E294" t="s">
        <v>21</v>
      </c>
      <c r="F294" t="s">
        <v>738</v>
      </c>
      <c r="G294" t="str">
        <f>"00007274"</f>
        <v>00007274</v>
      </c>
      <c r="H294">
        <v>924</v>
      </c>
      <c r="I294">
        <v>0</v>
      </c>
      <c r="J294">
        <v>0</v>
      </c>
      <c r="K294">
        <v>200</v>
      </c>
      <c r="L294">
        <v>200</v>
      </c>
      <c r="M294">
        <v>0</v>
      </c>
      <c r="N294">
        <v>70</v>
      </c>
      <c r="O294">
        <v>0</v>
      </c>
      <c r="P294">
        <v>70</v>
      </c>
      <c r="Q294">
        <v>0</v>
      </c>
      <c r="R294">
        <v>0</v>
      </c>
      <c r="S294">
        <v>0</v>
      </c>
      <c r="T294">
        <v>0</v>
      </c>
      <c r="U294">
        <v>0</v>
      </c>
      <c r="X294">
        <v>0</v>
      </c>
      <c r="Y294">
        <v>1464</v>
      </c>
    </row>
    <row r="295" spans="1:25" x14ac:dyDescent="0.25">
      <c r="H295">
        <v>224</v>
      </c>
    </row>
    <row r="296" spans="1:25" x14ac:dyDescent="0.25">
      <c r="A296">
        <v>145</v>
      </c>
      <c r="B296">
        <v>3284</v>
      </c>
      <c r="C296" t="s">
        <v>739</v>
      </c>
      <c r="D296" t="s">
        <v>267</v>
      </c>
      <c r="E296" t="s">
        <v>124</v>
      </c>
      <c r="F296" t="s">
        <v>740</v>
      </c>
      <c r="G296" t="str">
        <f>"201504003105"</f>
        <v>201504003105</v>
      </c>
      <c r="H296" t="s">
        <v>741</v>
      </c>
      <c r="I296">
        <v>0</v>
      </c>
      <c r="J296">
        <v>400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X296">
        <v>0</v>
      </c>
      <c r="Y296" t="s">
        <v>742</v>
      </c>
    </row>
    <row r="297" spans="1:25" x14ac:dyDescent="0.25">
      <c r="H297" t="s">
        <v>743</v>
      </c>
    </row>
    <row r="298" spans="1:25" x14ac:dyDescent="0.25">
      <c r="A298">
        <v>146</v>
      </c>
      <c r="B298">
        <v>1540</v>
      </c>
      <c r="C298" t="s">
        <v>744</v>
      </c>
      <c r="D298" t="s">
        <v>141</v>
      </c>
      <c r="E298" t="s">
        <v>124</v>
      </c>
      <c r="F298" t="s">
        <v>745</v>
      </c>
      <c r="G298" t="str">
        <f>"201607111038"</f>
        <v>201607111038</v>
      </c>
      <c r="H298" t="s">
        <v>225</v>
      </c>
      <c r="I298">
        <v>0</v>
      </c>
      <c r="J298">
        <v>400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30</v>
      </c>
      <c r="R298">
        <v>0</v>
      </c>
      <c r="S298">
        <v>0</v>
      </c>
      <c r="T298">
        <v>0</v>
      </c>
      <c r="U298">
        <v>0</v>
      </c>
      <c r="X298">
        <v>0</v>
      </c>
      <c r="Y298" t="s">
        <v>746</v>
      </c>
    </row>
    <row r="299" spans="1:25" x14ac:dyDescent="0.25">
      <c r="H299" t="s">
        <v>747</v>
      </c>
    </row>
    <row r="300" spans="1:25" x14ac:dyDescent="0.25">
      <c r="A300">
        <v>147</v>
      </c>
      <c r="B300">
        <v>1378</v>
      </c>
      <c r="C300" t="s">
        <v>748</v>
      </c>
      <c r="D300" t="s">
        <v>749</v>
      </c>
      <c r="E300" t="s">
        <v>267</v>
      </c>
      <c r="F300" t="s">
        <v>750</v>
      </c>
      <c r="G300" t="str">
        <f>"00014690"</f>
        <v>00014690</v>
      </c>
      <c r="H300" t="s">
        <v>89</v>
      </c>
      <c r="I300">
        <v>0</v>
      </c>
      <c r="J300">
        <v>400</v>
      </c>
      <c r="K300">
        <v>0</v>
      </c>
      <c r="L300">
        <v>0</v>
      </c>
      <c r="M300">
        <v>0</v>
      </c>
      <c r="N300">
        <v>70</v>
      </c>
      <c r="O300">
        <v>0</v>
      </c>
      <c r="P300">
        <v>50</v>
      </c>
      <c r="Q300">
        <v>0</v>
      </c>
      <c r="R300">
        <v>0</v>
      </c>
      <c r="S300">
        <v>0</v>
      </c>
      <c r="T300">
        <v>0</v>
      </c>
      <c r="U300">
        <v>0</v>
      </c>
      <c r="X300">
        <v>0</v>
      </c>
      <c r="Y300" t="s">
        <v>751</v>
      </c>
    </row>
    <row r="301" spans="1:25" x14ac:dyDescent="0.25">
      <c r="H301" t="s">
        <v>752</v>
      </c>
    </row>
    <row r="302" spans="1:25" x14ac:dyDescent="0.25">
      <c r="A302">
        <v>148</v>
      </c>
      <c r="B302">
        <v>2296</v>
      </c>
      <c r="C302" t="s">
        <v>514</v>
      </c>
      <c r="D302" t="s">
        <v>753</v>
      </c>
      <c r="E302" t="s">
        <v>516</v>
      </c>
      <c r="F302" t="s">
        <v>754</v>
      </c>
      <c r="G302" t="str">
        <f>"201504002599"</f>
        <v>201504002599</v>
      </c>
      <c r="H302">
        <v>792</v>
      </c>
      <c r="I302">
        <v>0</v>
      </c>
      <c r="J302">
        <v>400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X302">
        <v>0</v>
      </c>
      <c r="Y302">
        <v>1462</v>
      </c>
    </row>
    <row r="303" spans="1:25" x14ac:dyDescent="0.25">
      <c r="H303" t="s">
        <v>755</v>
      </c>
    </row>
    <row r="304" spans="1:25" x14ac:dyDescent="0.25">
      <c r="A304">
        <v>149</v>
      </c>
      <c r="B304">
        <v>303</v>
      </c>
      <c r="C304" t="s">
        <v>756</v>
      </c>
      <c r="D304" t="s">
        <v>417</v>
      </c>
      <c r="E304" t="s">
        <v>124</v>
      </c>
      <c r="F304" t="s">
        <v>757</v>
      </c>
      <c r="G304" t="str">
        <f>"201511011988"</f>
        <v>201511011988</v>
      </c>
      <c r="H304">
        <v>792</v>
      </c>
      <c r="I304">
        <v>0</v>
      </c>
      <c r="J304">
        <v>400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X304">
        <v>0</v>
      </c>
      <c r="Y304">
        <v>1462</v>
      </c>
    </row>
    <row r="305" spans="1:25" x14ac:dyDescent="0.25">
      <c r="H305" t="s">
        <v>758</v>
      </c>
    </row>
    <row r="306" spans="1:25" x14ac:dyDescent="0.25">
      <c r="A306">
        <v>150</v>
      </c>
      <c r="B306">
        <v>1981</v>
      </c>
      <c r="C306" t="s">
        <v>759</v>
      </c>
      <c r="D306" t="s">
        <v>760</v>
      </c>
      <c r="E306" t="s">
        <v>83</v>
      </c>
      <c r="F306" t="s">
        <v>761</v>
      </c>
      <c r="G306" t="str">
        <f>"201511010851"</f>
        <v>201511010851</v>
      </c>
      <c r="H306" t="s">
        <v>762</v>
      </c>
      <c r="I306">
        <v>0</v>
      </c>
      <c r="J306">
        <v>400</v>
      </c>
      <c r="K306">
        <v>0</v>
      </c>
      <c r="L306">
        <v>200</v>
      </c>
      <c r="M306">
        <v>0</v>
      </c>
      <c r="N306">
        <v>30</v>
      </c>
      <c r="O306">
        <v>30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X306">
        <v>0</v>
      </c>
      <c r="Y306" t="s">
        <v>763</v>
      </c>
    </row>
    <row r="307" spans="1:25" x14ac:dyDescent="0.25">
      <c r="H307" t="s">
        <v>764</v>
      </c>
    </row>
    <row r="308" spans="1:25" x14ac:dyDescent="0.25">
      <c r="A308">
        <v>151</v>
      </c>
      <c r="B308">
        <v>1991</v>
      </c>
      <c r="C308" t="s">
        <v>765</v>
      </c>
      <c r="D308" t="s">
        <v>766</v>
      </c>
      <c r="E308" t="s">
        <v>124</v>
      </c>
      <c r="F308" t="s">
        <v>767</v>
      </c>
      <c r="G308" t="str">
        <f>"201511006803"</f>
        <v>201511006803</v>
      </c>
      <c r="H308" t="s">
        <v>768</v>
      </c>
      <c r="I308">
        <v>0</v>
      </c>
      <c r="J308">
        <v>400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30</v>
      </c>
      <c r="S308">
        <v>0</v>
      </c>
      <c r="T308">
        <v>0</v>
      </c>
      <c r="U308">
        <v>0</v>
      </c>
      <c r="X308">
        <v>0</v>
      </c>
      <c r="Y308" t="s">
        <v>769</v>
      </c>
    </row>
    <row r="309" spans="1:25" x14ac:dyDescent="0.25">
      <c r="H309" t="s">
        <v>770</v>
      </c>
    </row>
    <row r="310" spans="1:25" x14ac:dyDescent="0.25">
      <c r="A310">
        <v>152</v>
      </c>
      <c r="B310">
        <v>2841</v>
      </c>
      <c r="C310" t="s">
        <v>771</v>
      </c>
      <c r="D310" t="s">
        <v>772</v>
      </c>
      <c r="E310" t="s">
        <v>301</v>
      </c>
      <c r="F310" t="s">
        <v>773</v>
      </c>
      <c r="G310" t="str">
        <f>"00013741"</f>
        <v>00013741</v>
      </c>
      <c r="H310" t="s">
        <v>587</v>
      </c>
      <c r="I310">
        <v>0</v>
      </c>
      <c r="J310">
        <v>400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X310">
        <v>0</v>
      </c>
      <c r="Y310" t="s">
        <v>774</v>
      </c>
    </row>
    <row r="311" spans="1:25" x14ac:dyDescent="0.25">
      <c r="H311">
        <v>221</v>
      </c>
    </row>
    <row r="312" spans="1:25" x14ac:dyDescent="0.25">
      <c r="A312">
        <v>153</v>
      </c>
      <c r="B312">
        <v>2796</v>
      </c>
      <c r="C312" t="s">
        <v>775</v>
      </c>
      <c r="D312" t="s">
        <v>112</v>
      </c>
      <c r="E312" t="s">
        <v>48</v>
      </c>
      <c r="F312" t="s">
        <v>776</v>
      </c>
      <c r="G312" t="str">
        <f>"200810000051"</f>
        <v>200810000051</v>
      </c>
      <c r="H312" t="s">
        <v>777</v>
      </c>
      <c r="I312">
        <v>0</v>
      </c>
      <c r="J312">
        <v>400</v>
      </c>
      <c r="K312">
        <v>0</v>
      </c>
      <c r="L312">
        <v>200</v>
      </c>
      <c r="M312">
        <v>0</v>
      </c>
      <c r="N312">
        <v>50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X312">
        <v>0</v>
      </c>
      <c r="Y312" t="s">
        <v>778</v>
      </c>
    </row>
    <row r="313" spans="1:25" x14ac:dyDescent="0.25">
      <c r="H313" t="s">
        <v>779</v>
      </c>
    </row>
    <row r="314" spans="1:25" x14ac:dyDescent="0.25">
      <c r="A314">
        <v>154</v>
      </c>
      <c r="B314">
        <v>3330</v>
      </c>
      <c r="C314" t="s">
        <v>780</v>
      </c>
      <c r="D314" t="s">
        <v>141</v>
      </c>
      <c r="E314" t="s">
        <v>301</v>
      </c>
      <c r="F314" t="s">
        <v>781</v>
      </c>
      <c r="G314" t="str">
        <f>"200806000810"</f>
        <v>200806000810</v>
      </c>
      <c r="H314" t="s">
        <v>782</v>
      </c>
      <c r="I314">
        <v>0</v>
      </c>
      <c r="J314">
        <v>400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30</v>
      </c>
      <c r="R314">
        <v>0</v>
      </c>
      <c r="S314">
        <v>0</v>
      </c>
      <c r="T314">
        <v>0</v>
      </c>
      <c r="U314">
        <v>0</v>
      </c>
      <c r="X314">
        <v>0</v>
      </c>
      <c r="Y314" t="s">
        <v>783</v>
      </c>
    </row>
    <row r="315" spans="1:25" x14ac:dyDescent="0.25">
      <c r="H315" t="s">
        <v>784</v>
      </c>
    </row>
    <row r="316" spans="1:25" x14ac:dyDescent="0.25">
      <c r="A316">
        <v>155</v>
      </c>
      <c r="B316">
        <v>3114</v>
      </c>
      <c r="C316" t="s">
        <v>785</v>
      </c>
      <c r="D316" t="s">
        <v>254</v>
      </c>
      <c r="E316" t="s">
        <v>106</v>
      </c>
      <c r="F316" t="s">
        <v>786</v>
      </c>
      <c r="G316" t="str">
        <f>"201412000996"</f>
        <v>201412000996</v>
      </c>
      <c r="H316" t="s">
        <v>596</v>
      </c>
      <c r="I316">
        <v>0</v>
      </c>
      <c r="J316">
        <v>400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X316">
        <v>0</v>
      </c>
      <c r="Y316" t="s">
        <v>787</v>
      </c>
    </row>
    <row r="317" spans="1:25" x14ac:dyDescent="0.25">
      <c r="H317" t="s">
        <v>788</v>
      </c>
    </row>
    <row r="318" spans="1:25" x14ac:dyDescent="0.25">
      <c r="A318">
        <v>156</v>
      </c>
      <c r="B318">
        <v>3246</v>
      </c>
      <c r="C318" t="s">
        <v>789</v>
      </c>
      <c r="D318" t="s">
        <v>87</v>
      </c>
      <c r="E318" t="s">
        <v>48</v>
      </c>
      <c r="F318" t="s">
        <v>790</v>
      </c>
      <c r="G318" t="str">
        <f>"200810001171"</f>
        <v>200810001171</v>
      </c>
      <c r="H318" t="s">
        <v>234</v>
      </c>
      <c r="I318">
        <v>0</v>
      </c>
      <c r="J318">
        <v>400</v>
      </c>
      <c r="K318">
        <v>0</v>
      </c>
      <c r="L318">
        <v>200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X318">
        <v>0</v>
      </c>
      <c r="Y318" t="s">
        <v>791</v>
      </c>
    </row>
    <row r="319" spans="1:25" x14ac:dyDescent="0.25">
      <c r="H319" t="s">
        <v>792</v>
      </c>
    </row>
    <row r="320" spans="1:25" x14ac:dyDescent="0.25">
      <c r="A320">
        <v>157</v>
      </c>
      <c r="B320">
        <v>2919</v>
      </c>
      <c r="C320" t="s">
        <v>793</v>
      </c>
      <c r="D320" t="s">
        <v>526</v>
      </c>
      <c r="E320" t="s">
        <v>22</v>
      </c>
      <c r="F320" t="s">
        <v>794</v>
      </c>
      <c r="G320" t="str">
        <f>"00013676"</f>
        <v>00013676</v>
      </c>
      <c r="H320" t="s">
        <v>795</v>
      </c>
      <c r="I320">
        <v>0</v>
      </c>
      <c r="J320">
        <v>400</v>
      </c>
      <c r="K320">
        <v>0</v>
      </c>
      <c r="L320">
        <v>200</v>
      </c>
      <c r="M320">
        <v>0</v>
      </c>
      <c r="N320">
        <v>70</v>
      </c>
      <c r="O320">
        <v>50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X320">
        <v>0</v>
      </c>
      <c r="Y320" t="s">
        <v>796</v>
      </c>
    </row>
    <row r="321" spans="1:25" x14ac:dyDescent="0.25">
      <c r="H321" t="s">
        <v>797</v>
      </c>
    </row>
    <row r="322" spans="1:25" x14ac:dyDescent="0.25">
      <c r="A322">
        <v>158</v>
      </c>
      <c r="B322">
        <v>2595</v>
      </c>
      <c r="C322" t="s">
        <v>798</v>
      </c>
      <c r="D322" t="s">
        <v>223</v>
      </c>
      <c r="E322" t="s">
        <v>285</v>
      </c>
      <c r="F322" t="s">
        <v>799</v>
      </c>
      <c r="G322" t="str">
        <f>"00013160"</f>
        <v>00013160</v>
      </c>
      <c r="H322">
        <v>759</v>
      </c>
      <c r="I322">
        <v>0</v>
      </c>
      <c r="J322">
        <v>400</v>
      </c>
      <c r="K322">
        <v>0</v>
      </c>
      <c r="L322">
        <v>200</v>
      </c>
      <c r="M322">
        <v>0</v>
      </c>
      <c r="N322">
        <v>70</v>
      </c>
      <c r="O322">
        <v>0</v>
      </c>
      <c r="P322">
        <v>30</v>
      </c>
      <c r="Q322">
        <v>0</v>
      </c>
      <c r="R322">
        <v>0</v>
      </c>
      <c r="S322">
        <v>0</v>
      </c>
      <c r="T322">
        <v>0</v>
      </c>
      <c r="U322">
        <v>0</v>
      </c>
      <c r="X322">
        <v>0</v>
      </c>
      <c r="Y322">
        <v>1459</v>
      </c>
    </row>
    <row r="323" spans="1:25" x14ac:dyDescent="0.25">
      <c r="H323" t="s">
        <v>800</v>
      </c>
    </row>
    <row r="324" spans="1:25" x14ac:dyDescent="0.25">
      <c r="A324">
        <v>159</v>
      </c>
      <c r="B324">
        <v>3081</v>
      </c>
      <c r="C324" t="s">
        <v>801</v>
      </c>
      <c r="D324" t="s">
        <v>98</v>
      </c>
      <c r="E324" t="s">
        <v>21</v>
      </c>
      <c r="F324" t="s">
        <v>802</v>
      </c>
      <c r="G324" t="str">
        <f>"201510001133"</f>
        <v>201510001133</v>
      </c>
      <c r="H324" t="s">
        <v>803</v>
      </c>
      <c r="I324">
        <v>0</v>
      </c>
      <c r="J324">
        <v>400</v>
      </c>
      <c r="K324">
        <v>0</v>
      </c>
      <c r="L324">
        <v>200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X324">
        <v>0</v>
      </c>
      <c r="Y324" t="s">
        <v>804</v>
      </c>
    </row>
    <row r="325" spans="1:25" x14ac:dyDescent="0.25">
      <c r="H325" t="s">
        <v>805</v>
      </c>
    </row>
    <row r="326" spans="1:25" x14ac:dyDescent="0.25">
      <c r="A326">
        <v>160</v>
      </c>
      <c r="B326">
        <v>1921</v>
      </c>
      <c r="C326" t="s">
        <v>806</v>
      </c>
      <c r="D326" t="s">
        <v>807</v>
      </c>
      <c r="E326" t="s">
        <v>124</v>
      </c>
      <c r="F326" t="s">
        <v>808</v>
      </c>
      <c r="G326" t="str">
        <f>"201412005634"</f>
        <v>201412005634</v>
      </c>
      <c r="H326" t="s">
        <v>809</v>
      </c>
      <c r="I326">
        <v>0</v>
      </c>
      <c r="J326">
        <v>400</v>
      </c>
      <c r="K326">
        <v>0</v>
      </c>
      <c r="L326">
        <v>200</v>
      </c>
      <c r="M326">
        <v>0</v>
      </c>
      <c r="N326">
        <v>70</v>
      </c>
      <c r="O326">
        <v>30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X326">
        <v>0</v>
      </c>
      <c r="Y326" t="s">
        <v>810</v>
      </c>
    </row>
    <row r="327" spans="1:25" x14ac:dyDescent="0.25">
      <c r="H327" t="s">
        <v>110</v>
      </c>
    </row>
    <row r="328" spans="1:25" x14ac:dyDescent="0.25">
      <c r="A328">
        <v>161</v>
      </c>
      <c r="B328">
        <v>2188</v>
      </c>
      <c r="C328" t="s">
        <v>811</v>
      </c>
      <c r="D328" t="s">
        <v>301</v>
      </c>
      <c r="E328" t="s">
        <v>124</v>
      </c>
      <c r="F328" t="s">
        <v>812</v>
      </c>
      <c r="G328" t="str">
        <f>"00013214"</f>
        <v>00013214</v>
      </c>
      <c r="H328" t="s">
        <v>419</v>
      </c>
      <c r="I328">
        <v>0</v>
      </c>
      <c r="J328">
        <v>400</v>
      </c>
      <c r="K328">
        <v>0</v>
      </c>
      <c r="L328">
        <v>200</v>
      </c>
      <c r="M328">
        <v>0</v>
      </c>
      <c r="N328">
        <v>30</v>
      </c>
      <c r="O328">
        <v>50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X328">
        <v>0</v>
      </c>
      <c r="Y328" t="s">
        <v>813</v>
      </c>
    </row>
    <row r="329" spans="1:25" x14ac:dyDescent="0.25">
      <c r="H329" t="s">
        <v>814</v>
      </c>
    </row>
    <row r="330" spans="1:25" x14ac:dyDescent="0.25">
      <c r="A330">
        <v>162</v>
      </c>
      <c r="B330">
        <v>365</v>
      </c>
      <c r="C330" t="s">
        <v>815</v>
      </c>
      <c r="D330" t="s">
        <v>816</v>
      </c>
      <c r="E330" t="s">
        <v>87</v>
      </c>
      <c r="F330" t="s">
        <v>817</v>
      </c>
      <c r="G330" t="str">
        <f>"00013381"</f>
        <v>00013381</v>
      </c>
      <c r="H330" t="s">
        <v>818</v>
      </c>
      <c r="I330">
        <v>0</v>
      </c>
      <c r="J330">
        <v>400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X330">
        <v>0</v>
      </c>
      <c r="Y330" t="s">
        <v>819</v>
      </c>
    </row>
    <row r="331" spans="1:25" x14ac:dyDescent="0.25">
      <c r="H331" t="s">
        <v>820</v>
      </c>
    </row>
    <row r="332" spans="1:25" x14ac:dyDescent="0.25">
      <c r="A332">
        <v>163</v>
      </c>
      <c r="B332">
        <v>2834</v>
      </c>
      <c r="C332" t="s">
        <v>821</v>
      </c>
      <c r="D332" t="s">
        <v>22</v>
      </c>
      <c r="E332" t="s">
        <v>124</v>
      </c>
      <c r="F332" t="s">
        <v>822</v>
      </c>
      <c r="G332" t="str">
        <f>"201412001290"</f>
        <v>201412001290</v>
      </c>
      <c r="H332">
        <v>737</v>
      </c>
      <c r="I332">
        <v>0</v>
      </c>
      <c r="J332">
        <v>400</v>
      </c>
      <c r="K332">
        <v>0</v>
      </c>
      <c r="L332">
        <v>200</v>
      </c>
      <c r="M332">
        <v>0</v>
      </c>
      <c r="N332">
        <v>70</v>
      </c>
      <c r="O332">
        <v>50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X332">
        <v>0</v>
      </c>
      <c r="Y332">
        <v>1457</v>
      </c>
    </row>
    <row r="333" spans="1:25" x14ac:dyDescent="0.25">
      <c r="H333" t="s">
        <v>823</v>
      </c>
    </row>
    <row r="334" spans="1:25" x14ac:dyDescent="0.25">
      <c r="A334">
        <v>164</v>
      </c>
      <c r="B334">
        <v>288</v>
      </c>
      <c r="C334" t="s">
        <v>824</v>
      </c>
      <c r="D334" t="s">
        <v>825</v>
      </c>
      <c r="E334" t="s">
        <v>48</v>
      </c>
      <c r="F334" t="s">
        <v>826</v>
      </c>
      <c r="G334" t="str">
        <f>"00014093"</f>
        <v>00014093</v>
      </c>
      <c r="H334" t="s">
        <v>827</v>
      </c>
      <c r="I334">
        <v>0</v>
      </c>
      <c r="J334">
        <v>400</v>
      </c>
      <c r="K334">
        <v>0</v>
      </c>
      <c r="L334">
        <v>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X334">
        <v>0</v>
      </c>
      <c r="Y334" t="s">
        <v>828</v>
      </c>
    </row>
    <row r="335" spans="1:25" x14ac:dyDescent="0.25">
      <c r="H335" t="s">
        <v>829</v>
      </c>
    </row>
    <row r="336" spans="1:25" x14ac:dyDescent="0.25">
      <c r="A336">
        <v>165</v>
      </c>
      <c r="B336">
        <v>3301</v>
      </c>
      <c r="C336" t="s">
        <v>830</v>
      </c>
      <c r="D336" t="s">
        <v>47</v>
      </c>
      <c r="E336" t="s">
        <v>182</v>
      </c>
      <c r="F336" t="s">
        <v>831</v>
      </c>
      <c r="G336" t="str">
        <f>"201504001201"</f>
        <v>201504001201</v>
      </c>
      <c r="H336" t="s">
        <v>686</v>
      </c>
      <c r="I336">
        <v>0</v>
      </c>
      <c r="J336">
        <v>400</v>
      </c>
      <c r="K336">
        <v>0</v>
      </c>
      <c r="L336">
        <v>200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X336">
        <v>0</v>
      </c>
      <c r="Y336" t="s">
        <v>832</v>
      </c>
    </row>
    <row r="337" spans="1:25" x14ac:dyDescent="0.25">
      <c r="H337" t="s">
        <v>833</v>
      </c>
    </row>
    <row r="338" spans="1:25" x14ac:dyDescent="0.25">
      <c r="A338">
        <v>166</v>
      </c>
      <c r="B338">
        <v>3115</v>
      </c>
      <c r="C338" t="s">
        <v>834</v>
      </c>
      <c r="D338" t="s">
        <v>301</v>
      </c>
      <c r="E338" t="s">
        <v>41</v>
      </c>
      <c r="F338" t="s">
        <v>835</v>
      </c>
      <c r="G338" t="str">
        <f>"200801008831"</f>
        <v>200801008831</v>
      </c>
      <c r="H338" t="s">
        <v>836</v>
      </c>
      <c r="I338">
        <v>0</v>
      </c>
      <c r="J338">
        <v>400</v>
      </c>
      <c r="K338">
        <v>0</v>
      </c>
      <c r="L338">
        <v>200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X338">
        <v>0</v>
      </c>
      <c r="Y338" t="s">
        <v>837</v>
      </c>
    </row>
    <row r="339" spans="1:25" x14ac:dyDescent="0.25">
      <c r="H339" t="s">
        <v>203</v>
      </c>
    </row>
    <row r="340" spans="1:25" x14ac:dyDescent="0.25">
      <c r="A340">
        <v>167</v>
      </c>
      <c r="B340">
        <v>693</v>
      </c>
      <c r="C340" t="s">
        <v>838</v>
      </c>
      <c r="D340" t="s">
        <v>242</v>
      </c>
      <c r="E340" t="s">
        <v>217</v>
      </c>
      <c r="F340" t="s">
        <v>839</v>
      </c>
      <c r="G340" t="str">
        <f>"201402008534"</f>
        <v>201402008534</v>
      </c>
      <c r="H340">
        <v>825</v>
      </c>
      <c r="I340">
        <v>0</v>
      </c>
      <c r="J340">
        <v>400</v>
      </c>
      <c r="K340">
        <v>0</v>
      </c>
      <c r="L340">
        <v>200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X340">
        <v>1</v>
      </c>
      <c r="Y340">
        <v>1455</v>
      </c>
    </row>
    <row r="341" spans="1:25" x14ac:dyDescent="0.25">
      <c r="H341" t="s">
        <v>840</v>
      </c>
    </row>
    <row r="342" spans="1:25" x14ac:dyDescent="0.25">
      <c r="A342">
        <v>168</v>
      </c>
      <c r="B342">
        <v>101</v>
      </c>
      <c r="C342" t="s">
        <v>841</v>
      </c>
      <c r="D342" t="s">
        <v>842</v>
      </c>
      <c r="E342" t="s">
        <v>306</v>
      </c>
      <c r="F342" t="s">
        <v>843</v>
      </c>
      <c r="G342" t="str">
        <f>"00015126"</f>
        <v>00015126</v>
      </c>
      <c r="H342" t="s">
        <v>297</v>
      </c>
      <c r="I342">
        <v>0</v>
      </c>
      <c r="J342">
        <v>400</v>
      </c>
      <c r="K342">
        <v>0</v>
      </c>
      <c r="L342">
        <v>200</v>
      </c>
      <c r="M342">
        <v>0</v>
      </c>
      <c r="N342">
        <v>70</v>
      </c>
      <c r="O342">
        <v>50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X342">
        <v>0</v>
      </c>
      <c r="Y342" t="s">
        <v>844</v>
      </c>
    </row>
    <row r="343" spans="1:25" x14ac:dyDescent="0.25">
      <c r="H343" t="s">
        <v>845</v>
      </c>
    </row>
    <row r="344" spans="1:25" x14ac:dyDescent="0.25">
      <c r="A344">
        <v>169</v>
      </c>
      <c r="B344">
        <v>22</v>
      </c>
      <c r="C344" t="s">
        <v>846</v>
      </c>
      <c r="D344" t="s">
        <v>847</v>
      </c>
      <c r="E344" t="s">
        <v>22</v>
      </c>
      <c r="F344">
        <v>276864017</v>
      </c>
      <c r="G344" t="str">
        <f>"200801010269"</f>
        <v>200801010269</v>
      </c>
      <c r="H344" t="s">
        <v>656</v>
      </c>
      <c r="I344">
        <v>0</v>
      </c>
      <c r="J344">
        <v>400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X344">
        <v>0</v>
      </c>
      <c r="Y344" t="s">
        <v>848</v>
      </c>
    </row>
    <row r="345" spans="1:25" x14ac:dyDescent="0.25">
      <c r="H345" t="s">
        <v>849</v>
      </c>
    </row>
    <row r="346" spans="1:25" x14ac:dyDescent="0.25">
      <c r="A346">
        <v>170</v>
      </c>
      <c r="B346">
        <v>2152</v>
      </c>
      <c r="C346" t="s">
        <v>850</v>
      </c>
      <c r="D346" t="s">
        <v>48</v>
      </c>
      <c r="E346" t="s">
        <v>334</v>
      </c>
      <c r="F346">
        <v>1030932</v>
      </c>
      <c r="G346" t="str">
        <f>"00012324"</f>
        <v>00012324</v>
      </c>
      <c r="H346" t="s">
        <v>656</v>
      </c>
      <c r="I346">
        <v>0</v>
      </c>
      <c r="J346">
        <v>400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X346">
        <v>0</v>
      </c>
      <c r="Y346" t="s">
        <v>848</v>
      </c>
    </row>
    <row r="347" spans="1:25" x14ac:dyDescent="0.25">
      <c r="H347" t="s">
        <v>851</v>
      </c>
    </row>
    <row r="348" spans="1:25" x14ac:dyDescent="0.25">
      <c r="A348">
        <v>171</v>
      </c>
      <c r="B348">
        <v>1986</v>
      </c>
      <c r="C348" t="s">
        <v>852</v>
      </c>
      <c r="D348" t="s">
        <v>853</v>
      </c>
      <c r="E348" t="s">
        <v>854</v>
      </c>
      <c r="F348" t="s">
        <v>855</v>
      </c>
      <c r="G348" t="str">
        <f>"00014939"</f>
        <v>00014939</v>
      </c>
      <c r="H348" t="s">
        <v>856</v>
      </c>
      <c r="I348">
        <v>0</v>
      </c>
      <c r="J348">
        <v>400</v>
      </c>
      <c r="K348">
        <v>0</v>
      </c>
      <c r="L348">
        <v>200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X348">
        <v>0</v>
      </c>
      <c r="Y348" t="s">
        <v>857</v>
      </c>
    </row>
    <row r="349" spans="1:25" x14ac:dyDescent="0.25">
      <c r="H349" t="s">
        <v>858</v>
      </c>
    </row>
    <row r="350" spans="1:25" x14ac:dyDescent="0.25">
      <c r="A350">
        <v>172</v>
      </c>
      <c r="B350">
        <v>2888</v>
      </c>
      <c r="C350" t="s">
        <v>859</v>
      </c>
      <c r="D350" t="s">
        <v>124</v>
      </c>
      <c r="E350" t="s">
        <v>860</v>
      </c>
      <c r="F350" t="s">
        <v>861</v>
      </c>
      <c r="G350" t="str">
        <f>"00013683"</f>
        <v>00013683</v>
      </c>
      <c r="H350" t="s">
        <v>398</v>
      </c>
      <c r="I350">
        <v>0</v>
      </c>
      <c r="J350">
        <v>400</v>
      </c>
      <c r="K350">
        <v>0</v>
      </c>
      <c r="L350">
        <v>200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X350">
        <v>0</v>
      </c>
      <c r="Y350" t="s">
        <v>862</v>
      </c>
    </row>
    <row r="351" spans="1:25" x14ac:dyDescent="0.25">
      <c r="H351" t="s">
        <v>863</v>
      </c>
    </row>
    <row r="352" spans="1:25" x14ac:dyDescent="0.25">
      <c r="A352">
        <v>173</v>
      </c>
      <c r="B352">
        <v>2596</v>
      </c>
      <c r="C352" t="s">
        <v>864</v>
      </c>
      <c r="D352" t="s">
        <v>865</v>
      </c>
      <c r="E352" t="s">
        <v>66</v>
      </c>
      <c r="F352" t="s">
        <v>866</v>
      </c>
      <c r="G352" t="str">
        <f>"00014510"</f>
        <v>00014510</v>
      </c>
      <c r="H352" t="s">
        <v>398</v>
      </c>
      <c r="I352">
        <v>0</v>
      </c>
      <c r="J352">
        <v>400</v>
      </c>
      <c r="K352">
        <v>0</v>
      </c>
      <c r="L352">
        <v>200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X352">
        <v>0</v>
      </c>
      <c r="Y352" t="s">
        <v>862</v>
      </c>
    </row>
    <row r="353" spans="1:25" x14ac:dyDescent="0.25">
      <c r="H353" t="s">
        <v>867</v>
      </c>
    </row>
    <row r="354" spans="1:25" x14ac:dyDescent="0.25">
      <c r="A354">
        <v>174</v>
      </c>
      <c r="B354">
        <v>2603</v>
      </c>
      <c r="C354" t="s">
        <v>868</v>
      </c>
      <c r="D354" t="s">
        <v>869</v>
      </c>
      <c r="E354" t="s">
        <v>334</v>
      </c>
      <c r="F354">
        <v>273242035</v>
      </c>
      <c r="G354" t="str">
        <f>"00012950"</f>
        <v>00012950</v>
      </c>
      <c r="H354" t="s">
        <v>870</v>
      </c>
      <c r="I354">
        <v>0</v>
      </c>
      <c r="J354">
        <v>400</v>
      </c>
      <c r="K354">
        <v>0</v>
      </c>
      <c r="L354">
        <v>200</v>
      </c>
      <c r="M354">
        <v>0</v>
      </c>
      <c r="N354">
        <v>70</v>
      </c>
      <c r="O354">
        <v>30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X354">
        <v>0</v>
      </c>
      <c r="Y354" t="s">
        <v>871</v>
      </c>
    </row>
    <row r="355" spans="1:25" x14ac:dyDescent="0.25">
      <c r="H355" t="s">
        <v>872</v>
      </c>
    </row>
    <row r="356" spans="1:25" x14ac:dyDescent="0.25">
      <c r="A356">
        <v>175</v>
      </c>
      <c r="B356">
        <v>1441</v>
      </c>
      <c r="C356" t="s">
        <v>873</v>
      </c>
      <c r="D356" t="s">
        <v>21</v>
      </c>
      <c r="E356" t="s">
        <v>217</v>
      </c>
      <c r="F356" t="s">
        <v>874</v>
      </c>
      <c r="G356" t="str">
        <f>"00013819"</f>
        <v>00013819</v>
      </c>
      <c r="H356" t="s">
        <v>535</v>
      </c>
      <c r="I356">
        <v>0</v>
      </c>
      <c r="J356">
        <v>400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X356">
        <v>0</v>
      </c>
      <c r="Y356" t="s">
        <v>875</v>
      </c>
    </row>
    <row r="357" spans="1:25" x14ac:dyDescent="0.25">
      <c r="H357" t="s">
        <v>876</v>
      </c>
    </row>
    <row r="358" spans="1:25" x14ac:dyDescent="0.25">
      <c r="A358">
        <v>176</v>
      </c>
      <c r="B358">
        <v>486</v>
      </c>
      <c r="C358" t="s">
        <v>877</v>
      </c>
      <c r="D358" t="s">
        <v>878</v>
      </c>
      <c r="E358" t="s">
        <v>217</v>
      </c>
      <c r="F358" t="s">
        <v>879</v>
      </c>
      <c r="G358" t="str">
        <f>"00015148"</f>
        <v>00015148</v>
      </c>
      <c r="H358" t="s">
        <v>880</v>
      </c>
      <c r="I358">
        <v>0</v>
      </c>
      <c r="J358">
        <v>400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X358">
        <v>0</v>
      </c>
      <c r="Y358" t="s">
        <v>881</v>
      </c>
    </row>
    <row r="359" spans="1:25" x14ac:dyDescent="0.25">
      <c r="H359" t="s">
        <v>882</v>
      </c>
    </row>
    <row r="360" spans="1:25" x14ac:dyDescent="0.25">
      <c r="A360">
        <v>177</v>
      </c>
      <c r="B360">
        <v>3352</v>
      </c>
      <c r="C360" t="s">
        <v>883</v>
      </c>
      <c r="D360" t="s">
        <v>884</v>
      </c>
      <c r="E360" t="s">
        <v>124</v>
      </c>
      <c r="F360" t="s">
        <v>885</v>
      </c>
      <c r="G360" t="str">
        <f>"00013034"</f>
        <v>00013034</v>
      </c>
      <c r="H360" t="s">
        <v>491</v>
      </c>
      <c r="I360">
        <v>0</v>
      </c>
      <c r="J360">
        <v>400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X360">
        <v>0</v>
      </c>
      <c r="Y360" t="s">
        <v>886</v>
      </c>
    </row>
    <row r="361" spans="1:25" x14ac:dyDescent="0.25">
      <c r="H361" t="s">
        <v>887</v>
      </c>
    </row>
    <row r="362" spans="1:25" x14ac:dyDescent="0.25">
      <c r="A362">
        <v>178</v>
      </c>
      <c r="B362">
        <v>1794</v>
      </c>
      <c r="C362" t="s">
        <v>888</v>
      </c>
      <c r="D362" t="s">
        <v>842</v>
      </c>
      <c r="E362" t="s">
        <v>48</v>
      </c>
      <c r="F362" t="s">
        <v>889</v>
      </c>
      <c r="G362" t="str">
        <f>"00012829"</f>
        <v>00012829</v>
      </c>
      <c r="H362" t="s">
        <v>428</v>
      </c>
      <c r="I362">
        <v>0</v>
      </c>
      <c r="J362">
        <v>400</v>
      </c>
      <c r="K362">
        <v>0</v>
      </c>
      <c r="L362">
        <v>200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X362">
        <v>0</v>
      </c>
      <c r="Y362" t="s">
        <v>890</v>
      </c>
    </row>
    <row r="363" spans="1:25" x14ac:dyDescent="0.25">
      <c r="H363" t="s">
        <v>891</v>
      </c>
    </row>
    <row r="364" spans="1:25" x14ac:dyDescent="0.25">
      <c r="A364">
        <v>179</v>
      </c>
      <c r="B364">
        <v>1499</v>
      </c>
      <c r="C364" t="s">
        <v>892</v>
      </c>
      <c r="D364" t="s">
        <v>278</v>
      </c>
      <c r="E364" t="s">
        <v>48</v>
      </c>
      <c r="F364" t="s">
        <v>893</v>
      </c>
      <c r="G364" t="str">
        <f>"00015028"</f>
        <v>00015028</v>
      </c>
      <c r="H364" t="s">
        <v>428</v>
      </c>
      <c r="I364">
        <v>0</v>
      </c>
      <c r="J364">
        <v>400</v>
      </c>
      <c r="K364">
        <v>0</v>
      </c>
      <c r="L364">
        <v>200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X364">
        <v>0</v>
      </c>
      <c r="Y364" t="s">
        <v>890</v>
      </c>
    </row>
    <row r="365" spans="1:25" x14ac:dyDescent="0.25">
      <c r="H365" t="s">
        <v>894</v>
      </c>
    </row>
    <row r="366" spans="1:25" x14ac:dyDescent="0.25">
      <c r="A366">
        <v>180</v>
      </c>
      <c r="B366">
        <v>1383</v>
      </c>
      <c r="C366" t="s">
        <v>895</v>
      </c>
      <c r="D366" t="s">
        <v>896</v>
      </c>
      <c r="E366" t="s">
        <v>217</v>
      </c>
      <c r="F366" t="s">
        <v>897</v>
      </c>
      <c r="G366" t="str">
        <f>"00014621"</f>
        <v>00014621</v>
      </c>
      <c r="H366" t="s">
        <v>108</v>
      </c>
      <c r="I366">
        <v>0</v>
      </c>
      <c r="J366">
        <v>400</v>
      </c>
      <c r="K366">
        <v>0</v>
      </c>
      <c r="L366">
        <v>200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X366">
        <v>0</v>
      </c>
      <c r="Y366" t="s">
        <v>898</v>
      </c>
    </row>
    <row r="367" spans="1:25" x14ac:dyDescent="0.25">
      <c r="H367">
        <v>221</v>
      </c>
    </row>
    <row r="368" spans="1:25" x14ac:dyDescent="0.25">
      <c r="A368">
        <v>181</v>
      </c>
      <c r="B368">
        <v>1169</v>
      </c>
      <c r="C368" t="s">
        <v>899</v>
      </c>
      <c r="D368" t="s">
        <v>135</v>
      </c>
      <c r="E368" t="s">
        <v>124</v>
      </c>
      <c r="F368" t="s">
        <v>900</v>
      </c>
      <c r="G368" t="str">
        <f>"201504003026"</f>
        <v>201504003026</v>
      </c>
      <c r="H368" t="s">
        <v>705</v>
      </c>
      <c r="I368">
        <v>0</v>
      </c>
      <c r="J368">
        <v>400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X368">
        <v>0</v>
      </c>
      <c r="Y368" t="s">
        <v>901</v>
      </c>
    </row>
    <row r="369" spans="1:25" x14ac:dyDescent="0.25">
      <c r="H369" t="s">
        <v>902</v>
      </c>
    </row>
    <row r="370" spans="1:25" x14ac:dyDescent="0.25">
      <c r="A370">
        <v>182</v>
      </c>
      <c r="B370">
        <v>1984</v>
      </c>
      <c r="C370" t="s">
        <v>903</v>
      </c>
      <c r="D370" t="s">
        <v>526</v>
      </c>
      <c r="E370" t="s">
        <v>106</v>
      </c>
      <c r="F370" t="s">
        <v>904</v>
      </c>
      <c r="G370" t="str">
        <f>"00013094"</f>
        <v>00013094</v>
      </c>
      <c r="H370" t="s">
        <v>705</v>
      </c>
      <c r="I370">
        <v>0</v>
      </c>
      <c r="J370">
        <v>400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X370">
        <v>0</v>
      </c>
      <c r="Y370" t="s">
        <v>901</v>
      </c>
    </row>
    <row r="371" spans="1:25" x14ac:dyDescent="0.25">
      <c r="H371" t="s">
        <v>905</v>
      </c>
    </row>
    <row r="372" spans="1:25" x14ac:dyDescent="0.25">
      <c r="A372">
        <v>183</v>
      </c>
      <c r="B372">
        <v>2950</v>
      </c>
      <c r="C372" t="s">
        <v>906</v>
      </c>
      <c r="D372" t="s">
        <v>671</v>
      </c>
      <c r="E372" t="s">
        <v>907</v>
      </c>
      <c r="F372" t="s">
        <v>908</v>
      </c>
      <c r="G372" t="str">
        <f>"00013395"</f>
        <v>00013395</v>
      </c>
      <c r="H372" t="s">
        <v>705</v>
      </c>
      <c r="I372">
        <v>0</v>
      </c>
      <c r="J372">
        <v>400</v>
      </c>
      <c r="K372">
        <v>0</v>
      </c>
      <c r="L372">
        <v>200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X372">
        <v>0</v>
      </c>
      <c r="Y372" t="s">
        <v>901</v>
      </c>
    </row>
    <row r="373" spans="1:25" x14ac:dyDescent="0.25">
      <c r="H373" t="s">
        <v>909</v>
      </c>
    </row>
    <row r="374" spans="1:25" x14ac:dyDescent="0.25">
      <c r="A374">
        <v>184</v>
      </c>
      <c r="B374">
        <v>206</v>
      </c>
      <c r="C374" t="s">
        <v>910</v>
      </c>
      <c r="D374" t="s">
        <v>911</v>
      </c>
      <c r="E374" t="s">
        <v>22</v>
      </c>
      <c r="F374" t="s">
        <v>912</v>
      </c>
      <c r="G374" t="str">
        <f>"00015019"</f>
        <v>00015019</v>
      </c>
      <c r="H374" t="s">
        <v>324</v>
      </c>
      <c r="I374">
        <v>0</v>
      </c>
      <c r="J374">
        <v>400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X374">
        <v>0</v>
      </c>
      <c r="Y374" t="s">
        <v>913</v>
      </c>
    </row>
    <row r="375" spans="1:25" x14ac:dyDescent="0.25">
      <c r="H375" t="s">
        <v>914</v>
      </c>
    </row>
    <row r="376" spans="1:25" x14ac:dyDescent="0.25">
      <c r="A376">
        <v>185</v>
      </c>
      <c r="B376">
        <v>2000</v>
      </c>
      <c r="C376" t="s">
        <v>915</v>
      </c>
      <c r="D376" t="s">
        <v>22</v>
      </c>
      <c r="E376" t="s">
        <v>916</v>
      </c>
      <c r="F376" t="s">
        <v>917</v>
      </c>
      <c r="G376" t="str">
        <f>"201504001303"</f>
        <v>201504001303</v>
      </c>
      <c r="H376" t="s">
        <v>392</v>
      </c>
      <c r="I376">
        <v>0</v>
      </c>
      <c r="J376">
        <v>400</v>
      </c>
      <c r="K376">
        <v>0</v>
      </c>
      <c r="L376">
        <v>200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X376">
        <v>0</v>
      </c>
      <c r="Y376" t="s">
        <v>918</v>
      </c>
    </row>
    <row r="377" spans="1:25" x14ac:dyDescent="0.25">
      <c r="H377" t="s">
        <v>919</v>
      </c>
    </row>
    <row r="378" spans="1:25" x14ac:dyDescent="0.25">
      <c r="A378">
        <v>186</v>
      </c>
      <c r="B378">
        <v>1970</v>
      </c>
      <c r="C378" t="s">
        <v>920</v>
      </c>
      <c r="D378" t="s">
        <v>181</v>
      </c>
      <c r="E378" t="s">
        <v>48</v>
      </c>
      <c r="F378" t="s">
        <v>921</v>
      </c>
      <c r="G378" t="str">
        <f>"00013911"</f>
        <v>00013911</v>
      </c>
      <c r="H378">
        <v>770</v>
      </c>
      <c r="I378">
        <v>0</v>
      </c>
      <c r="J378">
        <v>400</v>
      </c>
      <c r="K378">
        <v>0</v>
      </c>
      <c r="L378">
        <v>200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X378">
        <v>0</v>
      </c>
      <c r="Y378">
        <v>1440</v>
      </c>
    </row>
    <row r="379" spans="1:25" x14ac:dyDescent="0.25">
      <c r="H379" t="s">
        <v>922</v>
      </c>
    </row>
    <row r="380" spans="1:25" x14ac:dyDescent="0.25">
      <c r="A380">
        <v>187</v>
      </c>
      <c r="B380">
        <v>2537</v>
      </c>
      <c r="C380" t="s">
        <v>923</v>
      </c>
      <c r="D380" t="s">
        <v>526</v>
      </c>
      <c r="E380" t="s">
        <v>48</v>
      </c>
      <c r="F380" t="s">
        <v>924</v>
      </c>
      <c r="G380" t="str">
        <f>"201504003478"</f>
        <v>201504003478</v>
      </c>
      <c r="H380" t="s">
        <v>596</v>
      </c>
      <c r="I380">
        <v>0</v>
      </c>
      <c r="J380">
        <v>400</v>
      </c>
      <c r="K380">
        <v>0</v>
      </c>
      <c r="L380">
        <v>200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X380">
        <v>0</v>
      </c>
      <c r="Y380" t="s">
        <v>925</v>
      </c>
    </row>
    <row r="381" spans="1:25" x14ac:dyDescent="0.25">
      <c r="H381" t="s">
        <v>926</v>
      </c>
    </row>
    <row r="382" spans="1:25" x14ac:dyDescent="0.25">
      <c r="A382">
        <v>188</v>
      </c>
      <c r="B382">
        <v>3164</v>
      </c>
      <c r="C382" t="s">
        <v>927</v>
      </c>
      <c r="D382" t="s">
        <v>41</v>
      </c>
      <c r="E382" t="s">
        <v>106</v>
      </c>
      <c r="F382" t="s">
        <v>928</v>
      </c>
      <c r="G382" t="str">
        <f>"201411001736"</f>
        <v>201411001736</v>
      </c>
      <c r="H382" t="s">
        <v>929</v>
      </c>
      <c r="I382">
        <v>0</v>
      </c>
      <c r="J382">
        <v>400</v>
      </c>
      <c r="K382">
        <v>0</v>
      </c>
      <c r="L382">
        <v>200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X382">
        <v>0</v>
      </c>
      <c r="Y382" t="s">
        <v>930</v>
      </c>
    </row>
    <row r="383" spans="1:25" x14ac:dyDescent="0.25">
      <c r="H383" t="s">
        <v>931</v>
      </c>
    </row>
    <row r="384" spans="1:25" x14ac:dyDescent="0.25">
      <c r="A384">
        <v>189</v>
      </c>
      <c r="B384">
        <v>1521</v>
      </c>
      <c r="C384" t="s">
        <v>932</v>
      </c>
      <c r="D384" t="s">
        <v>571</v>
      </c>
      <c r="E384" t="s">
        <v>66</v>
      </c>
      <c r="F384" t="s">
        <v>933</v>
      </c>
      <c r="G384" t="str">
        <f>"00014091"</f>
        <v>00014091</v>
      </c>
      <c r="H384" t="s">
        <v>795</v>
      </c>
      <c r="I384">
        <v>0</v>
      </c>
      <c r="J384">
        <v>400</v>
      </c>
      <c r="K384">
        <v>0</v>
      </c>
      <c r="L384">
        <v>200</v>
      </c>
      <c r="M384">
        <v>0</v>
      </c>
      <c r="N384">
        <v>70</v>
      </c>
      <c r="O384">
        <v>30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X384">
        <v>0</v>
      </c>
      <c r="Y384" t="s">
        <v>934</v>
      </c>
    </row>
    <row r="385" spans="1:25" x14ac:dyDescent="0.25">
      <c r="H385" t="s">
        <v>52</v>
      </c>
    </row>
    <row r="386" spans="1:25" x14ac:dyDescent="0.25">
      <c r="A386">
        <v>190</v>
      </c>
      <c r="B386">
        <v>718</v>
      </c>
      <c r="C386" t="s">
        <v>935</v>
      </c>
      <c r="D386" t="s">
        <v>98</v>
      </c>
      <c r="E386" t="s">
        <v>124</v>
      </c>
      <c r="F386" t="s">
        <v>936</v>
      </c>
      <c r="G386" t="str">
        <f>"200801003536"</f>
        <v>200801003536</v>
      </c>
      <c r="H386" t="s">
        <v>937</v>
      </c>
      <c r="I386">
        <v>0</v>
      </c>
      <c r="J386">
        <v>400</v>
      </c>
      <c r="K386">
        <v>0</v>
      </c>
      <c r="L386">
        <v>200</v>
      </c>
      <c r="M386">
        <v>0</v>
      </c>
      <c r="N386">
        <v>70</v>
      </c>
      <c r="O386">
        <v>30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X386">
        <v>0</v>
      </c>
      <c r="Y386" t="s">
        <v>938</v>
      </c>
    </row>
    <row r="387" spans="1:25" x14ac:dyDescent="0.25">
      <c r="H387" t="s">
        <v>939</v>
      </c>
    </row>
    <row r="388" spans="1:25" x14ac:dyDescent="0.25">
      <c r="A388">
        <v>191</v>
      </c>
      <c r="B388">
        <v>383</v>
      </c>
      <c r="C388" t="s">
        <v>940</v>
      </c>
      <c r="D388" t="s">
        <v>450</v>
      </c>
      <c r="E388" t="s">
        <v>941</v>
      </c>
      <c r="F388" t="s">
        <v>942</v>
      </c>
      <c r="G388" t="str">
        <f>"200712003111"</f>
        <v>200712003111</v>
      </c>
      <c r="H388" t="s">
        <v>625</v>
      </c>
      <c r="I388">
        <v>0</v>
      </c>
      <c r="J388">
        <v>400</v>
      </c>
      <c r="K388">
        <v>0</v>
      </c>
      <c r="L388">
        <v>200</v>
      </c>
      <c r="M388">
        <v>0</v>
      </c>
      <c r="N388">
        <v>70</v>
      </c>
      <c r="O388">
        <v>30</v>
      </c>
      <c r="P388">
        <v>0</v>
      </c>
      <c r="Q388">
        <v>0</v>
      </c>
      <c r="R388">
        <v>30</v>
      </c>
      <c r="S388">
        <v>0</v>
      </c>
      <c r="T388">
        <v>0</v>
      </c>
      <c r="U388">
        <v>0</v>
      </c>
      <c r="X388">
        <v>0</v>
      </c>
      <c r="Y388" t="s">
        <v>943</v>
      </c>
    </row>
    <row r="389" spans="1:25" x14ac:dyDescent="0.25">
      <c r="H389" t="s">
        <v>944</v>
      </c>
    </row>
    <row r="390" spans="1:25" x14ac:dyDescent="0.25">
      <c r="A390">
        <v>192</v>
      </c>
      <c r="B390">
        <v>548</v>
      </c>
      <c r="C390" t="s">
        <v>945</v>
      </c>
      <c r="D390" t="s">
        <v>526</v>
      </c>
      <c r="E390" t="s">
        <v>124</v>
      </c>
      <c r="F390" t="s">
        <v>946</v>
      </c>
      <c r="G390" t="str">
        <f>"00014499"</f>
        <v>00014499</v>
      </c>
      <c r="H390" t="s">
        <v>947</v>
      </c>
      <c r="I390">
        <v>0</v>
      </c>
      <c r="J390">
        <v>400</v>
      </c>
      <c r="K390">
        <v>0</v>
      </c>
      <c r="L390">
        <v>200</v>
      </c>
      <c r="M390">
        <v>0</v>
      </c>
      <c r="N390">
        <v>70</v>
      </c>
      <c r="O390">
        <v>50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X390">
        <v>0</v>
      </c>
      <c r="Y390" t="s">
        <v>948</v>
      </c>
    </row>
    <row r="391" spans="1:25" x14ac:dyDescent="0.25">
      <c r="H391" t="s">
        <v>949</v>
      </c>
    </row>
    <row r="392" spans="1:25" x14ac:dyDescent="0.25">
      <c r="A392">
        <v>193</v>
      </c>
      <c r="B392">
        <v>3327</v>
      </c>
      <c r="C392" t="s">
        <v>732</v>
      </c>
      <c r="D392" t="s">
        <v>93</v>
      </c>
      <c r="E392" t="s">
        <v>278</v>
      </c>
      <c r="F392" t="s">
        <v>950</v>
      </c>
      <c r="G392" t="str">
        <f>"00013141"</f>
        <v>00013141</v>
      </c>
      <c r="H392" t="s">
        <v>446</v>
      </c>
      <c r="I392">
        <v>0</v>
      </c>
      <c r="J392">
        <v>400</v>
      </c>
      <c r="K392">
        <v>0</v>
      </c>
      <c r="L392">
        <v>200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X392">
        <v>0</v>
      </c>
      <c r="Y392" t="s">
        <v>951</v>
      </c>
    </row>
    <row r="393" spans="1:25" x14ac:dyDescent="0.25">
      <c r="H393" t="s">
        <v>52</v>
      </c>
    </row>
    <row r="394" spans="1:25" x14ac:dyDescent="0.25">
      <c r="A394">
        <v>194</v>
      </c>
      <c r="B394">
        <v>1751</v>
      </c>
      <c r="C394" t="s">
        <v>952</v>
      </c>
      <c r="D394" t="s">
        <v>21</v>
      </c>
      <c r="E394" t="s">
        <v>83</v>
      </c>
      <c r="F394" t="s">
        <v>953</v>
      </c>
      <c r="G394" t="str">
        <f>"00013079"</f>
        <v>00013079</v>
      </c>
      <c r="H394" t="s">
        <v>954</v>
      </c>
      <c r="I394">
        <v>0</v>
      </c>
      <c r="J394">
        <v>400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X394">
        <v>0</v>
      </c>
      <c r="Y394" t="s">
        <v>955</v>
      </c>
    </row>
    <row r="395" spans="1:25" x14ac:dyDescent="0.25">
      <c r="H395" t="s">
        <v>956</v>
      </c>
    </row>
    <row r="396" spans="1:25" x14ac:dyDescent="0.25">
      <c r="A396">
        <v>195</v>
      </c>
      <c r="B396">
        <v>540</v>
      </c>
      <c r="C396" t="s">
        <v>957</v>
      </c>
      <c r="D396" t="s">
        <v>217</v>
      </c>
      <c r="E396" t="s">
        <v>48</v>
      </c>
      <c r="F396" t="s">
        <v>958</v>
      </c>
      <c r="G396" t="str">
        <f>"00013569"</f>
        <v>00013569</v>
      </c>
      <c r="H396" t="s">
        <v>461</v>
      </c>
      <c r="I396">
        <v>0</v>
      </c>
      <c r="J396">
        <v>400</v>
      </c>
      <c r="K396">
        <v>0</v>
      </c>
      <c r="L396">
        <v>200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X396">
        <v>0</v>
      </c>
      <c r="Y396" t="s">
        <v>959</v>
      </c>
    </row>
    <row r="397" spans="1:25" x14ac:dyDescent="0.25">
      <c r="H397" t="s">
        <v>960</v>
      </c>
    </row>
    <row r="398" spans="1:25" x14ac:dyDescent="0.25">
      <c r="A398">
        <v>196</v>
      </c>
      <c r="B398">
        <v>1515</v>
      </c>
      <c r="C398" t="s">
        <v>961</v>
      </c>
      <c r="D398" t="s">
        <v>962</v>
      </c>
      <c r="E398" t="s">
        <v>217</v>
      </c>
      <c r="F398" t="s">
        <v>963</v>
      </c>
      <c r="G398" t="str">
        <f>"00014586"</f>
        <v>00014586</v>
      </c>
      <c r="H398" t="s">
        <v>768</v>
      </c>
      <c r="I398">
        <v>0</v>
      </c>
      <c r="J398">
        <v>400</v>
      </c>
      <c r="K398">
        <v>0</v>
      </c>
      <c r="L398">
        <v>200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X398">
        <v>0</v>
      </c>
      <c r="Y398" t="s">
        <v>964</v>
      </c>
    </row>
    <row r="399" spans="1:25" x14ac:dyDescent="0.25">
      <c r="H399" t="s">
        <v>110</v>
      </c>
    </row>
    <row r="400" spans="1:25" x14ac:dyDescent="0.25">
      <c r="A400">
        <v>197</v>
      </c>
      <c r="B400">
        <v>3014</v>
      </c>
      <c r="C400" t="s">
        <v>965</v>
      </c>
      <c r="D400" t="s">
        <v>175</v>
      </c>
      <c r="E400" t="s">
        <v>966</v>
      </c>
      <c r="F400" t="s">
        <v>967</v>
      </c>
      <c r="G400" t="str">
        <f>"201511012473"</f>
        <v>201511012473</v>
      </c>
      <c r="H400" t="s">
        <v>768</v>
      </c>
      <c r="I400">
        <v>0</v>
      </c>
      <c r="J400">
        <v>400</v>
      </c>
      <c r="K400">
        <v>0</v>
      </c>
      <c r="L400">
        <v>200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X400">
        <v>0</v>
      </c>
      <c r="Y400" t="s">
        <v>964</v>
      </c>
    </row>
    <row r="401" spans="1:25" x14ac:dyDescent="0.25">
      <c r="H401" t="s">
        <v>968</v>
      </c>
    </row>
    <row r="402" spans="1:25" x14ac:dyDescent="0.25">
      <c r="A402">
        <v>198</v>
      </c>
      <c r="B402">
        <v>252</v>
      </c>
      <c r="C402" t="s">
        <v>969</v>
      </c>
      <c r="D402" t="s">
        <v>970</v>
      </c>
      <c r="E402" t="s">
        <v>41</v>
      </c>
      <c r="F402" t="s">
        <v>971</v>
      </c>
      <c r="G402" t="str">
        <f>"00015271"</f>
        <v>00015271</v>
      </c>
      <c r="H402" t="s">
        <v>972</v>
      </c>
      <c r="I402">
        <v>0</v>
      </c>
      <c r="J402">
        <v>400</v>
      </c>
      <c r="K402">
        <v>0</v>
      </c>
      <c r="L402">
        <v>0</v>
      </c>
      <c r="M402">
        <v>0</v>
      </c>
      <c r="N402">
        <v>70</v>
      </c>
      <c r="O402">
        <v>30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X402">
        <v>0</v>
      </c>
      <c r="Y402" t="s">
        <v>973</v>
      </c>
    </row>
    <row r="403" spans="1:25" x14ac:dyDescent="0.25">
      <c r="H403" t="s">
        <v>974</v>
      </c>
    </row>
    <row r="404" spans="1:25" x14ac:dyDescent="0.25">
      <c r="A404">
        <v>199</v>
      </c>
      <c r="B404">
        <v>1111</v>
      </c>
      <c r="C404" t="s">
        <v>975</v>
      </c>
      <c r="D404" t="s">
        <v>211</v>
      </c>
      <c r="E404" t="s">
        <v>48</v>
      </c>
      <c r="F404" t="s">
        <v>976</v>
      </c>
      <c r="G404" t="str">
        <f>"201401001407"</f>
        <v>201401001407</v>
      </c>
      <c r="H404" t="s">
        <v>809</v>
      </c>
      <c r="I404">
        <v>0</v>
      </c>
      <c r="J404">
        <v>400</v>
      </c>
      <c r="K404">
        <v>0</v>
      </c>
      <c r="L404">
        <v>200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X404">
        <v>0</v>
      </c>
      <c r="Y404" t="s">
        <v>977</v>
      </c>
    </row>
    <row r="405" spans="1:25" x14ac:dyDescent="0.25">
      <c r="H405" t="s">
        <v>978</v>
      </c>
    </row>
    <row r="406" spans="1:25" x14ac:dyDescent="0.25">
      <c r="A406">
        <v>200</v>
      </c>
      <c r="B406">
        <v>307</v>
      </c>
      <c r="C406" t="s">
        <v>979</v>
      </c>
      <c r="D406" t="s">
        <v>980</v>
      </c>
      <c r="E406" t="s">
        <v>124</v>
      </c>
      <c r="F406" t="s">
        <v>981</v>
      </c>
      <c r="G406" t="str">
        <f>"200802004153"</f>
        <v>200802004153</v>
      </c>
      <c r="H406" t="s">
        <v>982</v>
      </c>
      <c r="I406">
        <v>0</v>
      </c>
      <c r="J406">
        <v>400</v>
      </c>
      <c r="K406">
        <v>0</v>
      </c>
      <c r="L406">
        <v>200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X406">
        <v>0</v>
      </c>
      <c r="Y406" t="s">
        <v>983</v>
      </c>
    </row>
    <row r="407" spans="1:25" x14ac:dyDescent="0.25">
      <c r="H407" t="s">
        <v>984</v>
      </c>
    </row>
    <row r="408" spans="1:25" x14ac:dyDescent="0.25">
      <c r="A408">
        <v>201</v>
      </c>
      <c r="B408">
        <v>1509</v>
      </c>
      <c r="C408" t="s">
        <v>985</v>
      </c>
      <c r="D408" t="s">
        <v>842</v>
      </c>
      <c r="E408" t="s">
        <v>112</v>
      </c>
      <c r="F408" t="s">
        <v>986</v>
      </c>
      <c r="G408" t="str">
        <f>"00014714"</f>
        <v>00014714</v>
      </c>
      <c r="H408" t="s">
        <v>491</v>
      </c>
      <c r="I408">
        <v>0</v>
      </c>
      <c r="J408">
        <v>400</v>
      </c>
      <c r="K408">
        <v>0</v>
      </c>
      <c r="L408">
        <v>200</v>
      </c>
      <c r="M408">
        <v>0</v>
      </c>
      <c r="N408">
        <v>50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X408">
        <v>0</v>
      </c>
      <c r="Y408" t="s">
        <v>987</v>
      </c>
    </row>
    <row r="409" spans="1:25" x14ac:dyDescent="0.25">
      <c r="H409">
        <v>224</v>
      </c>
    </row>
    <row r="410" spans="1:25" x14ac:dyDescent="0.25">
      <c r="A410">
        <v>202</v>
      </c>
      <c r="B410">
        <v>721</v>
      </c>
      <c r="C410" t="s">
        <v>988</v>
      </c>
      <c r="D410" t="s">
        <v>989</v>
      </c>
      <c r="E410" t="s">
        <v>124</v>
      </c>
      <c r="F410" t="s">
        <v>990</v>
      </c>
      <c r="G410" t="str">
        <f>"00014641"</f>
        <v>00014641</v>
      </c>
      <c r="H410" t="s">
        <v>446</v>
      </c>
      <c r="I410">
        <v>0</v>
      </c>
      <c r="J410">
        <v>400</v>
      </c>
      <c r="K410">
        <v>0</v>
      </c>
      <c r="L410">
        <v>200</v>
      </c>
      <c r="M410">
        <v>0</v>
      </c>
      <c r="N410">
        <v>30</v>
      </c>
      <c r="O410">
        <v>30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X410">
        <v>0</v>
      </c>
      <c r="Y410" t="s">
        <v>991</v>
      </c>
    </row>
    <row r="411" spans="1:25" x14ac:dyDescent="0.25">
      <c r="H411" t="s">
        <v>992</v>
      </c>
    </row>
    <row r="412" spans="1:25" x14ac:dyDescent="0.25">
      <c r="A412">
        <v>203</v>
      </c>
      <c r="B412">
        <v>1448</v>
      </c>
      <c r="C412" t="s">
        <v>993</v>
      </c>
      <c r="D412" t="s">
        <v>994</v>
      </c>
      <c r="E412" t="s">
        <v>995</v>
      </c>
      <c r="F412" t="s">
        <v>996</v>
      </c>
      <c r="G412" t="str">
        <f>"00012428"</f>
        <v>00012428</v>
      </c>
      <c r="H412" t="s">
        <v>557</v>
      </c>
      <c r="I412">
        <v>0</v>
      </c>
      <c r="J412">
        <v>400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X412">
        <v>0</v>
      </c>
      <c r="Y412" t="s">
        <v>997</v>
      </c>
    </row>
    <row r="413" spans="1:25" x14ac:dyDescent="0.25">
      <c r="H413" t="s">
        <v>998</v>
      </c>
    </row>
    <row r="414" spans="1:25" x14ac:dyDescent="0.25">
      <c r="A414">
        <v>204</v>
      </c>
      <c r="B414">
        <v>56</v>
      </c>
      <c r="C414" t="s">
        <v>999</v>
      </c>
      <c r="D414" t="s">
        <v>526</v>
      </c>
      <c r="E414" t="s">
        <v>243</v>
      </c>
      <c r="F414" t="s">
        <v>1000</v>
      </c>
      <c r="G414" t="str">
        <f>"201501000443"</f>
        <v>201501000443</v>
      </c>
      <c r="H414" t="s">
        <v>225</v>
      </c>
      <c r="I414">
        <v>0</v>
      </c>
      <c r="J414">
        <v>400</v>
      </c>
      <c r="K414">
        <v>0</v>
      </c>
      <c r="L414">
        <v>200</v>
      </c>
      <c r="M414">
        <v>0</v>
      </c>
      <c r="N414">
        <v>30</v>
      </c>
      <c r="O414">
        <v>30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X414">
        <v>0</v>
      </c>
      <c r="Y414" t="s">
        <v>1001</v>
      </c>
    </row>
    <row r="415" spans="1:25" x14ac:dyDescent="0.25">
      <c r="H415" t="s">
        <v>1002</v>
      </c>
    </row>
    <row r="416" spans="1:25" x14ac:dyDescent="0.25">
      <c r="A416">
        <v>205</v>
      </c>
      <c r="B416">
        <v>2895</v>
      </c>
      <c r="C416" t="s">
        <v>1003</v>
      </c>
      <c r="D416" t="s">
        <v>22</v>
      </c>
      <c r="E416" t="s">
        <v>278</v>
      </c>
      <c r="F416" t="s">
        <v>1004</v>
      </c>
      <c r="G416" t="str">
        <f>"201511016365"</f>
        <v>201511016365</v>
      </c>
      <c r="H416" t="s">
        <v>1005</v>
      </c>
      <c r="I416">
        <v>0</v>
      </c>
      <c r="J416">
        <v>400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X416">
        <v>0</v>
      </c>
      <c r="Y416" t="s">
        <v>1006</v>
      </c>
    </row>
    <row r="417" spans="1:25" x14ac:dyDescent="0.25">
      <c r="H417" t="s">
        <v>1007</v>
      </c>
    </row>
    <row r="418" spans="1:25" x14ac:dyDescent="0.25">
      <c r="A418">
        <v>206</v>
      </c>
      <c r="B418">
        <v>2544</v>
      </c>
      <c r="C418" t="s">
        <v>1008</v>
      </c>
      <c r="D418" t="s">
        <v>1009</v>
      </c>
      <c r="E418" t="s">
        <v>22</v>
      </c>
      <c r="F418" t="s">
        <v>1010</v>
      </c>
      <c r="G418" t="str">
        <f>"00011809"</f>
        <v>00011809</v>
      </c>
      <c r="H418" t="s">
        <v>1005</v>
      </c>
      <c r="I418">
        <v>0</v>
      </c>
      <c r="J418">
        <v>400</v>
      </c>
      <c r="K418">
        <v>0</v>
      </c>
      <c r="L418">
        <v>200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X418">
        <v>0</v>
      </c>
      <c r="Y418" t="s">
        <v>1006</v>
      </c>
    </row>
    <row r="419" spans="1:25" x14ac:dyDescent="0.25">
      <c r="H419" t="s">
        <v>1011</v>
      </c>
    </row>
    <row r="420" spans="1:25" x14ac:dyDescent="0.25">
      <c r="A420">
        <v>207</v>
      </c>
      <c r="B420">
        <v>2617</v>
      </c>
      <c r="C420" t="s">
        <v>99</v>
      </c>
      <c r="D420" t="s">
        <v>175</v>
      </c>
      <c r="E420" t="s">
        <v>66</v>
      </c>
      <c r="F420">
        <v>802109</v>
      </c>
      <c r="G420" t="str">
        <f>"00010584"</f>
        <v>00010584</v>
      </c>
      <c r="H420" t="s">
        <v>705</v>
      </c>
      <c r="I420">
        <v>0</v>
      </c>
      <c r="J420">
        <v>400</v>
      </c>
      <c r="K420">
        <v>0</v>
      </c>
      <c r="L420">
        <v>200</v>
      </c>
      <c r="M420">
        <v>0</v>
      </c>
      <c r="N420">
        <v>50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X420">
        <v>2</v>
      </c>
      <c r="Y420" t="s">
        <v>1012</v>
      </c>
    </row>
    <row r="421" spans="1:25" x14ac:dyDescent="0.25">
      <c r="H421" t="s">
        <v>1013</v>
      </c>
    </row>
    <row r="422" spans="1:25" x14ac:dyDescent="0.25">
      <c r="A422">
        <v>208</v>
      </c>
      <c r="B422">
        <v>830</v>
      </c>
      <c r="C422" t="s">
        <v>1014</v>
      </c>
      <c r="D422" t="s">
        <v>526</v>
      </c>
      <c r="E422" t="s">
        <v>417</v>
      </c>
      <c r="F422" t="s">
        <v>1015</v>
      </c>
      <c r="G422" t="str">
        <f>"00014950"</f>
        <v>00014950</v>
      </c>
      <c r="H422" t="s">
        <v>1016</v>
      </c>
      <c r="I422">
        <v>0</v>
      </c>
      <c r="J422">
        <v>400</v>
      </c>
      <c r="K422">
        <v>0</v>
      </c>
      <c r="L422">
        <v>200</v>
      </c>
      <c r="M422">
        <v>0</v>
      </c>
      <c r="N422">
        <v>70</v>
      </c>
      <c r="O422">
        <v>0</v>
      </c>
      <c r="P422">
        <v>50</v>
      </c>
      <c r="Q422">
        <v>0</v>
      </c>
      <c r="R422">
        <v>0</v>
      </c>
      <c r="S422">
        <v>0</v>
      </c>
      <c r="T422">
        <v>0</v>
      </c>
      <c r="U422">
        <v>0</v>
      </c>
      <c r="X422">
        <v>0</v>
      </c>
      <c r="Y422" t="s">
        <v>1017</v>
      </c>
    </row>
    <row r="423" spans="1:25" x14ac:dyDescent="0.25">
      <c r="H423" t="s">
        <v>1018</v>
      </c>
    </row>
    <row r="424" spans="1:25" x14ac:dyDescent="0.25">
      <c r="A424">
        <v>209</v>
      </c>
      <c r="B424">
        <v>2683</v>
      </c>
      <c r="C424" t="s">
        <v>1019</v>
      </c>
      <c r="D424" t="s">
        <v>1020</v>
      </c>
      <c r="E424" t="s">
        <v>124</v>
      </c>
      <c r="F424" t="s">
        <v>1021</v>
      </c>
      <c r="G424" t="str">
        <f>"00011241"</f>
        <v>00011241</v>
      </c>
      <c r="H424" t="s">
        <v>1022</v>
      </c>
      <c r="I424">
        <v>0</v>
      </c>
      <c r="J424">
        <v>400</v>
      </c>
      <c r="K424">
        <v>0</v>
      </c>
      <c r="L424">
        <v>200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X424">
        <v>0</v>
      </c>
      <c r="Y424" t="s">
        <v>1023</v>
      </c>
    </row>
    <row r="425" spans="1:25" x14ac:dyDescent="0.25">
      <c r="H425" t="s">
        <v>1024</v>
      </c>
    </row>
    <row r="426" spans="1:25" x14ac:dyDescent="0.25">
      <c r="A426">
        <v>210</v>
      </c>
      <c r="B426">
        <v>470</v>
      </c>
      <c r="C426" t="s">
        <v>1025</v>
      </c>
      <c r="D426" t="s">
        <v>526</v>
      </c>
      <c r="E426" t="s">
        <v>1026</v>
      </c>
      <c r="F426" t="s">
        <v>1027</v>
      </c>
      <c r="G426" t="str">
        <f>"00015153"</f>
        <v>00015153</v>
      </c>
      <c r="H426" t="s">
        <v>1028</v>
      </c>
      <c r="I426">
        <v>0</v>
      </c>
      <c r="J426">
        <v>400</v>
      </c>
      <c r="K426">
        <v>0</v>
      </c>
      <c r="L426">
        <v>200</v>
      </c>
      <c r="M426">
        <v>0</v>
      </c>
      <c r="N426">
        <v>50</v>
      </c>
      <c r="O426">
        <v>0</v>
      </c>
      <c r="P426">
        <v>0</v>
      </c>
      <c r="Q426">
        <v>30</v>
      </c>
      <c r="R426">
        <v>0</v>
      </c>
      <c r="S426">
        <v>0</v>
      </c>
      <c r="T426">
        <v>0</v>
      </c>
      <c r="U426">
        <v>0</v>
      </c>
      <c r="X426">
        <v>0</v>
      </c>
      <c r="Y426" t="s">
        <v>1029</v>
      </c>
    </row>
    <row r="427" spans="1:25" x14ac:dyDescent="0.25">
      <c r="H427" t="s">
        <v>1030</v>
      </c>
    </row>
    <row r="428" spans="1:25" x14ac:dyDescent="0.25">
      <c r="A428">
        <v>211</v>
      </c>
      <c r="B428">
        <v>1612</v>
      </c>
      <c r="C428" t="s">
        <v>1031</v>
      </c>
      <c r="D428" t="s">
        <v>22</v>
      </c>
      <c r="E428" t="s">
        <v>217</v>
      </c>
      <c r="F428" t="s">
        <v>1032</v>
      </c>
      <c r="G428" t="str">
        <f>"00013139"</f>
        <v>00013139</v>
      </c>
      <c r="H428" t="s">
        <v>1033</v>
      </c>
      <c r="I428">
        <v>0</v>
      </c>
      <c r="J428">
        <v>400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X428">
        <v>0</v>
      </c>
      <c r="Y428" t="s">
        <v>1034</v>
      </c>
    </row>
    <row r="429" spans="1:25" x14ac:dyDescent="0.25">
      <c r="H429" t="s">
        <v>1035</v>
      </c>
    </row>
    <row r="430" spans="1:25" x14ac:dyDescent="0.25">
      <c r="A430">
        <v>212</v>
      </c>
      <c r="B430">
        <v>1421</v>
      </c>
      <c r="C430" t="s">
        <v>1036</v>
      </c>
      <c r="D430" t="s">
        <v>1037</v>
      </c>
      <c r="E430" t="s">
        <v>1038</v>
      </c>
      <c r="F430" t="s">
        <v>1039</v>
      </c>
      <c r="G430" t="str">
        <f>"00012883"</f>
        <v>00012883</v>
      </c>
      <c r="H430" t="s">
        <v>1040</v>
      </c>
      <c r="I430">
        <v>0</v>
      </c>
      <c r="J430">
        <v>400</v>
      </c>
      <c r="K430">
        <v>0</v>
      </c>
      <c r="L430">
        <v>200</v>
      </c>
      <c r="M430">
        <v>0</v>
      </c>
      <c r="N430">
        <v>50</v>
      </c>
      <c r="O430">
        <v>50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X430">
        <v>0</v>
      </c>
      <c r="Y430" t="s">
        <v>1041</v>
      </c>
    </row>
    <row r="431" spans="1:25" x14ac:dyDescent="0.25">
      <c r="H431" t="s">
        <v>1042</v>
      </c>
    </row>
    <row r="432" spans="1:25" x14ac:dyDescent="0.25">
      <c r="A432">
        <v>213</v>
      </c>
      <c r="B432">
        <v>973</v>
      </c>
      <c r="C432" t="s">
        <v>1043</v>
      </c>
      <c r="D432" t="s">
        <v>190</v>
      </c>
      <c r="E432" t="s">
        <v>112</v>
      </c>
      <c r="F432" t="s">
        <v>1044</v>
      </c>
      <c r="G432" t="str">
        <f>"201410005680"</f>
        <v>201410005680</v>
      </c>
      <c r="H432" t="s">
        <v>818</v>
      </c>
      <c r="I432">
        <v>0</v>
      </c>
      <c r="J432">
        <v>400</v>
      </c>
      <c r="K432">
        <v>0</v>
      </c>
      <c r="L432">
        <v>200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X432">
        <v>2</v>
      </c>
      <c r="Y432" t="s">
        <v>1045</v>
      </c>
    </row>
    <row r="433" spans="1:25" x14ac:dyDescent="0.25">
      <c r="H433" t="s">
        <v>1046</v>
      </c>
    </row>
    <row r="434" spans="1:25" x14ac:dyDescent="0.25">
      <c r="A434">
        <v>214</v>
      </c>
      <c r="B434">
        <v>1366</v>
      </c>
      <c r="C434" t="s">
        <v>1047</v>
      </c>
      <c r="D434" t="s">
        <v>40</v>
      </c>
      <c r="E434" t="s">
        <v>1048</v>
      </c>
      <c r="F434" t="s">
        <v>1049</v>
      </c>
      <c r="G434" t="str">
        <f>"201406013824"</f>
        <v>201406013824</v>
      </c>
      <c r="H434" t="s">
        <v>1050</v>
      </c>
      <c r="I434">
        <v>0</v>
      </c>
      <c r="J434">
        <v>400</v>
      </c>
      <c r="K434">
        <v>0</v>
      </c>
      <c r="L434">
        <v>260</v>
      </c>
      <c r="M434">
        <v>0</v>
      </c>
      <c r="N434">
        <v>50</v>
      </c>
      <c r="O434">
        <v>50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X434">
        <v>0</v>
      </c>
      <c r="Y434" t="s">
        <v>1051</v>
      </c>
    </row>
    <row r="435" spans="1:25" x14ac:dyDescent="0.25">
      <c r="H435" t="s">
        <v>52</v>
      </c>
    </row>
    <row r="436" spans="1:25" x14ac:dyDescent="0.25">
      <c r="A436">
        <v>215</v>
      </c>
      <c r="B436">
        <v>2167</v>
      </c>
      <c r="C436" t="s">
        <v>20</v>
      </c>
      <c r="D436" t="s">
        <v>1052</v>
      </c>
      <c r="E436" t="s">
        <v>41</v>
      </c>
      <c r="F436" t="s">
        <v>1053</v>
      </c>
      <c r="G436" t="str">
        <f>"201411001376"</f>
        <v>201411001376</v>
      </c>
      <c r="H436" t="s">
        <v>1054</v>
      </c>
      <c r="I436">
        <v>0</v>
      </c>
      <c r="J436">
        <v>400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X436">
        <v>0</v>
      </c>
      <c r="Y436" t="s">
        <v>1055</v>
      </c>
    </row>
    <row r="437" spans="1:25" x14ac:dyDescent="0.25">
      <c r="H437" t="s">
        <v>1056</v>
      </c>
    </row>
    <row r="438" spans="1:25" x14ac:dyDescent="0.25">
      <c r="A438">
        <v>216</v>
      </c>
      <c r="B438">
        <v>2702</v>
      </c>
      <c r="C438" t="s">
        <v>1057</v>
      </c>
      <c r="D438" t="s">
        <v>1058</v>
      </c>
      <c r="E438" t="s">
        <v>124</v>
      </c>
      <c r="F438" t="s">
        <v>1059</v>
      </c>
      <c r="G438" t="str">
        <f>"00014705"</f>
        <v>00014705</v>
      </c>
      <c r="H438" t="s">
        <v>1060</v>
      </c>
      <c r="I438">
        <v>0</v>
      </c>
      <c r="J438">
        <v>400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X438">
        <v>0</v>
      </c>
      <c r="Y438" t="s">
        <v>1061</v>
      </c>
    </row>
    <row r="439" spans="1:25" x14ac:dyDescent="0.25">
      <c r="H439" t="s">
        <v>1062</v>
      </c>
    </row>
    <row r="440" spans="1:25" x14ac:dyDescent="0.25">
      <c r="A440">
        <v>217</v>
      </c>
      <c r="B440">
        <v>3262</v>
      </c>
      <c r="C440" t="s">
        <v>899</v>
      </c>
      <c r="D440" t="s">
        <v>21</v>
      </c>
      <c r="E440" t="s">
        <v>440</v>
      </c>
      <c r="F440" t="s">
        <v>1063</v>
      </c>
      <c r="G440" t="str">
        <f>"00014159"</f>
        <v>00014159</v>
      </c>
      <c r="H440" t="s">
        <v>1060</v>
      </c>
      <c r="I440">
        <v>0</v>
      </c>
      <c r="J440">
        <v>400</v>
      </c>
      <c r="K440">
        <v>0</v>
      </c>
      <c r="L440">
        <v>200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X440">
        <v>0</v>
      </c>
      <c r="Y440" t="s">
        <v>1061</v>
      </c>
    </row>
    <row r="441" spans="1:25" x14ac:dyDescent="0.25">
      <c r="H441" t="s">
        <v>1064</v>
      </c>
    </row>
    <row r="442" spans="1:25" x14ac:dyDescent="0.25">
      <c r="A442">
        <v>218</v>
      </c>
      <c r="B442">
        <v>2037</v>
      </c>
      <c r="C442" t="s">
        <v>1065</v>
      </c>
      <c r="D442" t="s">
        <v>539</v>
      </c>
      <c r="E442" t="s">
        <v>1066</v>
      </c>
      <c r="F442" t="s">
        <v>1067</v>
      </c>
      <c r="G442" t="str">
        <f>"201411002172"</f>
        <v>201411002172</v>
      </c>
      <c r="H442" t="s">
        <v>303</v>
      </c>
      <c r="I442">
        <v>0</v>
      </c>
      <c r="J442">
        <v>400</v>
      </c>
      <c r="K442">
        <v>0</v>
      </c>
      <c r="L442">
        <v>200</v>
      </c>
      <c r="M442">
        <v>0</v>
      </c>
      <c r="N442">
        <v>30</v>
      </c>
      <c r="O442">
        <v>30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X442">
        <v>0</v>
      </c>
      <c r="Y442" t="s">
        <v>1068</v>
      </c>
    </row>
    <row r="443" spans="1:25" x14ac:dyDescent="0.25">
      <c r="H443" t="s">
        <v>1069</v>
      </c>
    </row>
    <row r="444" spans="1:25" x14ac:dyDescent="0.25">
      <c r="A444">
        <v>219</v>
      </c>
      <c r="B444">
        <v>1724</v>
      </c>
      <c r="C444" t="s">
        <v>1070</v>
      </c>
      <c r="D444" t="s">
        <v>1071</v>
      </c>
      <c r="E444" t="s">
        <v>254</v>
      </c>
      <c r="F444" t="s">
        <v>1072</v>
      </c>
      <c r="G444" t="str">
        <f>"201105000126"</f>
        <v>201105000126</v>
      </c>
      <c r="H444" t="s">
        <v>446</v>
      </c>
      <c r="I444">
        <v>0</v>
      </c>
      <c r="J444">
        <v>400</v>
      </c>
      <c r="K444">
        <v>0</v>
      </c>
      <c r="L444">
        <v>200</v>
      </c>
      <c r="M444">
        <v>0</v>
      </c>
      <c r="N444">
        <v>50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X444">
        <v>0</v>
      </c>
      <c r="Y444" t="s">
        <v>1073</v>
      </c>
    </row>
    <row r="445" spans="1:25" x14ac:dyDescent="0.25">
      <c r="H445" t="s">
        <v>1074</v>
      </c>
    </row>
    <row r="446" spans="1:25" x14ac:dyDescent="0.25">
      <c r="A446">
        <v>220</v>
      </c>
      <c r="B446">
        <v>2590</v>
      </c>
      <c r="C446" t="s">
        <v>1075</v>
      </c>
      <c r="D446" t="s">
        <v>112</v>
      </c>
      <c r="E446" t="s">
        <v>1076</v>
      </c>
      <c r="F446" t="s">
        <v>1077</v>
      </c>
      <c r="G446" t="str">
        <f>"00014330"</f>
        <v>00014330</v>
      </c>
      <c r="H446" t="s">
        <v>1078</v>
      </c>
      <c r="I446">
        <v>0</v>
      </c>
      <c r="J446">
        <v>400</v>
      </c>
      <c r="K446">
        <v>0</v>
      </c>
      <c r="L446">
        <v>200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X446">
        <v>0</v>
      </c>
      <c r="Y446" t="s">
        <v>1079</v>
      </c>
    </row>
    <row r="447" spans="1:25" x14ac:dyDescent="0.25">
      <c r="H447" t="s">
        <v>1080</v>
      </c>
    </row>
    <row r="448" spans="1:25" x14ac:dyDescent="0.25">
      <c r="A448">
        <v>221</v>
      </c>
      <c r="B448">
        <v>983</v>
      </c>
      <c r="C448" t="s">
        <v>1081</v>
      </c>
      <c r="D448" t="s">
        <v>83</v>
      </c>
      <c r="E448" t="s">
        <v>1082</v>
      </c>
      <c r="F448" t="s">
        <v>1083</v>
      </c>
      <c r="G448" t="str">
        <f>"201504004978"</f>
        <v>201504004978</v>
      </c>
      <c r="H448" t="s">
        <v>1084</v>
      </c>
      <c r="I448">
        <v>0</v>
      </c>
      <c r="J448">
        <v>400</v>
      </c>
      <c r="K448">
        <v>0</v>
      </c>
      <c r="L448">
        <v>0</v>
      </c>
      <c r="M448">
        <v>0</v>
      </c>
      <c r="N448">
        <v>70</v>
      </c>
      <c r="O448">
        <v>50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X448">
        <v>0</v>
      </c>
      <c r="Y448" t="s">
        <v>1085</v>
      </c>
    </row>
    <row r="449" spans="1:25" x14ac:dyDescent="0.25">
      <c r="H449">
        <v>224</v>
      </c>
    </row>
    <row r="450" spans="1:25" x14ac:dyDescent="0.25">
      <c r="A450">
        <v>222</v>
      </c>
      <c r="B450">
        <v>235</v>
      </c>
      <c r="C450" t="s">
        <v>1086</v>
      </c>
      <c r="D450" t="s">
        <v>1087</v>
      </c>
      <c r="E450" t="s">
        <v>440</v>
      </c>
      <c r="F450" t="s">
        <v>1088</v>
      </c>
      <c r="G450" t="str">
        <f>"201412005914"</f>
        <v>201412005914</v>
      </c>
      <c r="H450" t="s">
        <v>1089</v>
      </c>
      <c r="I450">
        <v>0</v>
      </c>
      <c r="J450">
        <v>400</v>
      </c>
      <c r="K450">
        <v>0</v>
      </c>
      <c r="L450">
        <v>200</v>
      </c>
      <c r="M450">
        <v>0</v>
      </c>
      <c r="N450">
        <v>70</v>
      </c>
      <c r="O450">
        <v>70</v>
      </c>
      <c r="P450">
        <v>0</v>
      </c>
      <c r="Q450">
        <v>30</v>
      </c>
      <c r="R450">
        <v>0</v>
      </c>
      <c r="S450">
        <v>0</v>
      </c>
      <c r="T450">
        <v>0</v>
      </c>
      <c r="U450">
        <v>0</v>
      </c>
      <c r="X450">
        <v>0</v>
      </c>
      <c r="Y450" t="s">
        <v>1090</v>
      </c>
    </row>
    <row r="451" spans="1:25" x14ac:dyDescent="0.25">
      <c r="H451" t="s">
        <v>1091</v>
      </c>
    </row>
    <row r="452" spans="1:25" x14ac:dyDescent="0.25">
      <c r="A452">
        <v>223</v>
      </c>
      <c r="B452">
        <v>229</v>
      </c>
      <c r="C452" t="s">
        <v>1092</v>
      </c>
      <c r="D452" t="s">
        <v>175</v>
      </c>
      <c r="E452" t="s">
        <v>130</v>
      </c>
      <c r="F452" t="s">
        <v>1093</v>
      </c>
      <c r="G452" t="str">
        <f>"200712005330"</f>
        <v>200712005330</v>
      </c>
      <c r="H452" t="s">
        <v>1094</v>
      </c>
      <c r="I452">
        <v>0</v>
      </c>
      <c r="J452">
        <v>400</v>
      </c>
      <c r="K452">
        <v>0</v>
      </c>
      <c r="L452">
        <v>200</v>
      </c>
      <c r="M452">
        <v>0</v>
      </c>
      <c r="N452">
        <v>70</v>
      </c>
      <c r="O452">
        <v>0</v>
      </c>
      <c r="P452">
        <v>0</v>
      </c>
      <c r="Q452">
        <v>30</v>
      </c>
      <c r="R452">
        <v>0</v>
      </c>
      <c r="S452">
        <v>0</v>
      </c>
      <c r="T452">
        <v>0</v>
      </c>
      <c r="U452">
        <v>0</v>
      </c>
      <c r="X452">
        <v>0</v>
      </c>
      <c r="Y452" t="s">
        <v>1095</v>
      </c>
    </row>
    <row r="453" spans="1:25" x14ac:dyDescent="0.25">
      <c r="H453" t="s">
        <v>1096</v>
      </c>
    </row>
    <row r="454" spans="1:25" x14ac:dyDescent="0.25">
      <c r="A454">
        <v>224</v>
      </c>
      <c r="B454">
        <v>1684</v>
      </c>
      <c r="C454" t="s">
        <v>1097</v>
      </c>
      <c r="D454" t="s">
        <v>526</v>
      </c>
      <c r="E454" t="s">
        <v>217</v>
      </c>
      <c r="F454" t="s">
        <v>1098</v>
      </c>
      <c r="G454" t="str">
        <f>"200712000490"</f>
        <v>200712000490</v>
      </c>
      <c r="H454" t="s">
        <v>795</v>
      </c>
      <c r="I454">
        <v>0</v>
      </c>
      <c r="J454">
        <v>400</v>
      </c>
      <c r="K454">
        <v>0</v>
      </c>
      <c r="L454">
        <v>200</v>
      </c>
      <c r="M454">
        <v>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X454">
        <v>0</v>
      </c>
      <c r="Y454" t="s">
        <v>1099</v>
      </c>
    </row>
    <row r="455" spans="1:25" x14ac:dyDescent="0.25">
      <c r="H455" t="s">
        <v>1100</v>
      </c>
    </row>
    <row r="456" spans="1:25" x14ac:dyDescent="0.25">
      <c r="A456">
        <v>225</v>
      </c>
      <c r="B456">
        <v>2920</v>
      </c>
      <c r="C456" t="s">
        <v>1101</v>
      </c>
      <c r="D456" t="s">
        <v>21</v>
      </c>
      <c r="E456" t="s">
        <v>1102</v>
      </c>
      <c r="F456" t="s">
        <v>1103</v>
      </c>
      <c r="G456" t="str">
        <f>"200903000482"</f>
        <v>200903000482</v>
      </c>
      <c r="H456">
        <v>748</v>
      </c>
      <c r="I456">
        <v>0</v>
      </c>
      <c r="J456">
        <v>400</v>
      </c>
      <c r="K456">
        <v>0</v>
      </c>
      <c r="L456">
        <v>200</v>
      </c>
      <c r="M456">
        <v>0</v>
      </c>
      <c r="N456">
        <v>30</v>
      </c>
      <c r="O456">
        <v>30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X456">
        <v>0</v>
      </c>
      <c r="Y456">
        <v>1408</v>
      </c>
    </row>
    <row r="457" spans="1:25" x14ac:dyDescent="0.25">
      <c r="H457" t="s">
        <v>1104</v>
      </c>
    </row>
    <row r="458" spans="1:25" x14ac:dyDescent="0.25">
      <c r="A458">
        <v>226</v>
      </c>
      <c r="B458">
        <v>2842</v>
      </c>
      <c r="C458" t="s">
        <v>1105</v>
      </c>
      <c r="D458" t="s">
        <v>1106</v>
      </c>
      <c r="E458" t="s">
        <v>267</v>
      </c>
      <c r="F458" t="s">
        <v>1107</v>
      </c>
      <c r="G458" t="str">
        <f>"00009683"</f>
        <v>00009683</v>
      </c>
      <c r="H458">
        <v>638</v>
      </c>
      <c r="I458">
        <v>0</v>
      </c>
      <c r="J458">
        <v>400</v>
      </c>
      <c r="K458">
        <v>0</v>
      </c>
      <c r="L458">
        <v>200</v>
      </c>
      <c r="M458">
        <v>0</v>
      </c>
      <c r="N458">
        <v>70</v>
      </c>
      <c r="O458">
        <v>30</v>
      </c>
      <c r="P458">
        <v>0</v>
      </c>
      <c r="Q458">
        <v>0</v>
      </c>
      <c r="R458">
        <v>70</v>
      </c>
      <c r="S458">
        <v>0</v>
      </c>
      <c r="T458">
        <v>0</v>
      </c>
      <c r="U458">
        <v>0</v>
      </c>
      <c r="X458">
        <v>0</v>
      </c>
      <c r="Y458">
        <v>1408</v>
      </c>
    </row>
    <row r="459" spans="1:25" x14ac:dyDescent="0.25">
      <c r="H459" t="s">
        <v>1108</v>
      </c>
    </row>
    <row r="460" spans="1:25" x14ac:dyDescent="0.25">
      <c r="A460">
        <v>227</v>
      </c>
      <c r="B460">
        <v>412</v>
      </c>
      <c r="C460" t="s">
        <v>1109</v>
      </c>
      <c r="D460" t="s">
        <v>22</v>
      </c>
      <c r="E460" t="s">
        <v>1110</v>
      </c>
      <c r="F460" t="s">
        <v>1111</v>
      </c>
      <c r="G460" t="str">
        <f>"00011260"</f>
        <v>00011260</v>
      </c>
      <c r="H460" t="s">
        <v>1112</v>
      </c>
      <c r="I460">
        <v>0</v>
      </c>
      <c r="J460">
        <v>400</v>
      </c>
      <c r="K460">
        <v>0</v>
      </c>
      <c r="L460">
        <v>0</v>
      </c>
      <c r="M460">
        <v>0</v>
      </c>
      <c r="N460">
        <v>70</v>
      </c>
      <c r="O460">
        <v>30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X460">
        <v>0</v>
      </c>
      <c r="Y460" t="s">
        <v>1113</v>
      </c>
    </row>
    <row r="461" spans="1:25" x14ac:dyDescent="0.25">
      <c r="H461" t="s">
        <v>1114</v>
      </c>
    </row>
    <row r="462" spans="1:25" x14ac:dyDescent="0.25">
      <c r="A462">
        <v>228</v>
      </c>
      <c r="B462">
        <v>1148</v>
      </c>
      <c r="C462" t="s">
        <v>1115</v>
      </c>
      <c r="D462" t="s">
        <v>135</v>
      </c>
      <c r="E462" t="s">
        <v>48</v>
      </c>
      <c r="F462" t="s">
        <v>1116</v>
      </c>
      <c r="G462" t="str">
        <f>"201412000791"</f>
        <v>201412000791</v>
      </c>
      <c r="H462" t="s">
        <v>982</v>
      </c>
      <c r="I462">
        <v>0</v>
      </c>
      <c r="J462">
        <v>400</v>
      </c>
      <c r="K462">
        <v>0</v>
      </c>
      <c r="L462">
        <v>200</v>
      </c>
      <c r="M462">
        <v>0</v>
      </c>
      <c r="N462">
        <v>50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X462">
        <v>0</v>
      </c>
      <c r="Y462" t="s">
        <v>1117</v>
      </c>
    </row>
    <row r="463" spans="1:25" x14ac:dyDescent="0.25">
      <c r="H463" t="s">
        <v>1118</v>
      </c>
    </row>
    <row r="464" spans="1:25" x14ac:dyDescent="0.25">
      <c r="A464">
        <v>229</v>
      </c>
      <c r="B464">
        <v>2286</v>
      </c>
      <c r="C464" t="s">
        <v>1119</v>
      </c>
      <c r="D464" t="s">
        <v>1120</v>
      </c>
      <c r="E464" t="s">
        <v>21</v>
      </c>
      <c r="F464" t="s">
        <v>1121</v>
      </c>
      <c r="G464" t="str">
        <f>"201411000612"</f>
        <v>201411000612</v>
      </c>
      <c r="H464" t="s">
        <v>1122</v>
      </c>
      <c r="I464">
        <v>0</v>
      </c>
      <c r="J464">
        <v>0</v>
      </c>
      <c r="K464">
        <v>200</v>
      </c>
      <c r="L464">
        <v>200</v>
      </c>
      <c r="M464">
        <v>0</v>
      </c>
      <c r="N464">
        <v>70</v>
      </c>
      <c r="O464">
        <v>30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X464">
        <v>0</v>
      </c>
      <c r="Y464" t="s">
        <v>1123</v>
      </c>
    </row>
    <row r="465" spans="1:25" x14ac:dyDescent="0.25">
      <c r="H465" t="s">
        <v>1124</v>
      </c>
    </row>
    <row r="466" spans="1:25" x14ac:dyDescent="0.25">
      <c r="A466">
        <v>230</v>
      </c>
      <c r="B466">
        <v>1223</v>
      </c>
      <c r="C466" t="s">
        <v>1125</v>
      </c>
      <c r="D466" t="s">
        <v>571</v>
      </c>
      <c r="E466" t="s">
        <v>884</v>
      </c>
      <c r="F466" t="s">
        <v>1126</v>
      </c>
      <c r="G466" t="str">
        <f>"00012204"</f>
        <v>00012204</v>
      </c>
      <c r="H466" t="s">
        <v>1127</v>
      </c>
      <c r="I466">
        <v>0</v>
      </c>
      <c r="J466">
        <v>400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30</v>
      </c>
      <c r="Q466">
        <v>0</v>
      </c>
      <c r="R466">
        <v>0</v>
      </c>
      <c r="S466">
        <v>0</v>
      </c>
      <c r="T466">
        <v>0</v>
      </c>
      <c r="U466">
        <v>0</v>
      </c>
      <c r="X466">
        <v>0</v>
      </c>
      <c r="Y466" t="s">
        <v>1128</v>
      </c>
    </row>
    <row r="467" spans="1:25" x14ac:dyDescent="0.25">
      <c r="H467" t="s">
        <v>1129</v>
      </c>
    </row>
    <row r="468" spans="1:25" x14ac:dyDescent="0.25">
      <c r="A468">
        <v>231</v>
      </c>
      <c r="B468">
        <v>1403</v>
      </c>
      <c r="C468" t="s">
        <v>1130</v>
      </c>
      <c r="D468" t="s">
        <v>141</v>
      </c>
      <c r="E468" t="s">
        <v>1131</v>
      </c>
      <c r="F468" t="s">
        <v>1132</v>
      </c>
      <c r="G468" t="str">
        <f>"201511009059"</f>
        <v>201511009059</v>
      </c>
      <c r="H468" t="s">
        <v>1005</v>
      </c>
      <c r="I468">
        <v>0</v>
      </c>
      <c r="J468">
        <v>400</v>
      </c>
      <c r="K468">
        <v>0</v>
      </c>
      <c r="L468">
        <v>200</v>
      </c>
      <c r="M468">
        <v>0</v>
      </c>
      <c r="N468">
        <v>50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X468">
        <v>0</v>
      </c>
      <c r="Y468" t="s">
        <v>1133</v>
      </c>
    </row>
    <row r="469" spans="1:25" x14ac:dyDescent="0.25">
      <c r="H469" t="s">
        <v>1134</v>
      </c>
    </row>
    <row r="470" spans="1:25" x14ac:dyDescent="0.25">
      <c r="A470">
        <v>232</v>
      </c>
      <c r="B470">
        <v>2443</v>
      </c>
      <c r="C470" t="s">
        <v>1135</v>
      </c>
      <c r="D470" t="s">
        <v>124</v>
      </c>
      <c r="E470" t="s">
        <v>118</v>
      </c>
      <c r="F470" t="s">
        <v>1136</v>
      </c>
      <c r="G470" t="str">
        <f>"00012379"</f>
        <v>00012379</v>
      </c>
      <c r="H470" t="s">
        <v>705</v>
      </c>
      <c r="I470">
        <v>0</v>
      </c>
      <c r="J470">
        <v>400</v>
      </c>
      <c r="K470">
        <v>0</v>
      </c>
      <c r="L470">
        <v>200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X470">
        <v>0</v>
      </c>
      <c r="Y470" t="s">
        <v>1137</v>
      </c>
    </row>
    <row r="471" spans="1:25" x14ac:dyDescent="0.25">
      <c r="H471" t="s">
        <v>1138</v>
      </c>
    </row>
    <row r="472" spans="1:25" x14ac:dyDescent="0.25">
      <c r="A472">
        <v>233</v>
      </c>
      <c r="B472">
        <v>829</v>
      </c>
      <c r="C472" t="s">
        <v>1139</v>
      </c>
      <c r="D472" t="s">
        <v>749</v>
      </c>
      <c r="E472" t="s">
        <v>254</v>
      </c>
      <c r="F472" t="s">
        <v>1140</v>
      </c>
      <c r="G472" t="str">
        <f>"00013081"</f>
        <v>00013081</v>
      </c>
      <c r="H472">
        <v>880</v>
      </c>
      <c r="I472">
        <v>0</v>
      </c>
      <c r="J472">
        <v>400</v>
      </c>
      <c r="K472">
        <v>0</v>
      </c>
      <c r="L472">
        <v>0</v>
      </c>
      <c r="M472">
        <v>0</v>
      </c>
      <c r="N472">
        <v>70</v>
      </c>
      <c r="O472">
        <v>0</v>
      </c>
      <c r="P472">
        <v>50</v>
      </c>
      <c r="Q472">
        <v>0</v>
      </c>
      <c r="R472">
        <v>0</v>
      </c>
      <c r="S472">
        <v>0</v>
      </c>
      <c r="T472">
        <v>0</v>
      </c>
      <c r="U472">
        <v>0</v>
      </c>
      <c r="X472">
        <v>0</v>
      </c>
      <c r="Y472">
        <v>1400</v>
      </c>
    </row>
    <row r="473" spans="1:25" x14ac:dyDescent="0.25">
      <c r="H473" t="s">
        <v>1141</v>
      </c>
    </row>
    <row r="474" spans="1:25" x14ac:dyDescent="0.25">
      <c r="A474">
        <v>234</v>
      </c>
      <c r="B474">
        <v>1401</v>
      </c>
      <c r="C474" t="s">
        <v>1142</v>
      </c>
      <c r="D474" t="s">
        <v>526</v>
      </c>
      <c r="E474" t="s">
        <v>48</v>
      </c>
      <c r="F474" t="s">
        <v>1143</v>
      </c>
      <c r="G474" t="str">
        <f>"00012260"</f>
        <v>00012260</v>
      </c>
      <c r="H474" t="s">
        <v>1144</v>
      </c>
      <c r="I474">
        <v>0</v>
      </c>
      <c r="J474">
        <v>400</v>
      </c>
      <c r="K474">
        <v>0</v>
      </c>
      <c r="L474">
        <v>200</v>
      </c>
      <c r="M474">
        <v>0</v>
      </c>
      <c r="N474">
        <v>70</v>
      </c>
      <c r="O474">
        <v>50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X474">
        <v>0</v>
      </c>
      <c r="Y474" t="s">
        <v>1145</v>
      </c>
    </row>
    <row r="475" spans="1:25" x14ac:dyDescent="0.25">
      <c r="H475" t="s">
        <v>1146</v>
      </c>
    </row>
    <row r="476" spans="1:25" x14ac:dyDescent="0.25">
      <c r="A476">
        <v>235</v>
      </c>
      <c r="B476">
        <v>2531</v>
      </c>
      <c r="C476" t="s">
        <v>1147</v>
      </c>
      <c r="D476" t="s">
        <v>284</v>
      </c>
      <c r="E476" t="s">
        <v>130</v>
      </c>
      <c r="F476" t="s">
        <v>1148</v>
      </c>
      <c r="G476" t="str">
        <f>"00013167"</f>
        <v>00013167</v>
      </c>
      <c r="H476" t="s">
        <v>1149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30</v>
      </c>
      <c r="P476">
        <v>70</v>
      </c>
      <c r="Q476">
        <v>0</v>
      </c>
      <c r="R476">
        <v>0</v>
      </c>
      <c r="S476">
        <v>0</v>
      </c>
      <c r="T476">
        <v>0</v>
      </c>
      <c r="U476">
        <v>0</v>
      </c>
      <c r="X476">
        <v>0</v>
      </c>
      <c r="Y476" t="s">
        <v>1150</v>
      </c>
    </row>
    <row r="477" spans="1:25" x14ac:dyDescent="0.25">
      <c r="H477" t="s">
        <v>1151</v>
      </c>
    </row>
    <row r="478" spans="1:25" x14ac:dyDescent="0.25">
      <c r="A478">
        <v>236</v>
      </c>
      <c r="B478">
        <v>1522</v>
      </c>
      <c r="C478" t="s">
        <v>1152</v>
      </c>
      <c r="D478" t="s">
        <v>1153</v>
      </c>
      <c r="E478" t="s">
        <v>21</v>
      </c>
      <c r="F478" t="s">
        <v>1154</v>
      </c>
      <c r="G478" t="str">
        <f>"200802001469"</f>
        <v>200802001469</v>
      </c>
      <c r="H478" t="s">
        <v>673</v>
      </c>
      <c r="I478">
        <v>0</v>
      </c>
      <c r="J478">
        <v>400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X478">
        <v>0</v>
      </c>
      <c r="Y478" t="s">
        <v>1155</v>
      </c>
    </row>
    <row r="479" spans="1:25" x14ac:dyDescent="0.25">
      <c r="H479" t="s">
        <v>1156</v>
      </c>
    </row>
    <row r="480" spans="1:25" x14ac:dyDescent="0.25">
      <c r="A480">
        <v>237</v>
      </c>
      <c r="B480">
        <v>1489</v>
      </c>
      <c r="C480" t="s">
        <v>1157</v>
      </c>
      <c r="D480" t="s">
        <v>1158</v>
      </c>
      <c r="E480" t="s">
        <v>66</v>
      </c>
      <c r="F480" t="s">
        <v>1159</v>
      </c>
      <c r="G480" t="str">
        <f>"201401002318"</f>
        <v>201401002318</v>
      </c>
      <c r="H480" t="s">
        <v>1160</v>
      </c>
      <c r="I480">
        <v>0</v>
      </c>
      <c r="J480">
        <v>400</v>
      </c>
      <c r="K480">
        <v>0</v>
      </c>
      <c r="L480">
        <v>200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X480">
        <v>0</v>
      </c>
      <c r="Y480" t="s">
        <v>1161</v>
      </c>
    </row>
    <row r="481" spans="1:25" x14ac:dyDescent="0.25">
      <c r="H481" t="s">
        <v>1162</v>
      </c>
    </row>
    <row r="482" spans="1:25" x14ac:dyDescent="0.25">
      <c r="A482">
        <v>238</v>
      </c>
      <c r="B482">
        <v>3033</v>
      </c>
      <c r="C482" t="s">
        <v>1163</v>
      </c>
      <c r="D482" t="s">
        <v>47</v>
      </c>
      <c r="E482" t="s">
        <v>301</v>
      </c>
      <c r="F482" t="s">
        <v>1164</v>
      </c>
      <c r="G482" t="str">
        <f>"00014384"</f>
        <v>00014384</v>
      </c>
      <c r="H482" t="s">
        <v>541</v>
      </c>
      <c r="I482">
        <v>0</v>
      </c>
      <c r="J482">
        <v>400</v>
      </c>
      <c r="K482">
        <v>0</v>
      </c>
      <c r="L482">
        <v>200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X482">
        <v>0</v>
      </c>
      <c r="Y482" t="s">
        <v>1165</v>
      </c>
    </row>
    <row r="483" spans="1:25" x14ac:dyDescent="0.25">
      <c r="H483" t="s">
        <v>1166</v>
      </c>
    </row>
    <row r="484" spans="1:25" x14ac:dyDescent="0.25">
      <c r="A484">
        <v>239</v>
      </c>
      <c r="B484">
        <v>2237</v>
      </c>
      <c r="C484" t="s">
        <v>1167</v>
      </c>
      <c r="D484" t="s">
        <v>48</v>
      </c>
      <c r="E484" t="s">
        <v>41</v>
      </c>
      <c r="F484" t="s">
        <v>1168</v>
      </c>
      <c r="G484" t="str">
        <f>"00006266"</f>
        <v>00006266</v>
      </c>
      <c r="H484" t="s">
        <v>1169</v>
      </c>
      <c r="I484">
        <v>0</v>
      </c>
      <c r="J484">
        <v>400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X484">
        <v>0</v>
      </c>
      <c r="Y484" t="s">
        <v>1170</v>
      </c>
    </row>
    <row r="485" spans="1:25" x14ac:dyDescent="0.25">
      <c r="H485" t="s">
        <v>1171</v>
      </c>
    </row>
    <row r="486" spans="1:25" x14ac:dyDescent="0.25">
      <c r="A486">
        <v>240</v>
      </c>
      <c r="B486">
        <v>1357</v>
      </c>
      <c r="C486" t="s">
        <v>1172</v>
      </c>
      <c r="D486" t="s">
        <v>842</v>
      </c>
      <c r="E486" t="s">
        <v>182</v>
      </c>
      <c r="F486" t="s">
        <v>1173</v>
      </c>
      <c r="G486" t="str">
        <f>"201412006450"</f>
        <v>201412006450</v>
      </c>
      <c r="H486" t="s">
        <v>1169</v>
      </c>
      <c r="I486">
        <v>0</v>
      </c>
      <c r="J486">
        <v>400</v>
      </c>
      <c r="K486">
        <v>0</v>
      </c>
      <c r="L486">
        <v>200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X486">
        <v>0</v>
      </c>
      <c r="Y486" t="s">
        <v>1170</v>
      </c>
    </row>
    <row r="487" spans="1:25" x14ac:dyDescent="0.25">
      <c r="H487" t="s">
        <v>1174</v>
      </c>
    </row>
    <row r="488" spans="1:25" x14ac:dyDescent="0.25">
      <c r="A488">
        <v>241</v>
      </c>
      <c r="B488">
        <v>2615</v>
      </c>
      <c r="C488" t="s">
        <v>1175</v>
      </c>
      <c r="D488" t="s">
        <v>181</v>
      </c>
      <c r="E488" t="s">
        <v>48</v>
      </c>
      <c r="F488" t="s">
        <v>1176</v>
      </c>
      <c r="G488" t="str">
        <f>"201412005223"</f>
        <v>201412005223</v>
      </c>
      <c r="H488" t="s">
        <v>620</v>
      </c>
      <c r="I488">
        <v>0</v>
      </c>
      <c r="J488">
        <v>400</v>
      </c>
      <c r="K488">
        <v>0</v>
      </c>
      <c r="L488">
        <v>200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X488">
        <v>0</v>
      </c>
      <c r="Y488" t="s">
        <v>1177</v>
      </c>
    </row>
    <row r="489" spans="1:25" x14ac:dyDescent="0.25">
      <c r="H489" t="s">
        <v>1178</v>
      </c>
    </row>
    <row r="490" spans="1:25" x14ac:dyDescent="0.25">
      <c r="A490">
        <v>242</v>
      </c>
      <c r="B490">
        <v>2184</v>
      </c>
      <c r="C490" t="s">
        <v>1179</v>
      </c>
      <c r="D490" t="s">
        <v>242</v>
      </c>
      <c r="E490" t="s">
        <v>301</v>
      </c>
      <c r="F490" t="s">
        <v>1180</v>
      </c>
      <c r="G490" t="str">
        <f>"201511014649"</f>
        <v>201511014649</v>
      </c>
      <c r="H490" t="s">
        <v>1181</v>
      </c>
      <c r="I490">
        <v>0</v>
      </c>
      <c r="J490">
        <v>400</v>
      </c>
      <c r="K490">
        <v>0</v>
      </c>
      <c r="L490">
        <v>200</v>
      </c>
      <c r="M490">
        <v>0</v>
      </c>
      <c r="N490">
        <v>70</v>
      </c>
      <c r="O490">
        <v>30</v>
      </c>
      <c r="P490">
        <v>0</v>
      </c>
      <c r="Q490">
        <v>30</v>
      </c>
      <c r="R490">
        <v>0</v>
      </c>
      <c r="S490">
        <v>0</v>
      </c>
      <c r="T490">
        <v>0</v>
      </c>
      <c r="U490">
        <v>0</v>
      </c>
      <c r="X490">
        <v>0</v>
      </c>
      <c r="Y490" t="s">
        <v>1182</v>
      </c>
    </row>
    <row r="491" spans="1:25" x14ac:dyDescent="0.25">
      <c r="H491" t="s">
        <v>1183</v>
      </c>
    </row>
    <row r="492" spans="1:25" x14ac:dyDescent="0.25">
      <c r="A492">
        <v>243</v>
      </c>
      <c r="B492">
        <v>1560</v>
      </c>
      <c r="C492" t="s">
        <v>346</v>
      </c>
      <c r="D492" t="s">
        <v>1184</v>
      </c>
      <c r="E492" t="s">
        <v>22</v>
      </c>
      <c r="F492" t="s">
        <v>1185</v>
      </c>
      <c r="G492" t="str">
        <f>"201504004139"</f>
        <v>201504004139</v>
      </c>
      <c r="H492" t="s">
        <v>1186</v>
      </c>
      <c r="I492">
        <v>0</v>
      </c>
      <c r="J492">
        <v>400</v>
      </c>
      <c r="K492">
        <v>0</v>
      </c>
      <c r="L492">
        <v>0</v>
      </c>
      <c r="M492">
        <v>0</v>
      </c>
      <c r="N492">
        <v>50</v>
      </c>
      <c r="O492">
        <v>0</v>
      </c>
      <c r="P492">
        <v>0</v>
      </c>
      <c r="Q492">
        <v>0</v>
      </c>
      <c r="R492">
        <v>50</v>
      </c>
      <c r="S492">
        <v>0</v>
      </c>
      <c r="T492">
        <v>0</v>
      </c>
      <c r="U492">
        <v>0</v>
      </c>
      <c r="X492">
        <v>1</v>
      </c>
      <c r="Y492" t="s">
        <v>1187</v>
      </c>
    </row>
    <row r="493" spans="1:25" x14ac:dyDescent="0.25">
      <c r="H493" t="s">
        <v>351</v>
      </c>
    </row>
    <row r="494" spans="1:25" x14ac:dyDescent="0.25">
      <c r="A494">
        <v>244</v>
      </c>
      <c r="B494">
        <v>2463</v>
      </c>
      <c r="C494" t="s">
        <v>1188</v>
      </c>
      <c r="D494" t="s">
        <v>1189</v>
      </c>
      <c r="E494" t="s">
        <v>1190</v>
      </c>
      <c r="F494" t="s">
        <v>1191</v>
      </c>
      <c r="G494" t="str">
        <f>"201510004987"</f>
        <v>201510004987</v>
      </c>
      <c r="H494" t="s">
        <v>768</v>
      </c>
      <c r="I494">
        <v>0</v>
      </c>
      <c r="J494">
        <v>400</v>
      </c>
      <c r="K494">
        <v>0</v>
      </c>
      <c r="L494">
        <v>200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X494">
        <v>0</v>
      </c>
      <c r="Y494" t="s">
        <v>1192</v>
      </c>
    </row>
    <row r="495" spans="1:25" x14ac:dyDescent="0.25">
      <c r="H495" t="s">
        <v>1193</v>
      </c>
    </row>
    <row r="496" spans="1:25" x14ac:dyDescent="0.25">
      <c r="A496">
        <v>245</v>
      </c>
      <c r="B496">
        <v>511</v>
      </c>
      <c r="C496" t="s">
        <v>1194</v>
      </c>
      <c r="D496" t="s">
        <v>48</v>
      </c>
      <c r="E496" t="s">
        <v>66</v>
      </c>
      <c r="F496" t="s">
        <v>1195</v>
      </c>
      <c r="G496" t="str">
        <f>"00013850"</f>
        <v>00013850</v>
      </c>
      <c r="H496" t="s">
        <v>1196</v>
      </c>
      <c r="I496">
        <v>0</v>
      </c>
      <c r="J496">
        <v>400</v>
      </c>
      <c r="K496">
        <v>0</v>
      </c>
      <c r="L496">
        <v>200</v>
      </c>
      <c r="M496">
        <v>0</v>
      </c>
      <c r="N496">
        <v>70</v>
      </c>
      <c r="O496">
        <v>30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X496">
        <v>0</v>
      </c>
      <c r="Y496" t="s">
        <v>1197</v>
      </c>
    </row>
    <row r="497" spans="1:25" x14ac:dyDescent="0.25">
      <c r="H497" t="s">
        <v>1198</v>
      </c>
    </row>
    <row r="498" spans="1:25" x14ac:dyDescent="0.25">
      <c r="A498">
        <v>246</v>
      </c>
      <c r="B498">
        <v>329</v>
      </c>
      <c r="C498" t="s">
        <v>1199</v>
      </c>
      <c r="D498" t="s">
        <v>571</v>
      </c>
      <c r="E498" t="s">
        <v>41</v>
      </c>
      <c r="F498" t="s">
        <v>1200</v>
      </c>
      <c r="G498" t="str">
        <f>"00013918"</f>
        <v>00013918</v>
      </c>
      <c r="H498">
        <v>759</v>
      </c>
      <c r="I498">
        <v>0</v>
      </c>
      <c r="J498">
        <v>400</v>
      </c>
      <c r="K498">
        <v>0</v>
      </c>
      <c r="L498">
        <v>200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X498">
        <v>0</v>
      </c>
      <c r="Y498">
        <v>1389</v>
      </c>
    </row>
    <row r="499" spans="1:25" x14ac:dyDescent="0.25">
      <c r="H499" t="s">
        <v>1201</v>
      </c>
    </row>
    <row r="500" spans="1:25" x14ac:dyDescent="0.25">
      <c r="A500">
        <v>247</v>
      </c>
      <c r="B500">
        <v>59</v>
      </c>
      <c r="C500" t="s">
        <v>1202</v>
      </c>
      <c r="D500" t="s">
        <v>48</v>
      </c>
      <c r="E500" t="s">
        <v>124</v>
      </c>
      <c r="F500" t="s">
        <v>1203</v>
      </c>
      <c r="G500" t="str">
        <f>"201409000199"</f>
        <v>201409000199</v>
      </c>
      <c r="H500">
        <v>759</v>
      </c>
      <c r="I500">
        <v>0</v>
      </c>
      <c r="J500">
        <v>400</v>
      </c>
      <c r="K500">
        <v>0</v>
      </c>
      <c r="L500">
        <v>200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X500">
        <v>0</v>
      </c>
      <c r="Y500">
        <v>1389</v>
      </c>
    </row>
    <row r="501" spans="1:25" x14ac:dyDescent="0.25">
      <c r="H501" t="s">
        <v>1204</v>
      </c>
    </row>
    <row r="502" spans="1:25" x14ac:dyDescent="0.25">
      <c r="A502">
        <v>248</v>
      </c>
      <c r="B502">
        <v>374</v>
      </c>
      <c r="C502" t="s">
        <v>1205</v>
      </c>
      <c r="D502" t="s">
        <v>1206</v>
      </c>
      <c r="E502" t="s">
        <v>1207</v>
      </c>
      <c r="F502" t="s">
        <v>1208</v>
      </c>
      <c r="G502" t="str">
        <f>"00014864"</f>
        <v>00014864</v>
      </c>
      <c r="H502" t="s">
        <v>1209</v>
      </c>
      <c r="I502">
        <v>0</v>
      </c>
      <c r="J502">
        <v>400</v>
      </c>
      <c r="K502">
        <v>0</v>
      </c>
      <c r="L502">
        <v>200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X502">
        <v>1</v>
      </c>
      <c r="Y502" t="s">
        <v>1210</v>
      </c>
    </row>
    <row r="503" spans="1:25" x14ac:dyDescent="0.25">
      <c r="H503" t="s">
        <v>1211</v>
      </c>
    </row>
    <row r="504" spans="1:25" x14ac:dyDescent="0.25">
      <c r="A504">
        <v>249</v>
      </c>
      <c r="B504">
        <v>1342</v>
      </c>
      <c r="C504" t="s">
        <v>123</v>
      </c>
      <c r="D504" t="s">
        <v>1212</v>
      </c>
      <c r="E504" t="s">
        <v>21</v>
      </c>
      <c r="F504" t="s">
        <v>1213</v>
      </c>
      <c r="G504" t="str">
        <f>"00014318"</f>
        <v>00014318</v>
      </c>
      <c r="H504" t="s">
        <v>1214</v>
      </c>
      <c r="I504">
        <v>0</v>
      </c>
      <c r="J504">
        <v>400</v>
      </c>
      <c r="K504">
        <v>0</v>
      </c>
      <c r="L504">
        <v>200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X504">
        <v>0</v>
      </c>
      <c r="Y504" t="s">
        <v>1215</v>
      </c>
    </row>
    <row r="505" spans="1:25" x14ac:dyDescent="0.25">
      <c r="H505" t="s">
        <v>1216</v>
      </c>
    </row>
    <row r="506" spans="1:25" x14ac:dyDescent="0.25">
      <c r="A506">
        <v>250</v>
      </c>
      <c r="B506">
        <v>818</v>
      </c>
      <c r="C506" t="s">
        <v>1217</v>
      </c>
      <c r="D506" t="s">
        <v>1218</v>
      </c>
      <c r="E506" t="s">
        <v>417</v>
      </c>
      <c r="F506" t="s">
        <v>1219</v>
      </c>
      <c r="G506" t="str">
        <f>"00014408"</f>
        <v>00014408</v>
      </c>
      <c r="H506" t="s">
        <v>1220</v>
      </c>
      <c r="I506">
        <v>0</v>
      </c>
      <c r="J506">
        <v>400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50</v>
      </c>
      <c r="Q506">
        <v>0</v>
      </c>
      <c r="R506">
        <v>0</v>
      </c>
      <c r="S506">
        <v>0</v>
      </c>
      <c r="T506">
        <v>0</v>
      </c>
      <c r="U506">
        <v>0</v>
      </c>
      <c r="X506">
        <v>0</v>
      </c>
      <c r="Y506" t="s">
        <v>1221</v>
      </c>
    </row>
    <row r="507" spans="1:25" x14ac:dyDescent="0.25">
      <c r="H507" t="s">
        <v>1222</v>
      </c>
    </row>
    <row r="508" spans="1:25" x14ac:dyDescent="0.25">
      <c r="A508">
        <v>251</v>
      </c>
      <c r="B508">
        <v>1680</v>
      </c>
      <c r="C508" t="s">
        <v>1223</v>
      </c>
      <c r="D508" t="s">
        <v>267</v>
      </c>
      <c r="E508" t="s">
        <v>22</v>
      </c>
      <c r="F508" t="s">
        <v>1224</v>
      </c>
      <c r="G508" t="str">
        <f>"201410003986"</f>
        <v>201410003986</v>
      </c>
      <c r="H508" t="s">
        <v>1225</v>
      </c>
      <c r="I508">
        <v>0</v>
      </c>
      <c r="J508">
        <v>400</v>
      </c>
      <c r="K508">
        <v>0</v>
      </c>
      <c r="L508">
        <v>200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X508">
        <v>0</v>
      </c>
      <c r="Y508" t="s">
        <v>1226</v>
      </c>
    </row>
    <row r="509" spans="1:25" x14ac:dyDescent="0.25">
      <c r="H509" t="s">
        <v>1227</v>
      </c>
    </row>
    <row r="510" spans="1:25" x14ac:dyDescent="0.25">
      <c r="A510">
        <v>252</v>
      </c>
      <c r="B510">
        <v>2556</v>
      </c>
      <c r="C510" t="s">
        <v>1228</v>
      </c>
      <c r="D510" t="s">
        <v>48</v>
      </c>
      <c r="E510" t="s">
        <v>124</v>
      </c>
      <c r="F510" t="s">
        <v>1229</v>
      </c>
      <c r="G510" t="str">
        <f>"201402001989"</f>
        <v>201402001989</v>
      </c>
      <c r="H510" t="s">
        <v>1230</v>
      </c>
      <c r="I510">
        <v>0</v>
      </c>
      <c r="J510">
        <v>400</v>
      </c>
      <c r="K510">
        <v>0</v>
      </c>
      <c r="L510">
        <v>200</v>
      </c>
      <c r="M510">
        <v>0</v>
      </c>
      <c r="N510">
        <v>50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X510">
        <v>1</v>
      </c>
      <c r="Y510" t="s">
        <v>1231</v>
      </c>
    </row>
    <row r="511" spans="1:25" x14ac:dyDescent="0.25">
      <c r="H511" t="s">
        <v>1232</v>
      </c>
    </row>
    <row r="512" spans="1:25" x14ac:dyDescent="0.25">
      <c r="A512">
        <v>253</v>
      </c>
      <c r="B512">
        <v>2444</v>
      </c>
      <c r="C512" t="s">
        <v>1233</v>
      </c>
      <c r="D512" t="s">
        <v>141</v>
      </c>
      <c r="E512" t="s">
        <v>1234</v>
      </c>
      <c r="F512" t="s">
        <v>1235</v>
      </c>
      <c r="G512" t="str">
        <f>"201511019368"</f>
        <v>201511019368</v>
      </c>
      <c r="H512" t="s">
        <v>1230</v>
      </c>
      <c r="I512">
        <v>0</v>
      </c>
      <c r="J512">
        <v>400</v>
      </c>
      <c r="K512">
        <v>0</v>
      </c>
      <c r="L512">
        <v>200</v>
      </c>
      <c r="M512">
        <v>0</v>
      </c>
      <c r="N512">
        <v>50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X512">
        <v>0</v>
      </c>
      <c r="Y512" t="s">
        <v>1231</v>
      </c>
    </row>
    <row r="513" spans="1:25" x14ac:dyDescent="0.25">
      <c r="H513" t="s">
        <v>1236</v>
      </c>
    </row>
    <row r="514" spans="1:25" x14ac:dyDescent="0.25">
      <c r="A514">
        <v>254</v>
      </c>
      <c r="B514">
        <v>3353</v>
      </c>
      <c r="C514" t="s">
        <v>1237</v>
      </c>
      <c r="D514" t="s">
        <v>124</v>
      </c>
      <c r="E514" t="s">
        <v>267</v>
      </c>
      <c r="F514" t="s">
        <v>1238</v>
      </c>
      <c r="G514" t="str">
        <f>"00013993"</f>
        <v>00013993</v>
      </c>
      <c r="H514" t="s">
        <v>1022</v>
      </c>
      <c r="I514">
        <v>0</v>
      </c>
      <c r="J514">
        <v>400</v>
      </c>
      <c r="K514">
        <v>0</v>
      </c>
      <c r="L514">
        <v>200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X514">
        <v>0</v>
      </c>
      <c r="Y514" t="s">
        <v>1239</v>
      </c>
    </row>
    <row r="515" spans="1:25" x14ac:dyDescent="0.25">
      <c r="H515" t="s">
        <v>1240</v>
      </c>
    </row>
    <row r="516" spans="1:25" x14ac:dyDescent="0.25">
      <c r="A516">
        <v>255</v>
      </c>
      <c r="B516">
        <v>2212</v>
      </c>
      <c r="C516" t="s">
        <v>1241</v>
      </c>
      <c r="D516" t="s">
        <v>450</v>
      </c>
      <c r="E516" t="s">
        <v>1242</v>
      </c>
      <c r="F516" t="s">
        <v>1243</v>
      </c>
      <c r="G516" t="str">
        <f>"00014258"</f>
        <v>00014258</v>
      </c>
      <c r="H516" t="s">
        <v>1244</v>
      </c>
      <c r="I516">
        <v>0</v>
      </c>
      <c r="J516">
        <v>400</v>
      </c>
      <c r="K516">
        <v>0</v>
      </c>
      <c r="L516">
        <v>200</v>
      </c>
      <c r="M516">
        <v>0</v>
      </c>
      <c r="N516">
        <v>70</v>
      </c>
      <c r="O516">
        <v>0</v>
      </c>
      <c r="P516">
        <v>0</v>
      </c>
      <c r="Q516">
        <v>30</v>
      </c>
      <c r="R516">
        <v>0</v>
      </c>
      <c r="S516">
        <v>0</v>
      </c>
      <c r="T516">
        <v>0</v>
      </c>
      <c r="U516">
        <v>0</v>
      </c>
      <c r="X516">
        <v>0</v>
      </c>
      <c r="Y516" t="s">
        <v>1245</v>
      </c>
    </row>
    <row r="517" spans="1:25" x14ac:dyDescent="0.25">
      <c r="H517" t="s">
        <v>110</v>
      </c>
    </row>
    <row r="518" spans="1:25" x14ac:dyDescent="0.25">
      <c r="A518">
        <v>256</v>
      </c>
      <c r="B518">
        <v>442</v>
      </c>
      <c r="C518" t="s">
        <v>1246</v>
      </c>
      <c r="D518" t="s">
        <v>199</v>
      </c>
      <c r="E518" t="s">
        <v>21</v>
      </c>
      <c r="F518" t="s">
        <v>1247</v>
      </c>
      <c r="G518" t="str">
        <f>"00013231"</f>
        <v>00013231</v>
      </c>
      <c r="H518" t="s">
        <v>625</v>
      </c>
      <c r="I518">
        <v>0</v>
      </c>
      <c r="J518">
        <v>400</v>
      </c>
      <c r="K518">
        <v>0</v>
      </c>
      <c r="L518">
        <v>200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X518">
        <v>0</v>
      </c>
      <c r="Y518" t="s">
        <v>1248</v>
      </c>
    </row>
    <row r="519" spans="1:25" x14ac:dyDescent="0.25">
      <c r="H519" t="s">
        <v>1249</v>
      </c>
    </row>
    <row r="520" spans="1:25" x14ac:dyDescent="0.25">
      <c r="A520">
        <v>257</v>
      </c>
      <c r="B520">
        <v>2808</v>
      </c>
      <c r="C520" t="s">
        <v>1250</v>
      </c>
      <c r="D520" t="s">
        <v>83</v>
      </c>
      <c r="E520" t="s">
        <v>1251</v>
      </c>
      <c r="F520" t="s">
        <v>1252</v>
      </c>
      <c r="G520" t="str">
        <f>"00012755"</f>
        <v>00012755</v>
      </c>
      <c r="H520" t="s">
        <v>1127</v>
      </c>
      <c r="I520">
        <v>0</v>
      </c>
      <c r="J520">
        <v>400</v>
      </c>
      <c r="K520">
        <v>0</v>
      </c>
      <c r="L520">
        <v>200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X520">
        <v>2</v>
      </c>
      <c r="Y520" t="s">
        <v>1253</v>
      </c>
    </row>
    <row r="521" spans="1:25" x14ac:dyDescent="0.25">
      <c r="H521" t="s">
        <v>1254</v>
      </c>
    </row>
    <row r="522" spans="1:25" x14ac:dyDescent="0.25">
      <c r="A522">
        <v>258</v>
      </c>
      <c r="B522">
        <v>1112</v>
      </c>
      <c r="C522" t="s">
        <v>1255</v>
      </c>
      <c r="D522" t="s">
        <v>1256</v>
      </c>
      <c r="E522" t="s">
        <v>66</v>
      </c>
      <c r="F522" t="s">
        <v>1257</v>
      </c>
      <c r="G522" t="str">
        <f>"00014412"</f>
        <v>00014412</v>
      </c>
      <c r="H522" t="s">
        <v>500</v>
      </c>
      <c r="I522">
        <v>0</v>
      </c>
      <c r="J522">
        <v>400</v>
      </c>
      <c r="K522">
        <v>0</v>
      </c>
      <c r="L522">
        <v>200</v>
      </c>
      <c r="M522">
        <v>0</v>
      </c>
      <c r="N522">
        <v>50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X522">
        <v>0</v>
      </c>
      <c r="Y522" t="s">
        <v>1258</v>
      </c>
    </row>
    <row r="523" spans="1:25" x14ac:dyDescent="0.25">
      <c r="H523" t="s">
        <v>52</v>
      </c>
    </row>
    <row r="524" spans="1:25" x14ac:dyDescent="0.25">
      <c r="A524">
        <v>259</v>
      </c>
      <c r="B524">
        <v>3147</v>
      </c>
      <c r="C524" t="s">
        <v>1259</v>
      </c>
      <c r="D524" t="s">
        <v>278</v>
      </c>
      <c r="E524" t="s">
        <v>22</v>
      </c>
      <c r="F524" t="s">
        <v>1260</v>
      </c>
      <c r="G524" t="str">
        <f>"201004000108"</f>
        <v>201004000108</v>
      </c>
      <c r="H524">
        <v>693</v>
      </c>
      <c r="I524">
        <v>0</v>
      </c>
      <c r="J524">
        <v>400</v>
      </c>
      <c r="K524">
        <v>0</v>
      </c>
      <c r="L524">
        <v>200</v>
      </c>
      <c r="M524">
        <v>0</v>
      </c>
      <c r="N524">
        <v>50</v>
      </c>
      <c r="O524">
        <v>0</v>
      </c>
      <c r="P524">
        <v>30</v>
      </c>
      <c r="Q524">
        <v>0</v>
      </c>
      <c r="R524">
        <v>0</v>
      </c>
      <c r="S524">
        <v>0</v>
      </c>
      <c r="T524">
        <v>0</v>
      </c>
      <c r="U524">
        <v>0</v>
      </c>
      <c r="X524">
        <v>0</v>
      </c>
      <c r="Y524">
        <v>1373</v>
      </c>
    </row>
    <row r="525" spans="1:25" x14ac:dyDescent="0.25">
      <c r="H525" t="s">
        <v>1261</v>
      </c>
    </row>
    <row r="526" spans="1:25" x14ac:dyDescent="0.25">
      <c r="A526">
        <v>260</v>
      </c>
      <c r="B526">
        <v>831</v>
      </c>
      <c r="C526" t="s">
        <v>1262</v>
      </c>
      <c r="D526" t="s">
        <v>417</v>
      </c>
      <c r="E526" t="s">
        <v>182</v>
      </c>
      <c r="F526" t="s">
        <v>1263</v>
      </c>
      <c r="G526" t="str">
        <f>"200802002891"</f>
        <v>200802002891</v>
      </c>
      <c r="H526" t="s">
        <v>1264</v>
      </c>
      <c r="I526">
        <v>0</v>
      </c>
      <c r="J526">
        <v>400</v>
      </c>
      <c r="K526">
        <v>0</v>
      </c>
      <c r="L526">
        <v>200</v>
      </c>
      <c r="M526">
        <v>30</v>
      </c>
      <c r="N526">
        <v>50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X526">
        <v>0</v>
      </c>
      <c r="Y526" t="s">
        <v>1265</v>
      </c>
    </row>
    <row r="527" spans="1:25" x14ac:dyDescent="0.25">
      <c r="H527" t="s">
        <v>1266</v>
      </c>
    </row>
    <row r="528" spans="1:25" x14ac:dyDescent="0.25">
      <c r="A528">
        <v>261</v>
      </c>
      <c r="B528">
        <v>2043</v>
      </c>
      <c r="C528" t="s">
        <v>1267</v>
      </c>
      <c r="D528" t="s">
        <v>175</v>
      </c>
      <c r="E528" t="s">
        <v>417</v>
      </c>
      <c r="F528" t="s">
        <v>1268</v>
      </c>
      <c r="G528" t="str">
        <f>"00014639"</f>
        <v>00014639</v>
      </c>
      <c r="H528" t="s">
        <v>795</v>
      </c>
      <c r="I528">
        <v>0</v>
      </c>
      <c r="J528">
        <v>400</v>
      </c>
      <c r="K528">
        <v>0</v>
      </c>
      <c r="L528">
        <v>200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X528">
        <v>0</v>
      </c>
      <c r="Y528" t="s">
        <v>1269</v>
      </c>
    </row>
    <row r="529" spans="1:25" x14ac:dyDescent="0.25">
      <c r="H529" t="s">
        <v>1270</v>
      </c>
    </row>
    <row r="530" spans="1:25" x14ac:dyDescent="0.25">
      <c r="A530">
        <v>262</v>
      </c>
      <c r="B530">
        <v>1698</v>
      </c>
      <c r="C530" t="s">
        <v>1271</v>
      </c>
      <c r="D530" t="s">
        <v>22</v>
      </c>
      <c r="E530" t="s">
        <v>48</v>
      </c>
      <c r="F530" t="s">
        <v>1272</v>
      </c>
      <c r="G530" t="str">
        <f>"00013288"</f>
        <v>00013288</v>
      </c>
      <c r="H530" t="s">
        <v>1273</v>
      </c>
      <c r="I530">
        <v>0</v>
      </c>
      <c r="J530">
        <v>400</v>
      </c>
      <c r="K530">
        <v>0</v>
      </c>
      <c r="L530">
        <v>200</v>
      </c>
      <c r="M530">
        <v>0</v>
      </c>
      <c r="N530">
        <v>30</v>
      </c>
      <c r="O530">
        <v>0</v>
      </c>
      <c r="P530">
        <v>30</v>
      </c>
      <c r="Q530">
        <v>0</v>
      </c>
      <c r="R530">
        <v>0</v>
      </c>
      <c r="S530">
        <v>0</v>
      </c>
      <c r="T530">
        <v>0</v>
      </c>
      <c r="U530">
        <v>0</v>
      </c>
      <c r="X530">
        <v>0</v>
      </c>
      <c r="Y530" t="s">
        <v>1274</v>
      </c>
    </row>
    <row r="531" spans="1:25" x14ac:dyDescent="0.25">
      <c r="H531" t="s">
        <v>1275</v>
      </c>
    </row>
    <row r="532" spans="1:25" x14ac:dyDescent="0.25">
      <c r="A532">
        <v>263</v>
      </c>
      <c r="B532">
        <v>9</v>
      </c>
      <c r="C532" t="s">
        <v>1276</v>
      </c>
      <c r="D532" t="s">
        <v>1277</v>
      </c>
      <c r="E532" t="s">
        <v>41</v>
      </c>
      <c r="F532" t="s">
        <v>1278</v>
      </c>
      <c r="G532" t="str">
        <f>"201504001021"</f>
        <v>201504001021</v>
      </c>
      <c r="H532" t="s">
        <v>432</v>
      </c>
      <c r="I532">
        <v>0</v>
      </c>
      <c r="J532">
        <v>400</v>
      </c>
      <c r="K532">
        <v>0</v>
      </c>
      <c r="L532">
        <v>0</v>
      </c>
      <c r="M532">
        <v>0</v>
      </c>
      <c r="N532">
        <v>70</v>
      </c>
      <c r="O532">
        <v>30</v>
      </c>
      <c r="P532">
        <v>50</v>
      </c>
      <c r="Q532">
        <v>0</v>
      </c>
      <c r="R532">
        <v>0</v>
      </c>
      <c r="S532">
        <v>0</v>
      </c>
      <c r="T532">
        <v>0</v>
      </c>
      <c r="U532">
        <v>0</v>
      </c>
      <c r="X532">
        <v>0</v>
      </c>
      <c r="Y532" t="s">
        <v>1279</v>
      </c>
    </row>
    <row r="533" spans="1:25" x14ac:dyDescent="0.25">
      <c r="H533" t="s">
        <v>1280</v>
      </c>
    </row>
    <row r="534" spans="1:25" x14ac:dyDescent="0.25">
      <c r="A534">
        <v>264</v>
      </c>
      <c r="B534">
        <v>1589</v>
      </c>
      <c r="C534" t="s">
        <v>1281</v>
      </c>
      <c r="D534" t="s">
        <v>130</v>
      </c>
      <c r="E534" t="s">
        <v>48</v>
      </c>
      <c r="F534" t="s">
        <v>1282</v>
      </c>
      <c r="G534" t="str">
        <f>"00014200"</f>
        <v>00014200</v>
      </c>
      <c r="H534" t="s">
        <v>625</v>
      </c>
      <c r="I534">
        <v>0</v>
      </c>
      <c r="J534">
        <v>400</v>
      </c>
      <c r="K534">
        <v>0</v>
      </c>
      <c r="L534">
        <v>200</v>
      </c>
      <c r="M534">
        <v>0</v>
      </c>
      <c r="N534">
        <v>30</v>
      </c>
      <c r="O534">
        <v>0</v>
      </c>
      <c r="P534">
        <v>0</v>
      </c>
      <c r="Q534">
        <v>30</v>
      </c>
      <c r="R534">
        <v>0</v>
      </c>
      <c r="S534">
        <v>0</v>
      </c>
      <c r="T534">
        <v>0</v>
      </c>
      <c r="U534">
        <v>0</v>
      </c>
      <c r="X534">
        <v>0</v>
      </c>
      <c r="Y534" t="s">
        <v>1279</v>
      </c>
    </row>
    <row r="535" spans="1:25" x14ac:dyDescent="0.25">
      <c r="H535" t="s">
        <v>1283</v>
      </c>
    </row>
    <row r="536" spans="1:25" x14ac:dyDescent="0.25">
      <c r="A536">
        <v>265</v>
      </c>
      <c r="B536">
        <v>277</v>
      </c>
      <c r="C536" t="s">
        <v>1284</v>
      </c>
      <c r="D536" t="s">
        <v>417</v>
      </c>
      <c r="E536" t="s">
        <v>48</v>
      </c>
      <c r="F536" t="s">
        <v>1285</v>
      </c>
      <c r="G536" t="str">
        <f>"00013613"</f>
        <v>00013613</v>
      </c>
      <c r="H536" t="s">
        <v>625</v>
      </c>
      <c r="I536">
        <v>0</v>
      </c>
      <c r="J536">
        <v>400</v>
      </c>
      <c r="K536">
        <v>0</v>
      </c>
      <c r="L536">
        <v>200</v>
      </c>
      <c r="M536">
        <v>0</v>
      </c>
      <c r="N536">
        <v>30</v>
      </c>
      <c r="O536">
        <v>30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X536">
        <v>0</v>
      </c>
      <c r="Y536" t="s">
        <v>1279</v>
      </c>
    </row>
    <row r="537" spans="1:25" x14ac:dyDescent="0.25">
      <c r="H537" t="s">
        <v>1286</v>
      </c>
    </row>
    <row r="538" spans="1:25" x14ac:dyDescent="0.25">
      <c r="A538">
        <v>266</v>
      </c>
      <c r="B538">
        <v>1002</v>
      </c>
      <c r="C538" t="s">
        <v>1287</v>
      </c>
      <c r="D538" t="s">
        <v>1288</v>
      </c>
      <c r="E538" t="s">
        <v>254</v>
      </c>
      <c r="F538" t="s">
        <v>1289</v>
      </c>
      <c r="G538" t="str">
        <f>"00014838"</f>
        <v>00014838</v>
      </c>
      <c r="H538" t="s">
        <v>1290</v>
      </c>
      <c r="I538">
        <v>0</v>
      </c>
      <c r="J538">
        <v>400</v>
      </c>
      <c r="K538">
        <v>0</v>
      </c>
      <c r="L538">
        <v>200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X538">
        <v>0</v>
      </c>
      <c r="Y538" t="s">
        <v>1291</v>
      </c>
    </row>
    <row r="539" spans="1:25" x14ac:dyDescent="0.25">
      <c r="H539" t="s">
        <v>1292</v>
      </c>
    </row>
    <row r="540" spans="1:25" x14ac:dyDescent="0.25">
      <c r="A540">
        <v>267</v>
      </c>
      <c r="B540">
        <v>2880</v>
      </c>
      <c r="C540" t="s">
        <v>1293</v>
      </c>
      <c r="D540" t="s">
        <v>1294</v>
      </c>
      <c r="E540" t="s">
        <v>417</v>
      </c>
      <c r="F540" t="s">
        <v>1295</v>
      </c>
      <c r="G540" t="str">
        <f>"00014571"</f>
        <v>00014571</v>
      </c>
      <c r="H540" t="s">
        <v>1296</v>
      </c>
      <c r="I540">
        <v>0</v>
      </c>
      <c r="J540">
        <v>400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70</v>
      </c>
      <c r="R540">
        <v>0</v>
      </c>
      <c r="S540">
        <v>0</v>
      </c>
      <c r="T540">
        <v>0</v>
      </c>
      <c r="U540">
        <v>0</v>
      </c>
      <c r="X540">
        <v>0</v>
      </c>
      <c r="Y540" t="s">
        <v>1297</v>
      </c>
    </row>
    <row r="541" spans="1:25" x14ac:dyDescent="0.25">
      <c r="H541" t="s">
        <v>1298</v>
      </c>
    </row>
    <row r="542" spans="1:25" x14ac:dyDescent="0.25">
      <c r="A542">
        <v>268</v>
      </c>
      <c r="B542">
        <v>1177</v>
      </c>
      <c r="C542" t="s">
        <v>1299</v>
      </c>
      <c r="D542" t="s">
        <v>576</v>
      </c>
      <c r="E542" t="s">
        <v>124</v>
      </c>
      <c r="F542" t="s">
        <v>1300</v>
      </c>
      <c r="G542" t="str">
        <f>"200801010447"</f>
        <v>200801010447</v>
      </c>
      <c r="H542" t="s">
        <v>1301</v>
      </c>
      <c r="I542">
        <v>0</v>
      </c>
      <c r="J542">
        <v>400</v>
      </c>
      <c r="K542">
        <v>0</v>
      </c>
      <c r="L542">
        <v>200</v>
      </c>
      <c r="M542">
        <v>0</v>
      </c>
      <c r="N542">
        <v>50</v>
      </c>
      <c r="O542">
        <v>30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X542">
        <v>0</v>
      </c>
      <c r="Y542" t="s">
        <v>1302</v>
      </c>
    </row>
    <row r="543" spans="1:25" x14ac:dyDescent="0.25">
      <c r="H543" t="s">
        <v>1303</v>
      </c>
    </row>
    <row r="544" spans="1:25" x14ac:dyDescent="0.25">
      <c r="A544">
        <v>269</v>
      </c>
      <c r="B544">
        <v>2123</v>
      </c>
      <c r="C544" t="s">
        <v>1014</v>
      </c>
      <c r="D544" t="s">
        <v>842</v>
      </c>
      <c r="E544" t="s">
        <v>22</v>
      </c>
      <c r="F544" t="s">
        <v>1304</v>
      </c>
      <c r="G544" t="str">
        <f>"00011975"</f>
        <v>00011975</v>
      </c>
      <c r="H544" t="s">
        <v>1305</v>
      </c>
      <c r="I544">
        <v>0</v>
      </c>
      <c r="J544">
        <v>400</v>
      </c>
      <c r="K544">
        <v>0</v>
      </c>
      <c r="L544">
        <v>200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X544">
        <v>0</v>
      </c>
      <c r="Y544" t="s">
        <v>1306</v>
      </c>
    </row>
    <row r="545" spans="1:25" x14ac:dyDescent="0.25">
      <c r="H545" t="s">
        <v>1307</v>
      </c>
    </row>
    <row r="546" spans="1:25" x14ac:dyDescent="0.25">
      <c r="A546">
        <v>270</v>
      </c>
      <c r="B546">
        <v>334</v>
      </c>
      <c r="C546" t="s">
        <v>1308</v>
      </c>
      <c r="D546" t="s">
        <v>217</v>
      </c>
      <c r="E546" t="s">
        <v>130</v>
      </c>
      <c r="F546" t="s">
        <v>1309</v>
      </c>
      <c r="G546" t="str">
        <f>"00013757"</f>
        <v>00013757</v>
      </c>
      <c r="H546" t="s">
        <v>531</v>
      </c>
      <c r="I546">
        <v>0</v>
      </c>
      <c r="J546">
        <v>400</v>
      </c>
      <c r="K546">
        <v>0</v>
      </c>
      <c r="L546">
        <v>200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X546">
        <v>0</v>
      </c>
      <c r="Y546" t="s">
        <v>1310</v>
      </c>
    </row>
    <row r="547" spans="1:25" x14ac:dyDescent="0.25">
      <c r="H547" t="s">
        <v>1311</v>
      </c>
    </row>
    <row r="548" spans="1:25" x14ac:dyDescent="0.25">
      <c r="A548">
        <v>271</v>
      </c>
      <c r="B548">
        <v>1652</v>
      </c>
      <c r="C548" t="s">
        <v>1312</v>
      </c>
      <c r="D548" t="s">
        <v>124</v>
      </c>
      <c r="E548" t="s">
        <v>1313</v>
      </c>
      <c r="F548" t="s">
        <v>1314</v>
      </c>
      <c r="G548" t="str">
        <f>"00013411"</f>
        <v>00013411</v>
      </c>
      <c r="H548" t="s">
        <v>531</v>
      </c>
      <c r="I548">
        <v>0</v>
      </c>
      <c r="J548">
        <v>400</v>
      </c>
      <c r="K548">
        <v>0</v>
      </c>
      <c r="L548">
        <v>200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X548">
        <v>1</v>
      </c>
      <c r="Y548" t="s">
        <v>1310</v>
      </c>
    </row>
    <row r="549" spans="1:25" x14ac:dyDescent="0.25">
      <c r="H549" t="s">
        <v>1315</v>
      </c>
    </row>
    <row r="550" spans="1:25" x14ac:dyDescent="0.25">
      <c r="A550">
        <v>272</v>
      </c>
      <c r="B550">
        <v>772</v>
      </c>
      <c r="C550" t="s">
        <v>1316</v>
      </c>
      <c r="D550" t="s">
        <v>1087</v>
      </c>
      <c r="E550" t="s">
        <v>1317</v>
      </c>
      <c r="F550" t="s">
        <v>1318</v>
      </c>
      <c r="G550" t="str">
        <f>"00014538"</f>
        <v>00014538</v>
      </c>
      <c r="H550" t="s">
        <v>673</v>
      </c>
      <c r="I550">
        <v>0</v>
      </c>
      <c r="J550">
        <v>400</v>
      </c>
      <c r="K550">
        <v>0</v>
      </c>
      <c r="L550">
        <v>200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X550">
        <v>1</v>
      </c>
      <c r="Y550" t="s">
        <v>1319</v>
      </c>
    </row>
    <row r="551" spans="1:25" x14ac:dyDescent="0.25">
      <c r="H551" t="s">
        <v>1320</v>
      </c>
    </row>
    <row r="552" spans="1:25" x14ac:dyDescent="0.25">
      <c r="A552">
        <v>273</v>
      </c>
      <c r="B552">
        <v>2376</v>
      </c>
      <c r="C552" t="s">
        <v>1321</v>
      </c>
      <c r="D552" t="s">
        <v>112</v>
      </c>
      <c r="E552" t="s">
        <v>48</v>
      </c>
      <c r="F552" t="s">
        <v>1322</v>
      </c>
      <c r="G552" t="str">
        <f>"00013385"</f>
        <v>00013385</v>
      </c>
      <c r="H552">
        <v>726</v>
      </c>
      <c r="I552">
        <v>0</v>
      </c>
      <c r="J552">
        <v>400</v>
      </c>
      <c r="K552">
        <v>0</v>
      </c>
      <c r="L552">
        <v>200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X552">
        <v>0</v>
      </c>
      <c r="Y552">
        <v>1356</v>
      </c>
    </row>
    <row r="553" spans="1:25" x14ac:dyDescent="0.25">
      <c r="H553" t="s">
        <v>1323</v>
      </c>
    </row>
    <row r="554" spans="1:25" x14ac:dyDescent="0.25">
      <c r="A554">
        <v>274</v>
      </c>
      <c r="B554">
        <v>2116</v>
      </c>
      <c r="C554" t="s">
        <v>1324</v>
      </c>
      <c r="D554" t="s">
        <v>330</v>
      </c>
      <c r="E554" t="s">
        <v>267</v>
      </c>
      <c r="F554" t="s">
        <v>1325</v>
      </c>
      <c r="G554" t="str">
        <f>"00012395"</f>
        <v>00012395</v>
      </c>
      <c r="H554">
        <v>814</v>
      </c>
      <c r="I554">
        <v>0</v>
      </c>
      <c r="J554">
        <v>0</v>
      </c>
      <c r="K554">
        <v>0</v>
      </c>
      <c r="L554">
        <v>260</v>
      </c>
      <c r="M554">
        <v>0</v>
      </c>
      <c r="N554">
        <v>70</v>
      </c>
      <c r="O554">
        <v>0</v>
      </c>
      <c r="P554">
        <v>70</v>
      </c>
      <c r="Q554">
        <v>70</v>
      </c>
      <c r="R554">
        <v>70</v>
      </c>
      <c r="S554">
        <v>0</v>
      </c>
      <c r="T554">
        <v>0</v>
      </c>
      <c r="U554">
        <v>0</v>
      </c>
      <c r="X554">
        <v>0</v>
      </c>
      <c r="Y554">
        <v>1354</v>
      </c>
    </row>
    <row r="555" spans="1:25" x14ac:dyDescent="0.25">
      <c r="H555" t="s">
        <v>52</v>
      </c>
    </row>
    <row r="556" spans="1:25" x14ac:dyDescent="0.25">
      <c r="A556">
        <v>275</v>
      </c>
      <c r="B556">
        <v>1337</v>
      </c>
      <c r="C556" t="s">
        <v>1326</v>
      </c>
      <c r="D556" t="s">
        <v>238</v>
      </c>
      <c r="E556" t="s">
        <v>1327</v>
      </c>
      <c r="F556" t="s">
        <v>1328</v>
      </c>
      <c r="G556" t="str">
        <f>"200809000950"</f>
        <v>200809000950</v>
      </c>
      <c r="H556" t="s">
        <v>1329</v>
      </c>
      <c r="I556">
        <v>0</v>
      </c>
      <c r="J556">
        <v>400</v>
      </c>
      <c r="K556">
        <v>0</v>
      </c>
      <c r="L556">
        <v>200</v>
      </c>
      <c r="M556">
        <v>30</v>
      </c>
      <c r="N556">
        <v>50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X556">
        <v>0</v>
      </c>
      <c r="Y556" t="s">
        <v>1330</v>
      </c>
    </row>
    <row r="557" spans="1:25" x14ac:dyDescent="0.25">
      <c r="H557" t="s">
        <v>1331</v>
      </c>
    </row>
    <row r="558" spans="1:25" x14ac:dyDescent="0.25">
      <c r="A558">
        <v>276</v>
      </c>
      <c r="B558">
        <v>3004</v>
      </c>
      <c r="C558" t="s">
        <v>1332</v>
      </c>
      <c r="D558" t="s">
        <v>450</v>
      </c>
      <c r="E558" t="s">
        <v>48</v>
      </c>
      <c r="F558" t="s">
        <v>1333</v>
      </c>
      <c r="G558" t="str">
        <f>"00014597"</f>
        <v>00014597</v>
      </c>
      <c r="H558">
        <v>682</v>
      </c>
      <c r="I558">
        <v>0</v>
      </c>
      <c r="J558">
        <v>400</v>
      </c>
      <c r="K558">
        <v>0</v>
      </c>
      <c r="L558">
        <v>200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X558">
        <v>0</v>
      </c>
      <c r="Y558">
        <v>1352</v>
      </c>
    </row>
    <row r="559" spans="1:25" x14ac:dyDescent="0.25">
      <c r="H559" t="s">
        <v>1334</v>
      </c>
    </row>
    <row r="560" spans="1:25" x14ac:dyDescent="0.25">
      <c r="A560">
        <v>277</v>
      </c>
      <c r="B560">
        <v>2468</v>
      </c>
      <c r="C560" t="s">
        <v>1335</v>
      </c>
      <c r="D560" t="s">
        <v>141</v>
      </c>
      <c r="E560" t="s">
        <v>417</v>
      </c>
      <c r="F560" t="s">
        <v>1336</v>
      </c>
      <c r="G560" t="str">
        <f>"00014358"</f>
        <v>00014358</v>
      </c>
      <c r="H560">
        <v>682</v>
      </c>
      <c r="I560">
        <v>0</v>
      </c>
      <c r="J560">
        <v>400</v>
      </c>
      <c r="K560">
        <v>0</v>
      </c>
      <c r="L560">
        <v>200</v>
      </c>
      <c r="M560">
        <v>0</v>
      </c>
      <c r="N560">
        <v>70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X560">
        <v>0</v>
      </c>
      <c r="Y560">
        <v>1352</v>
      </c>
    </row>
    <row r="561" spans="1:25" x14ac:dyDescent="0.25">
      <c r="H561" t="s">
        <v>203</v>
      </c>
    </row>
    <row r="562" spans="1:25" x14ac:dyDescent="0.25">
      <c r="A562">
        <v>278</v>
      </c>
      <c r="B562">
        <v>3350</v>
      </c>
      <c r="C562" t="s">
        <v>1337</v>
      </c>
      <c r="D562" t="s">
        <v>22</v>
      </c>
      <c r="E562" t="s">
        <v>254</v>
      </c>
      <c r="F562" t="s">
        <v>1338</v>
      </c>
      <c r="G562" t="str">
        <f>"200801007407"</f>
        <v>200801007407</v>
      </c>
      <c r="H562" t="s">
        <v>386</v>
      </c>
      <c r="I562">
        <v>0</v>
      </c>
      <c r="J562">
        <v>400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30</v>
      </c>
      <c r="R562">
        <v>0</v>
      </c>
      <c r="S562">
        <v>0</v>
      </c>
      <c r="T562">
        <v>0</v>
      </c>
      <c r="U562">
        <v>0</v>
      </c>
      <c r="X562">
        <v>0</v>
      </c>
      <c r="Y562" t="s">
        <v>1339</v>
      </c>
    </row>
    <row r="563" spans="1:25" x14ac:dyDescent="0.25">
      <c r="H563" t="s">
        <v>1340</v>
      </c>
    </row>
    <row r="564" spans="1:25" x14ac:dyDescent="0.25">
      <c r="A564">
        <v>279</v>
      </c>
      <c r="B564">
        <v>2565</v>
      </c>
      <c r="C564" t="s">
        <v>838</v>
      </c>
      <c r="D564" t="s">
        <v>1341</v>
      </c>
      <c r="E564" t="s">
        <v>41</v>
      </c>
      <c r="F564" t="s">
        <v>1342</v>
      </c>
      <c r="G564" t="str">
        <f>"201409001301"</f>
        <v>201409001301</v>
      </c>
      <c r="H564" t="s">
        <v>1343</v>
      </c>
      <c r="I564">
        <v>0</v>
      </c>
      <c r="J564">
        <v>0</v>
      </c>
      <c r="K564">
        <v>200</v>
      </c>
      <c r="L564">
        <v>0</v>
      </c>
      <c r="M564">
        <v>100</v>
      </c>
      <c r="N564">
        <v>70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X564">
        <v>0</v>
      </c>
      <c r="Y564" t="s">
        <v>1344</v>
      </c>
    </row>
    <row r="565" spans="1:25" x14ac:dyDescent="0.25">
      <c r="H565" t="s">
        <v>1345</v>
      </c>
    </row>
    <row r="566" spans="1:25" x14ac:dyDescent="0.25">
      <c r="A566">
        <v>280</v>
      </c>
      <c r="B566">
        <v>1907</v>
      </c>
      <c r="C566" t="s">
        <v>1346</v>
      </c>
      <c r="D566" t="s">
        <v>1347</v>
      </c>
      <c r="E566" t="s">
        <v>48</v>
      </c>
      <c r="F566" t="s">
        <v>1348</v>
      </c>
      <c r="G566" t="str">
        <f>"00012243"</f>
        <v>00012243</v>
      </c>
      <c r="H566" t="s">
        <v>1144</v>
      </c>
      <c r="I566">
        <v>0</v>
      </c>
      <c r="J566">
        <v>400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X566">
        <v>0</v>
      </c>
      <c r="Y566" t="s">
        <v>1349</v>
      </c>
    </row>
    <row r="567" spans="1:25" x14ac:dyDescent="0.25">
      <c r="H567" t="s">
        <v>1350</v>
      </c>
    </row>
    <row r="568" spans="1:25" x14ac:dyDescent="0.25">
      <c r="A568">
        <v>281</v>
      </c>
      <c r="B568">
        <v>3302</v>
      </c>
      <c r="C568" t="s">
        <v>33</v>
      </c>
      <c r="D568" t="s">
        <v>1351</v>
      </c>
      <c r="E568" t="s">
        <v>66</v>
      </c>
      <c r="F568" t="s">
        <v>1352</v>
      </c>
      <c r="G568" t="str">
        <f>"00014034"</f>
        <v>00014034</v>
      </c>
      <c r="H568" t="s">
        <v>1353</v>
      </c>
      <c r="I568">
        <v>0</v>
      </c>
      <c r="J568">
        <v>400</v>
      </c>
      <c r="K568">
        <v>0</v>
      </c>
      <c r="L568">
        <v>200</v>
      </c>
      <c r="M568">
        <v>0</v>
      </c>
      <c r="N568">
        <v>30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X568">
        <v>0</v>
      </c>
      <c r="Y568" t="s">
        <v>1354</v>
      </c>
    </row>
    <row r="569" spans="1:25" x14ac:dyDescent="0.25">
      <c r="H569">
        <v>224</v>
      </c>
    </row>
    <row r="570" spans="1:25" x14ac:dyDescent="0.25">
      <c r="A570">
        <v>282</v>
      </c>
      <c r="B570">
        <v>1769</v>
      </c>
      <c r="C570" t="s">
        <v>1355</v>
      </c>
      <c r="D570" t="s">
        <v>1189</v>
      </c>
      <c r="E570" t="s">
        <v>48</v>
      </c>
      <c r="F570" t="s">
        <v>1356</v>
      </c>
      <c r="G570" t="str">
        <f>"201511011956"</f>
        <v>201511011956</v>
      </c>
      <c r="H570">
        <v>715</v>
      </c>
      <c r="I570">
        <v>0</v>
      </c>
      <c r="J570">
        <v>400</v>
      </c>
      <c r="K570">
        <v>0</v>
      </c>
      <c r="L570">
        <v>200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X570">
        <v>0</v>
      </c>
      <c r="Y570">
        <v>1345</v>
      </c>
    </row>
    <row r="571" spans="1:25" x14ac:dyDescent="0.25">
      <c r="H571" t="s">
        <v>1357</v>
      </c>
    </row>
    <row r="572" spans="1:25" x14ac:dyDescent="0.25">
      <c r="A572">
        <v>283</v>
      </c>
      <c r="B572">
        <v>656</v>
      </c>
      <c r="C572" t="s">
        <v>1358</v>
      </c>
      <c r="D572" t="s">
        <v>671</v>
      </c>
      <c r="E572" t="s">
        <v>22</v>
      </c>
      <c r="F572" t="s">
        <v>1359</v>
      </c>
      <c r="G572" t="str">
        <f>"201411002572"</f>
        <v>201411002572</v>
      </c>
      <c r="H572" t="s">
        <v>1329</v>
      </c>
      <c r="I572">
        <v>0</v>
      </c>
      <c r="J572">
        <v>400</v>
      </c>
      <c r="K572">
        <v>0</v>
      </c>
      <c r="L572">
        <v>200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X572">
        <v>0</v>
      </c>
      <c r="Y572" t="s">
        <v>1360</v>
      </c>
    </row>
    <row r="573" spans="1:25" x14ac:dyDescent="0.25">
      <c r="H573" t="s">
        <v>1361</v>
      </c>
    </row>
    <row r="574" spans="1:25" x14ac:dyDescent="0.25">
      <c r="A574">
        <v>284</v>
      </c>
      <c r="B574">
        <v>2917</v>
      </c>
      <c r="C574" t="s">
        <v>1362</v>
      </c>
      <c r="D574" t="s">
        <v>989</v>
      </c>
      <c r="E574" t="s">
        <v>278</v>
      </c>
      <c r="F574" t="s">
        <v>1363</v>
      </c>
      <c r="G574" t="str">
        <f>"00012533"</f>
        <v>00012533</v>
      </c>
      <c r="H574" t="s">
        <v>1329</v>
      </c>
      <c r="I574">
        <v>0</v>
      </c>
      <c r="J574">
        <v>400</v>
      </c>
      <c r="K574">
        <v>0</v>
      </c>
      <c r="L574">
        <v>200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X574">
        <v>0</v>
      </c>
      <c r="Y574" t="s">
        <v>1360</v>
      </c>
    </row>
    <row r="575" spans="1:25" x14ac:dyDescent="0.25">
      <c r="H575" t="s">
        <v>1364</v>
      </c>
    </row>
    <row r="576" spans="1:25" x14ac:dyDescent="0.25">
      <c r="A576">
        <v>285</v>
      </c>
      <c r="B576">
        <v>2848</v>
      </c>
      <c r="C576" t="s">
        <v>1057</v>
      </c>
      <c r="D576" t="s">
        <v>98</v>
      </c>
      <c r="E576" t="s">
        <v>130</v>
      </c>
      <c r="F576" t="s">
        <v>1365</v>
      </c>
      <c r="G576" t="str">
        <f>"201411001748"</f>
        <v>201411001748</v>
      </c>
      <c r="H576" t="s">
        <v>1366</v>
      </c>
      <c r="I576">
        <v>0</v>
      </c>
      <c r="J576">
        <v>400</v>
      </c>
      <c r="K576">
        <v>0</v>
      </c>
      <c r="L576">
        <v>200</v>
      </c>
      <c r="M576">
        <v>0</v>
      </c>
      <c r="N576">
        <v>70</v>
      </c>
      <c r="O576">
        <v>30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X576">
        <v>0</v>
      </c>
      <c r="Y576" t="s">
        <v>1367</v>
      </c>
    </row>
    <row r="577" spans="1:25" x14ac:dyDescent="0.25">
      <c r="H577" t="s">
        <v>1368</v>
      </c>
    </row>
    <row r="578" spans="1:25" x14ac:dyDescent="0.25">
      <c r="A578">
        <v>286</v>
      </c>
      <c r="B578">
        <v>2524</v>
      </c>
      <c r="C578" t="s">
        <v>1369</v>
      </c>
      <c r="D578" t="s">
        <v>334</v>
      </c>
      <c r="E578" t="s">
        <v>21</v>
      </c>
      <c r="F578" t="s">
        <v>1370</v>
      </c>
      <c r="G578" t="str">
        <f>"200809000002"</f>
        <v>200809000002</v>
      </c>
      <c r="H578" t="s">
        <v>1196</v>
      </c>
      <c r="I578">
        <v>0</v>
      </c>
      <c r="J578">
        <v>400</v>
      </c>
      <c r="K578">
        <v>0</v>
      </c>
      <c r="L578">
        <v>200</v>
      </c>
      <c r="M578">
        <v>0</v>
      </c>
      <c r="N578">
        <v>50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X578">
        <v>0</v>
      </c>
      <c r="Y578" t="s">
        <v>1371</v>
      </c>
    </row>
    <row r="579" spans="1:25" x14ac:dyDescent="0.25">
      <c r="H579" t="s">
        <v>1372</v>
      </c>
    </row>
    <row r="580" spans="1:25" x14ac:dyDescent="0.25">
      <c r="A580">
        <v>287</v>
      </c>
      <c r="B580">
        <v>2592</v>
      </c>
      <c r="C580" t="s">
        <v>1373</v>
      </c>
      <c r="D580" t="s">
        <v>181</v>
      </c>
      <c r="E580" t="s">
        <v>278</v>
      </c>
      <c r="F580" t="s">
        <v>1374</v>
      </c>
      <c r="G580" t="str">
        <f>"201511029374"</f>
        <v>201511029374</v>
      </c>
      <c r="H580" t="s">
        <v>1375</v>
      </c>
      <c r="I580">
        <v>0</v>
      </c>
      <c r="J580">
        <v>400</v>
      </c>
      <c r="K580">
        <v>0</v>
      </c>
      <c r="L580">
        <v>200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30</v>
      </c>
      <c r="S580">
        <v>0</v>
      </c>
      <c r="T580">
        <v>0</v>
      </c>
      <c r="U580">
        <v>0</v>
      </c>
      <c r="X580">
        <v>1</v>
      </c>
      <c r="Y580" t="s">
        <v>1376</v>
      </c>
    </row>
    <row r="581" spans="1:25" x14ac:dyDescent="0.25">
      <c r="H581" t="s">
        <v>1377</v>
      </c>
    </row>
    <row r="582" spans="1:25" x14ac:dyDescent="0.25">
      <c r="A582">
        <v>288</v>
      </c>
      <c r="B582">
        <v>519</v>
      </c>
      <c r="C582" t="s">
        <v>1378</v>
      </c>
      <c r="D582" t="s">
        <v>284</v>
      </c>
      <c r="E582" t="s">
        <v>451</v>
      </c>
      <c r="F582" t="s">
        <v>1379</v>
      </c>
      <c r="G582" t="str">
        <f>"201603000097"</f>
        <v>201603000097</v>
      </c>
      <c r="H582" t="s">
        <v>1380</v>
      </c>
      <c r="I582">
        <v>0</v>
      </c>
      <c r="J582">
        <v>400</v>
      </c>
      <c r="K582">
        <v>0</v>
      </c>
      <c r="L582">
        <v>200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X582">
        <v>0</v>
      </c>
      <c r="Y582" t="s">
        <v>1381</v>
      </c>
    </row>
    <row r="583" spans="1:25" x14ac:dyDescent="0.25">
      <c r="H583" t="s">
        <v>110</v>
      </c>
    </row>
    <row r="584" spans="1:25" x14ac:dyDescent="0.25">
      <c r="A584">
        <v>289</v>
      </c>
      <c r="B584">
        <v>1811</v>
      </c>
      <c r="C584" t="s">
        <v>1382</v>
      </c>
      <c r="D584" t="s">
        <v>124</v>
      </c>
      <c r="E584" t="s">
        <v>190</v>
      </c>
      <c r="F584" t="s">
        <v>1383</v>
      </c>
      <c r="G584" t="str">
        <f>"200801003655"</f>
        <v>200801003655</v>
      </c>
      <c r="H584">
        <v>814</v>
      </c>
      <c r="I584">
        <v>0</v>
      </c>
      <c r="J584">
        <v>400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50</v>
      </c>
      <c r="Q584">
        <v>0</v>
      </c>
      <c r="R584">
        <v>0</v>
      </c>
      <c r="S584">
        <v>0</v>
      </c>
      <c r="T584">
        <v>0</v>
      </c>
      <c r="U584">
        <v>0</v>
      </c>
      <c r="X584">
        <v>0</v>
      </c>
      <c r="Y584">
        <v>1334</v>
      </c>
    </row>
    <row r="585" spans="1:25" x14ac:dyDescent="0.25">
      <c r="H585" t="s">
        <v>1384</v>
      </c>
    </row>
    <row r="586" spans="1:25" x14ac:dyDescent="0.25">
      <c r="A586">
        <v>290</v>
      </c>
      <c r="B586">
        <v>2798</v>
      </c>
      <c r="C586" t="s">
        <v>1385</v>
      </c>
      <c r="D586" t="s">
        <v>48</v>
      </c>
      <c r="E586" t="s">
        <v>158</v>
      </c>
      <c r="F586" t="s">
        <v>1386</v>
      </c>
      <c r="G586" t="str">
        <f>"00013519"</f>
        <v>00013519</v>
      </c>
      <c r="H586" t="s">
        <v>1387</v>
      </c>
      <c r="I586">
        <v>0</v>
      </c>
      <c r="J586">
        <v>400</v>
      </c>
      <c r="K586">
        <v>0</v>
      </c>
      <c r="L586">
        <v>200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X586">
        <v>0</v>
      </c>
      <c r="Y586" t="s">
        <v>1388</v>
      </c>
    </row>
    <row r="587" spans="1:25" x14ac:dyDescent="0.25">
      <c r="H587" t="s">
        <v>1389</v>
      </c>
    </row>
    <row r="588" spans="1:25" x14ac:dyDescent="0.25">
      <c r="A588">
        <v>291</v>
      </c>
      <c r="B588">
        <v>2413</v>
      </c>
      <c r="C588" t="s">
        <v>1390</v>
      </c>
      <c r="D588" t="s">
        <v>124</v>
      </c>
      <c r="E588" t="s">
        <v>301</v>
      </c>
      <c r="F588" t="s">
        <v>1391</v>
      </c>
      <c r="G588" t="str">
        <f>"201412002952"</f>
        <v>201412002952</v>
      </c>
      <c r="H588" t="s">
        <v>1016</v>
      </c>
      <c r="I588">
        <v>0</v>
      </c>
      <c r="J588">
        <v>400</v>
      </c>
      <c r="K588">
        <v>0</v>
      </c>
      <c r="L588">
        <v>200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X588">
        <v>0</v>
      </c>
      <c r="Y588" t="s">
        <v>1392</v>
      </c>
    </row>
    <row r="589" spans="1:25" x14ac:dyDescent="0.25">
      <c r="H589" t="s">
        <v>1393</v>
      </c>
    </row>
    <row r="590" spans="1:25" x14ac:dyDescent="0.25">
      <c r="A590">
        <v>292</v>
      </c>
      <c r="B590">
        <v>1487</v>
      </c>
      <c r="C590" t="s">
        <v>1394</v>
      </c>
      <c r="D590" t="s">
        <v>1395</v>
      </c>
      <c r="E590" t="s">
        <v>217</v>
      </c>
      <c r="F590" t="s">
        <v>1396</v>
      </c>
      <c r="G590" t="str">
        <f>"00014229"</f>
        <v>00014229</v>
      </c>
      <c r="H590" t="s">
        <v>1016</v>
      </c>
      <c r="I590">
        <v>0</v>
      </c>
      <c r="J590">
        <v>400</v>
      </c>
      <c r="K590">
        <v>0</v>
      </c>
      <c r="L590">
        <v>200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X590">
        <v>0</v>
      </c>
      <c r="Y590" t="s">
        <v>1392</v>
      </c>
    </row>
    <row r="591" spans="1:25" x14ac:dyDescent="0.25">
      <c r="H591" t="s">
        <v>162</v>
      </c>
    </row>
    <row r="592" spans="1:25" x14ac:dyDescent="0.25">
      <c r="A592">
        <v>293</v>
      </c>
      <c r="B592">
        <v>3024</v>
      </c>
      <c r="C592" t="s">
        <v>1397</v>
      </c>
      <c r="D592" t="s">
        <v>98</v>
      </c>
      <c r="E592" t="s">
        <v>48</v>
      </c>
      <c r="F592" t="s">
        <v>1398</v>
      </c>
      <c r="G592" t="str">
        <f>"200811000531"</f>
        <v>200811000531</v>
      </c>
      <c r="H592">
        <v>770</v>
      </c>
      <c r="I592">
        <v>0</v>
      </c>
      <c r="J592">
        <v>400</v>
      </c>
      <c r="K592">
        <v>0</v>
      </c>
      <c r="L592">
        <v>0</v>
      </c>
      <c r="M592">
        <v>0</v>
      </c>
      <c r="N592">
        <v>70</v>
      </c>
      <c r="O592">
        <v>30</v>
      </c>
      <c r="P592">
        <v>0</v>
      </c>
      <c r="Q592">
        <v>30</v>
      </c>
      <c r="R592">
        <v>30</v>
      </c>
      <c r="S592">
        <v>0</v>
      </c>
      <c r="T592">
        <v>0</v>
      </c>
      <c r="U592">
        <v>0</v>
      </c>
      <c r="X592">
        <v>0</v>
      </c>
      <c r="Y592">
        <v>1330</v>
      </c>
    </row>
    <row r="593" spans="1:25" x14ac:dyDescent="0.25">
      <c r="H593" t="s">
        <v>487</v>
      </c>
    </row>
    <row r="594" spans="1:25" x14ac:dyDescent="0.25">
      <c r="A594">
        <v>294</v>
      </c>
      <c r="B594">
        <v>3285</v>
      </c>
      <c r="C594" t="s">
        <v>1399</v>
      </c>
      <c r="D594" t="s">
        <v>1400</v>
      </c>
      <c r="E594" t="s">
        <v>83</v>
      </c>
      <c r="F594" t="s">
        <v>1401</v>
      </c>
      <c r="G594" t="str">
        <f>"00013915"</f>
        <v>00013915</v>
      </c>
      <c r="H594" t="s">
        <v>1402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70</v>
      </c>
      <c r="O594">
        <v>0</v>
      </c>
      <c r="P594">
        <v>50</v>
      </c>
      <c r="Q594">
        <v>0</v>
      </c>
      <c r="R594">
        <v>0</v>
      </c>
      <c r="S594">
        <v>0</v>
      </c>
      <c r="T594">
        <v>0</v>
      </c>
      <c r="U594">
        <v>0</v>
      </c>
      <c r="X594">
        <v>0</v>
      </c>
      <c r="Y594" t="s">
        <v>1403</v>
      </c>
    </row>
    <row r="595" spans="1:25" x14ac:dyDescent="0.25">
      <c r="H595" t="s">
        <v>1404</v>
      </c>
    </row>
    <row r="596" spans="1:25" x14ac:dyDescent="0.25">
      <c r="A596">
        <v>295</v>
      </c>
      <c r="B596">
        <v>2417</v>
      </c>
      <c r="C596" t="s">
        <v>470</v>
      </c>
      <c r="D596" t="s">
        <v>130</v>
      </c>
      <c r="E596" t="s">
        <v>41</v>
      </c>
      <c r="F596" t="s">
        <v>1405</v>
      </c>
      <c r="G596" t="str">
        <f>"00013606"</f>
        <v>00013606</v>
      </c>
      <c r="H596" t="s">
        <v>818</v>
      </c>
      <c r="I596">
        <v>0</v>
      </c>
      <c r="J596">
        <v>400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70</v>
      </c>
      <c r="R596">
        <v>0</v>
      </c>
      <c r="S596">
        <v>0</v>
      </c>
      <c r="T596">
        <v>0</v>
      </c>
      <c r="U596">
        <v>0</v>
      </c>
      <c r="X596">
        <v>1</v>
      </c>
      <c r="Y596" t="s">
        <v>1406</v>
      </c>
    </row>
    <row r="597" spans="1:25" x14ac:dyDescent="0.25">
      <c r="H597" t="s">
        <v>1407</v>
      </c>
    </row>
    <row r="598" spans="1:25" x14ac:dyDescent="0.25">
      <c r="A598">
        <v>296</v>
      </c>
      <c r="B598">
        <v>1146</v>
      </c>
      <c r="C598" t="s">
        <v>1408</v>
      </c>
      <c r="D598" t="s">
        <v>48</v>
      </c>
      <c r="E598" t="s">
        <v>217</v>
      </c>
      <c r="F598" t="s">
        <v>1409</v>
      </c>
      <c r="G598" t="str">
        <f>"00013581"</f>
        <v>00013581</v>
      </c>
      <c r="H598" t="s">
        <v>1410</v>
      </c>
      <c r="I598">
        <v>0</v>
      </c>
      <c r="J598">
        <v>400</v>
      </c>
      <c r="K598">
        <v>0</v>
      </c>
      <c r="L598">
        <v>200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X598">
        <v>0</v>
      </c>
      <c r="Y598" t="s">
        <v>1411</v>
      </c>
    </row>
    <row r="599" spans="1:25" x14ac:dyDescent="0.25">
      <c r="H599" t="s">
        <v>52</v>
      </c>
    </row>
    <row r="600" spans="1:25" x14ac:dyDescent="0.25">
      <c r="A600">
        <v>297</v>
      </c>
      <c r="B600">
        <v>2467</v>
      </c>
      <c r="C600" t="s">
        <v>1412</v>
      </c>
      <c r="D600" t="s">
        <v>112</v>
      </c>
      <c r="E600" t="s">
        <v>22</v>
      </c>
      <c r="F600" t="s">
        <v>1413</v>
      </c>
      <c r="G600" t="str">
        <f>"00013920"</f>
        <v>00013920</v>
      </c>
      <c r="H600" t="s">
        <v>491</v>
      </c>
      <c r="I600">
        <v>0</v>
      </c>
      <c r="J600">
        <v>400</v>
      </c>
      <c r="K600">
        <v>0</v>
      </c>
      <c r="L600">
        <v>0</v>
      </c>
      <c r="M600">
        <v>0</v>
      </c>
      <c r="N600">
        <v>70</v>
      </c>
      <c r="O600">
        <v>0</v>
      </c>
      <c r="P600">
        <v>0</v>
      </c>
      <c r="Q600">
        <v>70</v>
      </c>
      <c r="R600">
        <v>0</v>
      </c>
      <c r="S600">
        <v>0</v>
      </c>
      <c r="T600">
        <v>0</v>
      </c>
      <c r="U600">
        <v>0</v>
      </c>
      <c r="X600">
        <v>0</v>
      </c>
      <c r="Y600" t="s">
        <v>1414</v>
      </c>
    </row>
    <row r="601" spans="1:25" x14ac:dyDescent="0.25">
      <c r="H601" t="s">
        <v>1415</v>
      </c>
    </row>
    <row r="602" spans="1:25" x14ac:dyDescent="0.25">
      <c r="A602">
        <v>298</v>
      </c>
      <c r="B602">
        <v>102</v>
      </c>
      <c r="C602" t="s">
        <v>1416</v>
      </c>
      <c r="D602" t="s">
        <v>1417</v>
      </c>
      <c r="E602" t="s">
        <v>334</v>
      </c>
      <c r="F602" t="s">
        <v>1418</v>
      </c>
      <c r="G602" t="str">
        <f>"00015166"</f>
        <v>00015166</v>
      </c>
      <c r="H602">
        <v>792</v>
      </c>
      <c r="I602">
        <v>0</v>
      </c>
      <c r="J602">
        <v>400</v>
      </c>
      <c r="K602">
        <v>0</v>
      </c>
      <c r="L602">
        <v>0</v>
      </c>
      <c r="M602">
        <v>0</v>
      </c>
      <c r="N602">
        <v>70</v>
      </c>
      <c r="O602">
        <v>0</v>
      </c>
      <c r="P602">
        <v>50</v>
      </c>
      <c r="Q602">
        <v>0</v>
      </c>
      <c r="R602">
        <v>0</v>
      </c>
      <c r="S602">
        <v>0</v>
      </c>
      <c r="T602">
        <v>0</v>
      </c>
      <c r="U602">
        <v>0</v>
      </c>
      <c r="X602">
        <v>0</v>
      </c>
      <c r="Y602">
        <v>1312</v>
      </c>
    </row>
    <row r="603" spans="1:25" x14ac:dyDescent="0.25">
      <c r="H603" t="s">
        <v>1419</v>
      </c>
    </row>
    <row r="604" spans="1:25" x14ac:dyDescent="0.25">
      <c r="A604">
        <v>299</v>
      </c>
      <c r="B604">
        <v>2352</v>
      </c>
      <c r="C604" t="s">
        <v>1420</v>
      </c>
      <c r="D604" t="s">
        <v>1421</v>
      </c>
      <c r="E604" t="s">
        <v>451</v>
      </c>
      <c r="F604" t="s">
        <v>1422</v>
      </c>
      <c r="G604" t="str">
        <f>"00014231"</f>
        <v>00014231</v>
      </c>
      <c r="H604" t="s">
        <v>1423</v>
      </c>
      <c r="I604">
        <v>0</v>
      </c>
      <c r="J604">
        <v>400</v>
      </c>
      <c r="K604">
        <v>0</v>
      </c>
      <c r="L604">
        <v>200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X604">
        <v>0</v>
      </c>
      <c r="Y604" t="s">
        <v>1424</v>
      </c>
    </row>
    <row r="605" spans="1:25" x14ac:dyDescent="0.25">
      <c r="H605" t="s">
        <v>1425</v>
      </c>
    </row>
    <row r="606" spans="1:25" x14ac:dyDescent="0.25">
      <c r="A606">
        <v>300</v>
      </c>
      <c r="B606">
        <v>54</v>
      </c>
      <c r="C606" t="s">
        <v>1426</v>
      </c>
      <c r="D606" t="s">
        <v>565</v>
      </c>
      <c r="E606" t="s">
        <v>1427</v>
      </c>
      <c r="F606" t="s">
        <v>1428</v>
      </c>
      <c r="G606" t="str">
        <f>"200802001291"</f>
        <v>200802001291</v>
      </c>
      <c r="H606" t="s">
        <v>287</v>
      </c>
      <c r="I606">
        <v>0</v>
      </c>
      <c r="J606">
        <v>400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70</v>
      </c>
      <c r="R606">
        <v>0</v>
      </c>
      <c r="S606">
        <v>0</v>
      </c>
      <c r="T606">
        <v>0</v>
      </c>
      <c r="U606">
        <v>0</v>
      </c>
      <c r="X606">
        <v>0</v>
      </c>
      <c r="Y606" t="s">
        <v>1429</v>
      </c>
    </row>
    <row r="607" spans="1:25" x14ac:dyDescent="0.25">
      <c r="H607" t="s">
        <v>1430</v>
      </c>
    </row>
    <row r="608" spans="1:25" x14ac:dyDescent="0.25">
      <c r="A608">
        <v>301</v>
      </c>
      <c r="B608">
        <v>327</v>
      </c>
      <c r="C608" t="s">
        <v>1431</v>
      </c>
      <c r="D608" t="s">
        <v>749</v>
      </c>
      <c r="E608" t="s">
        <v>124</v>
      </c>
      <c r="F608" t="s">
        <v>1432</v>
      </c>
      <c r="G608" t="str">
        <f>"00010787"</f>
        <v>00010787</v>
      </c>
      <c r="H608" t="s">
        <v>535</v>
      </c>
      <c r="I608">
        <v>0</v>
      </c>
      <c r="J608">
        <v>400</v>
      </c>
      <c r="K608">
        <v>0</v>
      </c>
      <c r="L608">
        <v>0</v>
      </c>
      <c r="M608">
        <v>0</v>
      </c>
      <c r="N608">
        <v>70</v>
      </c>
      <c r="O608">
        <v>50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X608">
        <v>0</v>
      </c>
      <c r="Y608" t="s">
        <v>1433</v>
      </c>
    </row>
    <row r="609" spans="1:25" x14ac:dyDescent="0.25">
      <c r="H609" t="s">
        <v>1434</v>
      </c>
    </row>
    <row r="610" spans="1:25" x14ac:dyDescent="0.25">
      <c r="A610">
        <v>302</v>
      </c>
      <c r="B610">
        <v>2472</v>
      </c>
      <c r="C610" t="s">
        <v>1435</v>
      </c>
      <c r="D610" t="s">
        <v>141</v>
      </c>
      <c r="E610" t="s">
        <v>124</v>
      </c>
      <c r="F610" t="s">
        <v>1436</v>
      </c>
      <c r="G610" t="str">
        <f>"00013644"</f>
        <v>00013644</v>
      </c>
      <c r="H610" t="s">
        <v>1437</v>
      </c>
      <c r="I610">
        <v>0</v>
      </c>
      <c r="J610">
        <v>400</v>
      </c>
      <c r="K610">
        <v>0</v>
      </c>
      <c r="L610">
        <v>200</v>
      </c>
      <c r="M610">
        <v>0</v>
      </c>
      <c r="N610">
        <v>50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X610">
        <v>0</v>
      </c>
      <c r="Y610" t="s">
        <v>1438</v>
      </c>
    </row>
    <row r="611" spans="1:25" x14ac:dyDescent="0.25">
      <c r="H611" t="s">
        <v>1439</v>
      </c>
    </row>
    <row r="612" spans="1:25" x14ac:dyDescent="0.25">
      <c r="A612">
        <v>303</v>
      </c>
      <c r="B612">
        <v>3333</v>
      </c>
      <c r="C612" t="s">
        <v>1440</v>
      </c>
      <c r="D612" t="s">
        <v>526</v>
      </c>
      <c r="E612" t="s">
        <v>21</v>
      </c>
      <c r="F612" t="s">
        <v>1441</v>
      </c>
      <c r="G612" t="str">
        <f>"00013788"</f>
        <v>00013788</v>
      </c>
      <c r="H612" t="s">
        <v>818</v>
      </c>
      <c r="I612">
        <v>0</v>
      </c>
      <c r="J612">
        <v>400</v>
      </c>
      <c r="K612">
        <v>0</v>
      </c>
      <c r="L612">
        <v>0</v>
      </c>
      <c r="M612">
        <v>0</v>
      </c>
      <c r="N612">
        <v>50</v>
      </c>
      <c r="O612">
        <v>30</v>
      </c>
      <c r="P612">
        <v>30</v>
      </c>
      <c r="Q612">
        <v>0</v>
      </c>
      <c r="R612">
        <v>0</v>
      </c>
      <c r="S612">
        <v>0</v>
      </c>
      <c r="T612">
        <v>0</v>
      </c>
      <c r="U612">
        <v>0</v>
      </c>
      <c r="X612">
        <v>0</v>
      </c>
      <c r="Y612" t="s">
        <v>1442</v>
      </c>
    </row>
    <row r="613" spans="1:25" x14ac:dyDescent="0.25">
      <c r="H613" t="s">
        <v>1443</v>
      </c>
    </row>
    <row r="614" spans="1:25" x14ac:dyDescent="0.25">
      <c r="A614">
        <v>304</v>
      </c>
      <c r="B614">
        <v>1500</v>
      </c>
      <c r="C614" t="s">
        <v>1444</v>
      </c>
      <c r="D614" t="s">
        <v>22</v>
      </c>
      <c r="E614" t="s">
        <v>66</v>
      </c>
      <c r="F614" t="s">
        <v>1445</v>
      </c>
      <c r="G614" t="str">
        <f>"00014233"</f>
        <v>00014233</v>
      </c>
      <c r="H614" t="s">
        <v>1181</v>
      </c>
      <c r="I614">
        <v>0</v>
      </c>
      <c r="J614">
        <v>400</v>
      </c>
      <c r="K614">
        <v>0</v>
      </c>
      <c r="L614">
        <v>200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X614">
        <v>0</v>
      </c>
      <c r="Y614" t="s">
        <v>1446</v>
      </c>
    </row>
    <row r="615" spans="1:25" x14ac:dyDescent="0.25">
      <c r="H615" t="s">
        <v>1447</v>
      </c>
    </row>
    <row r="616" spans="1:25" x14ac:dyDescent="0.25">
      <c r="A616">
        <v>305</v>
      </c>
      <c r="B616">
        <v>763</v>
      </c>
      <c r="C616" t="s">
        <v>1448</v>
      </c>
      <c r="D616" t="s">
        <v>1449</v>
      </c>
      <c r="E616" t="s">
        <v>41</v>
      </c>
      <c r="F616" t="s">
        <v>1450</v>
      </c>
      <c r="G616" t="str">
        <f>"200801010737"</f>
        <v>200801010737</v>
      </c>
      <c r="H616" t="s">
        <v>1451</v>
      </c>
      <c r="I616">
        <v>0</v>
      </c>
      <c r="J616">
        <v>0</v>
      </c>
      <c r="K616">
        <v>0</v>
      </c>
      <c r="L616">
        <v>200</v>
      </c>
      <c r="M616">
        <v>30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X616">
        <v>0</v>
      </c>
      <c r="Y616" t="s">
        <v>1452</v>
      </c>
    </row>
    <row r="617" spans="1:25" x14ac:dyDescent="0.25">
      <c r="H617" t="s">
        <v>1453</v>
      </c>
    </row>
    <row r="618" spans="1:25" x14ac:dyDescent="0.25">
      <c r="A618">
        <v>306</v>
      </c>
      <c r="B618">
        <v>441</v>
      </c>
      <c r="C618" t="s">
        <v>1454</v>
      </c>
      <c r="D618" t="s">
        <v>1009</v>
      </c>
      <c r="E618" t="s">
        <v>1066</v>
      </c>
      <c r="F618" t="s">
        <v>1455</v>
      </c>
      <c r="G618" t="str">
        <f>"201412004982"</f>
        <v>201412004982</v>
      </c>
      <c r="H618">
        <v>891</v>
      </c>
      <c r="I618">
        <v>0</v>
      </c>
      <c r="J618">
        <v>400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X618">
        <v>0</v>
      </c>
      <c r="Y618">
        <v>1291</v>
      </c>
    </row>
    <row r="619" spans="1:25" x14ac:dyDescent="0.25">
      <c r="H619" t="s">
        <v>1456</v>
      </c>
    </row>
    <row r="620" spans="1:25" x14ac:dyDescent="0.25">
      <c r="A620">
        <v>307</v>
      </c>
      <c r="B620">
        <v>648</v>
      </c>
      <c r="C620" t="s">
        <v>1457</v>
      </c>
      <c r="D620" t="s">
        <v>267</v>
      </c>
      <c r="E620" t="s">
        <v>66</v>
      </c>
      <c r="F620" t="s">
        <v>1458</v>
      </c>
      <c r="G620" t="str">
        <f>"200805000208"</f>
        <v>200805000208</v>
      </c>
      <c r="H620" t="s">
        <v>178</v>
      </c>
      <c r="I620">
        <v>0</v>
      </c>
      <c r="J620">
        <v>400</v>
      </c>
      <c r="K620">
        <v>0</v>
      </c>
      <c r="L620">
        <v>0</v>
      </c>
      <c r="M620">
        <v>0</v>
      </c>
      <c r="N620">
        <v>70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X620">
        <v>0</v>
      </c>
      <c r="Y620" t="s">
        <v>1459</v>
      </c>
    </row>
    <row r="621" spans="1:25" x14ac:dyDescent="0.25">
      <c r="H621" t="s">
        <v>203</v>
      </c>
    </row>
    <row r="622" spans="1:25" x14ac:dyDescent="0.25">
      <c r="A622">
        <v>308</v>
      </c>
      <c r="B622">
        <v>1792</v>
      </c>
      <c r="C622" t="s">
        <v>1460</v>
      </c>
      <c r="D622" t="s">
        <v>175</v>
      </c>
      <c r="E622" t="s">
        <v>41</v>
      </c>
      <c r="F622" t="s">
        <v>1461</v>
      </c>
      <c r="G622" t="str">
        <f>"00013216"</f>
        <v>00013216</v>
      </c>
      <c r="H622" t="s">
        <v>108</v>
      </c>
      <c r="I622">
        <v>0</v>
      </c>
      <c r="J622">
        <v>400</v>
      </c>
      <c r="K622">
        <v>0</v>
      </c>
      <c r="L622">
        <v>0</v>
      </c>
      <c r="M622">
        <v>0</v>
      </c>
      <c r="N622">
        <v>70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X622">
        <v>0</v>
      </c>
      <c r="Y622" t="s">
        <v>1462</v>
      </c>
    </row>
    <row r="623" spans="1:25" x14ac:dyDescent="0.25">
      <c r="H623" t="s">
        <v>1463</v>
      </c>
    </row>
    <row r="624" spans="1:25" x14ac:dyDescent="0.25">
      <c r="A624">
        <v>309</v>
      </c>
      <c r="B624">
        <v>1995</v>
      </c>
      <c r="C624" t="s">
        <v>1464</v>
      </c>
      <c r="D624" t="s">
        <v>41</v>
      </c>
      <c r="E624" t="s">
        <v>217</v>
      </c>
      <c r="F624" t="s">
        <v>1465</v>
      </c>
      <c r="G624" t="str">
        <f>"00014047"</f>
        <v>00014047</v>
      </c>
      <c r="H624" t="s">
        <v>1466</v>
      </c>
      <c r="I624">
        <v>0</v>
      </c>
      <c r="J624">
        <v>400</v>
      </c>
      <c r="K624">
        <v>0</v>
      </c>
      <c r="L624">
        <v>200</v>
      </c>
      <c r="M624">
        <v>0</v>
      </c>
      <c r="N624">
        <v>30</v>
      </c>
      <c r="O624">
        <v>30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X624">
        <v>0</v>
      </c>
      <c r="Y624" t="s">
        <v>1467</v>
      </c>
    </row>
    <row r="625" spans="1:25" x14ac:dyDescent="0.25">
      <c r="H625" t="s">
        <v>162</v>
      </c>
    </row>
    <row r="626" spans="1:25" x14ac:dyDescent="0.25">
      <c r="A626">
        <v>310</v>
      </c>
      <c r="B626">
        <v>36</v>
      </c>
      <c r="C626" t="s">
        <v>1468</v>
      </c>
      <c r="D626" t="s">
        <v>1469</v>
      </c>
      <c r="E626" t="s">
        <v>124</v>
      </c>
      <c r="F626" t="s">
        <v>1470</v>
      </c>
      <c r="G626" t="str">
        <f>"00013181"</f>
        <v>00013181</v>
      </c>
      <c r="H626" t="s">
        <v>1471</v>
      </c>
      <c r="I626">
        <v>0</v>
      </c>
      <c r="J626">
        <v>400</v>
      </c>
      <c r="K626">
        <v>0</v>
      </c>
      <c r="L626">
        <v>200</v>
      </c>
      <c r="M626">
        <v>0</v>
      </c>
      <c r="N626">
        <v>50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X626">
        <v>0</v>
      </c>
      <c r="Y626" t="s">
        <v>1472</v>
      </c>
    </row>
    <row r="627" spans="1:25" x14ac:dyDescent="0.25">
      <c r="H627" t="s">
        <v>52</v>
      </c>
    </row>
    <row r="628" spans="1:25" x14ac:dyDescent="0.25">
      <c r="A628">
        <v>311</v>
      </c>
      <c r="B628">
        <v>2899</v>
      </c>
      <c r="C628" t="s">
        <v>1473</v>
      </c>
      <c r="D628" t="s">
        <v>1474</v>
      </c>
      <c r="E628" t="s">
        <v>1475</v>
      </c>
      <c r="F628" t="s">
        <v>1476</v>
      </c>
      <c r="G628" t="str">
        <f>"00014137"</f>
        <v>00014137</v>
      </c>
      <c r="H628">
        <v>649</v>
      </c>
      <c r="I628">
        <v>0</v>
      </c>
      <c r="J628">
        <v>400</v>
      </c>
      <c r="K628">
        <v>0</v>
      </c>
      <c r="L628">
        <v>200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X628">
        <v>0</v>
      </c>
      <c r="Y628">
        <v>1279</v>
      </c>
    </row>
    <row r="629" spans="1:25" x14ac:dyDescent="0.25">
      <c r="H629" t="s">
        <v>1477</v>
      </c>
    </row>
    <row r="630" spans="1:25" x14ac:dyDescent="0.25">
      <c r="A630">
        <v>312</v>
      </c>
      <c r="B630">
        <v>2328</v>
      </c>
      <c r="C630" t="s">
        <v>1478</v>
      </c>
      <c r="D630" t="s">
        <v>124</v>
      </c>
      <c r="E630" t="s">
        <v>217</v>
      </c>
      <c r="F630" t="s">
        <v>1479</v>
      </c>
      <c r="G630" t="str">
        <f>"00013507"</f>
        <v>00013507</v>
      </c>
      <c r="H630" t="s">
        <v>1437</v>
      </c>
      <c r="I630">
        <v>0</v>
      </c>
      <c r="J630">
        <v>400</v>
      </c>
      <c r="K630">
        <v>0</v>
      </c>
      <c r="L630">
        <v>200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X630">
        <v>1</v>
      </c>
      <c r="Y630" t="s">
        <v>1480</v>
      </c>
    </row>
    <row r="631" spans="1:25" x14ac:dyDescent="0.25">
      <c r="H631" t="s">
        <v>1481</v>
      </c>
    </row>
    <row r="632" spans="1:25" x14ac:dyDescent="0.25">
      <c r="A632">
        <v>313</v>
      </c>
      <c r="B632">
        <v>1180</v>
      </c>
      <c r="C632" t="s">
        <v>1482</v>
      </c>
      <c r="D632" t="s">
        <v>181</v>
      </c>
      <c r="E632" t="s">
        <v>1483</v>
      </c>
      <c r="F632" t="s">
        <v>1484</v>
      </c>
      <c r="G632" t="str">
        <f>"201511015632"</f>
        <v>201511015632</v>
      </c>
      <c r="H632" t="s">
        <v>716</v>
      </c>
      <c r="I632">
        <v>0</v>
      </c>
      <c r="J632">
        <v>400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50</v>
      </c>
      <c r="R632">
        <v>0</v>
      </c>
      <c r="S632">
        <v>0</v>
      </c>
      <c r="T632">
        <v>0</v>
      </c>
      <c r="U632">
        <v>0</v>
      </c>
      <c r="X632">
        <v>0</v>
      </c>
      <c r="Y632" t="s">
        <v>1485</v>
      </c>
    </row>
    <row r="633" spans="1:25" x14ac:dyDescent="0.25">
      <c r="H633" t="s">
        <v>1486</v>
      </c>
    </row>
    <row r="634" spans="1:25" x14ac:dyDescent="0.25">
      <c r="A634">
        <v>314</v>
      </c>
      <c r="B634">
        <v>1445</v>
      </c>
      <c r="C634" t="s">
        <v>1487</v>
      </c>
      <c r="D634" t="s">
        <v>158</v>
      </c>
      <c r="E634" t="s">
        <v>1488</v>
      </c>
      <c r="F634" t="s">
        <v>1489</v>
      </c>
      <c r="G634" t="str">
        <f>"201412003933"</f>
        <v>201412003933</v>
      </c>
      <c r="H634" t="s">
        <v>1490</v>
      </c>
      <c r="I634">
        <v>0</v>
      </c>
      <c r="J634">
        <v>0</v>
      </c>
      <c r="K634">
        <v>200</v>
      </c>
      <c r="L634">
        <v>0</v>
      </c>
      <c r="M634">
        <v>100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X634">
        <v>0</v>
      </c>
      <c r="Y634" t="s">
        <v>1491</v>
      </c>
    </row>
    <row r="635" spans="1:25" x14ac:dyDescent="0.25">
      <c r="H635" t="s">
        <v>203</v>
      </c>
    </row>
    <row r="636" spans="1:25" x14ac:dyDescent="0.25">
      <c r="A636">
        <v>315</v>
      </c>
      <c r="B636">
        <v>262</v>
      </c>
      <c r="C636" t="s">
        <v>1492</v>
      </c>
      <c r="D636" t="s">
        <v>1493</v>
      </c>
      <c r="E636" t="s">
        <v>690</v>
      </c>
      <c r="F636" t="s">
        <v>1494</v>
      </c>
      <c r="G636" t="str">
        <f>"201411000447"</f>
        <v>201411000447</v>
      </c>
      <c r="H636" t="s">
        <v>1495</v>
      </c>
      <c r="I636">
        <v>0</v>
      </c>
      <c r="J636">
        <v>0</v>
      </c>
      <c r="K636">
        <v>0</v>
      </c>
      <c r="L636">
        <v>260</v>
      </c>
      <c r="M636">
        <v>0</v>
      </c>
      <c r="N636">
        <v>70</v>
      </c>
      <c r="O636">
        <v>70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X636">
        <v>0</v>
      </c>
      <c r="Y636" t="s">
        <v>1496</v>
      </c>
    </row>
    <row r="637" spans="1:25" x14ac:dyDescent="0.25">
      <c r="H637" t="s">
        <v>1497</v>
      </c>
    </row>
    <row r="638" spans="1:25" x14ac:dyDescent="0.25">
      <c r="A638">
        <v>316</v>
      </c>
      <c r="B638">
        <v>302</v>
      </c>
      <c r="C638" t="s">
        <v>1498</v>
      </c>
      <c r="D638" t="s">
        <v>1499</v>
      </c>
      <c r="E638" t="s">
        <v>317</v>
      </c>
      <c r="F638" t="s">
        <v>1500</v>
      </c>
      <c r="G638" t="str">
        <f>"00013970"</f>
        <v>00013970</v>
      </c>
      <c r="H638" t="s">
        <v>456</v>
      </c>
      <c r="I638">
        <v>150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0</v>
      </c>
      <c r="P638">
        <v>50</v>
      </c>
      <c r="Q638">
        <v>0</v>
      </c>
      <c r="R638">
        <v>0</v>
      </c>
      <c r="S638">
        <v>0</v>
      </c>
      <c r="T638">
        <v>0</v>
      </c>
      <c r="U638">
        <v>0</v>
      </c>
      <c r="X638">
        <v>0</v>
      </c>
      <c r="Y638" t="s">
        <v>1501</v>
      </c>
    </row>
    <row r="639" spans="1:25" x14ac:dyDescent="0.25">
      <c r="H639" t="s">
        <v>1502</v>
      </c>
    </row>
    <row r="640" spans="1:25" x14ac:dyDescent="0.25">
      <c r="A640">
        <v>317</v>
      </c>
      <c r="B640">
        <v>347</v>
      </c>
      <c r="C640" t="s">
        <v>1503</v>
      </c>
      <c r="D640" t="s">
        <v>1504</v>
      </c>
      <c r="E640" t="s">
        <v>124</v>
      </c>
      <c r="F640" t="s">
        <v>1505</v>
      </c>
      <c r="G640" t="str">
        <f>"00013418"</f>
        <v>00013418</v>
      </c>
      <c r="H640">
        <v>759</v>
      </c>
      <c r="I640">
        <v>0</v>
      </c>
      <c r="J640">
        <v>400</v>
      </c>
      <c r="K640">
        <v>0</v>
      </c>
      <c r="L640">
        <v>0</v>
      </c>
      <c r="M640">
        <v>0</v>
      </c>
      <c r="N640">
        <v>70</v>
      </c>
      <c r="O640">
        <v>30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X640">
        <v>0</v>
      </c>
      <c r="Y640">
        <v>1259</v>
      </c>
    </row>
    <row r="641" spans="1:25" x14ac:dyDescent="0.25">
      <c r="H641" t="s">
        <v>1506</v>
      </c>
    </row>
    <row r="642" spans="1:25" x14ac:dyDescent="0.25">
      <c r="A642">
        <v>318</v>
      </c>
      <c r="B642">
        <v>2066</v>
      </c>
      <c r="C642" t="s">
        <v>1507</v>
      </c>
      <c r="D642" t="s">
        <v>98</v>
      </c>
      <c r="E642" t="s">
        <v>83</v>
      </c>
      <c r="F642" t="s">
        <v>1508</v>
      </c>
      <c r="G642" t="str">
        <f>"00013093"</f>
        <v>00013093</v>
      </c>
      <c r="H642" t="s">
        <v>219</v>
      </c>
      <c r="I642">
        <v>0</v>
      </c>
      <c r="J642">
        <v>0</v>
      </c>
      <c r="K642">
        <v>0</v>
      </c>
      <c r="L642">
        <v>260</v>
      </c>
      <c r="M642">
        <v>0</v>
      </c>
      <c r="N642">
        <v>70</v>
      </c>
      <c r="O642">
        <v>70</v>
      </c>
      <c r="P642">
        <v>0</v>
      </c>
      <c r="Q642">
        <v>30</v>
      </c>
      <c r="R642">
        <v>0</v>
      </c>
      <c r="S642">
        <v>0</v>
      </c>
      <c r="T642">
        <v>0</v>
      </c>
      <c r="U642">
        <v>0</v>
      </c>
      <c r="X642">
        <v>0</v>
      </c>
      <c r="Y642" t="s">
        <v>1509</v>
      </c>
    </row>
    <row r="643" spans="1:25" x14ac:dyDescent="0.25">
      <c r="H643" t="s">
        <v>1510</v>
      </c>
    </row>
    <row r="644" spans="1:25" x14ac:dyDescent="0.25">
      <c r="A644">
        <v>319</v>
      </c>
      <c r="B644">
        <v>3367</v>
      </c>
      <c r="C644" t="s">
        <v>1511</v>
      </c>
      <c r="D644" t="s">
        <v>141</v>
      </c>
      <c r="E644" t="s">
        <v>1512</v>
      </c>
      <c r="F644" t="s">
        <v>1513</v>
      </c>
      <c r="G644" t="str">
        <f>"200712002894"</f>
        <v>200712002894</v>
      </c>
      <c r="H644" t="s">
        <v>1296</v>
      </c>
      <c r="I644">
        <v>0</v>
      </c>
      <c r="J644">
        <v>0</v>
      </c>
      <c r="K644">
        <v>0</v>
      </c>
      <c r="L644">
        <v>260</v>
      </c>
      <c r="M644">
        <v>0</v>
      </c>
      <c r="N644">
        <v>70</v>
      </c>
      <c r="O644">
        <v>0</v>
      </c>
      <c r="P644">
        <v>30</v>
      </c>
      <c r="Q644">
        <v>0</v>
      </c>
      <c r="R644">
        <v>0</v>
      </c>
      <c r="S644">
        <v>0</v>
      </c>
      <c r="T644">
        <v>0</v>
      </c>
      <c r="U644">
        <v>0</v>
      </c>
      <c r="X644">
        <v>0</v>
      </c>
      <c r="Y644" t="s">
        <v>1514</v>
      </c>
    </row>
    <row r="645" spans="1:25" x14ac:dyDescent="0.25">
      <c r="H645" t="s">
        <v>1515</v>
      </c>
    </row>
    <row r="646" spans="1:25" x14ac:dyDescent="0.25">
      <c r="A646">
        <v>320</v>
      </c>
      <c r="B646">
        <v>2768</v>
      </c>
      <c r="C646" t="s">
        <v>1516</v>
      </c>
      <c r="D646" t="s">
        <v>41</v>
      </c>
      <c r="E646" t="s">
        <v>267</v>
      </c>
      <c r="F646" t="s">
        <v>1517</v>
      </c>
      <c r="G646" t="str">
        <f>"00013652"</f>
        <v>00013652</v>
      </c>
      <c r="H646" t="s">
        <v>836</v>
      </c>
      <c r="I646">
        <v>0</v>
      </c>
      <c r="J646">
        <v>400</v>
      </c>
      <c r="K646">
        <v>0</v>
      </c>
      <c r="L646">
        <v>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X646">
        <v>0</v>
      </c>
      <c r="Y646" t="s">
        <v>1514</v>
      </c>
    </row>
    <row r="647" spans="1:25" x14ac:dyDescent="0.25">
      <c r="H647" t="s">
        <v>1518</v>
      </c>
    </row>
    <row r="648" spans="1:25" x14ac:dyDescent="0.25">
      <c r="A648">
        <v>321</v>
      </c>
      <c r="B648">
        <v>2157</v>
      </c>
      <c r="C648" t="s">
        <v>1519</v>
      </c>
      <c r="D648" t="s">
        <v>175</v>
      </c>
      <c r="E648" t="s">
        <v>182</v>
      </c>
      <c r="F648" t="s">
        <v>1520</v>
      </c>
      <c r="G648" t="str">
        <f>"00014517"</f>
        <v>00014517</v>
      </c>
      <c r="H648" t="s">
        <v>1521</v>
      </c>
      <c r="I648">
        <v>0</v>
      </c>
      <c r="J648">
        <v>400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X648">
        <v>0</v>
      </c>
      <c r="Y648" t="s">
        <v>1522</v>
      </c>
    </row>
    <row r="649" spans="1:25" x14ac:dyDescent="0.25">
      <c r="H649" t="s">
        <v>1523</v>
      </c>
    </row>
    <row r="650" spans="1:25" x14ac:dyDescent="0.25">
      <c r="A650">
        <v>322</v>
      </c>
      <c r="B650">
        <v>2291</v>
      </c>
      <c r="C650" t="s">
        <v>1524</v>
      </c>
      <c r="D650" t="s">
        <v>300</v>
      </c>
      <c r="E650" t="s">
        <v>278</v>
      </c>
      <c r="F650" t="s">
        <v>1525</v>
      </c>
      <c r="G650" t="str">
        <f>"200802002379"</f>
        <v>200802002379</v>
      </c>
      <c r="H650" t="s">
        <v>856</v>
      </c>
      <c r="I650">
        <v>0</v>
      </c>
      <c r="J650">
        <v>400</v>
      </c>
      <c r="K650">
        <v>0</v>
      </c>
      <c r="L650">
        <v>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X650">
        <v>0</v>
      </c>
      <c r="Y650" t="s">
        <v>1526</v>
      </c>
    </row>
    <row r="651" spans="1:25" x14ac:dyDescent="0.25">
      <c r="H651" t="s">
        <v>1527</v>
      </c>
    </row>
    <row r="652" spans="1:25" x14ac:dyDescent="0.25">
      <c r="A652">
        <v>323</v>
      </c>
      <c r="B652">
        <v>1373</v>
      </c>
      <c r="C652" t="s">
        <v>1528</v>
      </c>
      <c r="D652" t="s">
        <v>1212</v>
      </c>
      <c r="E652" t="s">
        <v>1529</v>
      </c>
      <c r="F652" t="s">
        <v>1530</v>
      </c>
      <c r="G652" t="str">
        <f>"00014823"</f>
        <v>00014823</v>
      </c>
      <c r="H652" t="s">
        <v>398</v>
      </c>
      <c r="I652">
        <v>0</v>
      </c>
      <c r="J652">
        <v>400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X652">
        <v>0</v>
      </c>
      <c r="Y652" t="s">
        <v>1531</v>
      </c>
    </row>
    <row r="653" spans="1:25" x14ac:dyDescent="0.25">
      <c r="H653" t="s">
        <v>1532</v>
      </c>
    </row>
    <row r="654" spans="1:25" x14ac:dyDescent="0.25">
      <c r="A654">
        <v>324</v>
      </c>
      <c r="B654">
        <v>19</v>
      </c>
      <c r="C654" t="s">
        <v>1533</v>
      </c>
      <c r="D654" t="s">
        <v>1534</v>
      </c>
      <c r="E654" t="s">
        <v>1535</v>
      </c>
      <c r="F654" t="s">
        <v>1536</v>
      </c>
      <c r="G654" t="str">
        <f>"00003913"</f>
        <v>00003913</v>
      </c>
      <c r="H654" t="s">
        <v>972</v>
      </c>
      <c r="I654">
        <v>150</v>
      </c>
      <c r="J654">
        <v>0</v>
      </c>
      <c r="K654">
        <v>0</v>
      </c>
      <c r="L654">
        <v>0</v>
      </c>
      <c r="M654">
        <v>100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X654">
        <v>0</v>
      </c>
      <c r="Y654" t="s">
        <v>1537</v>
      </c>
    </row>
    <row r="655" spans="1:25" x14ac:dyDescent="0.25">
      <c r="H655" t="s">
        <v>1538</v>
      </c>
    </row>
    <row r="656" spans="1:25" x14ac:dyDescent="0.25">
      <c r="A656">
        <v>325</v>
      </c>
      <c r="B656">
        <v>879</v>
      </c>
      <c r="C656" t="s">
        <v>1539</v>
      </c>
      <c r="D656" t="s">
        <v>124</v>
      </c>
      <c r="E656" t="s">
        <v>1540</v>
      </c>
      <c r="F656" t="s">
        <v>1541</v>
      </c>
      <c r="G656" t="str">
        <f>"00013928"</f>
        <v>00013928</v>
      </c>
      <c r="H656" t="s">
        <v>178</v>
      </c>
      <c r="I656">
        <v>0</v>
      </c>
      <c r="J656">
        <v>400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X656">
        <v>0</v>
      </c>
      <c r="Y656" t="s">
        <v>1537</v>
      </c>
    </row>
    <row r="657" spans="1:25" x14ac:dyDescent="0.25">
      <c r="H657" t="s">
        <v>1542</v>
      </c>
    </row>
    <row r="658" spans="1:25" x14ac:dyDescent="0.25">
      <c r="A658">
        <v>326</v>
      </c>
      <c r="B658">
        <v>1541</v>
      </c>
      <c r="C658" t="s">
        <v>1543</v>
      </c>
      <c r="D658" t="s">
        <v>141</v>
      </c>
      <c r="E658" t="s">
        <v>124</v>
      </c>
      <c r="F658" t="s">
        <v>1544</v>
      </c>
      <c r="G658" t="str">
        <f>"00014806"</f>
        <v>00014806</v>
      </c>
      <c r="H658" t="s">
        <v>491</v>
      </c>
      <c r="I658">
        <v>0</v>
      </c>
      <c r="J658">
        <v>400</v>
      </c>
      <c r="K658">
        <v>0</v>
      </c>
      <c r="L658">
        <v>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X658">
        <v>0</v>
      </c>
      <c r="Y658" t="s">
        <v>1545</v>
      </c>
    </row>
    <row r="659" spans="1:25" x14ac:dyDescent="0.25">
      <c r="H659" t="s">
        <v>1546</v>
      </c>
    </row>
    <row r="660" spans="1:25" x14ac:dyDescent="0.25">
      <c r="A660">
        <v>327</v>
      </c>
      <c r="B660">
        <v>1746</v>
      </c>
      <c r="C660" t="s">
        <v>1547</v>
      </c>
      <c r="D660" t="s">
        <v>41</v>
      </c>
      <c r="E660" t="s">
        <v>671</v>
      </c>
      <c r="F660" t="s">
        <v>1548</v>
      </c>
      <c r="G660" t="str">
        <f>"00013762"</f>
        <v>00013762</v>
      </c>
      <c r="H660" t="s">
        <v>108</v>
      </c>
      <c r="I660">
        <v>0</v>
      </c>
      <c r="J660">
        <v>400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X660">
        <v>0</v>
      </c>
      <c r="Y660" t="s">
        <v>1549</v>
      </c>
    </row>
    <row r="661" spans="1:25" x14ac:dyDescent="0.25">
      <c r="H661">
        <v>221</v>
      </c>
    </row>
    <row r="662" spans="1:25" x14ac:dyDescent="0.25">
      <c r="A662">
        <v>328</v>
      </c>
      <c r="B662">
        <v>394</v>
      </c>
      <c r="C662" t="s">
        <v>1550</v>
      </c>
      <c r="D662" t="s">
        <v>526</v>
      </c>
      <c r="E662" t="s">
        <v>158</v>
      </c>
      <c r="F662" t="s">
        <v>1551</v>
      </c>
      <c r="G662" t="str">
        <f>"00014337"</f>
        <v>00014337</v>
      </c>
      <c r="H662" t="s">
        <v>43</v>
      </c>
      <c r="I662">
        <v>0</v>
      </c>
      <c r="J662">
        <v>400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X662">
        <v>0</v>
      </c>
      <c r="Y662" t="s">
        <v>1552</v>
      </c>
    </row>
    <row r="663" spans="1:25" x14ac:dyDescent="0.25">
      <c r="H663" t="s">
        <v>1553</v>
      </c>
    </row>
    <row r="664" spans="1:25" x14ac:dyDescent="0.25">
      <c r="A664">
        <v>329</v>
      </c>
      <c r="B664">
        <v>1181</v>
      </c>
      <c r="C664" t="s">
        <v>1554</v>
      </c>
      <c r="D664" t="s">
        <v>223</v>
      </c>
      <c r="E664" t="s">
        <v>1555</v>
      </c>
      <c r="F664" t="s">
        <v>1556</v>
      </c>
      <c r="G664" t="str">
        <f>"00014948"</f>
        <v>00014948</v>
      </c>
      <c r="H664" t="s">
        <v>349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70</v>
      </c>
      <c r="O664">
        <v>0</v>
      </c>
      <c r="P664">
        <v>30</v>
      </c>
      <c r="Q664">
        <v>50</v>
      </c>
      <c r="R664">
        <v>30</v>
      </c>
      <c r="S664">
        <v>0</v>
      </c>
      <c r="T664">
        <v>0</v>
      </c>
      <c r="U664">
        <v>0</v>
      </c>
      <c r="X664">
        <v>0</v>
      </c>
      <c r="Y664" t="s">
        <v>1557</v>
      </c>
    </row>
    <row r="665" spans="1:25" x14ac:dyDescent="0.25">
      <c r="H665" t="s">
        <v>1558</v>
      </c>
    </row>
    <row r="666" spans="1:25" x14ac:dyDescent="0.25">
      <c r="A666">
        <v>330</v>
      </c>
      <c r="B666">
        <v>3371</v>
      </c>
      <c r="C666" t="s">
        <v>1559</v>
      </c>
      <c r="D666" t="s">
        <v>1560</v>
      </c>
      <c r="E666" t="s">
        <v>66</v>
      </c>
      <c r="F666" t="s">
        <v>1561</v>
      </c>
      <c r="G666" t="str">
        <f>"200801008298"</f>
        <v>200801008298</v>
      </c>
      <c r="H666" t="s">
        <v>635</v>
      </c>
      <c r="I666">
        <v>0</v>
      </c>
      <c r="J666">
        <v>400</v>
      </c>
      <c r="K666">
        <v>0</v>
      </c>
      <c r="L666">
        <v>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X666">
        <v>1</v>
      </c>
      <c r="Y666" t="s">
        <v>1562</v>
      </c>
    </row>
    <row r="667" spans="1:25" x14ac:dyDescent="0.25">
      <c r="H667" t="s">
        <v>52</v>
      </c>
    </row>
    <row r="668" spans="1:25" x14ac:dyDescent="0.25">
      <c r="A668">
        <v>331</v>
      </c>
      <c r="B668">
        <v>2319</v>
      </c>
      <c r="C668" t="s">
        <v>1563</v>
      </c>
      <c r="D668" t="s">
        <v>223</v>
      </c>
      <c r="E668" t="s">
        <v>124</v>
      </c>
      <c r="F668" t="s">
        <v>1564</v>
      </c>
      <c r="G668" t="str">
        <f>"00013693"</f>
        <v>00013693</v>
      </c>
      <c r="H668" t="s">
        <v>113</v>
      </c>
      <c r="I668">
        <v>0</v>
      </c>
      <c r="J668">
        <v>0</v>
      </c>
      <c r="K668">
        <v>0</v>
      </c>
      <c r="L668">
        <v>260</v>
      </c>
      <c r="M668">
        <v>0</v>
      </c>
      <c r="N668">
        <v>70</v>
      </c>
      <c r="O668">
        <v>0</v>
      </c>
      <c r="P668">
        <v>30</v>
      </c>
      <c r="Q668">
        <v>0</v>
      </c>
      <c r="R668">
        <v>0</v>
      </c>
      <c r="S668">
        <v>0</v>
      </c>
      <c r="T668">
        <v>0</v>
      </c>
      <c r="U668">
        <v>0</v>
      </c>
      <c r="X668">
        <v>0</v>
      </c>
      <c r="Y668" t="s">
        <v>1565</v>
      </c>
    </row>
    <row r="669" spans="1:25" x14ac:dyDescent="0.25">
      <c r="H669" t="s">
        <v>1566</v>
      </c>
    </row>
    <row r="670" spans="1:25" x14ac:dyDescent="0.25">
      <c r="A670">
        <v>332</v>
      </c>
      <c r="B670">
        <v>1436</v>
      </c>
      <c r="C670" t="s">
        <v>1567</v>
      </c>
      <c r="D670" t="s">
        <v>1568</v>
      </c>
      <c r="E670" t="s">
        <v>267</v>
      </c>
      <c r="F670" t="s">
        <v>1569</v>
      </c>
      <c r="G670" t="str">
        <f>"00012480"</f>
        <v>00012480</v>
      </c>
      <c r="H670" t="s">
        <v>661</v>
      </c>
      <c r="I670">
        <v>0</v>
      </c>
      <c r="J670">
        <v>0</v>
      </c>
      <c r="K670">
        <v>200</v>
      </c>
      <c r="L670">
        <v>0</v>
      </c>
      <c r="M670">
        <v>100</v>
      </c>
      <c r="N670">
        <v>70</v>
      </c>
      <c r="O670">
        <v>0</v>
      </c>
      <c r="P670">
        <v>0</v>
      </c>
      <c r="Q670">
        <v>50</v>
      </c>
      <c r="R670">
        <v>0</v>
      </c>
      <c r="S670">
        <v>0</v>
      </c>
      <c r="T670">
        <v>0</v>
      </c>
      <c r="U670">
        <v>0</v>
      </c>
      <c r="X670">
        <v>0</v>
      </c>
      <c r="Y670" t="s">
        <v>1570</v>
      </c>
    </row>
    <row r="671" spans="1:25" x14ac:dyDescent="0.25">
      <c r="H671" t="s">
        <v>1571</v>
      </c>
    </row>
    <row r="672" spans="1:25" x14ac:dyDescent="0.25">
      <c r="A672">
        <v>333</v>
      </c>
      <c r="B672">
        <v>3132</v>
      </c>
      <c r="C672" t="s">
        <v>1572</v>
      </c>
      <c r="D672" t="s">
        <v>1573</v>
      </c>
      <c r="E672" t="s">
        <v>130</v>
      </c>
      <c r="F672" t="s">
        <v>1574</v>
      </c>
      <c r="G672" t="str">
        <f>"00014268"</f>
        <v>00014268</v>
      </c>
      <c r="H672" t="s">
        <v>1575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X672">
        <v>0</v>
      </c>
      <c r="Y672" t="s">
        <v>1576</v>
      </c>
    </row>
    <row r="673" spans="1:25" x14ac:dyDescent="0.25">
      <c r="H673" t="s">
        <v>1577</v>
      </c>
    </row>
    <row r="674" spans="1:25" x14ac:dyDescent="0.25">
      <c r="A674">
        <v>334</v>
      </c>
      <c r="B674">
        <v>1212</v>
      </c>
      <c r="C674" t="s">
        <v>1578</v>
      </c>
      <c r="D674" t="s">
        <v>267</v>
      </c>
      <c r="E674" t="s">
        <v>124</v>
      </c>
      <c r="F674" t="s">
        <v>1579</v>
      </c>
      <c r="G674" t="str">
        <f>"201411001200"</f>
        <v>201411001200</v>
      </c>
      <c r="H674" t="s">
        <v>68</v>
      </c>
      <c r="I674">
        <v>0</v>
      </c>
      <c r="J674">
        <v>400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X674">
        <v>0</v>
      </c>
      <c r="Y674" t="s">
        <v>1580</v>
      </c>
    </row>
    <row r="675" spans="1:25" x14ac:dyDescent="0.25">
      <c r="H675" t="s">
        <v>1581</v>
      </c>
    </row>
    <row r="676" spans="1:25" x14ac:dyDescent="0.25">
      <c r="A676">
        <v>335</v>
      </c>
      <c r="B676">
        <v>1330</v>
      </c>
      <c r="C676" t="s">
        <v>1582</v>
      </c>
      <c r="D676" t="s">
        <v>1583</v>
      </c>
      <c r="E676" t="s">
        <v>66</v>
      </c>
      <c r="F676" t="s">
        <v>1584</v>
      </c>
      <c r="G676" t="str">
        <f>"201511021868"</f>
        <v>201511021868</v>
      </c>
      <c r="H676" t="s">
        <v>1585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70</v>
      </c>
      <c r="O676">
        <v>0</v>
      </c>
      <c r="P676">
        <v>30</v>
      </c>
      <c r="Q676">
        <v>0</v>
      </c>
      <c r="R676">
        <v>0</v>
      </c>
      <c r="S676">
        <v>0</v>
      </c>
      <c r="T676">
        <v>0</v>
      </c>
      <c r="U676">
        <v>0</v>
      </c>
      <c r="X676">
        <v>0</v>
      </c>
      <c r="Y676" t="s">
        <v>1586</v>
      </c>
    </row>
    <row r="677" spans="1:25" x14ac:dyDescent="0.25">
      <c r="H677" t="s">
        <v>1587</v>
      </c>
    </row>
    <row r="678" spans="1:25" x14ac:dyDescent="0.25">
      <c r="A678">
        <v>336</v>
      </c>
      <c r="B678">
        <v>971</v>
      </c>
      <c r="C678" t="s">
        <v>1588</v>
      </c>
      <c r="D678" t="s">
        <v>1087</v>
      </c>
      <c r="E678" t="s">
        <v>66</v>
      </c>
      <c r="F678" t="s">
        <v>1589</v>
      </c>
      <c r="G678" t="str">
        <f>"201406018604"</f>
        <v>201406018604</v>
      </c>
      <c r="H678" t="s">
        <v>1590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X678">
        <v>0</v>
      </c>
      <c r="Y678" t="s">
        <v>1591</v>
      </c>
    </row>
    <row r="679" spans="1:25" x14ac:dyDescent="0.25">
      <c r="H679" t="s">
        <v>1035</v>
      </c>
    </row>
    <row r="680" spans="1:25" x14ac:dyDescent="0.25">
      <c r="A680">
        <v>337</v>
      </c>
      <c r="B680">
        <v>521</v>
      </c>
      <c r="C680" t="s">
        <v>1592</v>
      </c>
      <c r="D680" t="s">
        <v>306</v>
      </c>
      <c r="E680" t="s">
        <v>41</v>
      </c>
      <c r="F680" t="s">
        <v>1593</v>
      </c>
      <c r="G680" t="str">
        <f>"201503000499"</f>
        <v>201503000499</v>
      </c>
      <c r="H680" t="s">
        <v>1495</v>
      </c>
      <c r="I680">
        <v>0</v>
      </c>
      <c r="J680">
        <v>0</v>
      </c>
      <c r="K680">
        <v>200</v>
      </c>
      <c r="L680">
        <v>0</v>
      </c>
      <c r="M680">
        <v>130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X680">
        <v>0</v>
      </c>
      <c r="Y680" t="s">
        <v>1594</v>
      </c>
    </row>
    <row r="681" spans="1:25" x14ac:dyDescent="0.25">
      <c r="H681" t="s">
        <v>1595</v>
      </c>
    </row>
    <row r="682" spans="1:25" x14ac:dyDescent="0.25">
      <c r="A682">
        <v>338</v>
      </c>
      <c r="B682">
        <v>2194</v>
      </c>
      <c r="C682" t="s">
        <v>1596</v>
      </c>
      <c r="D682" t="s">
        <v>175</v>
      </c>
      <c r="E682" t="s">
        <v>21</v>
      </c>
      <c r="F682" t="s">
        <v>1597</v>
      </c>
      <c r="G682" t="str">
        <f>"201504004949"</f>
        <v>201504004949</v>
      </c>
      <c r="H682">
        <v>792</v>
      </c>
      <c r="I682">
        <v>0</v>
      </c>
      <c r="J682">
        <v>400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X682">
        <v>0</v>
      </c>
      <c r="Y682">
        <v>1222</v>
      </c>
    </row>
    <row r="683" spans="1:25" x14ac:dyDescent="0.25">
      <c r="H683" t="s">
        <v>1598</v>
      </c>
    </row>
    <row r="684" spans="1:25" x14ac:dyDescent="0.25">
      <c r="A684">
        <v>339</v>
      </c>
      <c r="B684">
        <v>2300</v>
      </c>
      <c r="C684" t="s">
        <v>1599</v>
      </c>
      <c r="D684" t="s">
        <v>223</v>
      </c>
      <c r="E684" t="s">
        <v>1600</v>
      </c>
      <c r="F684" t="s">
        <v>1601</v>
      </c>
      <c r="G684" t="str">
        <f>"00011322"</f>
        <v>00011322</v>
      </c>
      <c r="H684" t="s">
        <v>1602</v>
      </c>
      <c r="I684">
        <v>0</v>
      </c>
      <c r="J684">
        <v>400</v>
      </c>
      <c r="K684">
        <v>0</v>
      </c>
      <c r="L684">
        <v>0</v>
      </c>
      <c r="M684">
        <v>0</v>
      </c>
      <c r="N684">
        <v>70</v>
      </c>
      <c r="O684">
        <v>30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X684">
        <v>0</v>
      </c>
      <c r="Y684" t="s">
        <v>1603</v>
      </c>
    </row>
    <row r="685" spans="1:25" x14ac:dyDescent="0.25">
      <c r="H685" t="s">
        <v>1604</v>
      </c>
    </row>
    <row r="686" spans="1:25" x14ac:dyDescent="0.25">
      <c r="A686">
        <v>340</v>
      </c>
      <c r="B686">
        <v>39</v>
      </c>
      <c r="C686" t="s">
        <v>1605</v>
      </c>
      <c r="D686" t="s">
        <v>22</v>
      </c>
      <c r="E686" t="s">
        <v>41</v>
      </c>
      <c r="F686" t="s">
        <v>1606</v>
      </c>
      <c r="G686" t="str">
        <f>"201504000294"</f>
        <v>201504000294</v>
      </c>
      <c r="H686" t="s">
        <v>1607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X686">
        <v>0</v>
      </c>
      <c r="Y686" t="s">
        <v>1608</v>
      </c>
    </row>
    <row r="687" spans="1:25" x14ac:dyDescent="0.25">
      <c r="H687" t="s">
        <v>52</v>
      </c>
    </row>
    <row r="688" spans="1:25" x14ac:dyDescent="0.25">
      <c r="A688">
        <v>341</v>
      </c>
      <c r="B688">
        <v>226</v>
      </c>
      <c r="C688" t="s">
        <v>1609</v>
      </c>
      <c r="D688" t="s">
        <v>498</v>
      </c>
      <c r="E688" t="s">
        <v>21</v>
      </c>
      <c r="F688" t="s">
        <v>1610</v>
      </c>
      <c r="G688" t="str">
        <f>"00014006"</f>
        <v>00014006</v>
      </c>
      <c r="H688" t="s">
        <v>653</v>
      </c>
      <c r="I688">
        <v>0</v>
      </c>
      <c r="J688">
        <v>400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X688">
        <v>0</v>
      </c>
      <c r="Y688" t="s">
        <v>1611</v>
      </c>
    </row>
    <row r="689" spans="1:25" x14ac:dyDescent="0.25">
      <c r="H689" t="s">
        <v>1612</v>
      </c>
    </row>
    <row r="690" spans="1:25" x14ac:dyDescent="0.25">
      <c r="A690">
        <v>342</v>
      </c>
      <c r="B690">
        <v>253</v>
      </c>
      <c r="C690" t="s">
        <v>1613</v>
      </c>
      <c r="D690" t="s">
        <v>41</v>
      </c>
      <c r="E690" t="s">
        <v>1555</v>
      </c>
      <c r="F690" t="s">
        <v>1614</v>
      </c>
      <c r="G690" t="str">
        <f>"201504003374"</f>
        <v>201504003374</v>
      </c>
      <c r="H690" t="s">
        <v>1615</v>
      </c>
      <c r="I690">
        <v>0</v>
      </c>
      <c r="J690">
        <v>0</v>
      </c>
      <c r="K690">
        <v>200</v>
      </c>
      <c r="L690">
        <v>0</v>
      </c>
      <c r="M690">
        <v>100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X690">
        <v>0</v>
      </c>
      <c r="Y690" t="s">
        <v>1616</v>
      </c>
    </row>
    <row r="691" spans="1:25" x14ac:dyDescent="0.25">
      <c r="H691" t="s">
        <v>1617</v>
      </c>
    </row>
    <row r="692" spans="1:25" x14ac:dyDescent="0.25">
      <c r="A692">
        <v>343</v>
      </c>
      <c r="B692">
        <v>2281</v>
      </c>
      <c r="C692" t="s">
        <v>1618</v>
      </c>
      <c r="D692" t="s">
        <v>526</v>
      </c>
      <c r="E692" t="s">
        <v>48</v>
      </c>
      <c r="F692" t="s">
        <v>1619</v>
      </c>
      <c r="G692" t="str">
        <f>"00014720"</f>
        <v>00014720</v>
      </c>
      <c r="H692" t="s">
        <v>1615</v>
      </c>
      <c r="I692">
        <v>0</v>
      </c>
      <c r="J692">
        <v>0</v>
      </c>
      <c r="K692">
        <v>0</v>
      </c>
      <c r="L692">
        <v>200</v>
      </c>
      <c r="M692">
        <v>0</v>
      </c>
      <c r="N692">
        <v>70</v>
      </c>
      <c r="O692">
        <v>70</v>
      </c>
      <c r="P692">
        <v>0</v>
      </c>
      <c r="Q692">
        <v>0</v>
      </c>
      <c r="R692">
        <v>30</v>
      </c>
      <c r="S692">
        <v>0</v>
      </c>
      <c r="T692">
        <v>0</v>
      </c>
      <c r="U692">
        <v>0</v>
      </c>
      <c r="X692">
        <v>0</v>
      </c>
      <c r="Y692" t="s">
        <v>1616</v>
      </c>
    </row>
    <row r="693" spans="1:25" x14ac:dyDescent="0.25">
      <c r="H693" t="s">
        <v>1620</v>
      </c>
    </row>
    <row r="694" spans="1:25" x14ac:dyDescent="0.25">
      <c r="A694">
        <v>344</v>
      </c>
      <c r="B694">
        <v>420</v>
      </c>
      <c r="C694" t="s">
        <v>1621</v>
      </c>
      <c r="D694" t="s">
        <v>526</v>
      </c>
      <c r="E694" t="s">
        <v>301</v>
      </c>
      <c r="F694" t="s">
        <v>1622</v>
      </c>
      <c r="G694" t="str">
        <f>"201511021701"</f>
        <v>201511021701</v>
      </c>
      <c r="H694" t="s">
        <v>359</v>
      </c>
      <c r="I694">
        <v>0</v>
      </c>
      <c r="J694">
        <v>400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X694">
        <v>0</v>
      </c>
      <c r="Y694" t="s">
        <v>1623</v>
      </c>
    </row>
    <row r="695" spans="1:25" x14ac:dyDescent="0.25">
      <c r="H695" t="s">
        <v>1624</v>
      </c>
    </row>
    <row r="696" spans="1:25" x14ac:dyDescent="0.25">
      <c r="A696">
        <v>345</v>
      </c>
      <c r="B696">
        <v>1596</v>
      </c>
      <c r="C696" t="s">
        <v>1625</v>
      </c>
      <c r="D696" t="s">
        <v>211</v>
      </c>
      <c r="E696" t="s">
        <v>417</v>
      </c>
      <c r="F696" t="s">
        <v>1626</v>
      </c>
      <c r="G696" t="str">
        <f>"00013984"</f>
        <v>00013984</v>
      </c>
      <c r="H696" t="s">
        <v>1627</v>
      </c>
      <c r="I696">
        <v>0</v>
      </c>
      <c r="J696">
        <v>400</v>
      </c>
      <c r="K696">
        <v>0</v>
      </c>
      <c r="L696">
        <v>0</v>
      </c>
      <c r="M696">
        <v>0</v>
      </c>
      <c r="N696">
        <v>70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X696">
        <v>0</v>
      </c>
      <c r="Y696" t="s">
        <v>1628</v>
      </c>
    </row>
    <row r="697" spans="1:25" x14ac:dyDescent="0.25">
      <c r="H697" t="s">
        <v>1629</v>
      </c>
    </row>
    <row r="698" spans="1:25" x14ac:dyDescent="0.25">
      <c r="A698">
        <v>346</v>
      </c>
      <c r="B698">
        <v>1399</v>
      </c>
      <c r="C698" t="s">
        <v>477</v>
      </c>
      <c r="D698" t="s">
        <v>749</v>
      </c>
      <c r="E698" t="s">
        <v>21</v>
      </c>
      <c r="F698" t="s">
        <v>1630</v>
      </c>
      <c r="G698" t="str">
        <f>"00013986"</f>
        <v>00013986</v>
      </c>
      <c r="H698" t="s">
        <v>1631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50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X698">
        <v>0</v>
      </c>
      <c r="Y698" t="s">
        <v>1632</v>
      </c>
    </row>
    <row r="699" spans="1:25" x14ac:dyDescent="0.25">
      <c r="H699" t="s">
        <v>1633</v>
      </c>
    </row>
    <row r="700" spans="1:25" x14ac:dyDescent="0.25">
      <c r="A700">
        <v>347</v>
      </c>
      <c r="B700">
        <v>3070</v>
      </c>
      <c r="C700" t="s">
        <v>1634</v>
      </c>
      <c r="D700" t="s">
        <v>330</v>
      </c>
      <c r="E700" t="s">
        <v>21</v>
      </c>
      <c r="F700" t="s">
        <v>1635</v>
      </c>
      <c r="G700" t="str">
        <f>"201412006191"</f>
        <v>201412006191</v>
      </c>
      <c r="H700" t="s">
        <v>673</v>
      </c>
      <c r="I700">
        <v>0</v>
      </c>
      <c r="J700">
        <v>400</v>
      </c>
      <c r="K700">
        <v>0</v>
      </c>
      <c r="L700">
        <v>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X700">
        <v>0</v>
      </c>
      <c r="Y700" t="s">
        <v>1636</v>
      </c>
    </row>
    <row r="701" spans="1:25" x14ac:dyDescent="0.25">
      <c r="H701" t="s">
        <v>1637</v>
      </c>
    </row>
    <row r="702" spans="1:25" x14ac:dyDescent="0.25">
      <c r="A702">
        <v>348</v>
      </c>
      <c r="B702">
        <v>1302</v>
      </c>
      <c r="C702" t="s">
        <v>1638</v>
      </c>
      <c r="D702" t="s">
        <v>181</v>
      </c>
      <c r="E702" t="s">
        <v>22</v>
      </c>
      <c r="F702" t="s">
        <v>1639</v>
      </c>
      <c r="G702" t="str">
        <f>"00014712"</f>
        <v>00014712</v>
      </c>
      <c r="H702" t="s">
        <v>1169</v>
      </c>
      <c r="I702">
        <v>0</v>
      </c>
      <c r="J702">
        <v>400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X702">
        <v>0</v>
      </c>
      <c r="Y702" t="s">
        <v>1640</v>
      </c>
    </row>
    <row r="703" spans="1:25" x14ac:dyDescent="0.25">
      <c r="H703" t="s">
        <v>1641</v>
      </c>
    </row>
    <row r="704" spans="1:25" x14ac:dyDescent="0.25">
      <c r="A704">
        <v>349</v>
      </c>
      <c r="B704">
        <v>880</v>
      </c>
      <c r="C704" t="s">
        <v>1642</v>
      </c>
      <c r="D704" t="s">
        <v>41</v>
      </c>
      <c r="E704" t="s">
        <v>267</v>
      </c>
      <c r="F704" t="s">
        <v>1643</v>
      </c>
      <c r="G704" t="str">
        <f>"00014834"</f>
        <v>00014834</v>
      </c>
      <c r="H704" t="s">
        <v>1169</v>
      </c>
      <c r="I704">
        <v>0</v>
      </c>
      <c r="J704">
        <v>400</v>
      </c>
      <c r="K704">
        <v>0</v>
      </c>
      <c r="L704">
        <v>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X704">
        <v>0</v>
      </c>
      <c r="Y704" t="s">
        <v>1640</v>
      </c>
    </row>
    <row r="705" spans="1:25" x14ac:dyDescent="0.25">
      <c r="H705" t="s">
        <v>1644</v>
      </c>
    </row>
    <row r="706" spans="1:25" x14ac:dyDescent="0.25">
      <c r="A706">
        <v>350</v>
      </c>
      <c r="B706">
        <v>2636</v>
      </c>
      <c r="C706" t="s">
        <v>1645</v>
      </c>
      <c r="D706" t="s">
        <v>1646</v>
      </c>
      <c r="E706" t="s">
        <v>1647</v>
      </c>
      <c r="F706" t="s">
        <v>1648</v>
      </c>
      <c r="G706" t="str">
        <f>"00014596"</f>
        <v>00014596</v>
      </c>
      <c r="H706" t="s">
        <v>349</v>
      </c>
      <c r="I706">
        <v>0</v>
      </c>
      <c r="J706">
        <v>0</v>
      </c>
      <c r="K706">
        <v>0</v>
      </c>
      <c r="L706">
        <v>260</v>
      </c>
      <c r="M706">
        <v>0</v>
      </c>
      <c r="N706">
        <v>70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X706">
        <v>0</v>
      </c>
      <c r="Y706" t="s">
        <v>1649</v>
      </c>
    </row>
    <row r="707" spans="1:25" x14ac:dyDescent="0.25">
      <c r="H707" t="s">
        <v>203</v>
      </c>
    </row>
    <row r="708" spans="1:25" x14ac:dyDescent="0.25">
      <c r="A708">
        <v>351</v>
      </c>
      <c r="B708">
        <v>773</v>
      </c>
      <c r="C708" t="s">
        <v>1650</v>
      </c>
      <c r="D708" t="s">
        <v>93</v>
      </c>
      <c r="E708" t="s">
        <v>124</v>
      </c>
      <c r="F708" t="s">
        <v>1651</v>
      </c>
      <c r="G708" t="str">
        <f>"00014660"</f>
        <v>00014660</v>
      </c>
      <c r="H708" t="s">
        <v>947</v>
      </c>
      <c r="I708">
        <v>0</v>
      </c>
      <c r="J708">
        <v>400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X708">
        <v>0</v>
      </c>
      <c r="Y708" t="s">
        <v>1652</v>
      </c>
    </row>
    <row r="709" spans="1:25" x14ac:dyDescent="0.25">
      <c r="H709" t="s">
        <v>1653</v>
      </c>
    </row>
    <row r="710" spans="1:25" x14ac:dyDescent="0.25">
      <c r="A710">
        <v>352</v>
      </c>
      <c r="B710">
        <v>1763</v>
      </c>
      <c r="C710" t="s">
        <v>1654</v>
      </c>
      <c r="D710" t="s">
        <v>1655</v>
      </c>
      <c r="E710" t="s">
        <v>585</v>
      </c>
      <c r="F710" t="s">
        <v>1656</v>
      </c>
      <c r="G710" t="str">
        <f>"00014368"</f>
        <v>00014368</v>
      </c>
      <c r="H710" t="s">
        <v>36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30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X710">
        <v>0</v>
      </c>
      <c r="Y710" t="s">
        <v>1657</v>
      </c>
    </row>
    <row r="711" spans="1:25" x14ac:dyDescent="0.25">
      <c r="H711" t="s">
        <v>52</v>
      </c>
    </row>
    <row r="712" spans="1:25" x14ac:dyDescent="0.25">
      <c r="A712">
        <v>353</v>
      </c>
      <c r="B712">
        <v>1865</v>
      </c>
      <c r="C712" t="s">
        <v>1658</v>
      </c>
      <c r="D712" t="s">
        <v>1659</v>
      </c>
      <c r="E712" t="s">
        <v>681</v>
      </c>
      <c r="F712" t="s">
        <v>1660</v>
      </c>
      <c r="G712" t="str">
        <f>"00012616"</f>
        <v>00012616</v>
      </c>
      <c r="H712">
        <v>913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X712">
        <v>0</v>
      </c>
      <c r="Y712">
        <v>1183</v>
      </c>
    </row>
    <row r="713" spans="1:25" x14ac:dyDescent="0.25">
      <c r="H713" t="s">
        <v>1661</v>
      </c>
    </row>
    <row r="714" spans="1:25" x14ac:dyDescent="0.25">
      <c r="A714">
        <v>354</v>
      </c>
      <c r="B714">
        <v>1154</v>
      </c>
      <c r="C714" t="s">
        <v>1662</v>
      </c>
      <c r="D714" t="s">
        <v>112</v>
      </c>
      <c r="E714" t="s">
        <v>22</v>
      </c>
      <c r="F714" t="s">
        <v>1663</v>
      </c>
      <c r="G714" t="str">
        <f>"200802011154"</f>
        <v>200802011154</v>
      </c>
      <c r="H714" t="s">
        <v>1084</v>
      </c>
      <c r="I714">
        <v>0</v>
      </c>
      <c r="J714">
        <v>0</v>
      </c>
      <c r="K714">
        <v>0</v>
      </c>
      <c r="L714">
        <v>200</v>
      </c>
      <c r="M714">
        <v>30</v>
      </c>
      <c r="N714">
        <v>30</v>
      </c>
      <c r="O714">
        <v>0</v>
      </c>
      <c r="P714">
        <v>0</v>
      </c>
      <c r="Q714">
        <v>30</v>
      </c>
      <c r="R714">
        <v>0</v>
      </c>
      <c r="S714">
        <v>0</v>
      </c>
      <c r="T714">
        <v>0</v>
      </c>
      <c r="U714">
        <v>0</v>
      </c>
      <c r="X714">
        <v>0</v>
      </c>
      <c r="Y714" t="s">
        <v>1664</v>
      </c>
    </row>
    <row r="715" spans="1:25" x14ac:dyDescent="0.25">
      <c r="H715" t="s">
        <v>1665</v>
      </c>
    </row>
    <row r="716" spans="1:25" x14ac:dyDescent="0.25">
      <c r="A716">
        <v>355</v>
      </c>
      <c r="B716">
        <v>2028</v>
      </c>
      <c r="C716" t="s">
        <v>1666</v>
      </c>
      <c r="D716" t="s">
        <v>106</v>
      </c>
      <c r="E716" t="s">
        <v>22</v>
      </c>
      <c r="F716" t="s">
        <v>1667</v>
      </c>
      <c r="G716" t="str">
        <f>"200801007673"</f>
        <v>200801007673</v>
      </c>
      <c r="H716" t="s">
        <v>587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70</v>
      </c>
      <c r="O716">
        <v>50</v>
      </c>
      <c r="P716">
        <v>0</v>
      </c>
      <c r="Q716">
        <v>0</v>
      </c>
      <c r="R716">
        <v>70</v>
      </c>
      <c r="S716">
        <v>0</v>
      </c>
      <c r="T716">
        <v>0</v>
      </c>
      <c r="U716">
        <v>0</v>
      </c>
      <c r="X716">
        <v>0</v>
      </c>
      <c r="Y716" t="s">
        <v>1668</v>
      </c>
    </row>
    <row r="717" spans="1:25" x14ac:dyDescent="0.25">
      <c r="H717" t="s">
        <v>1669</v>
      </c>
    </row>
    <row r="718" spans="1:25" x14ac:dyDescent="0.25">
      <c r="A718">
        <v>356</v>
      </c>
      <c r="B718">
        <v>569</v>
      </c>
      <c r="C718" t="s">
        <v>1316</v>
      </c>
      <c r="D718" t="s">
        <v>526</v>
      </c>
      <c r="E718" t="s">
        <v>217</v>
      </c>
      <c r="F718" t="s">
        <v>1670</v>
      </c>
      <c r="G718" t="str">
        <f>"201409005435"</f>
        <v>201409005435</v>
      </c>
      <c r="H718" t="s">
        <v>61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X718">
        <v>0</v>
      </c>
      <c r="Y718" t="s">
        <v>1671</v>
      </c>
    </row>
    <row r="719" spans="1:25" x14ac:dyDescent="0.25">
      <c r="H719" t="s">
        <v>1672</v>
      </c>
    </row>
    <row r="720" spans="1:25" x14ac:dyDescent="0.25">
      <c r="A720">
        <v>357</v>
      </c>
      <c r="B720">
        <v>3121</v>
      </c>
      <c r="C720" t="s">
        <v>1673</v>
      </c>
      <c r="D720" t="s">
        <v>1674</v>
      </c>
      <c r="E720" t="s">
        <v>22</v>
      </c>
      <c r="F720" t="s">
        <v>1675</v>
      </c>
      <c r="G720" t="str">
        <f>"00012853"</f>
        <v>00012853</v>
      </c>
      <c r="H720" t="s">
        <v>480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70</v>
      </c>
      <c r="O720">
        <v>0</v>
      </c>
      <c r="P720">
        <v>50</v>
      </c>
      <c r="Q720">
        <v>0</v>
      </c>
      <c r="R720">
        <v>0</v>
      </c>
      <c r="S720">
        <v>0</v>
      </c>
      <c r="T720">
        <v>0</v>
      </c>
      <c r="U720">
        <v>0</v>
      </c>
      <c r="X720">
        <v>0</v>
      </c>
      <c r="Y720" t="s">
        <v>1676</v>
      </c>
    </row>
    <row r="721" spans="1:25" x14ac:dyDescent="0.25">
      <c r="H721" t="s">
        <v>1677</v>
      </c>
    </row>
    <row r="722" spans="1:25" x14ac:dyDescent="0.25">
      <c r="A722">
        <v>358</v>
      </c>
      <c r="B722">
        <v>1776</v>
      </c>
      <c r="C722" t="s">
        <v>1678</v>
      </c>
      <c r="D722" t="s">
        <v>124</v>
      </c>
      <c r="E722" t="s">
        <v>417</v>
      </c>
      <c r="F722" t="s">
        <v>1679</v>
      </c>
      <c r="G722" t="str">
        <f>"201411000796"</f>
        <v>201411000796</v>
      </c>
      <c r="H722" t="s">
        <v>677</v>
      </c>
      <c r="I722">
        <v>0</v>
      </c>
      <c r="J722">
        <v>0</v>
      </c>
      <c r="K722">
        <v>0</v>
      </c>
      <c r="L722">
        <v>200</v>
      </c>
      <c r="M722">
        <v>30</v>
      </c>
      <c r="N722">
        <v>70</v>
      </c>
      <c r="O722">
        <v>0</v>
      </c>
      <c r="P722">
        <v>30</v>
      </c>
      <c r="Q722">
        <v>0</v>
      </c>
      <c r="R722">
        <v>0</v>
      </c>
      <c r="S722">
        <v>0</v>
      </c>
      <c r="T722">
        <v>0</v>
      </c>
      <c r="U722">
        <v>0</v>
      </c>
      <c r="X722">
        <v>0</v>
      </c>
      <c r="Y722" t="s">
        <v>1680</v>
      </c>
    </row>
    <row r="723" spans="1:25" x14ac:dyDescent="0.25">
      <c r="H723" t="s">
        <v>1681</v>
      </c>
    </row>
    <row r="724" spans="1:25" x14ac:dyDescent="0.25">
      <c r="A724">
        <v>359</v>
      </c>
      <c r="B724">
        <v>3242</v>
      </c>
      <c r="C724" t="s">
        <v>1682</v>
      </c>
      <c r="D724" t="s">
        <v>199</v>
      </c>
      <c r="E724" t="s">
        <v>1683</v>
      </c>
      <c r="F724">
        <v>830949</v>
      </c>
      <c r="G724" t="str">
        <f>"00014359"</f>
        <v>00014359</v>
      </c>
      <c r="H724" t="s">
        <v>1684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70</v>
      </c>
      <c r="O724">
        <v>0</v>
      </c>
      <c r="P724">
        <v>0</v>
      </c>
      <c r="Q724">
        <v>0</v>
      </c>
      <c r="R724">
        <v>30</v>
      </c>
      <c r="S724">
        <v>0</v>
      </c>
      <c r="T724">
        <v>0</v>
      </c>
      <c r="U724">
        <v>0</v>
      </c>
      <c r="X724">
        <v>0</v>
      </c>
      <c r="Y724" t="s">
        <v>1685</v>
      </c>
    </row>
    <row r="725" spans="1:25" x14ac:dyDescent="0.25">
      <c r="H725">
        <v>224</v>
      </c>
    </row>
    <row r="726" spans="1:25" x14ac:dyDescent="0.25">
      <c r="A726">
        <v>360</v>
      </c>
      <c r="B726">
        <v>1481</v>
      </c>
      <c r="C726" t="s">
        <v>1686</v>
      </c>
      <c r="D726" t="s">
        <v>223</v>
      </c>
      <c r="E726" t="s">
        <v>124</v>
      </c>
      <c r="F726" t="s">
        <v>1687</v>
      </c>
      <c r="G726" t="str">
        <f>"00014373"</f>
        <v>00014373</v>
      </c>
      <c r="H726" t="s">
        <v>154</v>
      </c>
      <c r="I726">
        <v>0</v>
      </c>
      <c r="J726">
        <v>0</v>
      </c>
      <c r="K726">
        <v>0</v>
      </c>
      <c r="L726">
        <v>200</v>
      </c>
      <c r="M726">
        <v>0</v>
      </c>
      <c r="N726">
        <v>70</v>
      </c>
      <c r="O726">
        <v>0</v>
      </c>
      <c r="P726">
        <v>50</v>
      </c>
      <c r="Q726">
        <v>0</v>
      </c>
      <c r="R726">
        <v>0</v>
      </c>
      <c r="S726">
        <v>0</v>
      </c>
      <c r="T726">
        <v>0</v>
      </c>
      <c r="U726">
        <v>0</v>
      </c>
      <c r="X726">
        <v>0</v>
      </c>
      <c r="Y726" t="s">
        <v>1688</v>
      </c>
    </row>
    <row r="727" spans="1:25" x14ac:dyDescent="0.25">
      <c r="H727" t="s">
        <v>1689</v>
      </c>
    </row>
    <row r="728" spans="1:25" x14ac:dyDescent="0.25">
      <c r="A728">
        <v>361</v>
      </c>
      <c r="B728">
        <v>890</v>
      </c>
      <c r="C728" t="s">
        <v>1690</v>
      </c>
      <c r="D728" t="s">
        <v>41</v>
      </c>
      <c r="E728" t="s">
        <v>48</v>
      </c>
      <c r="F728" t="s">
        <v>1691</v>
      </c>
      <c r="G728" t="str">
        <f>"00015087"</f>
        <v>00015087</v>
      </c>
      <c r="H728" t="s">
        <v>1692</v>
      </c>
      <c r="I728">
        <v>0</v>
      </c>
      <c r="J728">
        <v>400</v>
      </c>
      <c r="K728">
        <v>0</v>
      </c>
      <c r="L728">
        <v>0</v>
      </c>
      <c r="M728">
        <v>0</v>
      </c>
      <c r="N728">
        <v>50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X728">
        <v>0</v>
      </c>
      <c r="Y728" t="s">
        <v>1693</v>
      </c>
    </row>
    <row r="729" spans="1:25" x14ac:dyDescent="0.25">
      <c r="H729" t="s">
        <v>1694</v>
      </c>
    </row>
    <row r="730" spans="1:25" x14ac:dyDescent="0.25">
      <c r="A730">
        <v>362</v>
      </c>
      <c r="B730">
        <v>2309</v>
      </c>
      <c r="C730" t="s">
        <v>1695</v>
      </c>
      <c r="D730" t="s">
        <v>1696</v>
      </c>
      <c r="E730" t="s">
        <v>22</v>
      </c>
      <c r="F730" t="s">
        <v>1697</v>
      </c>
      <c r="G730" t="str">
        <f>"00014125"</f>
        <v>00014125</v>
      </c>
      <c r="H730" t="s">
        <v>1698</v>
      </c>
      <c r="I730">
        <v>0</v>
      </c>
      <c r="J730">
        <v>0</v>
      </c>
      <c r="K730">
        <v>0</v>
      </c>
      <c r="L730">
        <v>200</v>
      </c>
      <c r="M730">
        <v>0</v>
      </c>
      <c r="N730">
        <v>70</v>
      </c>
      <c r="O730">
        <v>0</v>
      </c>
      <c r="P730">
        <v>30</v>
      </c>
      <c r="Q730">
        <v>0</v>
      </c>
      <c r="R730">
        <v>0</v>
      </c>
      <c r="S730">
        <v>0</v>
      </c>
      <c r="T730">
        <v>0</v>
      </c>
      <c r="U730">
        <v>0</v>
      </c>
      <c r="X730">
        <v>0</v>
      </c>
      <c r="Y730" t="s">
        <v>1699</v>
      </c>
    </row>
    <row r="731" spans="1:25" x14ac:dyDescent="0.25">
      <c r="H731" t="s">
        <v>1700</v>
      </c>
    </row>
    <row r="732" spans="1:25" x14ac:dyDescent="0.25">
      <c r="A732">
        <v>363</v>
      </c>
      <c r="B732">
        <v>77</v>
      </c>
      <c r="C732" t="s">
        <v>1701</v>
      </c>
      <c r="D732" t="s">
        <v>1206</v>
      </c>
      <c r="E732" t="s">
        <v>106</v>
      </c>
      <c r="F732" t="s">
        <v>1702</v>
      </c>
      <c r="G732" t="str">
        <f>"201503000599"</f>
        <v>201503000599</v>
      </c>
      <c r="H732" t="s">
        <v>587</v>
      </c>
      <c r="I732">
        <v>150</v>
      </c>
      <c r="J732">
        <v>0</v>
      </c>
      <c r="K732">
        <v>0</v>
      </c>
      <c r="L732">
        <v>200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X732">
        <v>0</v>
      </c>
      <c r="Y732" t="s">
        <v>1703</v>
      </c>
    </row>
    <row r="733" spans="1:25" x14ac:dyDescent="0.25">
      <c r="H733" t="s">
        <v>1704</v>
      </c>
    </row>
    <row r="734" spans="1:25" x14ac:dyDescent="0.25">
      <c r="A734">
        <v>364</v>
      </c>
      <c r="B734">
        <v>2754</v>
      </c>
      <c r="C734" t="s">
        <v>1705</v>
      </c>
      <c r="D734" t="s">
        <v>147</v>
      </c>
      <c r="E734" t="s">
        <v>217</v>
      </c>
      <c r="F734" t="s">
        <v>1706</v>
      </c>
      <c r="G734" t="str">
        <f>"00012975"</f>
        <v>00012975</v>
      </c>
      <c r="H734">
        <v>869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70</v>
      </c>
      <c r="O734">
        <v>0</v>
      </c>
      <c r="P734">
        <v>30</v>
      </c>
      <c r="Q734">
        <v>0</v>
      </c>
      <c r="R734">
        <v>0</v>
      </c>
      <c r="S734">
        <v>0</v>
      </c>
      <c r="T734">
        <v>0</v>
      </c>
      <c r="U734">
        <v>0</v>
      </c>
      <c r="X734">
        <v>0</v>
      </c>
      <c r="Y734">
        <v>1169</v>
      </c>
    </row>
    <row r="735" spans="1:25" x14ac:dyDescent="0.25">
      <c r="H735" t="s">
        <v>1707</v>
      </c>
    </row>
    <row r="736" spans="1:25" x14ac:dyDescent="0.25">
      <c r="A736">
        <v>365</v>
      </c>
      <c r="B736">
        <v>1488</v>
      </c>
      <c r="C736" t="s">
        <v>1708</v>
      </c>
      <c r="D736" t="s">
        <v>211</v>
      </c>
      <c r="E736" t="s">
        <v>124</v>
      </c>
      <c r="F736" t="s">
        <v>1709</v>
      </c>
      <c r="G736" t="str">
        <f>"00014369"</f>
        <v>00014369</v>
      </c>
      <c r="H736">
        <v>869</v>
      </c>
      <c r="I736">
        <v>0</v>
      </c>
      <c r="J736">
        <v>0</v>
      </c>
      <c r="K736">
        <v>0</v>
      </c>
      <c r="L736">
        <v>200</v>
      </c>
      <c r="M736">
        <v>0</v>
      </c>
      <c r="N736">
        <v>70</v>
      </c>
      <c r="O736">
        <v>0</v>
      </c>
      <c r="P736">
        <v>30</v>
      </c>
      <c r="Q736">
        <v>0</v>
      </c>
      <c r="R736">
        <v>0</v>
      </c>
      <c r="S736">
        <v>0</v>
      </c>
      <c r="T736">
        <v>0</v>
      </c>
      <c r="U736">
        <v>0</v>
      </c>
      <c r="X736">
        <v>0</v>
      </c>
      <c r="Y736">
        <v>1169</v>
      </c>
    </row>
    <row r="737" spans="1:25" x14ac:dyDescent="0.25">
      <c r="H737" t="s">
        <v>1710</v>
      </c>
    </row>
    <row r="738" spans="1:25" x14ac:dyDescent="0.25">
      <c r="A738">
        <v>366</v>
      </c>
      <c r="B738">
        <v>2017</v>
      </c>
      <c r="C738" t="s">
        <v>1711</v>
      </c>
      <c r="D738" t="s">
        <v>526</v>
      </c>
      <c r="E738" t="s">
        <v>124</v>
      </c>
      <c r="F738" t="s">
        <v>1712</v>
      </c>
      <c r="G738" t="str">
        <f>"201406013721"</f>
        <v>201406013721</v>
      </c>
      <c r="H738" t="s">
        <v>1713</v>
      </c>
      <c r="I738">
        <v>0</v>
      </c>
      <c r="J738">
        <v>0</v>
      </c>
      <c r="K738">
        <v>200</v>
      </c>
      <c r="L738">
        <v>0</v>
      </c>
      <c r="M738">
        <v>130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X738">
        <v>0</v>
      </c>
      <c r="Y738" t="s">
        <v>1714</v>
      </c>
    </row>
    <row r="739" spans="1:25" x14ac:dyDescent="0.25">
      <c r="H739" t="s">
        <v>1715</v>
      </c>
    </row>
    <row r="740" spans="1:25" x14ac:dyDescent="0.25">
      <c r="A740">
        <v>367</v>
      </c>
      <c r="B740">
        <v>322</v>
      </c>
      <c r="C740" t="s">
        <v>1716</v>
      </c>
      <c r="D740" t="s">
        <v>98</v>
      </c>
      <c r="E740" t="s">
        <v>82</v>
      </c>
      <c r="F740" t="s">
        <v>1717</v>
      </c>
      <c r="G740" t="str">
        <f>"00015125"</f>
        <v>00015125</v>
      </c>
      <c r="H740">
        <v>836</v>
      </c>
      <c r="I740">
        <v>0</v>
      </c>
      <c r="J740">
        <v>0</v>
      </c>
      <c r="K740">
        <v>0</v>
      </c>
      <c r="L740">
        <v>260</v>
      </c>
      <c r="M740">
        <v>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X740">
        <v>0</v>
      </c>
      <c r="Y740">
        <v>1166</v>
      </c>
    </row>
    <row r="741" spans="1:25" x14ac:dyDescent="0.25">
      <c r="H741" t="s">
        <v>1718</v>
      </c>
    </row>
    <row r="742" spans="1:25" x14ac:dyDescent="0.25">
      <c r="A742">
        <v>368</v>
      </c>
      <c r="B742">
        <v>2454</v>
      </c>
      <c r="C742" t="s">
        <v>1719</v>
      </c>
      <c r="D742" t="s">
        <v>1720</v>
      </c>
      <c r="E742" t="s">
        <v>21</v>
      </c>
      <c r="F742" t="s">
        <v>1721</v>
      </c>
      <c r="G742" t="str">
        <f>"00014345"</f>
        <v>00014345</v>
      </c>
      <c r="H742" t="s">
        <v>250</v>
      </c>
      <c r="I742">
        <v>0</v>
      </c>
      <c r="J742">
        <v>0</v>
      </c>
      <c r="K742">
        <v>0</v>
      </c>
      <c r="L742">
        <v>200</v>
      </c>
      <c r="M742">
        <v>0</v>
      </c>
      <c r="N742">
        <v>70</v>
      </c>
      <c r="O742">
        <v>50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X742">
        <v>0</v>
      </c>
      <c r="Y742" t="s">
        <v>1722</v>
      </c>
    </row>
    <row r="743" spans="1:25" x14ac:dyDescent="0.25">
      <c r="H743" t="s">
        <v>1723</v>
      </c>
    </row>
    <row r="744" spans="1:25" x14ac:dyDescent="0.25">
      <c r="A744">
        <v>369</v>
      </c>
      <c r="B744">
        <v>700</v>
      </c>
      <c r="C744" t="s">
        <v>1724</v>
      </c>
      <c r="D744" t="s">
        <v>300</v>
      </c>
      <c r="E744" t="s">
        <v>124</v>
      </c>
      <c r="F744" t="s">
        <v>1725</v>
      </c>
      <c r="G744" t="str">
        <f>"00014716"</f>
        <v>00014716</v>
      </c>
      <c r="H744" t="s">
        <v>1290</v>
      </c>
      <c r="I744">
        <v>0</v>
      </c>
      <c r="J744">
        <v>400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X744">
        <v>0</v>
      </c>
      <c r="Y744" t="s">
        <v>1722</v>
      </c>
    </row>
    <row r="745" spans="1:25" x14ac:dyDescent="0.25">
      <c r="H745" t="s">
        <v>1726</v>
      </c>
    </row>
    <row r="746" spans="1:25" x14ac:dyDescent="0.25">
      <c r="A746">
        <v>370</v>
      </c>
      <c r="B746">
        <v>2460</v>
      </c>
      <c r="C746" t="s">
        <v>1727</v>
      </c>
      <c r="D746" t="s">
        <v>1728</v>
      </c>
      <c r="E746" t="s">
        <v>306</v>
      </c>
      <c r="F746" t="s">
        <v>1729</v>
      </c>
      <c r="G746" t="str">
        <f>"00013981"</f>
        <v>00013981</v>
      </c>
      <c r="H746">
        <v>935</v>
      </c>
      <c r="I746">
        <v>0</v>
      </c>
      <c r="J746">
        <v>0</v>
      </c>
      <c r="K746">
        <v>0</v>
      </c>
      <c r="L746">
        <v>200</v>
      </c>
      <c r="M746">
        <v>30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X746">
        <v>0</v>
      </c>
      <c r="Y746">
        <v>1165</v>
      </c>
    </row>
    <row r="747" spans="1:25" x14ac:dyDescent="0.25">
      <c r="H747" t="s">
        <v>1062</v>
      </c>
    </row>
    <row r="748" spans="1:25" x14ac:dyDescent="0.25">
      <c r="A748">
        <v>371</v>
      </c>
      <c r="B748">
        <v>1409</v>
      </c>
      <c r="C748" t="s">
        <v>1730</v>
      </c>
      <c r="D748" t="s">
        <v>1731</v>
      </c>
      <c r="E748" t="s">
        <v>22</v>
      </c>
      <c r="F748" t="s">
        <v>1732</v>
      </c>
      <c r="G748" t="str">
        <f>"00014485"</f>
        <v>00014485</v>
      </c>
      <c r="H748" t="s">
        <v>1733</v>
      </c>
      <c r="I748">
        <v>0</v>
      </c>
      <c r="J748">
        <v>0</v>
      </c>
      <c r="K748">
        <v>0</v>
      </c>
      <c r="L748">
        <v>200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X748">
        <v>0</v>
      </c>
      <c r="Y748" t="s">
        <v>1734</v>
      </c>
    </row>
    <row r="749" spans="1:25" x14ac:dyDescent="0.25">
      <c r="H749" t="s">
        <v>1735</v>
      </c>
    </row>
    <row r="750" spans="1:25" x14ac:dyDescent="0.25">
      <c r="A750">
        <v>372</v>
      </c>
      <c r="B750">
        <v>1801</v>
      </c>
      <c r="C750" t="s">
        <v>1736</v>
      </c>
      <c r="D750" t="s">
        <v>390</v>
      </c>
      <c r="E750" t="s">
        <v>48</v>
      </c>
      <c r="F750" t="s">
        <v>1737</v>
      </c>
      <c r="G750" t="str">
        <f>"00012136"</f>
        <v>00012136</v>
      </c>
      <c r="H750" t="s">
        <v>522</v>
      </c>
      <c r="I750">
        <v>0</v>
      </c>
      <c r="J750">
        <v>0</v>
      </c>
      <c r="K750">
        <v>0</v>
      </c>
      <c r="L750">
        <v>200</v>
      </c>
      <c r="M750">
        <v>0</v>
      </c>
      <c r="N750">
        <v>70</v>
      </c>
      <c r="O750">
        <v>30</v>
      </c>
      <c r="P750">
        <v>0</v>
      </c>
      <c r="Q750">
        <v>30</v>
      </c>
      <c r="R750">
        <v>0</v>
      </c>
      <c r="S750">
        <v>0</v>
      </c>
      <c r="T750">
        <v>0</v>
      </c>
      <c r="U750">
        <v>0</v>
      </c>
      <c r="X750">
        <v>0</v>
      </c>
      <c r="Y750" t="s">
        <v>1738</v>
      </c>
    </row>
    <row r="751" spans="1:25" x14ac:dyDescent="0.25">
      <c r="H751" t="s">
        <v>1739</v>
      </c>
    </row>
    <row r="752" spans="1:25" x14ac:dyDescent="0.25">
      <c r="A752">
        <v>373</v>
      </c>
      <c r="B752">
        <v>844</v>
      </c>
      <c r="C752" t="s">
        <v>1740</v>
      </c>
      <c r="D752" t="s">
        <v>1741</v>
      </c>
      <c r="E752" t="s">
        <v>190</v>
      </c>
      <c r="F752" t="s">
        <v>1742</v>
      </c>
      <c r="G752" t="str">
        <f>"00014769"</f>
        <v>00014769</v>
      </c>
      <c r="H752" t="s">
        <v>673</v>
      </c>
      <c r="I752">
        <v>0</v>
      </c>
      <c r="J752">
        <v>400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X752">
        <v>0</v>
      </c>
      <c r="Y752" t="s">
        <v>1743</v>
      </c>
    </row>
    <row r="753" spans="1:25" x14ac:dyDescent="0.25">
      <c r="H753" t="s">
        <v>1744</v>
      </c>
    </row>
    <row r="754" spans="1:25" x14ac:dyDescent="0.25">
      <c r="A754">
        <v>374</v>
      </c>
      <c r="B754">
        <v>62</v>
      </c>
      <c r="C754" t="s">
        <v>1745</v>
      </c>
      <c r="D754" t="s">
        <v>22</v>
      </c>
      <c r="E754" t="s">
        <v>267</v>
      </c>
      <c r="F754" t="s">
        <v>1746</v>
      </c>
      <c r="G754" t="str">
        <f>"201511013800"</f>
        <v>201511013800</v>
      </c>
      <c r="H754" t="s">
        <v>1747</v>
      </c>
      <c r="I754">
        <v>0</v>
      </c>
      <c r="J754">
        <v>0</v>
      </c>
      <c r="K754">
        <v>0</v>
      </c>
      <c r="L754">
        <v>0</v>
      </c>
      <c r="M754">
        <v>100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X754">
        <v>0</v>
      </c>
      <c r="Y754" t="s">
        <v>1748</v>
      </c>
    </row>
    <row r="755" spans="1:25" x14ac:dyDescent="0.25">
      <c r="H755" t="s">
        <v>162</v>
      </c>
    </row>
    <row r="756" spans="1:25" x14ac:dyDescent="0.25">
      <c r="A756">
        <v>375</v>
      </c>
      <c r="B756">
        <v>1256</v>
      </c>
      <c r="C756" t="s">
        <v>1749</v>
      </c>
      <c r="D756" t="s">
        <v>1750</v>
      </c>
      <c r="E756" t="s">
        <v>130</v>
      </c>
      <c r="F756" t="s">
        <v>1751</v>
      </c>
      <c r="G756" t="str">
        <f>"00015127"</f>
        <v>00015127</v>
      </c>
      <c r="H756" t="s">
        <v>207</v>
      </c>
      <c r="I756">
        <v>0</v>
      </c>
      <c r="J756">
        <v>0</v>
      </c>
      <c r="K756">
        <v>0</v>
      </c>
      <c r="L756">
        <v>200</v>
      </c>
      <c r="M756">
        <v>0</v>
      </c>
      <c r="N756">
        <v>70</v>
      </c>
      <c r="O756">
        <v>30</v>
      </c>
      <c r="P756">
        <v>0</v>
      </c>
      <c r="Q756">
        <v>0</v>
      </c>
      <c r="R756">
        <v>30</v>
      </c>
      <c r="S756">
        <v>0</v>
      </c>
      <c r="T756">
        <v>0</v>
      </c>
      <c r="U756">
        <v>0</v>
      </c>
      <c r="X756">
        <v>0</v>
      </c>
      <c r="Y756" t="s">
        <v>1752</v>
      </c>
    </row>
    <row r="757" spans="1:25" x14ac:dyDescent="0.25">
      <c r="H757" t="s">
        <v>1753</v>
      </c>
    </row>
    <row r="758" spans="1:25" x14ac:dyDescent="0.25">
      <c r="A758">
        <v>376</v>
      </c>
      <c r="B758">
        <v>5</v>
      </c>
      <c r="C758" t="s">
        <v>1754</v>
      </c>
      <c r="D758" t="s">
        <v>199</v>
      </c>
      <c r="E758" t="s">
        <v>124</v>
      </c>
      <c r="F758" t="s">
        <v>1755</v>
      </c>
      <c r="G758" t="str">
        <f>"201504004109"</f>
        <v>201504004109</v>
      </c>
      <c r="H758" t="s">
        <v>428</v>
      </c>
      <c r="I758">
        <v>0</v>
      </c>
      <c r="J758">
        <v>0</v>
      </c>
      <c r="K758">
        <v>0</v>
      </c>
      <c r="L758">
        <v>260</v>
      </c>
      <c r="M758">
        <v>0</v>
      </c>
      <c r="N758">
        <v>70</v>
      </c>
      <c r="O758">
        <v>30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X758">
        <v>0</v>
      </c>
      <c r="Y758" t="s">
        <v>1756</v>
      </c>
    </row>
    <row r="759" spans="1:25" x14ac:dyDescent="0.25">
      <c r="H759" t="s">
        <v>162</v>
      </c>
    </row>
    <row r="760" spans="1:25" x14ac:dyDescent="0.25">
      <c r="A760">
        <v>377</v>
      </c>
      <c r="B760">
        <v>2278</v>
      </c>
      <c r="C760" t="s">
        <v>1757</v>
      </c>
      <c r="D760" t="s">
        <v>1758</v>
      </c>
      <c r="E760" t="s">
        <v>1759</v>
      </c>
      <c r="F760" t="s">
        <v>1760</v>
      </c>
      <c r="G760" t="str">
        <f>"201511022960"</f>
        <v>201511022960</v>
      </c>
      <c r="H760" t="s">
        <v>78</v>
      </c>
      <c r="I760">
        <v>0</v>
      </c>
      <c r="J760">
        <v>0</v>
      </c>
      <c r="K760">
        <v>0</v>
      </c>
      <c r="L760">
        <v>260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X760">
        <v>0</v>
      </c>
      <c r="Y760" t="s">
        <v>1761</v>
      </c>
    </row>
    <row r="761" spans="1:25" x14ac:dyDescent="0.25">
      <c r="H761" t="s">
        <v>1762</v>
      </c>
    </row>
    <row r="762" spans="1:25" x14ac:dyDescent="0.25">
      <c r="A762">
        <v>378</v>
      </c>
      <c r="B762">
        <v>2831</v>
      </c>
      <c r="C762" t="s">
        <v>1763</v>
      </c>
      <c r="D762" t="s">
        <v>41</v>
      </c>
      <c r="E762" t="s">
        <v>217</v>
      </c>
      <c r="F762" t="s">
        <v>1764</v>
      </c>
      <c r="G762" t="str">
        <f>"200802004728"</f>
        <v>200802004728</v>
      </c>
      <c r="H762" t="s">
        <v>160</v>
      </c>
      <c r="I762">
        <v>0</v>
      </c>
      <c r="J762">
        <v>0</v>
      </c>
      <c r="K762">
        <v>0</v>
      </c>
      <c r="L762">
        <v>200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X762">
        <v>0</v>
      </c>
      <c r="Y762" t="s">
        <v>1765</v>
      </c>
    </row>
    <row r="763" spans="1:25" x14ac:dyDescent="0.25">
      <c r="H763" t="s">
        <v>1766</v>
      </c>
    </row>
    <row r="764" spans="1:25" x14ac:dyDescent="0.25">
      <c r="A764">
        <v>379</v>
      </c>
      <c r="B764">
        <v>1903</v>
      </c>
      <c r="C764" t="s">
        <v>1767</v>
      </c>
      <c r="D764" t="s">
        <v>766</v>
      </c>
      <c r="E764" t="s">
        <v>48</v>
      </c>
      <c r="F764" t="s">
        <v>1768</v>
      </c>
      <c r="G764" t="str">
        <f>"201001000031"</f>
        <v>201001000031</v>
      </c>
      <c r="H764">
        <v>825</v>
      </c>
      <c r="I764">
        <v>0</v>
      </c>
      <c r="J764">
        <v>0</v>
      </c>
      <c r="K764">
        <v>200</v>
      </c>
      <c r="L764">
        <v>0</v>
      </c>
      <c r="M764">
        <v>100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X764">
        <v>0</v>
      </c>
      <c r="Y764">
        <v>1155</v>
      </c>
    </row>
    <row r="765" spans="1:25" x14ac:dyDescent="0.25">
      <c r="H765" t="s">
        <v>52</v>
      </c>
    </row>
    <row r="766" spans="1:25" x14ac:dyDescent="0.25">
      <c r="A766">
        <v>380</v>
      </c>
      <c r="B766">
        <v>2248</v>
      </c>
      <c r="C766" t="s">
        <v>1769</v>
      </c>
      <c r="D766" t="s">
        <v>175</v>
      </c>
      <c r="E766" t="s">
        <v>48</v>
      </c>
      <c r="F766" t="s">
        <v>1770</v>
      </c>
      <c r="G766" t="str">
        <f>"00011944"</f>
        <v>00011944</v>
      </c>
      <c r="H766">
        <v>924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X766">
        <v>0</v>
      </c>
      <c r="Y766">
        <v>1154</v>
      </c>
    </row>
    <row r="767" spans="1:25" x14ac:dyDescent="0.25">
      <c r="H767" t="s">
        <v>1771</v>
      </c>
    </row>
    <row r="768" spans="1:25" x14ac:dyDescent="0.25">
      <c r="A768">
        <v>381</v>
      </c>
      <c r="B768">
        <v>1356</v>
      </c>
      <c r="C768" t="s">
        <v>1772</v>
      </c>
      <c r="D768" t="s">
        <v>1218</v>
      </c>
      <c r="E768" t="s">
        <v>124</v>
      </c>
      <c r="F768" t="s">
        <v>1773</v>
      </c>
      <c r="G768" t="str">
        <f>"201406014935"</f>
        <v>201406014935</v>
      </c>
      <c r="H768" t="s">
        <v>1774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70</v>
      </c>
      <c r="O768">
        <v>0</v>
      </c>
      <c r="P768">
        <v>50</v>
      </c>
      <c r="Q768">
        <v>0</v>
      </c>
      <c r="R768">
        <v>0</v>
      </c>
      <c r="S768">
        <v>0</v>
      </c>
      <c r="T768">
        <v>0</v>
      </c>
      <c r="U768">
        <v>0</v>
      </c>
      <c r="X768">
        <v>0</v>
      </c>
      <c r="Y768" t="s">
        <v>1775</v>
      </c>
    </row>
    <row r="769" spans="1:25" x14ac:dyDescent="0.25">
      <c r="H769" t="s">
        <v>1776</v>
      </c>
    </row>
    <row r="770" spans="1:25" x14ac:dyDescent="0.25">
      <c r="A770">
        <v>382</v>
      </c>
      <c r="B770">
        <v>2672</v>
      </c>
      <c r="C770" t="s">
        <v>1777</v>
      </c>
      <c r="D770" t="s">
        <v>1778</v>
      </c>
      <c r="E770" t="s">
        <v>124</v>
      </c>
      <c r="F770" t="s">
        <v>1779</v>
      </c>
      <c r="G770" t="str">
        <f>"00015286"</f>
        <v>00015286</v>
      </c>
      <c r="H770" t="s">
        <v>522</v>
      </c>
      <c r="I770">
        <v>0</v>
      </c>
      <c r="J770">
        <v>0</v>
      </c>
      <c r="K770">
        <v>0</v>
      </c>
      <c r="L770">
        <v>200</v>
      </c>
      <c r="M770">
        <v>0</v>
      </c>
      <c r="N770">
        <v>70</v>
      </c>
      <c r="O770">
        <v>50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X770">
        <v>0</v>
      </c>
      <c r="Y770" t="s">
        <v>1780</v>
      </c>
    </row>
    <row r="771" spans="1:25" x14ac:dyDescent="0.25">
      <c r="H771" t="s">
        <v>162</v>
      </c>
    </row>
    <row r="772" spans="1:25" x14ac:dyDescent="0.25">
      <c r="A772">
        <v>383</v>
      </c>
      <c r="B772">
        <v>2048</v>
      </c>
      <c r="C772" t="s">
        <v>1781</v>
      </c>
      <c r="D772" t="s">
        <v>98</v>
      </c>
      <c r="E772" t="s">
        <v>22</v>
      </c>
      <c r="F772" t="s">
        <v>1782</v>
      </c>
      <c r="G772" t="str">
        <f>"00014884"</f>
        <v>00014884</v>
      </c>
      <c r="H772" t="s">
        <v>1783</v>
      </c>
      <c r="I772">
        <v>0</v>
      </c>
      <c r="J772">
        <v>0</v>
      </c>
      <c r="K772">
        <v>0</v>
      </c>
      <c r="L772">
        <v>260</v>
      </c>
      <c r="M772">
        <v>0</v>
      </c>
      <c r="N772">
        <v>70</v>
      </c>
      <c r="O772">
        <v>0</v>
      </c>
      <c r="P772">
        <v>50</v>
      </c>
      <c r="Q772">
        <v>0</v>
      </c>
      <c r="R772">
        <v>0</v>
      </c>
      <c r="S772">
        <v>0</v>
      </c>
      <c r="T772">
        <v>0</v>
      </c>
      <c r="U772">
        <v>0</v>
      </c>
      <c r="X772">
        <v>0</v>
      </c>
      <c r="Y772" t="s">
        <v>1784</v>
      </c>
    </row>
    <row r="773" spans="1:25" x14ac:dyDescent="0.25">
      <c r="H773" t="s">
        <v>814</v>
      </c>
    </row>
    <row r="774" spans="1:25" x14ac:dyDescent="0.25">
      <c r="A774">
        <v>384</v>
      </c>
      <c r="B774">
        <v>3162</v>
      </c>
      <c r="C774" t="s">
        <v>1785</v>
      </c>
      <c r="D774" t="s">
        <v>1786</v>
      </c>
      <c r="E774" t="s">
        <v>254</v>
      </c>
      <c r="F774" t="s">
        <v>1787</v>
      </c>
      <c r="G774" t="str">
        <f>"00013568"</f>
        <v>00013568</v>
      </c>
      <c r="H774">
        <v>847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30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X774">
        <v>0</v>
      </c>
      <c r="Y774">
        <v>1147</v>
      </c>
    </row>
    <row r="775" spans="1:25" x14ac:dyDescent="0.25">
      <c r="H775" t="s">
        <v>52</v>
      </c>
    </row>
    <row r="776" spans="1:25" x14ac:dyDescent="0.25">
      <c r="A776">
        <v>385</v>
      </c>
      <c r="B776">
        <v>1647</v>
      </c>
      <c r="C776" t="s">
        <v>1788</v>
      </c>
      <c r="D776" t="s">
        <v>223</v>
      </c>
      <c r="E776" t="s">
        <v>21</v>
      </c>
      <c r="F776" t="s">
        <v>1789</v>
      </c>
      <c r="G776" t="str">
        <f>"00014448"</f>
        <v>00014448</v>
      </c>
      <c r="H776" t="s">
        <v>1790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X776">
        <v>0</v>
      </c>
      <c r="Y776" t="s">
        <v>1791</v>
      </c>
    </row>
    <row r="777" spans="1:25" x14ac:dyDescent="0.25">
      <c r="H777" t="s">
        <v>1792</v>
      </c>
    </row>
    <row r="778" spans="1:25" x14ac:dyDescent="0.25">
      <c r="A778">
        <v>386</v>
      </c>
      <c r="B778">
        <v>2270</v>
      </c>
      <c r="C778" t="s">
        <v>1793</v>
      </c>
      <c r="D778" t="s">
        <v>330</v>
      </c>
      <c r="E778" t="s">
        <v>860</v>
      </c>
      <c r="F778" t="s">
        <v>1794</v>
      </c>
      <c r="G778" t="str">
        <f>"00013973"</f>
        <v>00013973</v>
      </c>
      <c r="H778" t="s">
        <v>30</v>
      </c>
      <c r="I778">
        <v>0</v>
      </c>
      <c r="J778">
        <v>0</v>
      </c>
      <c r="K778">
        <v>0</v>
      </c>
      <c r="L778">
        <v>200</v>
      </c>
      <c r="M778">
        <v>0</v>
      </c>
      <c r="N778">
        <v>70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X778">
        <v>0</v>
      </c>
      <c r="Y778" t="s">
        <v>1795</v>
      </c>
    </row>
    <row r="779" spans="1:25" x14ac:dyDescent="0.25">
      <c r="H779">
        <v>221</v>
      </c>
    </row>
    <row r="780" spans="1:25" x14ac:dyDescent="0.25">
      <c r="A780">
        <v>387</v>
      </c>
      <c r="B780">
        <v>849</v>
      </c>
      <c r="C780" t="s">
        <v>1498</v>
      </c>
      <c r="D780" t="s">
        <v>1796</v>
      </c>
      <c r="E780" t="s">
        <v>21</v>
      </c>
      <c r="F780" t="s">
        <v>1797</v>
      </c>
      <c r="G780" t="str">
        <f>"00013090"</f>
        <v>00013090</v>
      </c>
      <c r="H780" t="s">
        <v>324</v>
      </c>
      <c r="I780">
        <v>0</v>
      </c>
      <c r="J780">
        <v>0</v>
      </c>
      <c r="K780">
        <v>0</v>
      </c>
      <c r="L780">
        <v>260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X780">
        <v>0</v>
      </c>
      <c r="Y780" t="s">
        <v>1798</v>
      </c>
    </row>
    <row r="781" spans="1:25" x14ac:dyDescent="0.25">
      <c r="H781" t="s">
        <v>1799</v>
      </c>
    </row>
    <row r="782" spans="1:25" x14ac:dyDescent="0.25">
      <c r="A782">
        <v>388</v>
      </c>
      <c r="B782">
        <v>3046</v>
      </c>
      <c r="C782" t="s">
        <v>1800</v>
      </c>
      <c r="D782" t="s">
        <v>526</v>
      </c>
      <c r="E782" t="s">
        <v>41</v>
      </c>
      <c r="F782" t="s">
        <v>1801</v>
      </c>
      <c r="G782" t="str">
        <f>"00013800"</f>
        <v>00013800</v>
      </c>
      <c r="H782" t="s">
        <v>1802</v>
      </c>
      <c r="I782">
        <v>0</v>
      </c>
      <c r="J782">
        <v>0</v>
      </c>
      <c r="K782">
        <v>0</v>
      </c>
      <c r="L782">
        <v>200</v>
      </c>
      <c r="M782">
        <v>0</v>
      </c>
      <c r="N782">
        <v>70</v>
      </c>
      <c r="O782">
        <v>0</v>
      </c>
      <c r="P782">
        <v>50</v>
      </c>
      <c r="Q782">
        <v>0</v>
      </c>
      <c r="R782">
        <v>0</v>
      </c>
      <c r="S782">
        <v>0</v>
      </c>
      <c r="T782">
        <v>0</v>
      </c>
      <c r="U782">
        <v>0</v>
      </c>
      <c r="X782">
        <v>0</v>
      </c>
      <c r="Y782" t="s">
        <v>1803</v>
      </c>
    </row>
    <row r="783" spans="1:25" x14ac:dyDescent="0.25">
      <c r="H783" t="s">
        <v>1804</v>
      </c>
    </row>
    <row r="784" spans="1:25" x14ac:dyDescent="0.25">
      <c r="A784">
        <v>389</v>
      </c>
      <c r="B784">
        <v>1202</v>
      </c>
      <c r="C784" t="s">
        <v>1805</v>
      </c>
      <c r="D784" t="s">
        <v>330</v>
      </c>
      <c r="E784" t="s">
        <v>124</v>
      </c>
      <c r="F784" t="s">
        <v>1806</v>
      </c>
      <c r="G784" t="str">
        <f>"201412002475"</f>
        <v>201412002475</v>
      </c>
      <c r="H784" t="s">
        <v>178</v>
      </c>
      <c r="I784">
        <v>0</v>
      </c>
      <c r="J784">
        <v>0</v>
      </c>
      <c r="K784">
        <v>0</v>
      </c>
      <c r="L784">
        <v>260</v>
      </c>
      <c r="M784">
        <v>0</v>
      </c>
      <c r="N784">
        <v>30</v>
      </c>
      <c r="O784">
        <v>30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X784">
        <v>0</v>
      </c>
      <c r="Y784" t="s">
        <v>1807</v>
      </c>
    </row>
    <row r="785" spans="1:25" x14ac:dyDescent="0.25">
      <c r="H785" t="s">
        <v>1808</v>
      </c>
    </row>
    <row r="786" spans="1:25" x14ac:dyDescent="0.25">
      <c r="A786">
        <v>390</v>
      </c>
      <c r="B786">
        <v>3288</v>
      </c>
      <c r="C786" t="s">
        <v>1809</v>
      </c>
      <c r="D786" t="s">
        <v>526</v>
      </c>
      <c r="E786" t="s">
        <v>124</v>
      </c>
      <c r="F786" t="s">
        <v>1810</v>
      </c>
      <c r="G786" t="str">
        <f>"00014383"</f>
        <v>00014383</v>
      </c>
      <c r="H786" t="s">
        <v>1495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X786">
        <v>0</v>
      </c>
      <c r="Y786" t="s">
        <v>1811</v>
      </c>
    </row>
    <row r="787" spans="1:25" x14ac:dyDescent="0.25">
      <c r="H787" t="s">
        <v>1812</v>
      </c>
    </row>
    <row r="788" spans="1:25" x14ac:dyDescent="0.25">
      <c r="A788">
        <v>391</v>
      </c>
      <c r="B788">
        <v>2640</v>
      </c>
      <c r="C788" t="s">
        <v>1813</v>
      </c>
      <c r="D788" t="s">
        <v>330</v>
      </c>
      <c r="E788" t="s">
        <v>66</v>
      </c>
      <c r="F788" t="s">
        <v>1814</v>
      </c>
      <c r="G788" t="str">
        <f>"00011346"</f>
        <v>00011346</v>
      </c>
      <c r="H788" t="s">
        <v>113</v>
      </c>
      <c r="I788">
        <v>0</v>
      </c>
      <c r="J788">
        <v>0</v>
      </c>
      <c r="K788">
        <v>0</v>
      </c>
      <c r="L788">
        <v>200</v>
      </c>
      <c r="M788">
        <v>0</v>
      </c>
      <c r="N788">
        <v>30</v>
      </c>
      <c r="O788">
        <v>30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X788">
        <v>0</v>
      </c>
      <c r="Y788" t="s">
        <v>1815</v>
      </c>
    </row>
    <row r="789" spans="1:25" x14ac:dyDescent="0.25">
      <c r="H789" t="s">
        <v>1816</v>
      </c>
    </row>
    <row r="790" spans="1:25" x14ac:dyDescent="0.25">
      <c r="A790">
        <v>392</v>
      </c>
      <c r="B790">
        <v>1430</v>
      </c>
      <c r="C790" t="s">
        <v>1817</v>
      </c>
      <c r="D790" t="s">
        <v>306</v>
      </c>
      <c r="E790" t="s">
        <v>1818</v>
      </c>
      <c r="F790" t="s">
        <v>1819</v>
      </c>
      <c r="G790" t="str">
        <f>"201504004538"</f>
        <v>201504004538</v>
      </c>
      <c r="H790" t="s">
        <v>456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70</v>
      </c>
      <c r="O790">
        <v>0</v>
      </c>
      <c r="P790">
        <v>0</v>
      </c>
      <c r="Q790">
        <v>70</v>
      </c>
      <c r="R790">
        <v>0</v>
      </c>
      <c r="S790">
        <v>0</v>
      </c>
      <c r="T790">
        <v>0</v>
      </c>
      <c r="U790">
        <v>0</v>
      </c>
      <c r="X790">
        <v>0</v>
      </c>
      <c r="Y790" t="s">
        <v>1820</v>
      </c>
    </row>
    <row r="791" spans="1:25" x14ac:dyDescent="0.25">
      <c r="H791" t="s">
        <v>1821</v>
      </c>
    </row>
    <row r="792" spans="1:25" x14ac:dyDescent="0.25">
      <c r="A792">
        <v>393</v>
      </c>
      <c r="B792">
        <v>3022</v>
      </c>
      <c r="C792" t="s">
        <v>1822</v>
      </c>
      <c r="D792" t="s">
        <v>526</v>
      </c>
      <c r="E792" t="s">
        <v>66</v>
      </c>
      <c r="F792" t="s">
        <v>1823</v>
      </c>
      <c r="G792" t="str">
        <f>"201402000259"</f>
        <v>201402000259</v>
      </c>
      <c r="H792" t="s">
        <v>68</v>
      </c>
      <c r="I792">
        <v>0</v>
      </c>
      <c r="J792">
        <v>0</v>
      </c>
      <c r="K792">
        <v>0</v>
      </c>
      <c r="L792">
        <v>260</v>
      </c>
      <c r="M792">
        <v>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X792">
        <v>0</v>
      </c>
      <c r="Y792" t="s">
        <v>1824</v>
      </c>
    </row>
    <row r="793" spans="1:25" x14ac:dyDescent="0.25">
      <c r="H793" t="s">
        <v>110</v>
      </c>
    </row>
    <row r="794" spans="1:25" x14ac:dyDescent="0.25">
      <c r="A794">
        <v>394</v>
      </c>
      <c r="B794">
        <v>586</v>
      </c>
      <c r="C794" t="s">
        <v>1825</v>
      </c>
      <c r="D794" t="s">
        <v>1826</v>
      </c>
      <c r="E794" t="s">
        <v>124</v>
      </c>
      <c r="F794" t="s">
        <v>1827</v>
      </c>
      <c r="G794" t="str">
        <f>"201504002337"</f>
        <v>201504002337</v>
      </c>
      <c r="H794" t="s">
        <v>480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X794">
        <v>0</v>
      </c>
      <c r="Y794" t="s">
        <v>1828</v>
      </c>
    </row>
    <row r="795" spans="1:25" x14ac:dyDescent="0.25">
      <c r="H795" t="s">
        <v>1829</v>
      </c>
    </row>
    <row r="796" spans="1:25" x14ac:dyDescent="0.25">
      <c r="A796">
        <v>395</v>
      </c>
      <c r="B796">
        <v>1588</v>
      </c>
      <c r="C796" t="s">
        <v>1031</v>
      </c>
      <c r="D796" t="s">
        <v>48</v>
      </c>
      <c r="E796" t="s">
        <v>66</v>
      </c>
      <c r="F796" t="s">
        <v>1830</v>
      </c>
      <c r="G796" t="str">
        <f>"00013102"</f>
        <v>00013102</v>
      </c>
      <c r="H796" t="s">
        <v>1831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30</v>
      </c>
      <c r="O796">
        <v>30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X796">
        <v>0</v>
      </c>
      <c r="Y796" t="s">
        <v>1832</v>
      </c>
    </row>
    <row r="797" spans="1:25" x14ac:dyDescent="0.25">
      <c r="H797">
        <v>224</v>
      </c>
    </row>
    <row r="798" spans="1:25" x14ac:dyDescent="0.25">
      <c r="A798">
        <v>396</v>
      </c>
      <c r="B798">
        <v>1736</v>
      </c>
      <c r="C798" t="s">
        <v>1833</v>
      </c>
      <c r="D798" t="s">
        <v>66</v>
      </c>
      <c r="E798" t="s">
        <v>278</v>
      </c>
      <c r="F798" t="s">
        <v>1834</v>
      </c>
      <c r="G798" t="str">
        <f>"00013793"</f>
        <v>00013793</v>
      </c>
      <c r="H798" t="s">
        <v>1602</v>
      </c>
      <c r="I798">
        <v>0</v>
      </c>
      <c r="J798">
        <v>0</v>
      </c>
      <c r="K798">
        <v>0</v>
      </c>
      <c r="L798">
        <v>260</v>
      </c>
      <c r="M798">
        <v>0</v>
      </c>
      <c r="N798">
        <v>70</v>
      </c>
      <c r="O798">
        <v>0</v>
      </c>
      <c r="P798">
        <v>50</v>
      </c>
      <c r="Q798">
        <v>30</v>
      </c>
      <c r="R798">
        <v>0</v>
      </c>
      <c r="S798">
        <v>0</v>
      </c>
      <c r="T798">
        <v>0</v>
      </c>
      <c r="U798">
        <v>0</v>
      </c>
      <c r="X798">
        <v>0</v>
      </c>
      <c r="Y798" t="s">
        <v>1835</v>
      </c>
    </row>
    <row r="799" spans="1:25" x14ac:dyDescent="0.25">
      <c r="H799" t="s">
        <v>1836</v>
      </c>
    </row>
    <row r="800" spans="1:25" x14ac:dyDescent="0.25">
      <c r="A800">
        <v>397</v>
      </c>
      <c r="B800">
        <v>3104</v>
      </c>
      <c r="C800" t="s">
        <v>1837</v>
      </c>
      <c r="D800" t="s">
        <v>106</v>
      </c>
      <c r="E800" t="s">
        <v>217</v>
      </c>
      <c r="F800" t="s">
        <v>1838</v>
      </c>
      <c r="G800" t="str">
        <f>"00013286"</f>
        <v>00013286</v>
      </c>
      <c r="H800" t="s">
        <v>101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70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X800">
        <v>0</v>
      </c>
      <c r="Y800" t="s">
        <v>1839</v>
      </c>
    </row>
    <row r="801" spans="1:25" x14ac:dyDescent="0.25">
      <c r="H801" t="s">
        <v>1840</v>
      </c>
    </row>
    <row r="802" spans="1:25" x14ac:dyDescent="0.25">
      <c r="A802">
        <v>398</v>
      </c>
      <c r="B802">
        <v>1293</v>
      </c>
      <c r="C802" t="s">
        <v>1841</v>
      </c>
      <c r="D802" t="s">
        <v>211</v>
      </c>
      <c r="E802" t="s">
        <v>267</v>
      </c>
      <c r="F802" t="s">
        <v>1842</v>
      </c>
      <c r="G802" t="str">
        <f>"00014394"</f>
        <v>00014394</v>
      </c>
      <c r="H802" t="s">
        <v>716</v>
      </c>
      <c r="I802">
        <v>0</v>
      </c>
      <c r="J802">
        <v>0</v>
      </c>
      <c r="K802">
        <v>0</v>
      </c>
      <c r="L802">
        <v>260</v>
      </c>
      <c r="M802">
        <v>0</v>
      </c>
      <c r="N802">
        <v>70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X802">
        <v>0</v>
      </c>
      <c r="Y802" t="s">
        <v>1843</v>
      </c>
    </row>
    <row r="803" spans="1:25" x14ac:dyDescent="0.25">
      <c r="H803" t="s">
        <v>1844</v>
      </c>
    </row>
    <row r="804" spans="1:25" x14ac:dyDescent="0.25">
      <c r="A804">
        <v>399</v>
      </c>
      <c r="B804">
        <v>924</v>
      </c>
      <c r="C804" t="s">
        <v>147</v>
      </c>
      <c r="D804" t="s">
        <v>1845</v>
      </c>
      <c r="E804" t="s">
        <v>217</v>
      </c>
      <c r="F804" t="s">
        <v>1846</v>
      </c>
      <c r="G804" t="str">
        <f>"00013266"</f>
        <v>00013266</v>
      </c>
      <c r="H804" t="s">
        <v>716</v>
      </c>
      <c r="I804">
        <v>0</v>
      </c>
      <c r="J804">
        <v>0</v>
      </c>
      <c r="K804">
        <v>0</v>
      </c>
      <c r="L804">
        <v>260</v>
      </c>
      <c r="M804">
        <v>0</v>
      </c>
      <c r="N804">
        <v>70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X804">
        <v>0</v>
      </c>
      <c r="Y804" t="s">
        <v>1843</v>
      </c>
    </row>
    <row r="805" spans="1:25" x14ac:dyDescent="0.25">
      <c r="H805" t="s">
        <v>1847</v>
      </c>
    </row>
    <row r="806" spans="1:25" x14ac:dyDescent="0.25">
      <c r="A806">
        <v>400</v>
      </c>
      <c r="B806">
        <v>1268</v>
      </c>
      <c r="C806" t="s">
        <v>1848</v>
      </c>
      <c r="D806" t="s">
        <v>450</v>
      </c>
      <c r="E806" t="s">
        <v>334</v>
      </c>
      <c r="F806" t="s">
        <v>1849</v>
      </c>
      <c r="G806" t="str">
        <f>"201504000832"</f>
        <v>201504000832</v>
      </c>
      <c r="H806" t="s">
        <v>349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X806">
        <v>0</v>
      </c>
      <c r="Y806" t="s">
        <v>1850</v>
      </c>
    </row>
    <row r="807" spans="1:25" x14ac:dyDescent="0.25">
      <c r="H807" t="s">
        <v>1851</v>
      </c>
    </row>
    <row r="808" spans="1:25" x14ac:dyDescent="0.25">
      <c r="A808">
        <v>401</v>
      </c>
      <c r="B808">
        <v>1057</v>
      </c>
      <c r="C808" t="s">
        <v>1852</v>
      </c>
      <c r="D808" t="s">
        <v>417</v>
      </c>
      <c r="E808" t="s">
        <v>48</v>
      </c>
      <c r="F808" t="s">
        <v>1853</v>
      </c>
      <c r="G808" t="str">
        <f>"00011238"</f>
        <v>00011238</v>
      </c>
      <c r="H808" t="s">
        <v>1854</v>
      </c>
      <c r="I808">
        <v>0</v>
      </c>
      <c r="J808">
        <v>400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X808">
        <v>0</v>
      </c>
      <c r="Y808" t="s">
        <v>1855</v>
      </c>
    </row>
    <row r="809" spans="1:25" x14ac:dyDescent="0.25">
      <c r="H809" t="s">
        <v>1856</v>
      </c>
    </row>
    <row r="810" spans="1:25" x14ac:dyDescent="0.25">
      <c r="A810">
        <v>402</v>
      </c>
      <c r="B810">
        <v>1628</v>
      </c>
      <c r="C810" t="s">
        <v>1857</v>
      </c>
      <c r="D810" t="s">
        <v>98</v>
      </c>
      <c r="E810" t="s">
        <v>1066</v>
      </c>
      <c r="F810" t="s">
        <v>1858</v>
      </c>
      <c r="G810" t="str">
        <f>"201511006801"</f>
        <v>201511006801</v>
      </c>
      <c r="H810" t="s">
        <v>630</v>
      </c>
      <c r="I810">
        <v>0</v>
      </c>
      <c r="J810">
        <v>0</v>
      </c>
      <c r="K810">
        <v>0</v>
      </c>
      <c r="L810">
        <v>200</v>
      </c>
      <c r="M810">
        <v>0</v>
      </c>
      <c r="N810">
        <v>70</v>
      </c>
      <c r="O810">
        <v>50</v>
      </c>
      <c r="P810">
        <v>0</v>
      </c>
      <c r="Q810">
        <v>50</v>
      </c>
      <c r="R810">
        <v>0</v>
      </c>
      <c r="S810">
        <v>0</v>
      </c>
      <c r="T810">
        <v>0</v>
      </c>
      <c r="U810">
        <v>0</v>
      </c>
      <c r="X810">
        <v>0</v>
      </c>
      <c r="Y810" t="s">
        <v>1859</v>
      </c>
    </row>
    <row r="811" spans="1:25" x14ac:dyDescent="0.25">
      <c r="H811" t="s">
        <v>1860</v>
      </c>
    </row>
    <row r="812" spans="1:25" x14ac:dyDescent="0.25">
      <c r="A812">
        <v>403</v>
      </c>
      <c r="B812">
        <v>268</v>
      </c>
      <c r="C812" t="s">
        <v>1861</v>
      </c>
      <c r="D812" t="s">
        <v>526</v>
      </c>
      <c r="E812" t="s">
        <v>190</v>
      </c>
      <c r="F812" t="s">
        <v>1862</v>
      </c>
      <c r="G812" t="str">
        <f>"201503000137"</f>
        <v>201503000137</v>
      </c>
      <c r="H812">
        <v>803</v>
      </c>
      <c r="I812">
        <v>0</v>
      </c>
      <c r="J812">
        <v>0</v>
      </c>
      <c r="K812">
        <v>0</v>
      </c>
      <c r="L812">
        <v>200</v>
      </c>
      <c r="M812">
        <v>0</v>
      </c>
      <c r="N812">
        <v>70</v>
      </c>
      <c r="O812">
        <v>0</v>
      </c>
      <c r="P812">
        <v>50</v>
      </c>
      <c r="Q812">
        <v>0</v>
      </c>
      <c r="R812">
        <v>0</v>
      </c>
      <c r="S812">
        <v>0</v>
      </c>
      <c r="T812">
        <v>0</v>
      </c>
      <c r="U812">
        <v>0</v>
      </c>
      <c r="X812">
        <v>0</v>
      </c>
      <c r="Y812">
        <v>1123</v>
      </c>
    </row>
    <row r="813" spans="1:25" x14ac:dyDescent="0.25">
      <c r="H813" t="s">
        <v>1863</v>
      </c>
    </row>
    <row r="814" spans="1:25" x14ac:dyDescent="0.25">
      <c r="A814">
        <v>404</v>
      </c>
      <c r="B814">
        <v>1819</v>
      </c>
      <c r="C814" t="s">
        <v>1864</v>
      </c>
      <c r="D814" t="s">
        <v>41</v>
      </c>
      <c r="E814" t="s">
        <v>22</v>
      </c>
      <c r="F814" t="s">
        <v>1865</v>
      </c>
      <c r="G814" t="str">
        <f>"201412002017"</f>
        <v>201412002017</v>
      </c>
      <c r="H814" t="s">
        <v>1005</v>
      </c>
      <c r="I814">
        <v>0</v>
      </c>
      <c r="J814">
        <v>0</v>
      </c>
      <c r="K814">
        <v>200</v>
      </c>
      <c r="L814">
        <v>0</v>
      </c>
      <c r="M814">
        <v>100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X814">
        <v>0</v>
      </c>
      <c r="Y814" t="s">
        <v>1866</v>
      </c>
    </row>
    <row r="815" spans="1:25" x14ac:dyDescent="0.25">
      <c r="H815" t="s">
        <v>1867</v>
      </c>
    </row>
    <row r="816" spans="1:25" x14ac:dyDescent="0.25">
      <c r="A816">
        <v>405</v>
      </c>
      <c r="B816">
        <v>2008</v>
      </c>
      <c r="C816" t="s">
        <v>1868</v>
      </c>
      <c r="D816" t="s">
        <v>181</v>
      </c>
      <c r="E816" t="s">
        <v>217</v>
      </c>
      <c r="F816" t="s">
        <v>1869</v>
      </c>
      <c r="G816" t="str">
        <f>"00015136"</f>
        <v>00015136</v>
      </c>
      <c r="H816" t="s">
        <v>398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70</v>
      </c>
      <c r="O816">
        <v>0</v>
      </c>
      <c r="P816">
        <v>0</v>
      </c>
      <c r="Q816">
        <v>30</v>
      </c>
      <c r="R816">
        <v>0</v>
      </c>
      <c r="S816">
        <v>0</v>
      </c>
      <c r="T816">
        <v>0</v>
      </c>
      <c r="U816">
        <v>0</v>
      </c>
      <c r="X816">
        <v>0</v>
      </c>
      <c r="Y816" t="s">
        <v>1870</v>
      </c>
    </row>
    <row r="817" spans="1:25" x14ac:dyDescent="0.25">
      <c r="H817" t="s">
        <v>1871</v>
      </c>
    </row>
    <row r="818" spans="1:25" x14ac:dyDescent="0.25">
      <c r="A818">
        <v>406</v>
      </c>
      <c r="B818">
        <v>565</v>
      </c>
      <c r="C818" t="s">
        <v>1872</v>
      </c>
      <c r="D818" t="s">
        <v>118</v>
      </c>
      <c r="E818" t="s">
        <v>48</v>
      </c>
      <c r="F818" t="s">
        <v>1873</v>
      </c>
      <c r="G818" t="str">
        <f>"00009624"</f>
        <v>00009624</v>
      </c>
      <c r="H818" t="s">
        <v>1802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70</v>
      </c>
      <c r="O818">
        <v>30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X818">
        <v>0</v>
      </c>
      <c r="Y818" t="s">
        <v>1874</v>
      </c>
    </row>
    <row r="819" spans="1:25" x14ac:dyDescent="0.25">
      <c r="H819" t="s">
        <v>1875</v>
      </c>
    </row>
    <row r="820" spans="1:25" x14ac:dyDescent="0.25">
      <c r="A820">
        <v>407</v>
      </c>
      <c r="B820">
        <v>566</v>
      </c>
      <c r="C820" t="s">
        <v>1876</v>
      </c>
      <c r="D820" t="s">
        <v>1877</v>
      </c>
      <c r="E820" t="s">
        <v>106</v>
      </c>
      <c r="F820" t="s">
        <v>1878</v>
      </c>
      <c r="G820" t="str">
        <f>"00013149"</f>
        <v>00013149</v>
      </c>
      <c r="H820" t="s">
        <v>1783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70</v>
      </c>
      <c r="O820">
        <v>0</v>
      </c>
      <c r="P820">
        <v>0</v>
      </c>
      <c r="Q820">
        <v>30</v>
      </c>
      <c r="R820">
        <v>50</v>
      </c>
      <c r="S820">
        <v>0</v>
      </c>
      <c r="T820">
        <v>0</v>
      </c>
      <c r="U820">
        <v>0</v>
      </c>
      <c r="X820">
        <v>0</v>
      </c>
      <c r="Y820" t="s">
        <v>1879</v>
      </c>
    </row>
    <row r="821" spans="1:25" x14ac:dyDescent="0.25">
      <c r="H821" t="s">
        <v>1880</v>
      </c>
    </row>
    <row r="822" spans="1:25" x14ac:dyDescent="0.25">
      <c r="A822">
        <v>408</v>
      </c>
      <c r="B822">
        <v>3028</v>
      </c>
      <c r="C822" t="s">
        <v>1881</v>
      </c>
      <c r="D822" t="s">
        <v>47</v>
      </c>
      <c r="E822" t="s">
        <v>278</v>
      </c>
      <c r="F822" t="s">
        <v>1882</v>
      </c>
      <c r="G822" t="str">
        <f>"00012988"</f>
        <v>00012988</v>
      </c>
      <c r="H822">
        <v>836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30</v>
      </c>
      <c r="O822">
        <v>0</v>
      </c>
      <c r="P822">
        <v>50</v>
      </c>
      <c r="Q822">
        <v>0</v>
      </c>
      <c r="R822">
        <v>0</v>
      </c>
      <c r="S822">
        <v>0</v>
      </c>
      <c r="T822">
        <v>0</v>
      </c>
      <c r="U822">
        <v>0</v>
      </c>
      <c r="X822">
        <v>1</v>
      </c>
      <c r="Y822">
        <v>1116</v>
      </c>
    </row>
    <row r="823" spans="1:25" x14ac:dyDescent="0.25">
      <c r="H823" t="s">
        <v>1883</v>
      </c>
    </row>
    <row r="824" spans="1:25" x14ac:dyDescent="0.25">
      <c r="A824">
        <v>409</v>
      </c>
      <c r="B824">
        <v>1832</v>
      </c>
      <c r="C824" t="s">
        <v>1884</v>
      </c>
      <c r="D824" t="s">
        <v>1728</v>
      </c>
      <c r="E824" t="s">
        <v>1885</v>
      </c>
      <c r="F824" t="s">
        <v>1886</v>
      </c>
      <c r="G824" t="str">
        <f>"00014954"</f>
        <v>00014954</v>
      </c>
      <c r="H824" t="s">
        <v>1887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X824">
        <v>0</v>
      </c>
      <c r="Y824" t="s">
        <v>1888</v>
      </c>
    </row>
    <row r="825" spans="1:25" x14ac:dyDescent="0.25">
      <c r="H825" t="s">
        <v>1889</v>
      </c>
    </row>
    <row r="826" spans="1:25" x14ac:dyDescent="0.25">
      <c r="A826">
        <v>410</v>
      </c>
      <c r="B826">
        <v>3318</v>
      </c>
      <c r="C826" t="s">
        <v>1600</v>
      </c>
      <c r="D826" t="s">
        <v>48</v>
      </c>
      <c r="E826" t="s">
        <v>124</v>
      </c>
      <c r="F826" t="s">
        <v>1890</v>
      </c>
      <c r="G826" t="str">
        <f>"201406003150"</f>
        <v>201406003150</v>
      </c>
      <c r="H826" t="s">
        <v>1887</v>
      </c>
      <c r="I826">
        <v>0</v>
      </c>
      <c r="J826">
        <v>0</v>
      </c>
      <c r="K826">
        <v>0</v>
      </c>
      <c r="L826">
        <v>200</v>
      </c>
      <c r="M826">
        <v>0</v>
      </c>
      <c r="N826">
        <v>70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X826">
        <v>0</v>
      </c>
      <c r="Y826" t="s">
        <v>1888</v>
      </c>
    </row>
    <row r="827" spans="1:25" x14ac:dyDescent="0.25">
      <c r="H827" t="s">
        <v>1891</v>
      </c>
    </row>
    <row r="828" spans="1:25" x14ac:dyDescent="0.25">
      <c r="A828">
        <v>411</v>
      </c>
      <c r="B828">
        <v>2398</v>
      </c>
      <c r="C828" t="s">
        <v>1892</v>
      </c>
      <c r="D828" t="s">
        <v>749</v>
      </c>
      <c r="E828" t="s">
        <v>48</v>
      </c>
      <c r="F828" t="s">
        <v>1893</v>
      </c>
      <c r="G828" t="str">
        <f>"00014889"</f>
        <v>00014889</v>
      </c>
      <c r="H828" t="s">
        <v>1894</v>
      </c>
      <c r="I828">
        <v>150</v>
      </c>
      <c r="J828">
        <v>0</v>
      </c>
      <c r="K828">
        <v>0</v>
      </c>
      <c r="L828">
        <v>200</v>
      </c>
      <c r="M828">
        <v>0</v>
      </c>
      <c r="N828">
        <v>50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X828">
        <v>0</v>
      </c>
      <c r="Y828" t="s">
        <v>1895</v>
      </c>
    </row>
    <row r="829" spans="1:25" x14ac:dyDescent="0.25">
      <c r="H829" t="s">
        <v>52</v>
      </c>
    </row>
    <row r="830" spans="1:25" x14ac:dyDescent="0.25">
      <c r="A830">
        <v>412</v>
      </c>
      <c r="B830">
        <v>645</v>
      </c>
      <c r="C830" t="s">
        <v>508</v>
      </c>
      <c r="D830" t="s">
        <v>1896</v>
      </c>
      <c r="E830" t="s">
        <v>83</v>
      </c>
      <c r="F830" t="s">
        <v>1897</v>
      </c>
      <c r="G830" t="str">
        <f>"00013127"</f>
        <v>00013127</v>
      </c>
      <c r="H830" t="s">
        <v>777</v>
      </c>
      <c r="I830">
        <v>0</v>
      </c>
      <c r="J830">
        <v>0</v>
      </c>
      <c r="K830">
        <v>0</v>
      </c>
      <c r="L830">
        <v>200</v>
      </c>
      <c r="M830">
        <v>0</v>
      </c>
      <c r="N830">
        <v>70</v>
      </c>
      <c r="O830">
        <v>0</v>
      </c>
      <c r="P830">
        <v>30</v>
      </c>
      <c r="Q830">
        <v>0</v>
      </c>
      <c r="R830">
        <v>0</v>
      </c>
      <c r="S830">
        <v>0</v>
      </c>
      <c r="T830">
        <v>0</v>
      </c>
      <c r="U830">
        <v>0</v>
      </c>
      <c r="X830">
        <v>0</v>
      </c>
      <c r="Y830" t="s">
        <v>1898</v>
      </c>
    </row>
    <row r="831" spans="1:25" x14ac:dyDescent="0.25">
      <c r="H831" t="s">
        <v>1899</v>
      </c>
    </row>
    <row r="832" spans="1:25" x14ac:dyDescent="0.25">
      <c r="A832">
        <v>413</v>
      </c>
      <c r="B832">
        <v>1103</v>
      </c>
      <c r="C832" t="s">
        <v>1900</v>
      </c>
      <c r="D832" t="s">
        <v>604</v>
      </c>
      <c r="E832" t="s">
        <v>48</v>
      </c>
      <c r="F832" t="s">
        <v>1901</v>
      </c>
      <c r="G832" t="str">
        <f>"00014961"</f>
        <v>00014961</v>
      </c>
      <c r="H832" t="s">
        <v>1615</v>
      </c>
      <c r="I832">
        <v>0</v>
      </c>
      <c r="J832">
        <v>0</v>
      </c>
      <c r="K832">
        <v>0</v>
      </c>
      <c r="L832">
        <v>200</v>
      </c>
      <c r="M832">
        <v>0</v>
      </c>
      <c r="N832">
        <v>70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X832">
        <v>0</v>
      </c>
      <c r="Y832" t="s">
        <v>1902</v>
      </c>
    </row>
    <row r="833" spans="1:25" x14ac:dyDescent="0.25">
      <c r="H833" t="s">
        <v>1903</v>
      </c>
    </row>
    <row r="834" spans="1:25" x14ac:dyDescent="0.25">
      <c r="A834">
        <v>414</v>
      </c>
      <c r="B834">
        <v>425</v>
      </c>
      <c r="C834" t="s">
        <v>1904</v>
      </c>
      <c r="D834" t="s">
        <v>1087</v>
      </c>
      <c r="E834" t="s">
        <v>176</v>
      </c>
      <c r="F834" t="s">
        <v>1905</v>
      </c>
      <c r="G834" t="str">
        <f>"00014733"</f>
        <v>00014733</v>
      </c>
      <c r="H834" t="s">
        <v>1033</v>
      </c>
      <c r="I834">
        <v>0</v>
      </c>
      <c r="J834">
        <v>0</v>
      </c>
      <c r="K834">
        <v>0</v>
      </c>
      <c r="L834">
        <v>260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70</v>
      </c>
      <c r="S834">
        <v>0</v>
      </c>
      <c r="T834">
        <v>0</v>
      </c>
      <c r="U834">
        <v>0</v>
      </c>
      <c r="X834">
        <v>0</v>
      </c>
      <c r="Y834" t="s">
        <v>1906</v>
      </c>
    </row>
    <row r="835" spans="1:25" x14ac:dyDescent="0.25">
      <c r="H835" t="s">
        <v>110</v>
      </c>
    </row>
    <row r="836" spans="1:25" x14ac:dyDescent="0.25">
      <c r="A836">
        <v>415</v>
      </c>
      <c r="B836">
        <v>78</v>
      </c>
      <c r="C836" t="s">
        <v>684</v>
      </c>
      <c r="D836" t="s">
        <v>1048</v>
      </c>
      <c r="E836" t="s">
        <v>217</v>
      </c>
      <c r="F836" t="s">
        <v>1907</v>
      </c>
      <c r="G836" t="str">
        <f>"200801009648"</f>
        <v>200801009648</v>
      </c>
      <c r="H836">
        <v>858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50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X836">
        <v>1</v>
      </c>
      <c r="Y836">
        <v>1108</v>
      </c>
    </row>
    <row r="837" spans="1:25" x14ac:dyDescent="0.25">
      <c r="H837" t="s">
        <v>1908</v>
      </c>
    </row>
    <row r="838" spans="1:25" x14ac:dyDescent="0.25">
      <c r="A838">
        <v>416</v>
      </c>
      <c r="B838">
        <v>2313</v>
      </c>
      <c r="C838" t="s">
        <v>1909</v>
      </c>
      <c r="D838" t="s">
        <v>526</v>
      </c>
      <c r="E838" t="s">
        <v>417</v>
      </c>
      <c r="F838" t="s">
        <v>1910</v>
      </c>
      <c r="G838" t="str">
        <f>"200801001445"</f>
        <v>200801001445</v>
      </c>
      <c r="H838" t="s">
        <v>1713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70</v>
      </c>
      <c r="O838">
        <v>30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X838">
        <v>0</v>
      </c>
      <c r="Y838" t="s">
        <v>1911</v>
      </c>
    </row>
    <row r="839" spans="1:25" x14ac:dyDescent="0.25">
      <c r="H839" t="s">
        <v>1912</v>
      </c>
    </row>
    <row r="840" spans="1:25" x14ac:dyDescent="0.25">
      <c r="A840">
        <v>417</v>
      </c>
      <c r="B840">
        <v>2034</v>
      </c>
      <c r="C840" t="s">
        <v>1913</v>
      </c>
      <c r="D840" t="s">
        <v>1914</v>
      </c>
      <c r="E840" t="s">
        <v>124</v>
      </c>
      <c r="F840" t="s">
        <v>1915</v>
      </c>
      <c r="G840" t="str">
        <f>"00011697"</f>
        <v>00011697</v>
      </c>
      <c r="H840" t="s">
        <v>548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70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X840">
        <v>0</v>
      </c>
      <c r="Y840" t="s">
        <v>1916</v>
      </c>
    </row>
    <row r="841" spans="1:25" x14ac:dyDescent="0.25">
      <c r="H841" t="s">
        <v>1917</v>
      </c>
    </row>
    <row r="842" spans="1:25" x14ac:dyDescent="0.25">
      <c r="A842">
        <v>418</v>
      </c>
      <c r="B842">
        <v>1369</v>
      </c>
      <c r="C842" t="s">
        <v>1918</v>
      </c>
      <c r="D842" t="s">
        <v>1087</v>
      </c>
      <c r="E842" t="s">
        <v>48</v>
      </c>
      <c r="F842" t="s">
        <v>1919</v>
      </c>
      <c r="G842" t="str">
        <f>"00014762"</f>
        <v>00014762</v>
      </c>
      <c r="H842" t="s">
        <v>548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X842">
        <v>0</v>
      </c>
      <c r="Y842" t="s">
        <v>1916</v>
      </c>
    </row>
    <row r="843" spans="1:25" x14ac:dyDescent="0.25">
      <c r="H843" t="s">
        <v>1920</v>
      </c>
    </row>
    <row r="844" spans="1:25" x14ac:dyDescent="0.25">
      <c r="A844">
        <v>419</v>
      </c>
      <c r="B844">
        <v>2856</v>
      </c>
      <c r="C844" t="s">
        <v>1921</v>
      </c>
      <c r="D844" t="s">
        <v>175</v>
      </c>
      <c r="E844" t="s">
        <v>66</v>
      </c>
      <c r="F844" t="s">
        <v>1922</v>
      </c>
      <c r="G844" t="str">
        <f>"00014894"</f>
        <v>00014894</v>
      </c>
      <c r="H844" t="s">
        <v>349</v>
      </c>
      <c r="I844">
        <v>0</v>
      </c>
      <c r="J844">
        <v>0</v>
      </c>
      <c r="K844">
        <v>0</v>
      </c>
      <c r="L844">
        <v>0</v>
      </c>
      <c r="M844">
        <v>100</v>
      </c>
      <c r="N844">
        <v>70</v>
      </c>
      <c r="O844">
        <v>50</v>
      </c>
      <c r="P844">
        <v>0</v>
      </c>
      <c r="Q844">
        <v>30</v>
      </c>
      <c r="R844">
        <v>0</v>
      </c>
      <c r="S844">
        <v>0</v>
      </c>
      <c r="T844">
        <v>0</v>
      </c>
      <c r="U844">
        <v>0</v>
      </c>
      <c r="X844">
        <v>0</v>
      </c>
      <c r="Y844" t="s">
        <v>1923</v>
      </c>
    </row>
    <row r="845" spans="1:25" x14ac:dyDescent="0.25">
      <c r="H845" t="s">
        <v>203</v>
      </c>
    </row>
    <row r="846" spans="1:25" x14ac:dyDescent="0.25">
      <c r="A846">
        <v>420</v>
      </c>
      <c r="B846">
        <v>3344</v>
      </c>
      <c r="C846" t="s">
        <v>1924</v>
      </c>
      <c r="D846" t="s">
        <v>330</v>
      </c>
      <c r="E846" t="s">
        <v>48</v>
      </c>
      <c r="F846" t="s">
        <v>1925</v>
      </c>
      <c r="G846" t="str">
        <f>"201503000077"</f>
        <v>201503000077</v>
      </c>
      <c r="H846" t="s">
        <v>620</v>
      </c>
      <c r="I846">
        <v>0</v>
      </c>
      <c r="J846">
        <v>0</v>
      </c>
      <c r="K846">
        <v>0</v>
      </c>
      <c r="L846">
        <v>200</v>
      </c>
      <c r="M846">
        <v>0</v>
      </c>
      <c r="N846">
        <v>70</v>
      </c>
      <c r="O846">
        <v>0</v>
      </c>
      <c r="P846">
        <v>70</v>
      </c>
      <c r="Q846">
        <v>0</v>
      </c>
      <c r="R846">
        <v>0</v>
      </c>
      <c r="S846">
        <v>0</v>
      </c>
      <c r="T846">
        <v>0</v>
      </c>
      <c r="U846">
        <v>0</v>
      </c>
      <c r="X846">
        <v>0</v>
      </c>
      <c r="Y846" t="s">
        <v>1926</v>
      </c>
    </row>
    <row r="847" spans="1:25" x14ac:dyDescent="0.25">
      <c r="H847" t="s">
        <v>1927</v>
      </c>
    </row>
    <row r="848" spans="1:25" x14ac:dyDescent="0.25">
      <c r="A848">
        <v>421</v>
      </c>
      <c r="B848">
        <v>2885</v>
      </c>
      <c r="C848" t="s">
        <v>1928</v>
      </c>
      <c r="D848" t="s">
        <v>223</v>
      </c>
      <c r="E848" t="s">
        <v>306</v>
      </c>
      <c r="F848" t="s">
        <v>1929</v>
      </c>
      <c r="G848" t="str">
        <f>"00013694"</f>
        <v>00013694</v>
      </c>
      <c r="H848" t="s">
        <v>359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70</v>
      </c>
      <c r="O848">
        <v>30</v>
      </c>
      <c r="P848">
        <v>0</v>
      </c>
      <c r="Q848">
        <v>0</v>
      </c>
      <c r="R848">
        <v>30</v>
      </c>
      <c r="S848">
        <v>0</v>
      </c>
      <c r="T848">
        <v>0</v>
      </c>
      <c r="U848">
        <v>0</v>
      </c>
      <c r="X848">
        <v>0</v>
      </c>
      <c r="Y848" t="s">
        <v>1930</v>
      </c>
    </row>
    <row r="849" spans="1:25" x14ac:dyDescent="0.25">
      <c r="H849" t="s">
        <v>1931</v>
      </c>
    </row>
    <row r="850" spans="1:25" x14ac:dyDescent="0.25">
      <c r="A850">
        <v>422</v>
      </c>
      <c r="B850">
        <v>2755</v>
      </c>
      <c r="C850" t="s">
        <v>1932</v>
      </c>
      <c r="D850" t="s">
        <v>124</v>
      </c>
      <c r="E850" t="s">
        <v>21</v>
      </c>
      <c r="F850" t="s">
        <v>1933</v>
      </c>
      <c r="G850" t="str">
        <f>"00013579"</f>
        <v>00013579</v>
      </c>
      <c r="H850" t="s">
        <v>1934</v>
      </c>
      <c r="I850">
        <v>0</v>
      </c>
      <c r="J850">
        <v>0</v>
      </c>
      <c r="K850">
        <v>0</v>
      </c>
      <c r="L850">
        <v>200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X850">
        <v>0</v>
      </c>
      <c r="Y850" t="s">
        <v>1935</v>
      </c>
    </row>
    <row r="851" spans="1:25" x14ac:dyDescent="0.25">
      <c r="H851" t="s">
        <v>1936</v>
      </c>
    </row>
    <row r="852" spans="1:25" x14ac:dyDescent="0.25">
      <c r="A852">
        <v>423</v>
      </c>
      <c r="B852">
        <v>1210</v>
      </c>
      <c r="C852" t="s">
        <v>1937</v>
      </c>
      <c r="D852" t="s">
        <v>526</v>
      </c>
      <c r="E852" t="s">
        <v>48</v>
      </c>
      <c r="F852" t="s">
        <v>1938</v>
      </c>
      <c r="G852" t="str">
        <f>"200802010814"</f>
        <v>200802010814</v>
      </c>
      <c r="H852" t="s">
        <v>1939</v>
      </c>
      <c r="I852">
        <v>0</v>
      </c>
      <c r="J852">
        <v>0</v>
      </c>
      <c r="K852">
        <v>0</v>
      </c>
      <c r="L852">
        <v>200</v>
      </c>
      <c r="M852">
        <v>0</v>
      </c>
      <c r="N852">
        <v>70</v>
      </c>
      <c r="O852">
        <v>30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X852">
        <v>0</v>
      </c>
      <c r="Y852" t="s">
        <v>1940</v>
      </c>
    </row>
    <row r="853" spans="1:25" x14ac:dyDescent="0.25">
      <c r="H853" t="s">
        <v>1941</v>
      </c>
    </row>
    <row r="854" spans="1:25" x14ac:dyDescent="0.25">
      <c r="A854">
        <v>424</v>
      </c>
      <c r="B854">
        <v>1185</v>
      </c>
      <c r="C854" t="s">
        <v>1942</v>
      </c>
      <c r="D854" t="s">
        <v>842</v>
      </c>
      <c r="E854" t="s">
        <v>41</v>
      </c>
      <c r="F854" t="s">
        <v>1943</v>
      </c>
      <c r="G854" t="str">
        <f>"201402008466"</f>
        <v>201402008466</v>
      </c>
      <c r="H854">
        <v>803</v>
      </c>
      <c r="I854">
        <v>0</v>
      </c>
      <c r="J854">
        <v>0</v>
      </c>
      <c r="K854">
        <v>0</v>
      </c>
      <c r="L854">
        <v>200</v>
      </c>
      <c r="M854">
        <v>0</v>
      </c>
      <c r="N854">
        <v>70</v>
      </c>
      <c r="O854">
        <v>30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X854">
        <v>0</v>
      </c>
      <c r="Y854">
        <v>1103</v>
      </c>
    </row>
    <row r="855" spans="1:25" x14ac:dyDescent="0.25">
      <c r="H855" t="s">
        <v>1944</v>
      </c>
    </row>
    <row r="856" spans="1:25" x14ac:dyDescent="0.25">
      <c r="A856">
        <v>425</v>
      </c>
      <c r="B856">
        <v>2010</v>
      </c>
      <c r="C856" t="s">
        <v>1945</v>
      </c>
      <c r="D856" t="s">
        <v>571</v>
      </c>
      <c r="E856" t="s">
        <v>22</v>
      </c>
      <c r="F856" t="s">
        <v>1946</v>
      </c>
      <c r="G856" t="str">
        <f>"00013649"</f>
        <v>00013649</v>
      </c>
      <c r="H856" t="s">
        <v>856</v>
      </c>
      <c r="I856">
        <v>0</v>
      </c>
      <c r="J856">
        <v>0</v>
      </c>
      <c r="K856">
        <v>0</v>
      </c>
      <c r="L856">
        <v>200</v>
      </c>
      <c r="M856">
        <v>0</v>
      </c>
      <c r="N856">
        <v>70</v>
      </c>
      <c r="O856">
        <v>50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X856">
        <v>0</v>
      </c>
      <c r="Y856" t="s">
        <v>1947</v>
      </c>
    </row>
    <row r="857" spans="1:25" x14ac:dyDescent="0.25">
      <c r="H857" t="s">
        <v>1948</v>
      </c>
    </row>
    <row r="858" spans="1:25" x14ac:dyDescent="0.25">
      <c r="A858">
        <v>426</v>
      </c>
      <c r="B858">
        <v>1035</v>
      </c>
      <c r="C858" t="s">
        <v>1949</v>
      </c>
      <c r="D858" t="s">
        <v>1950</v>
      </c>
      <c r="E858" t="s">
        <v>1951</v>
      </c>
      <c r="F858" t="s">
        <v>1952</v>
      </c>
      <c r="G858" t="str">
        <f>"200802003987"</f>
        <v>200802003987</v>
      </c>
      <c r="H858">
        <v>902</v>
      </c>
      <c r="I858">
        <v>0</v>
      </c>
      <c r="J858">
        <v>0</v>
      </c>
      <c r="K858">
        <v>0</v>
      </c>
      <c r="L858">
        <v>0</v>
      </c>
      <c r="M858">
        <v>100</v>
      </c>
      <c r="N858">
        <v>70</v>
      </c>
      <c r="O858">
        <v>30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X858">
        <v>0</v>
      </c>
      <c r="Y858">
        <v>1102</v>
      </c>
    </row>
    <row r="859" spans="1:25" x14ac:dyDescent="0.25">
      <c r="H859" t="s">
        <v>1953</v>
      </c>
    </row>
    <row r="860" spans="1:25" x14ac:dyDescent="0.25">
      <c r="A860">
        <v>427</v>
      </c>
      <c r="B860">
        <v>2106</v>
      </c>
      <c r="C860" t="s">
        <v>1954</v>
      </c>
      <c r="D860" t="s">
        <v>1955</v>
      </c>
      <c r="E860" t="s">
        <v>48</v>
      </c>
      <c r="F860" t="s">
        <v>1956</v>
      </c>
      <c r="G860" t="str">
        <f>"00012437"</f>
        <v>00012437</v>
      </c>
      <c r="H860" t="s">
        <v>1957</v>
      </c>
      <c r="I860">
        <v>150</v>
      </c>
      <c r="J860">
        <v>0</v>
      </c>
      <c r="K860">
        <v>0</v>
      </c>
      <c r="L860">
        <v>200</v>
      </c>
      <c r="M860">
        <v>30</v>
      </c>
      <c r="N860">
        <v>50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X860">
        <v>0</v>
      </c>
      <c r="Y860" t="s">
        <v>1958</v>
      </c>
    </row>
    <row r="861" spans="1:25" x14ac:dyDescent="0.25">
      <c r="H861" t="s">
        <v>1959</v>
      </c>
    </row>
    <row r="862" spans="1:25" x14ac:dyDescent="0.25">
      <c r="A862">
        <v>428</v>
      </c>
      <c r="B862">
        <v>1289</v>
      </c>
      <c r="C862" t="s">
        <v>1960</v>
      </c>
      <c r="D862" t="s">
        <v>175</v>
      </c>
      <c r="E862" t="s">
        <v>48</v>
      </c>
      <c r="F862" t="s">
        <v>1961</v>
      </c>
      <c r="G862" t="str">
        <f>"00013271"</f>
        <v>00013271</v>
      </c>
      <c r="H862" t="s">
        <v>403</v>
      </c>
      <c r="I862">
        <v>0</v>
      </c>
      <c r="J862">
        <v>0</v>
      </c>
      <c r="K862">
        <v>0</v>
      </c>
      <c r="L862">
        <v>200</v>
      </c>
      <c r="M862">
        <v>0</v>
      </c>
      <c r="N862">
        <v>70</v>
      </c>
      <c r="O862">
        <v>30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X862">
        <v>0</v>
      </c>
      <c r="Y862" t="s">
        <v>1962</v>
      </c>
    </row>
    <row r="863" spans="1:25" x14ac:dyDescent="0.25">
      <c r="H863" t="s">
        <v>1963</v>
      </c>
    </row>
    <row r="864" spans="1:25" x14ac:dyDescent="0.25">
      <c r="A864">
        <v>429</v>
      </c>
      <c r="B864">
        <v>1444</v>
      </c>
      <c r="C864" t="s">
        <v>1964</v>
      </c>
      <c r="D864" t="s">
        <v>93</v>
      </c>
      <c r="E864" t="s">
        <v>190</v>
      </c>
      <c r="F864" t="s">
        <v>1965</v>
      </c>
      <c r="G864" t="str">
        <f>"00013773"</f>
        <v>00013773</v>
      </c>
      <c r="H864">
        <v>869</v>
      </c>
      <c r="I864">
        <v>0</v>
      </c>
      <c r="J864">
        <v>0</v>
      </c>
      <c r="K864">
        <v>0</v>
      </c>
      <c r="L864">
        <v>200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X864">
        <v>0</v>
      </c>
      <c r="Y864">
        <v>1099</v>
      </c>
    </row>
    <row r="865" spans="1:25" x14ac:dyDescent="0.25">
      <c r="H865" t="s">
        <v>52</v>
      </c>
    </row>
    <row r="866" spans="1:25" x14ac:dyDescent="0.25">
      <c r="A866">
        <v>430</v>
      </c>
      <c r="B866">
        <v>3286</v>
      </c>
      <c r="C866" t="s">
        <v>1966</v>
      </c>
      <c r="D866" t="s">
        <v>526</v>
      </c>
      <c r="E866" t="s">
        <v>48</v>
      </c>
      <c r="F866" t="s">
        <v>1967</v>
      </c>
      <c r="G866" t="str">
        <f>"00013672"</f>
        <v>00013672</v>
      </c>
      <c r="H866" t="s">
        <v>1968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70</v>
      </c>
      <c r="O866">
        <v>30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X866">
        <v>0</v>
      </c>
      <c r="Y866" t="s">
        <v>1969</v>
      </c>
    </row>
    <row r="867" spans="1:25" x14ac:dyDescent="0.25">
      <c r="H867" t="s">
        <v>1970</v>
      </c>
    </row>
    <row r="868" spans="1:25" x14ac:dyDescent="0.25">
      <c r="A868">
        <v>431</v>
      </c>
      <c r="B868">
        <v>431</v>
      </c>
      <c r="C868" t="s">
        <v>1971</v>
      </c>
      <c r="D868" t="s">
        <v>1972</v>
      </c>
      <c r="E868" t="s">
        <v>22</v>
      </c>
      <c r="F868" t="s">
        <v>1973</v>
      </c>
      <c r="G868" t="str">
        <f>"201504001668"</f>
        <v>201504001668</v>
      </c>
      <c r="H868" t="s">
        <v>818</v>
      </c>
      <c r="I868">
        <v>0</v>
      </c>
      <c r="J868">
        <v>0</v>
      </c>
      <c r="K868">
        <v>0</v>
      </c>
      <c r="L868">
        <v>200</v>
      </c>
      <c r="M868">
        <v>30</v>
      </c>
      <c r="N868">
        <v>50</v>
      </c>
      <c r="O868">
        <v>30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X868">
        <v>0</v>
      </c>
      <c r="Y868" t="s">
        <v>1974</v>
      </c>
    </row>
    <row r="869" spans="1:25" x14ac:dyDescent="0.25">
      <c r="H869" t="s">
        <v>52</v>
      </c>
    </row>
    <row r="870" spans="1:25" x14ac:dyDescent="0.25">
      <c r="A870">
        <v>432</v>
      </c>
      <c r="B870">
        <v>280</v>
      </c>
      <c r="C870" t="s">
        <v>1975</v>
      </c>
      <c r="D870" t="s">
        <v>1646</v>
      </c>
      <c r="E870" t="s">
        <v>83</v>
      </c>
      <c r="F870" t="s">
        <v>1976</v>
      </c>
      <c r="G870" t="str">
        <f>"201511041860"</f>
        <v>201511041860</v>
      </c>
      <c r="H870" t="s">
        <v>428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30</v>
      </c>
      <c r="S870">
        <v>0</v>
      </c>
      <c r="T870">
        <v>0</v>
      </c>
      <c r="U870">
        <v>0</v>
      </c>
      <c r="X870">
        <v>0</v>
      </c>
      <c r="Y870" t="s">
        <v>1977</v>
      </c>
    </row>
    <row r="871" spans="1:25" x14ac:dyDescent="0.25">
      <c r="H871" t="s">
        <v>1978</v>
      </c>
    </row>
    <row r="872" spans="1:25" x14ac:dyDescent="0.25">
      <c r="A872">
        <v>433</v>
      </c>
      <c r="B872">
        <v>592</v>
      </c>
      <c r="C872" t="s">
        <v>1979</v>
      </c>
      <c r="D872" t="s">
        <v>330</v>
      </c>
      <c r="E872" t="s">
        <v>417</v>
      </c>
      <c r="F872" t="s">
        <v>1980</v>
      </c>
      <c r="G872" t="str">
        <f>"201511023467"</f>
        <v>201511023467</v>
      </c>
      <c r="H872" t="s">
        <v>219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X872">
        <v>0</v>
      </c>
      <c r="Y872" t="s">
        <v>1981</v>
      </c>
    </row>
    <row r="873" spans="1:25" x14ac:dyDescent="0.25">
      <c r="H873" t="s">
        <v>1982</v>
      </c>
    </row>
    <row r="874" spans="1:25" x14ac:dyDescent="0.25">
      <c r="A874">
        <v>434</v>
      </c>
      <c r="B874">
        <v>3003</v>
      </c>
      <c r="C874" t="s">
        <v>1983</v>
      </c>
      <c r="D874" t="s">
        <v>147</v>
      </c>
      <c r="E874" t="s">
        <v>22</v>
      </c>
      <c r="F874" t="s">
        <v>1984</v>
      </c>
      <c r="G874" t="str">
        <f>"00012269"</f>
        <v>00012269</v>
      </c>
      <c r="H874" t="s">
        <v>557</v>
      </c>
      <c r="I874">
        <v>0</v>
      </c>
      <c r="J874">
        <v>0</v>
      </c>
      <c r="K874">
        <v>0</v>
      </c>
      <c r="L874">
        <v>200</v>
      </c>
      <c r="M874">
        <v>0</v>
      </c>
      <c r="N874">
        <v>70</v>
      </c>
      <c r="O874">
        <v>0</v>
      </c>
      <c r="P874">
        <v>0</v>
      </c>
      <c r="Q874">
        <v>30</v>
      </c>
      <c r="R874">
        <v>0</v>
      </c>
      <c r="S874">
        <v>0</v>
      </c>
      <c r="T874">
        <v>0</v>
      </c>
      <c r="U874">
        <v>0</v>
      </c>
      <c r="X874">
        <v>0</v>
      </c>
      <c r="Y874" t="s">
        <v>1985</v>
      </c>
    </row>
    <row r="875" spans="1:25" x14ac:dyDescent="0.25">
      <c r="H875" t="s">
        <v>1986</v>
      </c>
    </row>
    <row r="876" spans="1:25" x14ac:dyDescent="0.25">
      <c r="A876">
        <v>435</v>
      </c>
      <c r="B876">
        <v>943</v>
      </c>
      <c r="C876" t="s">
        <v>1987</v>
      </c>
      <c r="D876" t="s">
        <v>1988</v>
      </c>
      <c r="E876" t="s">
        <v>48</v>
      </c>
      <c r="F876" t="s">
        <v>1989</v>
      </c>
      <c r="G876" t="str">
        <f>"201411001174"</f>
        <v>201411001174</v>
      </c>
      <c r="H876" t="s">
        <v>557</v>
      </c>
      <c r="I876">
        <v>0</v>
      </c>
      <c r="J876">
        <v>0</v>
      </c>
      <c r="K876">
        <v>0</v>
      </c>
      <c r="L876">
        <v>200</v>
      </c>
      <c r="M876">
        <v>0</v>
      </c>
      <c r="N876">
        <v>70</v>
      </c>
      <c r="O876">
        <v>30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X876">
        <v>0</v>
      </c>
      <c r="Y876" t="s">
        <v>1985</v>
      </c>
    </row>
    <row r="877" spans="1:25" x14ac:dyDescent="0.25">
      <c r="H877" t="s">
        <v>1990</v>
      </c>
    </row>
    <row r="878" spans="1:25" x14ac:dyDescent="0.25">
      <c r="A878">
        <v>436</v>
      </c>
      <c r="B878">
        <v>498</v>
      </c>
      <c r="C878" t="s">
        <v>1991</v>
      </c>
      <c r="D878" t="s">
        <v>526</v>
      </c>
      <c r="E878" t="s">
        <v>48</v>
      </c>
      <c r="F878" t="s">
        <v>1992</v>
      </c>
      <c r="G878" t="str">
        <f>"00014588"</f>
        <v>00014588</v>
      </c>
      <c r="H878" t="s">
        <v>741</v>
      </c>
      <c r="I878">
        <v>0</v>
      </c>
      <c r="J878">
        <v>0</v>
      </c>
      <c r="K878">
        <v>0</v>
      </c>
      <c r="L878">
        <v>200</v>
      </c>
      <c r="M878">
        <v>30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X878">
        <v>0</v>
      </c>
      <c r="Y878" t="s">
        <v>1993</v>
      </c>
    </row>
    <row r="879" spans="1:25" x14ac:dyDescent="0.25">
      <c r="H879" t="s">
        <v>265</v>
      </c>
    </row>
    <row r="880" spans="1:25" x14ac:dyDescent="0.25">
      <c r="A880">
        <v>437</v>
      </c>
      <c r="B880">
        <v>2742</v>
      </c>
      <c r="C880" t="s">
        <v>1994</v>
      </c>
      <c r="D880" t="s">
        <v>106</v>
      </c>
      <c r="E880" t="s">
        <v>1995</v>
      </c>
      <c r="F880" t="s">
        <v>1996</v>
      </c>
      <c r="G880" t="str">
        <f>"201406013993"</f>
        <v>201406013993</v>
      </c>
      <c r="H880" t="s">
        <v>1997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X880">
        <v>0</v>
      </c>
      <c r="Y880" t="s">
        <v>1998</v>
      </c>
    </row>
    <row r="881" spans="1:25" x14ac:dyDescent="0.25">
      <c r="H881" t="s">
        <v>1999</v>
      </c>
    </row>
    <row r="882" spans="1:25" x14ac:dyDescent="0.25">
      <c r="A882">
        <v>438</v>
      </c>
      <c r="B882">
        <v>3015</v>
      </c>
      <c r="C882" t="s">
        <v>2000</v>
      </c>
      <c r="D882" t="s">
        <v>2001</v>
      </c>
      <c r="E882" t="s">
        <v>1483</v>
      </c>
      <c r="F882" t="s">
        <v>2002</v>
      </c>
      <c r="G882" t="str">
        <f>"00015012"</f>
        <v>00015012</v>
      </c>
      <c r="H882" t="s">
        <v>1997</v>
      </c>
      <c r="I882">
        <v>0</v>
      </c>
      <c r="J882">
        <v>0</v>
      </c>
      <c r="K882">
        <v>0</v>
      </c>
      <c r="L882">
        <v>200</v>
      </c>
      <c r="M882">
        <v>0</v>
      </c>
      <c r="N882">
        <v>70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X882">
        <v>0</v>
      </c>
      <c r="Y882" t="s">
        <v>1998</v>
      </c>
    </row>
    <row r="883" spans="1:25" x14ac:dyDescent="0.25">
      <c r="H883" t="s">
        <v>1069</v>
      </c>
    </row>
    <row r="884" spans="1:25" x14ac:dyDescent="0.25">
      <c r="A884">
        <v>439</v>
      </c>
      <c r="B884">
        <v>1021</v>
      </c>
      <c r="C884" t="s">
        <v>2003</v>
      </c>
      <c r="D884" t="s">
        <v>2004</v>
      </c>
      <c r="E884" t="s">
        <v>300</v>
      </c>
      <c r="F884" t="s">
        <v>2005</v>
      </c>
      <c r="G884" t="str">
        <f>"201504004199"</f>
        <v>201504004199</v>
      </c>
      <c r="H884">
        <v>891</v>
      </c>
      <c r="I884">
        <v>0</v>
      </c>
      <c r="J884">
        <v>0</v>
      </c>
      <c r="K884">
        <v>0</v>
      </c>
      <c r="L884">
        <v>0</v>
      </c>
      <c r="M884">
        <v>100</v>
      </c>
      <c r="N884">
        <v>70</v>
      </c>
      <c r="O884">
        <v>0</v>
      </c>
      <c r="P884">
        <v>0</v>
      </c>
      <c r="Q884">
        <v>0</v>
      </c>
      <c r="R884">
        <v>30</v>
      </c>
      <c r="S884">
        <v>0</v>
      </c>
      <c r="T884">
        <v>0</v>
      </c>
      <c r="U884">
        <v>0</v>
      </c>
      <c r="X884">
        <v>0</v>
      </c>
      <c r="Y884">
        <v>1091</v>
      </c>
    </row>
    <row r="885" spans="1:25" x14ac:dyDescent="0.25">
      <c r="H885">
        <v>224</v>
      </c>
    </row>
    <row r="886" spans="1:25" x14ac:dyDescent="0.25">
      <c r="A886">
        <v>440</v>
      </c>
      <c r="B886">
        <v>923</v>
      </c>
      <c r="C886" t="s">
        <v>2006</v>
      </c>
      <c r="D886" t="s">
        <v>2007</v>
      </c>
      <c r="E886" t="s">
        <v>1251</v>
      </c>
      <c r="F886" t="s">
        <v>2008</v>
      </c>
      <c r="G886" t="str">
        <f>"00014341"</f>
        <v>00014341</v>
      </c>
      <c r="H886">
        <v>770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70</v>
      </c>
      <c r="O886">
        <v>0</v>
      </c>
      <c r="P886">
        <v>50</v>
      </c>
      <c r="Q886">
        <v>0</v>
      </c>
      <c r="R886">
        <v>0</v>
      </c>
      <c r="S886">
        <v>0</v>
      </c>
      <c r="T886">
        <v>0</v>
      </c>
      <c r="U886">
        <v>0</v>
      </c>
      <c r="X886">
        <v>0</v>
      </c>
      <c r="Y886">
        <v>1090</v>
      </c>
    </row>
    <row r="887" spans="1:25" x14ac:dyDescent="0.25">
      <c r="H887" t="s">
        <v>2009</v>
      </c>
    </row>
    <row r="888" spans="1:25" x14ac:dyDescent="0.25">
      <c r="A888">
        <v>441</v>
      </c>
      <c r="B888">
        <v>1438</v>
      </c>
      <c r="C888" t="s">
        <v>2010</v>
      </c>
      <c r="D888" t="s">
        <v>223</v>
      </c>
      <c r="E888" t="s">
        <v>1483</v>
      </c>
      <c r="F888" t="s">
        <v>2011</v>
      </c>
      <c r="G888" t="str">
        <f>"201504002040"</f>
        <v>201504002040</v>
      </c>
      <c r="H888" t="s">
        <v>1802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X888">
        <v>0</v>
      </c>
      <c r="Y888" t="s">
        <v>2012</v>
      </c>
    </row>
    <row r="889" spans="1:25" x14ac:dyDescent="0.25">
      <c r="H889" t="s">
        <v>2013</v>
      </c>
    </row>
    <row r="890" spans="1:25" x14ac:dyDescent="0.25">
      <c r="A890">
        <v>442</v>
      </c>
      <c r="B890">
        <v>887</v>
      </c>
      <c r="C890" t="s">
        <v>2014</v>
      </c>
      <c r="D890" t="s">
        <v>417</v>
      </c>
      <c r="E890" t="s">
        <v>217</v>
      </c>
      <c r="F890" t="s">
        <v>2015</v>
      </c>
      <c r="G890" t="str">
        <f>"00004037"</f>
        <v>00004037</v>
      </c>
      <c r="H890" t="s">
        <v>803</v>
      </c>
      <c r="I890">
        <v>0</v>
      </c>
      <c r="J890">
        <v>0</v>
      </c>
      <c r="K890">
        <v>0</v>
      </c>
      <c r="L890">
        <v>200</v>
      </c>
      <c r="M890">
        <v>0</v>
      </c>
      <c r="N890">
        <v>70</v>
      </c>
      <c r="O890">
        <v>0</v>
      </c>
      <c r="P890">
        <v>30</v>
      </c>
      <c r="Q890">
        <v>0</v>
      </c>
      <c r="R890">
        <v>0</v>
      </c>
      <c r="S890">
        <v>0</v>
      </c>
      <c r="T890">
        <v>0</v>
      </c>
      <c r="U890">
        <v>0</v>
      </c>
      <c r="X890">
        <v>0</v>
      </c>
      <c r="Y890" t="s">
        <v>2016</v>
      </c>
    </row>
    <row r="891" spans="1:25" x14ac:dyDescent="0.25">
      <c r="H891" t="s">
        <v>2017</v>
      </c>
    </row>
    <row r="892" spans="1:25" x14ac:dyDescent="0.25">
      <c r="A892">
        <v>443</v>
      </c>
      <c r="B892">
        <v>1726</v>
      </c>
      <c r="C892" t="s">
        <v>2018</v>
      </c>
      <c r="D892" t="s">
        <v>66</v>
      </c>
      <c r="E892" t="s">
        <v>2019</v>
      </c>
      <c r="F892" t="s">
        <v>2020</v>
      </c>
      <c r="G892" t="str">
        <f>"201503000401"</f>
        <v>201503000401</v>
      </c>
      <c r="H892" t="s">
        <v>1273</v>
      </c>
      <c r="I892">
        <v>150</v>
      </c>
      <c r="J892">
        <v>0</v>
      </c>
      <c r="K892">
        <v>0</v>
      </c>
      <c r="L892">
        <v>200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X892">
        <v>0</v>
      </c>
      <c r="Y892" t="s">
        <v>2021</v>
      </c>
    </row>
    <row r="893" spans="1:25" x14ac:dyDescent="0.25">
      <c r="H893" t="s">
        <v>2022</v>
      </c>
    </row>
    <row r="894" spans="1:25" x14ac:dyDescent="0.25">
      <c r="A894">
        <v>444</v>
      </c>
      <c r="B894">
        <v>2695</v>
      </c>
      <c r="C894" t="s">
        <v>2023</v>
      </c>
      <c r="D894" t="s">
        <v>2024</v>
      </c>
      <c r="E894" t="s">
        <v>87</v>
      </c>
      <c r="F894" t="s">
        <v>2025</v>
      </c>
      <c r="G894" t="str">
        <f>"00014397"</f>
        <v>00014397</v>
      </c>
      <c r="H894">
        <v>748</v>
      </c>
      <c r="I894">
        <v>0</v>
      </c>
      <c r="J894">
        <v>0</v>
      </c>
      <c r="K894">
        <v>0</v>
      </c>
      <c r="L894">
        <v>200</v>
      </c>
      <c r="M894">
        <v>0</v>
      </c>
      <c r="N894">
        <v>70</v>
      </c>
      <c r="O894">
        <v>70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X894">
        <v>0</v>
      </c>
      <c r="Y894">
        <v>1088</v>
      </c>
    </row>
    <row r="895" spans="1:25" x14ac:dyDescent="0.25">
      <c r="H895" t="s">
        <v>2026</v>
      </c>
    </row>
    <row r="896" spans="1:25" x14ac:dyDescent="0.25">
      <c r="A896">
        <v>445</v>
      </c>
      <c r="B896">
        <v>3116</v>
      </c>
      <c r="C896" t="s">
        <v>2027</v>
      </c>
      <c r="D896" t="s">
        <v>2028</v>
      </c>
      <c r="E896" t="s">
        <v>2029</v>
      </c>
      <c r="F896" t="s">
        <v>2030</v>
      </c>
      <c r="G896" t="str">
        <f>"00012123"</f>
        <v>00012123</v>
      </c>
      <c r="H896" t="s">
        <v>184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X896">
        <v>0</v>
      </c>
      <c r="Y896" t="s">
        <v>2031</v>
      </c>
    </row>
    <row r="897" spans="1:25" x14ac:dyDescent="0.25">
      <c r="H897" t="s">
        <v>52</v>
      </c>
    </row>
    <row r="898" spans="1:25" x14ac:dyDescent="0.25">
      <c r="A898">
        <v>446</v>
      </c>
      <c r="B898">
        <v>2669</v>
      </c>
      <c r="C898" t="s">
        <v>2032</v>
      </c>
      <c r="D898" t="s">
        <v>2033</v>
      </c>
      <c r="E898" t="s">
        <v>21</v>
      </c>
      <c r="F898" t="s">
        <v>2034</v>
      </c>
      <c r="G898" t="str">
        <f>"00013872"</f>
        <v>00013872</v>
      </c>
      <c r="H898">
        <v>737</v>
      </c>
      <c r="I898">
        <v>0</v>
      </c>
      <c r="J898">
        <v>0</v>
      </c>
      <c r="K898">
        <v>200</v>
      </c>
      <c r="L898">
        <v>0</v>
      </c>
      <c r="M898">
        <v>100</v>
      </c>
      <c r="N898">
        <v>50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X898">
        <v>0</v>
      </c>
      <c r="Y898">
        <v>1087</v>
      </c>
    </row>
    <row r="899" spans="1:25" x14ac:dyDescent="0.25">
      <c r="H899" t="s">
        <v>1307</v>
      </c>
    </row>
    <row r="900" spans="1:25" x14ac:dyDescent="0.25">
      <c r="A900">
        <v>447</v>
      </c>
      <c r="B900">
        <v>607</v>
      </c>
      <c r="C900" t="s">
        <v>2035</v>
      </c>
      <c r="D900" t="s">
        <v>176</v>
      </c>
      <c r="E900" t="s">
        <v>190</v>
      </c>
      <c r="F900" t="s">
        <v>2036</v>
      </c>
      <c r="G900" t="str">
        <f>"201504000410"</f>
        <v>201504000410</v>
      </c>
      <c r="H900" t="s">
        <v>491</v>
      </c>
      <c r="I900">
        <v>0</v>
      </c>
      <c r="J900">
        <v>0</v>
      </c>
      <c r="K900">
        <v>0</v>
      </c>
      <c r="L900">
        <v>260</v>
      </c>
      <c r="M900">
        <v>0</v>
      </c>
      <c r="N900">
        <v>50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X900">
        <v>0</v>
      </c>
      <c r="Y900" t="s">
        <v>2037</v>
      </c>
    </row>
    <row r="901" spans="1:25" x14ac:dyDescent="0.25">
      <c r="H901" t="s">
        <v>2038</v>
      </c>
    </row>
    <row r="902" spans="1:25" x14ac:dyDescent="0.25">
      <c r="A902">
        <v>448</v>
      </c>
      <c r="B902">
        <v>1265</v>
      </c>
      <c r="C902" t="s">
        <v>2039</v>
      </c>
      <c r="D902" t="s">
        <v>211</v>
      </c>
      <c r="E902" t="s">
        <v>267</v>
      </c>
      <c r="F902" t="s">
        <v>2040</v>
      </c>
      <c r="G902" t="str">
        <f>"201412005502"</f>
        <v>201412005502</v>
      </c>
      <c r="H902" t="s">
        <v>836</v>
      </c>
      <c r="I902">
        <v>0</v>
      </c>
      <c r="J902">
        <v>0</v>
      </c>
      <c r="K902">
        <v>0</v>
      </c>
      <c r="L902">
        <v>200</v>
      </c>
      <c r="M902">
        <v>0</v>
      </c>
      <c r="N902">
        <v>70</v>
      </c>
      <c r="O902">
        <v>30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X902">
        <v>0</v>
      </c>
      <c r="Y902" t="s">
        <v>2041</v>
      </c>
    </row>
    <row r="903" spans="1:25" x14ac:dyDescent="0.25">
      <c r="H903" t="s">
        <v>2042</v>
      </c>
    </row>
    <row r="904" spans="1:25" x14ac:dyDescent="0.25">
      <c r="A904">
        <v>449</v>
      </c>
      <c r="B904">
        <v>1576</v>
      </c>
      <c r="C904" t="s">
        <v>2043</v>
      </c>
      <c r="D904" t="s">
        <v>278</v>
      </c>
      <c r="E904" t="s">
        <v>130</v>
      </c>
      <c r="F904" t="s">
        <v>2044</v>
      </c>
      <c r="G904" t="str">
        <f>"00014516"</f>
        <v>00014516</v>
      </c>
      <c r="H904" t="s">
        <v>2045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70</v>
      </c>
      <c r="O904">
        <v>0</v>
      </c>
      <c r="P904">
        <v>70</v>
      </c>
      <c r="Q904">
        <v>0</v>
      </c>
      <c r="R904">
        <v>0</v>
      </c>
      <c r="S904">
        <v>0</v>
      </c>
      <c r="T904">
        <v>0</v>
      </c>
      <c r="U904">
        <v>0</v>
      </c>
      <c r="X904">
        <v>0</v>
      </c>
      <c r="Y904" t="s">
        <v>2046</v>
      </c>
    </row>
    <row r="905" spans="1:25" x14ac:dyDescent="0.25">
      <c r="H905" t="s">
        <v>2047</v>
      </c>
    </row>
    <row r="906" spans="1:25" x14ac:dyDescent="0.25">
      <c r="A906">
        <v>450</v>
      </c>
      <c r="B906">
        <v>1834</v>
      </c>
      <c r="C906" t="s">
        <v>2048</v>
      </c>
      <c r="D906" t="s">
        <v>2049</v>
      </c>
      <c r="E906" t="s">
        <v>22</v>
      </c>
      <c r="F906" t="s">
        <v>2050</v>
      </c>
      <c r="G906" t="str">
        <f>"00014186"</f>
        <v>00014186</v>
      </c>
      <c r="H906" t="s">
        <v>446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70</v>
      </c>
      <c r="O906">
        <v>50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X906">
        <v>0</v>
      </c>
      <c r="Y906" t="s">
        <v>2051</v>
      </c>
    </row>
    <row r="907" spans="1:25" x14ac:dyDescent="0.25">
      <c r="H907" t="s">
        <v>2052</v>
      </c>
    </row>
    <row r="908" spans="1:25" x14ac:dyDescent="0.25">
      <c r="A908">
        <v>451</v>
      </c>
      <c r="B908">
        <v>1424</v>
      </c>
      <c r="C908" t="s">
        <v>2053</v>
      </c>
      <c r="D908" t="s">
        <v>284</v>
      </c>
      <c r="E908" t="s">
        <v>48</v>
      </c>
      <c r="F908" t="s">
        <v>2054</v>
      </c>
      <c r="G908" t="str">
        <f>"00013534"</f>
        <v>00013534</v>
      </c>
      <c r="H908" t="s">
        <v>446</v>
      </c>
      <c r="I908">
        <v>0</v>
      </c>
      <c r="J908">
        <v>0</v>
      </c>
      <c r="K908">
        <v>0</v>
      </c>
      <c r="L908">
        <v>0</v>
      </c>
      <c r="M908">
        <v>130</v>
      </c>
      <c r="N908">
        <v>70</v>
      </c>
      <c r="O908">
        <v>70</v>
      </c>
      <c r="P908">
        <v>0</v>
      </c>
      <c r="Q908">
        <v>50</v>
      </c>
      <c r="R908">
        <v>0</v>
      </c>
      <c r="S908">
        <v>0</v>
      </c>
      <c r="T908">
        <v>0</v>
      </c>
      <c r="U908">
        <v>0</v>
      </c>
      <c r="X908">
        <v>0</v>
      </c>
      <c r="Y908" t="s">
        <v>2051</v>
      </c>
    </row>
    <row r="909" spans="1:25" x14ac:dyDescent="0.25">
      <c r="H909" t="s">
        <v>2055</v>
      </c>
    </row>
    <row r="910" spans="1:25" x14ac:dyDescent="0.25">
      <c r="A910">
        <v>452</v>
      </c>
      <c r="B910">
        <v>2038</v>
      </c>
      <c r="C910" t="s">
        <v>2056</v>
      </c>
      <c r="D910" t="s">
        <v>1573</v>
      </c>
      <c r="E910" t="s">
        <v>124</v>
      </c>
      <c r="F910" t="s">
        <v>2057</v>
      </c>
      <c r="G910" t="str">
        <f>"00013947"</f>
        <v>00013947</v>
      </c>
      <c r="H910" t="s">
        <v>641</v>
      </c>
      <c r="I910">
        <v>0</v>
      </c>
      <c r="J910">
        <v>0</v>
      </c>
      <c r="K910">
        <v>0</v>
      </c>
      <c r="L910">
        <v>200</v>
      </c>
      <c r="M910">
        <v>0</v>
      </c>
      <c r="N910">
        <v>70</v>
      </c>
      <c r="O910">
        <v>0</v>
      </c>
      <c r="P910">
        <v>0</v>
      </c>
      <c r="Q910">
        <v>30</v>
      </c>
      <c r="R910">
        <v>0</v>
      </c>
      <c r="S910">
        <v>0</v>
      </c>
      <c r="T910">
        <v>0</v>
      </c>
      <c r="U910">
        <v>0</v>
      </c>
      <c r="X910">
        <v>0</v>
      </c>
      <c r="Y910" t="s">
        <v>2058</v>
      </c>
    </row>
    <row r="911" spans="1:25" x14ac:dyDescent="0.25">
      <c r="H911" t="s">
        <v>2059</v>
      </c>
    </row>
    <row r="912" spans="1:25" x14ac:dyDescent="0.25">
      <c r="A912">
        <v>453</v>
      </c>
      <c r="B912">
        <v>2287</v>
      </c>
      <c r="C912" t="s">
        <v>2060</v>
      </c>
      <c r="D912" t="s">
        <v>2061</v>
      </c>
      <c r="E912" t="s">
        <v>158</v>
      </c>
      <c r="F912" t="s">
        <v>2062</v>
      </c>
      <c r="G912" t="str">
        <f>"00014393"</f>
        <v>00014393</v>
      </c>
      <c r="H912" t="s">
        <v>2063</v>
      </c>
      <c r="I912">
        <v>0</v>
      </c>
      <c r="J912">
        <v>0</v>
      </c>
      <c r="K912">
        <v>0</v>
      </c>
      <c r="L912">
        <v>0</v>
      </c>
      <c r="M912">
        <v>100</v>
      </c>
      <c r="N912">
        <v>70</v>
      </c>
      <c r="O912">
        <v>30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X912">
        <v>0</v>
      </c>
      <c r="Y912" t="s">
        <v>2064</v>
      </c>
    </row>
    <row r="913" spans="1:25" x14ac:dyDescent="0.25">
      <c r="H913" t="s">
        <v>52</v>
      </c>
    </row>
    <row r="914" spans="1:25" x14ac:dyDescent="0.25">
      <c r="A914">
        <v>454</v>
      </c>
      <c r="B914">
        <v>3090</v>
      </c>
      <c r="C914" t="s">
        <v>2065</v>
      </c>
      <c r="D914" t="s">
        <v>2066</v>
      </c>
      <c r="E914" t="s">
        <v>334</v>
      </c>
      <c r="F914" t="s">
        <v>2067</v>
      </c>
      <c r="G914" t="str">
        <f>"00013315"</f>
        <v>00013315</v>
      </c>
      <c r="H914" t="s">
        <v>656</v>
      </c>
      <c r="I914">
        <v>0</v>
      </c>
      <c r="J914">
        <v>0</v>
      </c>
      <c r="K914">
        <v>0</v>
      </c>
      <c r="L914">
        <v>200</v>
      </c>
      <c r="M914">
        <v>0</v>
      </c>
      <c r="N914">
        <v>70</v>
      </c>
      <c r="O914">
        <v>30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X914">
        <v>0</v>
      </c>
      <c r="Y914" t="s">
        <v>2068</v>
      </c>
    </row>
    <row r="915" spans="1:25" x14ac:dyDescent="0.25">
      <c r="H915" t="s">
        <v>2069</v>
      </c>
    </row>
    <row r="916" spans="1:25" x14ac:dyDescent="0.25">
      <c r="A916">
        <v>455</v>
      </c>
      <c r="B916">
        <v>2107</v>
      </c>
      <c r="C916" t="s">
        <v>2070</v>
      </c>
      <c r="D916" t="s">
        <v>263</v>
      </c>
      <c r="E916" t="s">
        <v>217</v>
      </c>
      <c r="F916" t="s">
        <v>2071</v>
      </c>
      <c r="G916" t="str">
        <f>"00014491"</f>
        <v>00014491</v>
      </c>
      <c r="H916" t="s">
        <v>2072</v>
      </c>
      <c r="I916">
        <v>0</v>
      </c>
      <c r="J916">
        <v>0</v>
      </c>
      <c r="K916">
        <v>0</v>
      </c>
      <c r="L916">
        <v>200</v>
      </c>
      <c r="M916">
        <v>0</v>
      </c>
      <c r="N916">
        <v>70</v>
      </c>
      <c r="O916">
        <v>70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X916">
        <v>1</v>
      </c>
      <c r="Y916" t="s">
        <v>2073</v>
      </c>
    </row>
    <row r="917" spans="1:25" x14ac:dyDescent="0.25">
      <c r="H917">
        <v>224</v>
      </c>
    </row>
    <row r="918" spans="1:25" x14ac:dyDescent="0.25">
      <c r="A918">
        <v>456</v>
      </c>
      <c r="B918">
        <v>2775</v>
      </c>
      <c r="C918" t="s">
        <v>2074</v>
      </c>
      <c r="D918" t="s">
        <v>2075</v>
      </c>
      <c r="E918" t="s">
        <v>1189</v>
      </c>
      <c r="F918" t="s">
        <v>2076</v>
      </c>
      <c r="G918" t="str">
        <f>"201511012509"</f>
        <v>201511012509</v>
      </c>
      <c r="H918" t="s">
        <v>2077</v>
      </c>
      <c r="I918">
        <v>150</v>
      </c>
      <c r="J918">
        <v>0</v>
      </c>
      <c r="K918">
        <v>0</v>
      </c>
      <c r="L918">
        <v>200</v>
      </c>
      <c r="M918">
        <v>0</v>
      </c>
      <c r="N918">
        <v>70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X918">
        <v>1</v>
      </c>
      <c r="Y918" t="s">
        <v>2078</v>
      </c>
    </row>
    <row r="919" spans="1:25" x14ac:dyDescent="0.25">
      <c r="H919" t="s">
        <v>2079</v>
      </c>
    </row>
    <row r="920" spans="1:25" x14ac:dyDescent="0.25">
      <c r="A920">
        <v>457</v>
      </c>
      <c r="B920">
        <v>748</v>
      </c>
      <c r="C920" t="s">
        <v>1025</v>
      </c>
      <c r="D920" t="s">
        <v>175</v>
      </c>
      <c r="E920" t="s">
        <v>860</v>
      </c>
      <c r="F920" t="s">
        <v>2080</v>
      </c>
      <c r="G920" t="str">
        <f>"00015093"</f>
        <v>00015093</v>
      </c>
      <c r="H920" t="s">
        <v>2081</v>
      </c>
      <c r="I920">
        <v>0</v>
      </c>
      <c r="J920">
        <v>0</v>
      </c>
      <c r="K920">
        <v>0</v>
      </c>
      <c r="L920">
        <v>260</v>
      </c>
      <c r="M920">
        <v>0</v>
      </c>
      <c r="N920">
        <v>70</v>
      </c>
      <c r="O920">
        <v>0</v>
      </c>
      <c r="P920">
        <v>0</v>
      </c>
      <c r="Q920">
        <v>0</v>
      </c>
      <c r="R920">
        <v>30</v>
      </c>
      <c r="S920">
        <v>0</v>
      </c>
      <c r="T920">
        <v>0</v>
      </c>
      <c r="U920">
        <v>0</v>
      </c>
      <c r="X920">
        <v>1</v>
      </c>
      <c r="Y920" t="s">
        <v>2082</v>
      </c>
    </row>
    <row r="921" spans="1:25" x14ac:dyDescent="0.25">
      <c r="H921" t="s">
        <v>2083</v>
      </c>
    </row>
    <row r="922" spans="1:25" x14ac:dyDescent="0.25">
      <c r="A922">
        <v>458</v>
      </c>
      <c r="B922">
        <v>1613</v>
      </c>
      <c r="C922" t="s">
        <v>2084</v>
      </c>
      <c r="D922" t="s">
        <v>2085</v>
      </c>
      <c r="E922" t="s">
        <v>243</v>
      </c>
      <c r="F922" t="s">
        <v>2086</v>
      </c>
      <c r="G922" t="str">
        <f>"00013897"</f>
        <v>00013897</v>
      </c>
      <c r="H922" t="s">
        <v>818</v>
      </c>
      <c r="I922">
        <v>0</v>
      </c>
      <c r="J922">
        <v>0</v>
      </c>
      <c r="K922">
        <v>0</v>
      </c>
      <c r="L922">
        <v>260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X922">
        <v>0</v>
      </c>
      <c r="Y922" t="s">
        <v>2087</v>
      </c>
    </row>
    <row r="923" spans="1:25" x14ac:dyDescent="0.25">
      <c r="H923" t="s">
        <v>2088</v>
      </c>
    </row>
    <row r="924" spans="1:25" x14ac:dyDescent="0.25">
      <c r="A924">
        <v>459</v>
      </c>
      <c r="B924">
        <v>2122</v>
      </c>
      <c r="C924" t="s">
        <v>2089</v>
      </c>
      <c r="D924" t="s">
        <v>842</v>
      </c>
      <c r="E924" t="s">
        <v>106</v>
      </c>
      <c r="F924" t="s">
        <v>2090</v>
      </c>
      <c r="G924" t="str">
        <f>"201511034830"</f>
        <v>201511034830</v>
      </c>
      <c r="H924" t="s">
        <v>1713</v>
      </c>
      <c r="I924">
        <v>0</v>
      </c>
      <c r="J924">
        <v>0</v>
      </c>
      <c r="K924">
        <v>0</v>
      </c>
      <c r="L924">
        <v>200</v>
      </c>
      <c r="M924">
        <v>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X924">
        <v>0</v>
      </c>
      <c r="Y924" t="s">
        <v>2091</v>
      </c>
    </row>
    <row r="925" spans="1:25" x14ac:dyDescent="0.25">
      <c r="H925" t="s">
        <v>2092</v>
      </c>
    </row>
    <row r="926" spans="1:25" x14ac:dyDescent="0.25">
      <c r="A926">
        <v>460</v>
      </c>
      <c r="B926">
        <v>3001</v>
      </c>
      <c r="C926" t="s">
        <v>2093</v>
      </c>
      <c r="D926" t="s">
        <v>2094</v>
      </c>
      <c r="E926" t="s">
        <v>301</v>
      </c>
      <c r="F926" t="s">
        <v>2095</v>
      </c>
      <c r="G926" t="str">
        <f>"00013747"</f>
        <v>00013747</v>
      </c>
      <c r="H926" t="s">
        <v>184</v>
      </c>
      <c r="I926">
        <v>0</v>
      </c>
      <c r="J926">
        <v>0</v>
      </c>
      <c r="K926">
        <v>0</v>
      </c>
      <c r="L926">
        <v>200</v>
      </c>
      <c r="M926">
        <v>30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X926">
        <v>0</v>
      </c>
      <c r="Y926" t="s">
        <v>2096</v>
      </c>
    </row>
    <row r="927" spans="1:25" x14ac:dyDescent="0.25">
      <c r="H927">
        <v>221</v>
      </c>
    </row>
    <row r="928" spans="1:25" x14ac:dyDescent="0.25">
      <c r="A928">
        <v>461</v>
      </c>
      <c r="B928">
        <v>1533</v>
      </c>
      <c r="C928" t="s">
        <v>2097</v>
      </c>
      <c r="D928" t="s">
        <v>181</v>
      </c>
      <c r="E928" t="s">
        <v>217</v>
      </c>
      <c r="F928" t="s">
        <v>2098</v>
      </c>
      <c r="G928" t="str">
        <f>"00013780"</f>
        <v>00013780</v>
      </c>
      <c r="H928" t="s">
        <v>491</v>
      </c>
      <c r="I928">
        <v>0</v>
      </c>
      <c r="J928">
        <v>0</v>
      </c>
      <c r="K928">
        <v>0</v>
      </c>
      <c r="L928">
        <v>200</v>
      </c>
      <c r="M928">
        <v>0</v>
      </c>
      <c r="N928">
        <v>70</v>
      </c>
      <c r="O928">
        <v>0</v>
      </c>
      <c r="P928">
        <v>0</v>
      </c>
      <c r="Q928">
        <v>0</v>
      </c>
      <c r="R928">
        <v>30</v>
      </c>
      <c r="S928">
        <v>0</v>
      </c>
      <c r="T928">
        <v>0</v>
      </c>
      <c r="U928">
        <v>0</v>
      </c>
      <c r="X928">
        <v>0</v>
      </c>
      <c r="Y928" t="s">
        <v>2099</v>
      </c>
    </row>
    <row r="929" spans="1:25" x14ac:dyDescent="0.25">
      <c r="H929" t="s">
        <v>2100</v>
      </c>
    </row>
    <row r="930" spans="1:25" x14ac:dyDescent="0.25">
      <c r="A930">
        <v>462</v>
      </c>
      <c r="B930">
        <v>3228</v>
      </c>
      <c r="C930" t="s">
        <v>2101</v>
      </c>
      <c r="D930" t="s">
        <v>1421</v>
      </c>
      <c r="E930" t="s">
        <v>106</v>
      </c>
      <c r="F930" t="s">
        <v>2102</v>
      </c>
      <c r="G930" t="str">
        <f>"00014173"</f>
        <v>00014173</v>
      </c>
      <c r="H930" t="s">
        <v>250</v>
      </c>
      <c r="I930">
        <v>0</v>
      </c>
      <c r="J930">
        <v>0</v>
      </c>
      <c r="K930">
        <v>0</v>
      </c>
      <c r="L930">
        <v>200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X930">
        <v>0</v>
      </c>
      <c r="Y930" t="s">
        <v>2103</v>
      </c>
    </row>
    <row r="931" spans="1:25" x14ac:dyDescent="0.25">
      <c r="H931" t="s">
        <v>2104</v>
      </c>
    </row>
    <row r="932" spans="1:25" x14ac:dyDescent="0.25">
      <c r="A932">
        <v>463</v>
      </c>
      <c r="B932">
        <v>2871</v>
      </c>
      <c r="C932" t="s">
        <v>2105</v>
      </c>
      <c r="D932" t="s">
        <v>1483</v>
      </c>
      <c r="E932" t="s">
        <v>701</v>
      </c>
      <c r="F932" t="s">
        <v>2106</v>
      </c>
      <c r="G932" t="str">
        <f>"00014399"</f>
        <v>00014399</v>
      </c>
      <c r="H932" t="s">
        <v>2107</v>
      </c>
      <c r="I932">
        <v>0</v>
      </c>
      <c r="J932">
        <v>0</v>
      </c>
      <c r="K932">
        <v>0</v>
      </c>
      <c r="L932">
        <v>200</v>
      </c>
      <c r="M932">
        <v>0</v>
      </c>
      <c r="N932">
        <v>70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X932">
        <v>0</v>
      </c>
      <c r="Y932" t="s">
        <v>2108</v>
      </c>
    </row>
    <row r="933" spans="1:25" x14ac:dyDescent="0.25">
      <c r="H933" t="s">
        <v>2109</v>
      </c>
    </row>
    <row r="934" spans="1:25" x14ac:dyDescent="0.25">
      <c r="A934">
        <v>464</v>
      </c>
      <c r="B934">
        <v>283</v>
      </c>
      <c r="C934" t="s">
        <v>2110</v>
      </c>
      <c r="D934" t="s">
        <v>1082</v>
      </c>
      <c r="E934" t="s">
        <v>21</v>
      </c>
      <c r="F934" t="s">
        <v>2111</v>
      </c>
      <c r="G934" t="str">
        <f>"201504002890"</f>
        <v>201504002890</v>
      </c>
      <c r="H934" t="s">
        <v>1939</v>
      </c>
      <c r="I934">
        <v>0</v>
      </c>
      <c r="J934">
        <v>0</v>
      </c>
      <c r="K934">
        <v>0</v>
      </c>
      <c r="L934">
        <v>200</v>
      </c>
      <c r="M934">
        <v>0</v>
      </c>
      <c r="N934">
        <v>70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X934">
        <v>0</v>
      </c>
      <c r="Y934" t="s">
        <v>2112</v>
      </c>
    </row>
    <row r="935" spans="1:25" x14ac:dyDescent="0.25">
      <c r="H935" t="s">
        <v>2113</v>
      </c>
    </row>
    <row r="936" spans="1:25" x14ac:dyDescent="0.25">
      <c r="A936">
        <v>465</v>
      </c>
      <c r="B936">
        <v>2996</v>
      </c>
      <c r="C936" t="s">
        <v>2114</v>
      </c>
      <c r="D936" t="s">
        <v>2115</v>
      </c>
      <c r="E936" t="s">
        <v>22</v>
      </c>
      <c r="F936" t="s">
        <v>2116</v>
      </c>
      <c r="G936" t="str">
        <f>"201411000687"</f>
        <v>201411000687</v>
      </c>
      <c r="H936" t="s">
        <v>2117</v>
      </c>
      <c r="I936">
        <v>150</v>
      </c>
      <c r="J936">
        <v>0</v>
      </c>
      <c r="K936">
        <v>0</v>
      </c>
      <c r="L936">
        <v>200</v>
      </c>
      <c r="M936">
        <v>30</v>
      </c>
      <c r="N936">
        <v>50</v>
      </c>
      <c r="O936">
        <v>0</v>
      </c>
      <c r="P936">
        <v>30</v>
      </c>
      <c r="Q936">
        <v>0</v>
      </c>
      <c r="R936">
        <v>0</v>
      </c>
      <c r="S936">
        <v>0</v>
      </c>
      <c r="T936">
        <v>0</v>
      </c>
      <c r="U936">
        <v>0</v>
      </c>
      <c r="X936">
        <v>0</v>
      </c>
      <c r="Y936" t="s">
        <v>2118</v>
      </c>
    </row>
    <row r="937" spans="1:25" x14ac:dyDescent="0.25">
      <c r="H937" t="s">
        <v>2119</v>
      </c>
    </row>
    <row r="938" spans="1:25" x14ac:dyDescent="0.25">
      <c r="A938">
        <v>466</v>
      </c>
      <c r="B938">
        <v>1998</v>
      </c>
      <c r="C938" t="s">
        <v>2120</v>
      </c>
      <c r="D938" t="s">
        <v>2121</v>
      </c>
      <c r="E938" t="s">
        <v>22</v>
      </c>
      <c r="F938" t="s">
        <v>2122</v>
      </c>
      <c r="G938" t="str">
        <f>"00013816"</f>
        <v>00013816</v>
      </c>
      <c r="H938" t="s">
        <v>705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70</v>
      </c>
      <c r="O938">
        <v>0</v>
      </c>
      <c r="P938">
        <v>30</v>
      </c>
      <c r="Q938">
        <v>0</v>
      </c>
      <c r="R938">
        <v>0</v>
      </c>
      <c r="S938">
        <v>0</v>
      </c>
      <c r="T938">
        <v>0</v>
      </c>
      <c r="U938">
        <v>0</v>
      </c>
      <c r="X938">
        <v>0</v>
      </c>
      <c r="Y938" t="s">
        <v>2123</v>
      </c>
    </row>
    <row r="939" spans="1:25" x14ac:dyDescent="0.25">
      <c r="H939" t="s">
        <v>2124</v>
      </c>
    </row>
    <row r="940" spans="1:25" x14ac:dyDescent="0.25">
      <c r="A940">
        <v>467</v>
      </c>
      <c r="B940">
        <v>66</v>
      </c>
      <c r="C940" t="s">
        <v>2125</v>
      </c>
      <c r="D940" t="s">
        <v>217</v>
      </c>
      <c r="E940" t="s">
        <v>267</v>
      </c>
      <c r="F940" t="s">
        <v>2126</v>
      </c>
      <c r="G940" t="str">
        <f>"00013145"</f>
        <v>00013145</v>
      </c>
      <c r="H940" t="s">
        <v>392</v>
      </c>
      <c r="I940">
        <v>0</v>
      </c>
      <c r="J940">
        <v>0</v>
      </c>
      <c r="K940">
        <v>0</v>
      </c>
      <c r="L940">
        <v>200</v>
      </c>
      <c r="M940">
        <v>30</v>
      </c>
      <c r="N940">
        <v>70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X940">
        <v>0</v>
      </c>
      <c r="Y940" t="s">
        <v>2127</v>
      </c>
    </row>
    <row r="941" spans="1:25" x14ac:dyDescent="0.25">
      <c r="H941" t="s">
        <v>2128</v>
      </c>
    </row>
    <row r="942" spans="1:25" x14ac:dyDescent="0.25">
      <c r="A942">
        <v>468</v>
      </c>
      <c r="B942">
        <v>2158</v>
      </c>
      <c r="C942" t="s">
        <v>2129</v>
      </c>
      <c r="D942" t="s">
        <v>2130</v>
      </c>
      <c r="E942" t="s">
        <v>896</v>
      </c>
      <c r="F942" t="s">
        <v>2131</v>
      </c>
      <c r="G942" t="str">
        <f>"00013617"</f>
        <v>00013617</v>
      </c>
      <c r="H942" t="s">
        <v>777</v>
      </c>
      <c r="I942">
        <v>0</v>
      </c>
      <c r="J942">
        <v>0</v>
      </c>
      <c r="K942">
        <v>0</v>
      </c>
      <c r="L942">
        <v>200</v>
      </c>
      <c r="M942">
        <v>0</v>
      </c>
      <c r="N942">
        <v>30</v>
      </c>
      <c r="O942">
        <v>30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X942">
        <v>1</v>
      </c>
      <c r="Y942" t="s">
        <v>2132</v>
      </c>
    </row>
    <row r="943" spans="1:25" x14ac:dyDescent="0.25">
      <c r="H943" t="s">
        <v>2133</v>
      </c>
    </row>
    <row r="944" spans="1:25" x14ac:dyDescent="0.25">
      <c r="A944">
        <v>469</v>
      </c>
      <c r="B944">
        <v>192</v>
      </c>
      <c r="C944" t="s">
        <v>2134</v>
      </c>
      <c r="D944" t="s">
        <v>2135</v>
      </c>
      <c r="E944" t="s">
        <v>2136</v>
      </c>
      <c r="F944" t="s">
        <v>2137</v>
      </c>
      <c r="G944" t="str">
        <f>"00003085"</f>
        <v>00003085</v>
      </c>
      <c r="H944" t="s">
        <v>2081</v>
      </c>
      <c r="I944">
        <v>0</v>
      </c>
      <c r="J944">
        <v>0</v>
      </c>
      <c r="K944">
        <v>0</v>
      </c>
      <c r="L944">
        <v>200</v>
      </c>
      <c r="M944">
        <v>30</v>
      </c>
      <c r="N944">
        <v>70</v>
      </c>
      <c r="O944">
        <v>50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X944">
        <v>0</v>
      </c>
      <c r="Y944" t="s">
        <v>2138</v>
      </c>
    </row>
    <row r="945" spans="1:25" x14ac:dyDescent="0.25">
      <c r="H945" t="s">
        <v>2139</v>
      </c>
    </row>
    <row r="946" spans="1:25" x14ac:dyDescent="0.25">
      <c r="A946">
        <v>470</v>
      </c>
      <c r="B946">
        <v>1799</v>
      </c>
      <c r="C946" t="s">
        <v>2140</v>
      </c>
      <c r="D946" t="s">
        <v>141</v>
      </c>
      <c r="E946" t="s">
        <v>22</v>
      </c>
      <c r="F946" t="s">
        <v>2141</v>
      </c>
      <c r="G946" t="str">
        <f>"201402007317"</f>
        <v>201402007317</v>
      </c>
      <c r="H946">
        <v>770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70</v>
      </c>
      <c r="O946">
        <v>30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X946">
        <v>0</v>
      </c>
      <c r="Y946">
        <v>1070</v>
      </c>
    </row>
    <row r="947" spans="1:25" x14ac:dyDescent="0.25">
      <c r="H947" t="s">
        <v>2142</v>
      </c>
    </row>
    <row r="948" spans="1:25" x14ac:dyDescent="0.25">
      <c r="A948">
        <v>471</v>
      </c>
      <c r="B948">
        <v>1764</v>
      </c>
      <c r="C948" t="s">
        <v>2143</v>
      </c>
      <c r="D948" t="s">
        <v>181</v>
      </c>
      <c r="E948" t="s">
        <v>124</v>
      </c>
      <c r="F948" t="s">
        <v>2144</v>
      </c>
      <c r="G948" t="str">
        <f>"00011646"</f>
        <v>00011646</v>
      </c>
      <c r="H948" t="s">
        <v>716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70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X948">
        <v>0</v>
      </c>
      <c r="Y948" t="s">
        <v>2145</v>
      </c>
    </row>
    <row r="949" spans="1:25" x14ac:dyDescent="0.25">
      <c r="H949" t="s">
        <v>2146</v>
      </c>
    </row>
    <row r="950" spans="1:25" x14ac:dyDescent="0.25">
      <c r="A950">
        <v>472</v>
      </c>
      <c r="B950">
        <v>2644</v>
      </c>
      <c r="C950" t="s">
        <v>2147</v>
      </c>
      <c r="D950" t="s">
        <v>2148</v>
      </c>
      <c r="E950" t="s">
        <v>21</v>
      </c>
      <c r="F950" t="s">
        <v>2149</v>
      </c>
      <c r="G950" t="str">
        <f>"00014249"</f>
        <v>00014249</v>
      </c>
      <c r="H950" t="s">
        <v>716</v>
      </c>
      <c r="I950">
        <v>0</v>
      </c>
      <c r="J950">
        <v>0</v>
      </c>
      <c r="K950">
        <v>0</v>
      </c>
      <c r="L950">
        <v>200</v>
      </c>
      <c r="M950">
        <v>0</v>
      </c>
      <c r="N950">
        <v>70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X950">
        <v>0</v>
      </c>
      <c r="Y950" t="s">
        <v>2145</v>
      </c>
    </row>
    <row r="951" spans="1:25" x14ac:dyDescent="0.25">
      <c r="H951" t="s">
        <v>2150</v>
      </c>
    </row>
    <row r="952" spans="1:25" x14ac:dyDescent="0.25">
      <c r="A952">
        <v>473</v>
      </c>
      <c r="B952">
        <v>1874</v>
      </c>
      <c r="C952" t="s">
        <v>2151</v>
      </c>
      <c r="D952" t="s">
        <v>2152</v>
      </c>
      <c r="E952" t="s">
        <v>21</v>
      </c>
      <c r="F952" t="s">
        <v>2153</v>
      </c>
      <c r="G952" t="str">
        <f>"201504000036"</f>
        <v>201504000036</v>
      </c>
      <c r="H952" t="s">
        <v>620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70</v>
      </c>
      <c r="O952">
        <v>30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X952">
        <v>0</v>
      </c>
      <c r="Y952" t="s">
        <v>2154</v>
      </c>
    </row>
    <row r="953" spans="1:25" x14ac:dyDescent="0.25">
      <c r="H953" t="s">
        <v>2155</v>
      </c>
    </row>
    <row r="954" spans="1:25" x14ac:dyDescent="0.25">
      <c r="A954">
        <v>474</v>
      </c>
      <c r="B954">
        <v>798</v>
      </c>
      <c r="C954" t="s">
        <v>2156</v>
      </c>
      <c r="D954" t="s">
        <v>2157</v>
      </c>
      <c r="E954" t="s">
        <v>417</v>
      </c>
      <c r="F954" t="s">
        <v>2158</v>
      </c>
      <c r="G954" t="str">
        <f>"00013975"</f>
        <v>00013975</v>
      </c>
      <c r="H954" t="s">
        <v>620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70</v>
      </c>
      <c r="O954">
        <v>0</v>
      </c>
      <c r="P954">
        <v>30</v>
      </c>
      <c r="Q954">
        <v>0</v>
      </c>
      <c r="R954">
        <v>0</v>
      </c>
      <c r="S954">
        <v>0</v>
      </c>
      <c r="T954">
        <v>0</v>
      </c>
      <c r="U954">
        <v>0</v>
      </c>
      <c r="X954">
        <v>0</v>
      </c>
      <c r="Y954" t="s">
        <v>2154</v>
      </c>
    </row>
    <row r="955" spans="1:25" x14ac:dyDescent="0.25">
      <c r="H955" t="s">
        <v>52</v>
      </c>
    </row>
    <row r="956" spans="1:25" x14ac:dyDescent="0.25">
      <c r="A956">
        <v>475</v>
      </c>
      <c r="B956">
        <v>2359</v>
      </c>
      <c r="C956" t="s">
        <v>2159</v>
      </c>
      <c r="D956" t="s">
        <v>450</v>
      </c>
      <c r="E956" t="s">
        <v>860</v>
      </c>
      <c r="F956" t="s">
        <v>2160</v>
      </c>
      <c r="G956" t="str">
        <f>"201511019451"</f>
        <v>201511019451</v>
      </c>
      <c r="H956" t="s">
        <v>1290</v>
      </c>
      <c r="I956">
        <v>0</v>
      </c>
      <c r="J956">
        <v>0</v>
      </c>
      <c r="K956">
        <v>0</v>
      </c>
      <c r="L956">
        <v>260</v>
      </c>
      <c r="M956">
        <v>0</v>
      </c>
      <c r="N956">
        <v>70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X956">
        <v>0</v>
      </c>
      <c r="Y956" t="s">
        <v>2161</v>
      </c>
    </row>
    <row r="957" spans="1:25" x14ac:dyDescent="0.25">
      <c r="H957" t="s">
        <v>2162</v>
      </c>
    </row>
    <row r="958" spans="1:25" x14ac:dyDescent="0.25">
      <c r="A958">
        <v>476</v>
      </c>
      <c r="B958">
        <v>1845</v>
      </c>
      <c r="C958" t="s">
        <v>2163</v>
      </c>
      <c r="D958" t="s">
        <v>2164</v>
      </c>
      <c r="E958" t="s">
        <v>124</v>
      </c>
      <c r="F958" t="s">
        <v>2165</v>
      </c>
      <c r="G958" t="str">
        <f>"00014891"</f>
        <v>00014891</v>
      </c>
      <c r="H958" t="s">
        <v>635</v>
      </c>
      <c r="I958">
        <v>0</v>
      </c>
      <c r="J958">
        <v>0</v>
      </c>
      <c r="K958">
        <v>0</v>
      </c>
      <c r="L958">
        <v>200</v>
      </c>
      <c r="M958">
        <v>0</v>
      </c>
      <c r="N958">
        <v>70</v>
      </c>
      <c r="O958">
        <v>30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X958">
        <v>0</v>
      </c>
      <c r="Y958" t="s">
        <v>2166</v>
      </c>
    </row>
    <row r="959" spans="1:25" x14ac:dyDescent="0.25">
      <c r="H959" t="s">
        <v>2167</v>
      </c>
    </row>
    <row r="960" spans="1:25" x14ac:dyDescent="0.25">
      <c r="A960">
        <v>477</v>
      </c>
      <c r="B960">
        <v>810</v>
      </c>
      <c r="C960" t="s">
        <v>2168</v>
      </c>
      <c r="D960" t="s">
        <v>181</v>
      </c>
      <c r="E960" t="s">
        <v>301</v>
      </c>
      <c r="F960" t="s">
        <v>2169</v>
      </c>
      <c r="G960" t="str">
        <f>"00013550"</f>
        <v>00013550</v>
      </c>
      <c r="H960" t="s">
        <v>635</v>
      </c>
      <c r="I960">
        <v>0</v>
      </c>
      <c r="J960">
        <v>0</v>
      </c>
      <c r="K960">
        <v>0</v>
      </c>
      <c r="L960">
        <v>200</v>
      </c>
      <c r="M960">
        <v>0</v>
      </c>
      <c r="N960">
        <v>70</v>
      </c>
      <c r="O960">
        <v>30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X960">
        <v>0</v>
      </c>
      <c r="Y960" t="s">
        <v>2166</v>
      </c>
    </row>
    <row r="961" spans="1:25" x14ac:dyDescent="0.25">
      <c r="H961" t="s">
        <v>162</v>
      </c>
    </row>
    <row r="962" spans="1:25" x14ac:dyDescent="0.25">
      <c r="A962">
        <v>478</v>
      </c>
      <c r="B962">
        <v>2579</v>
      </c>
      <c r="C962" t="s">
        <v>20</v>
      </c>
      <c r="D962" t="s">
        <v>66</v>
      </c>
      <c r="E962" t="s">
        <v>217</v>
      </c>
      <c r="F962" t="s">
        <v>2170</v>
      </c>
      <c r="G962" t="str">
        <f>"00014149"</f>
        <v>00014149</v>
      </c>
      <c r="H962" t="s">
        <v>1934</v>
      </c>
      <c r="I962">
        <v>0</v>
      </c>
      <c r="J962">
        <v>0</v>
      </c>
      <c r="K962">
        <v>0</v>
      </c>
      <c r="L962">
        <v>200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X962">
        <v>1</v>
      </c>
      <c r="Y962" t="s">
        <v>2171</v>
      </c>
    </row>
    <row r="963" spans="1:25" x14ac:dyDescent="0.25">
      <c r="H963" t="s">
        <v>2172</v>
      </c>
    </row>
    <row r="964" spans="1:25" x14ac:dyDescent="0.25">
      <c r="A964">
        <v>479</v>
      </c>
      <c r="B964">
        <v>2968</v>
      </c>
      <c r="C964" t="s">
        <v>2173</v>
      </c>
      <c r="D964" t="s">
        <v>40</v>
      </c>
      <c r="E964" t="s">
        <v>417</v>
      </c>
      <c r="F964" t="s">
        <v>2174</v>
      </c>
      <c r="G964" t="str">
        <f>"00015077"</f>
        <v>00015077</v>
      </c>
      <c r="H964" t="s">
        <v>446</v>
      </c>
      <c r="I964">
        <v>0</v>
      </c>
      <c r="J964">
        <v>0</v>
      </c>
      <c r="K964">
        <v>0</v>
      </c>
      <c r="L964">
        <v>0</v>
      </c>
      <c r="M964">
        <v>130</v>
      </c>
      <c r="N964">
        <v>70</v>
      </c>
      <c r="O964">
        <v>50</v>
      </c>
      <c r="P964">
        <v>50</v>
      </c>
      <c r="Q964">
        <v>0</v>
      </c>
      <c r="R964">
        <v>0</v>
      </c>
      <c r="S964">
        <v>0</v>
      </c>
      <c r="T964">
        <v>0</v>
      </c>
      <c r="U964">
        <v>0</v>
      </c>
      <c r="X964">
        <v>0</v>
      </c>
      <c r="Y964" t="s">
        <v>2175</v>
      </c>
    </row>
    <row r="965" spans="1:25" x14ac:dyDescent="0.25">
      <c r="H965" t="s">
        <v>1307</v>
      </c>
    </row>
    <row r="966" spans="1:25" x14ac:dyDescent="0.25">
      <c r="A966">
        <v>480</v>
      </c>
      <c r="B966">
        <v>1213</v>
      </c>
      <c r="C966" t="s">
        <v>2176</v>
      </c>
      <c r="D966" t="s">
        <v>47</v>
      </c>
      <c r="E966" t="s">
        <v>243</v>
      </c>
      <c r="F966" t="s">
        <v>2177</v>
      </c>
      <c r="G966" t="str">
        <f>"00014700"</f>
        <v>00014700</v>
      </c>
      <c r="H966" t="s">
        <v>225</v>
      </c>
      <c r="I966">
        <v>0</v>
      </c>
      <c r="J966">
        <v>0</v>
      </c>
      <c r="K966">
        <v>0</v>
      </c>
      <c r="L966">
        <v>200</v>
      </c>
      <c r="M966">
        <v>0</v>
      </c>
      <c r="N966">
        <v>70</v>
      </c>
      <c r="O966">
        <v>0</v>
      </c>
      <c r="P966">
        <v>0</v>
      </c>
      <c r="Q966">
        <v>30</v>
      </c>
      <c r="R966">
        <v>0</v>
      </c>
      <c r="S966">
        <v>0</v>
      </c>
      <c r="T966">
        <v>0</v>
      </c>
      <c r="U966">
        <v>0</v>
      </c>
      <c r="X966">
        <v>0</v>
      </c>
      <c r="Y966" t="s">
        <v>2178</v>
      </c>
    </row>
    <row r="967" spans="1:25" x14ac:dyDescent="0.25">
      <c r="H967" t="s">
        <v>2179</v>
      </c>
    </row>
    <row r="968" spans="1:25" x14ac:dyDescent="0.25">
      <c r="A968">
        <v>481</v>
      </c>
      <c r="B968">
        <v>867</v>
      </c>
      <c r="C968" t="s">
        <v>2180</v>
      </c>
      <c r="D968" t="s">
        <v>267</v>
      </c>
      <c r="E968" t="s">
        <v>41</v>
      </c>
      <c r="F968" t="s">
        <v>2181</v>
      </c>
      <c r="G968" t="str">
        <f>"201512003517"</f>
        <v>201512003517</v>
      </c>
      <c r="H968" t="s">
        <v>225</v>
      </c>
      <c r="I968">
        <v>0</v>
      </c>
      <c r="J968">
        <v>0</v>
      </c>
      <c r="K968">
        <v>0</v>
      </c>
      <c r="L968">
        <v>200</v>
      </c>
      <c r="M968">
        <v>0</v>
      </c>
      <c r="N968">
        <v>70</v>
      </c>
      <c r="O968">
        <v>0</v>
      </c>
      <c r="P968">
        <v>30</v>
      </c>
      <c r="Q968">
        <v>0</v>
      </c>
      <c r="R968">
        <v>0</v>
      </c>
      <c r="S968">
        <v>0</v>
      </c>
      <c r="T968">
        <v>0</v>
      </c>
      <c r="U968">
        <v>0</v>
      </c>
      <c r="X968">
        <v>0</v>
      </c>
      <c r="Y968" t="s">
        <v>2178</v>
      </c>
    </row>
    <row r="969" spans="1:25" x14ac:dyDescent="0.25">
      <c r="H969" t="s">
        <v>110</v>
      </c>
    </row>
    <row r="970" spans="1:25" x14ac:dyDescent="0.25">
      <c r="A970">
        <v>482</v>
      </c>
      <c r="B970">
        <v>2274</v>
      </c>
      <c r="C970" t="s">
        <v>1543</v>
      </c>
      <c r="D970" t="s">
        <v>2182</v>
      </c>
      <c r="E970" t="s">
        <v>182</v>
      </c>
      <c r="F970" t="s">
        <v>2183</v>
      </c>
      <c r="G970" t="str">
        <f>"201409003533"</f>
        <v>201409003533</v>
      </c>
      <c r="H970" t="s">
        <v>456</v>
      </c>
      <c r="I970">
        <v>0</v>
      </c>
      <c r="J970">
        <v>0</v>
      </c>
      <c r="K970">
        <v>0</v>
      </c>
      <c r="L970">
        <v>200</v>
      </c>
      <c r="M970">
        <v>0</v>
      </c>
      <c r="N970">
        <v>70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X970">
        <v>0</v>
      </c>
      <c r="Y970" t="s">
        <v>2184</v>
      </c>
    </row>
    <row r="971" spans="1:25" x14ac:dyDescent="0.25">
      <c r="H971" t="s">
        <v>2185</v>
      </c>
    </row>
    <row r="972" spans="1:25" x14ac:dyDescent="0.25">
      <c r="A972">
        <v>483</v>
      </c>
      <c r="B972">
        <v>359</v>
      </c>
      <c r="C972" t="s">
        <v>2186</v>
      </c>
      <c r="D972" t="s">
        <v>381</v>
      </c>
      <c r="E972" t="s">
        <v>21</v>
      </c>
      <c r="F972" t="s">
        <v>2187</v>
      </c>
      <c r="G972" t="str">
        <f>"00015176"</f>
        <v>00015176</v>
      </c>
      <c r="H972" t="s">
        <v>2072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70</v>
      </c>
      <c r="O972">
        <v>50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X972">
        <v>0</v>
      </c>
      <c r="Y972" t="s">
        <v>2188</v>
      </c>
    </row>
    <row r="973" spans="1:25" x14ac:dyDescent="0.25">
      <c r="H973" t="s">
        <v>2189</v>
      </c>
    </row>
    <row r="974" spans="1:25" x14ac:dyDescent="0.25">
      <c r="A974">
        <v>484</v>
      </c>
      <c r="B974">
        <v>1997</v>
      </c>
      <c r="C974" t="s">
        <v>2190</v>
      </c>
      <c r="D974" t="s">
        <v>526</v>
      </c>
      <c r="E974" t="s">
        <v>217</v>
      </c>
      <c r="F974" t="s">
        <v>2191</v>
      </c>
      <c r="G974" t="str">
        <f>"00013332"</f>
        <v>00013332</v>
      </c>
      <c r="H974" t="s">
        <v>531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30</v>
      </c>
      <c r="O974">
        <v>50</v>
      </c>
      <c r="P974">
        <v>0</v>
      </c>
      <c r="Q974">
        <v>50</v>
      </c>
      <c r="R974">
        <v>0</v>
      </c>
      <c r="S974">
        <v>0</v>
      </c>
      <c r="T974">
        <v>0</v>
      </c>
      <c r="U974">
        <v>0</v>
      </c>
      <c r="X974">
        <v>0</v>
      </c>
      <c r="Y974" t="s">
        <v>2192</v>
      </c>
    </row>
    <row r="975" spans="1:25" x14ac:dyDescent="0.25">
      <c r="H975" t="s">
        <v>2193</v>
      </c>
    </row>
    <row r="976" spans="1:25" x14ac:dyDescent="0.25">
      <c r="A976">
        <v>485</v>
      </c>
      <c r="B976">
        <v>1831</v>
      </c>
      <c r="C976" t="s">
        <v>2194</v>
      </c>
      <c r="D976" t="s">
        <v>135</v>
      </c>
      <c r="E976" t="s">
        <v>124</v>
      </c>
      <c r="F976" t="s">
        <v>2195</v>
      </c>
      <c r="G976" t="str">
        <f>"00015053"</f>
        <v>00015053</v>
      </c>
      <c r="H976" t="s">
        <v>870</v>
      </c>
      <c r="I976">
        <v>0</v>
      </c>
      <c r="J976">
        <v>0</v>
      </c>
      <c r="K976">
        <v>0</v>
      </c>
      <c r="L976">
        <v>200</v>
      </c>
      <c r="M976">
        <v>0</v>
      </c>
      <c r="N976">
        <v>50</v>
      </c>
      <c r="O976">
        <v>30</v>
      </c>
      <c r="P976">
        <v>0</v>
      </c>
      <c r="Q976">
        <v>0</v>
      </c>
      <c r="R976">
        <v>30</v>
      </c>
      <c r="S976">
        <v>0</v>
      </c>
      <c r="T976">
        <v>0</v>
      </c>
      <c r="U976">
        <v>0</v>
      </c>
      <c r="X976">
        <v>0</v>
      </c>
      <c r="Y976" t="s">
        <v>2196</v>
      </c>
    </row>
    <row r="977" spans="1:25" x14ac:dyDescent="0.25">
      <c r="H977" t="s">
        <v>2197</v>
      </c>
    </row>
    <row r="978" spans="1:25" x14ac:dyDescent="0.25">
      <c r="A978">
        <v>486</v>
      </c>
      <c r="B978">
        <v>1083</v>
      </c>
      <c r="C978" t="s">
        <v>2198</v>
      </c>
      <c r="D978" t="s">
        <v>2199</v>
      </c>
      <c r="E978" t="s">
        <v>41</v>
      </c>
      <c r="F978" t="s">
        <v>2200</v>
      </c>
      <c r="G978" t="str">
        <f>"00012085"</f>
        <v>00012085</v>
      </c>
      <c r="H978" t="s">
        <v>596</v>
      </c>
      <c r="I978">
        <v>0</v>
      </c>
      <c r="J978">
        <v>0</v>
      </c>
      <c r="K978">
        <v>0</v>
      </c>
      <c r="L978">
        <v>200</v>
      </c>
      <c r="M978">
        <v>0</v>
      </c>
      <c r="N978">
        <v>70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X978">
        <v>0</v>
      </c>
      <c r="Y978" t="s">
        <v>2201</v>
      </c>
    </row>
    <row r="979" spans="1:25" x14ac:dyDescent="0.25">
      <c r="H979" t="s">
        <v>2202</v>
      </c>
    </row>
    <row r="980" spans="1:25" x14ac:dyDescent="0.25">
      <c r="A980">
        <v>487</v>
      </c>
      <c r="B980">
        <v>617</v>
      </c>
      <c r="C980" t="s">
        <v>2203</v>
      </c>
      <c r="D980" t="s">
        <v>175</v>
      </c>
      <c r="E980" t="s">
        <v>21</v>
      </c>
      <c r="F980" t="s">
        <v>2204</v>
      </c>
      <c r="G980" t="str">
        <f>"200803000275"</f>
        <v>200803000275</v>
      </c>
      <c r="H980" t="s">
        <v>803</v>
      </c>
      <c r="I980">
        <v>0</v>
      </c>
      <c r="J980">
        <v>0</v>
      </c>
      <c r="K980">
        <v>0</v>
      </c>
      <c r="L980">
        <v>200</v>
      </c>
      <c r="M980">
        <v>0</v>
      </c>
      <c r="N980">
        <v>70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X980">
        <v>0</v>
      </c>
      <c r="Y980" t="s">
        <v>2205</v>
      </c>
    </row>
    <row r="981" spans="1:25" x14ac:dyDescent="0.25">
      <c r="H981" t="s">
        <v>2206</v>
      </c>
    </row>
    <row r="982" spans="1:25" x14ac:dyDescent="0.25">
      <c r="A982">
        <v>488</v>
      </c>
      <c r="B982">
        <v>1194</v>
      </c>
      <c r="C982" t="s">
        <v>2207</v>
      </c>
      <c r="D982" t="s">
        <v>141</v>
      </c>
      <c r="E982" t="s">
        <v>701</v>
      </c>
      <c r="F982" t="s">
        <v>2208</v>
      </c>
      <c r="G982" t="str">
        <f>"201504003970"</f>
        <v>201504003970</v>
      </c>
      <c r="H982" t="s">
        <v>2209</v>
      </c>
      <c r="I982">
        <v>0</v>
      </c>
      <c r="J982">
        <v>0</v>
      </c>
      <c r="K982">
        <v>0</v>
      </c>
      <c r="L982">
        <v>200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X982">
        <v>1</v>
      </c>
      <c r="Y982" t="s">
        <v>2210</v>
      </c>
    </row>
    <row r="983" spans="1:25" x14ac:dyDescent="0.25">
      <c r="H983" t="s">
        <v>2211</v>
      </c>
    </row>
    <row r="984" spans="1:25" x14ac:dyDescent="0.25">
      <c r="A984">
        <v>489</v>
      </c>
      <c r="B984">
        <v>1495</v>
      </c>
      <c r="C984" t="s">
        <v>2212</v>
      </c>
      <c r="D984" t="s">
        <v>2213</v>
      </c>
      <c r="E984" t="s">
        <v>21</v>
      </c>
      <c r="F984" t="s">
        <v>2214</v>
      </c>
      <c r="G984" t="str">
        <f>"201512002859"</f>
        <v>201512002859</v>
      </c>
      <c r="H984" t="s">
        <v>686</v>
      </c>
      <c r="I984">
        <v>0</v>
      </c>
      <c r="J984">
        <v>0</v>
      </c>
      <c r="K984">
        <v>0</v>
      </c>
      <c r="L984">
        <v>200</v>
      </c>
      <c r="M984">
        <v>0</v>
      </c>
      <c r="N984">
        <v>70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X984">
        <v>0</v>
      </c>
      <c r="Y984" t="s">
        <v>2215</v>
      </c>
    </row>
    <row r="985" spans="1:25" x14ac:dyDescent="0.25">
      <c r="H985" t="s">
        <v>2216</v>
      </c>
    </row>
    <row r="986" spans="1:25" x14ac:dyDescent="0.25">
      <c r="A986">
        <v>490</v>
      </c>
      <c r="B986">
        <v>97</v>
      </c>
      <c r="C986" t="s">
        <v>2217</v>
      </c>
      <c r="D986" t="s">
        <v>2218</v>
      </c>
      <c r="E986" t="s">
        <v>124</v>
      </c>
      <c r="F986" t="s">
        <v>2219</v>
      </c>
      <c r="G986" t="str">
        <f>"201512004507"</f>
        <v>201512004507</v>
      </c>
      <c r="H986">
        <v>726</v>
      </c>
      <c r="I986">
        <v>0</v>
      </c>
      <c r="J986">
        <v>0</v>
      </c>
      <c r="K986">
        <v>0</v>
      </c>
      <c r="L986">
        <v>200</v>
      </c>
      <c r="M986">
        <v>0</v>
      </c>
      <c r="N986">
        <v>70</v>
      </c>
      <c r="O986">
        <v>30</v>
      </c>
      <c r="P986">
        <v>30</v>
      </c>
      <c r="Q986">
        <v>0</v>
      </c>
      <c r="R986">
        <v>0</v>
      </c>
      <c r="S986">
        <v>0</v>
      </c>
      <c r="T986">
        <v>0</v>
      </c>
      <c r="U986">
        <v>0</v>
      </c>
      <c r="X986">
        <v>0</v>
      </c>
      <c r="Y986">
        <v>1056</v>
      </c>
    </row>
    <row r="987" spans="1:25" x14ac:dyDescent="0.25">
      <c r="H987" t="s">
        <v>2220</v>
      </c>
    </row>
    <row r="988" spans="1:25" x14ac:dyDescent="0.25">
      <c r="A988">
        <v>491</v>
      </c>
      <c r="B988">
        <v>2355</v>
      </c>
      <c r="C988" t="s">
        <v>2221</v>
      </c>
      <c r="D988" t="s">
        <v>539</v>
      </c>
      <c r="E988" t="s">
        <v>48</v>
      </c>
      <c r="F988" t="s">
        <v>2222</v>
      </c>
      <c r="G988" t="str">
        <f>"00014543"</f>
        <v>00014543</v>
      </c>
      <c r="H988" t="s">
        <v>836</v>
      </c>
      <c r="I988">
        <v>0</v>
      </c>
      <c r="J988">
        <v>0</v>
      </c>
      <c r="K988">
        <v>0</v>
      </c>
      <c r="L988">
        <v>200</v>
      </c>
      <c r="M988">
        <v>0</v>
      </c>
      <c r="N988">
        <v>70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X988">
        <v>0</v>
      </c>
      <c r="Y988" t="s">
        <v>2223</v>
      </c>
    </row>
    <row r="989" spans="1:25" x14ac:dyDescent="0.25">
      <c r="H989" t="s">
        <v>2224</v>
      </c>
    </row>
    <row r="990" spans="1:25" x14ac:dyDescent="0.25">
      <c r="A990">
        <v>492</v>
      </c>
      <c r="B990">
        <v>2461</v>
      </c>
      <c r="C990" t="s">
        <v>985</v>
      </c>
      <c r="D990" t="s">
        <v>1206</v>
      </c>
      <c r="E990" t="s">
        <v>48</v>
      </c>
      <c r="F990" t="s">
        <v>2225</v>
      </c>
      <c r="G990" t="str">
        <f>"200712003976"</f>
        <v>200712003976</v>
      </c>
      <c r="H990" t="s">
        <v>303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70</v>
      </c>
      <c r="O990">
        <v>0</v>
      </c>
      <c r="P990">
        <v>0</v>
      </c>
      <c r="Q990">
        <v>30</v>
      </c>
      <c r="R990">
        <v>0</v>
      </c>
      <c r="S990">
        <v>0</v>
      </c>
      <c r="T990">
        <v>0</v>
      </c>
      <c r="U990">
        <v>0</v>
      </c>
      <c r="X990">
        <v>0</v>
      </c>
      <c r="Y990" t="s">
        <v>2226</v>
      </c>
    </row>
    <row r="991" spans="1:25" x14ac:dyDescent="0.25">
      <c r="H991" t="s">
        <v>110</v>
      </c>
    </row>
    <row r="992" spans="1:25" x14ac:dyDescent="0.25">
      <c r="A992">
        <v>493</v>
      </c>
      <c r="B992">
        <v>129</v>
      </c>
      <c r="C992" t="s">
        <v>2227</v>
      </c>
      <c r="D992" t="s">
        <v>1758</v>
      </c>
      <c r="E992" t="s">
        <v>48</v>
      </c>
      <c r="F992" t="s">
        <v>2228</v>
      </c>
      <c r="G992" t="str">
        <f>"00012740"</f>
        <v>00012740</v>
      </c>
      <c r="H992">
        <v>803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50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X992">
        <v>0</v>
      </c>
      <c r="Y992">
        <v>1053</v>
      </c>
    </row>
    <row r="993" spans="1:25" x14ac:dyDescent="0.25">
      <c r="H993" t="s">
        <v>2229</v>
      </c>
    </row>
    <row r="994" spans="1:25" x14ac:dyDescent="0.25">
      <c r="A994">
        <v>494</v>
      </c>
      <c r="B994">
        <v>2898</v>
      </c>
      <c r="C994" t="s">
        <v>2230</v>
      </c>
      <c r="D994" t="s">
        <v>87</v>
      </c>
      <c r="E994" t="s">
        <v>21</v>
      </c>
      <c r="F994" t="s">
        <v>2231</v>
      </c>
      <c r="G994" t="str">
        <f>"00014254"</f>
        <v>00014254</v>
      </c>
      <c r="H994" t="s">
        <v>1078</v>
      </c>
      <c r="I994">
        <v>0</v>
      </c>
      <c r="J994">
        <v>0</v>
      </c>
      <c r="K994">
        <v>0</v>
      </c>
      <c r="L994">
        <v>260</v>
      </c>
      <c r="M994">
        <v>0</v>
      </c>
      <c r="N994">
        <v>50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X994">
        <v>0</v>
      </c>
      <c r="Y994" t="s">
        <v>2232</v>
      </c>
    </row>
    <row r="995" spans="1:25" x14ac:dyDescent="0.25">
      <c r="H995" t="s">
        <v>2233</v>
      </c>
    </row>
    <row r="996" spans="1:25" x14ac:dyDescent="0.25">
      <c r="A996">
        <v>495</v>
      </c>
      <c r="B996">
        <v>600</v>
      </c>
      <c r="C996" t="s">
        <v>2234</v>
      </c>
      <c r="D996" t="s">
        <v>47</v>
      </c>
      <c r="E996" t="s">
        <v>444</v>
      </c>
      <c r="F996" t="s">
        <v>2235</v>
      </c>
      <c r="G996" t="str">
        <f>"201502002610"</f>
        <v>201502002610</v>
      </c>
      <c r="H996" t="s">
        <v>1022</v>
      </c>
      <c r="I996">
        <v>0</v>
      </c>
      <c r="J996">
        <v>0</v>
      </c>
      <c r="K996">
        <v>0</v>
      </c>
      <c r="L996">
        <v>200</v>
      </c>
      <c r="M996">
        <v>0</v>
      </c>
      <c r="N996">
        <v>70</v>
      </c>
      <c r="O996">
        <v>30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X996">
        <v>0</v>
      </c>
      <c r="Y996" t="s">
        <v>2236</v>
      </c>
    </row>
    <row r="997" spans="1:25" x14ac:dyDescent="0.25">
      <c r="H997" t="s">
        <v>2237</v>
      </c>
    </row>
    <row r="998" spans="1:25" x14ac:dyDescent="0.25">
      <c r="A998">
        <v>496</v>
      </c>
      <c r="B998">
        <v>259</v>
      </c>
      <c r="C998" t="s">
        <v>2238</v>
      </c>
      <c r="D998" t="s">
        <v>571</v>
      </c>
      <c r="E998" t="s">
        <v>300</v>
      </c>
      <c r="F998" t="s">
        <v>2239</v>
      </c>
      <c r="G998" t="str">
        <f>"00015161"</f>
        <v>00015161</v>
      </c>
      <c r="H998" t="s">
        <v>2240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X998">
        <v>0</v>
      </c>
      <c r="Y998" t="s">
        <v>2241</v>
      </c>
    </row>
    <row r="999" spans="1:25" x14ac:dyDescent="0.25">
      <c r="H999" t="s">
        <v>52</v>
      </c>
    </row>
    <row r="1000" spans="1:25" x14ac:dyDescent="0.25">
      <c r="A1000">
        <v>497</v>
      </c>
      <c r="B1000">
        <v>2698</v>
      </c>
      <c r="C1000" t="s">
        <v>2242</v>
      </c>
      <c r="D1000" t="s">
        <v>181</v>
      </c>
      <c r="E1000" t="s">
        <v>41</v>
      </c>
      <c r="F1000" t="s">
        <v>2243</v>
      </c>
      <c r="G1000" t="str">
        <f>"00012002"</f>
        <v>00012002</v>
      </c>
      <c r="H1000" t="s">
        <v>870</v>
      </c>
      <c r="I1000">
        <v>0</v>
      </c>
      <c r="J1000">
        <v>0</v>
      </c>
      <c r="K1000">
        <v>0</v>
      </c>
      <c r="L1000">
        <v>200</v>
      </c>
      <c r="M1000">
        <v>30</v>
      </c>
      <c r="N1000">
        <v>70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X1000">
        <v>0</v>
      </c>
      <c r="Y1000" t="s">
        <v>2244</v>
      </c>
    </row>
    <row r="1001" spans="1:25" x14ac:dyDescent="0.25">
      <c r="H1001" t="s">
        <v>502</v>
      </c>
    </row>
    <row r="1002" spans="1:25" x14ac:dyDescent="0.25">
      <c r="A1002">
        <v>498</v>
      </c>
      <c r="B1002">
        <v>2282</v>
      </c>
      <c r="C1002" t="s">
        <v>2245</v>
      </c>
      <c r="D1002" t="s">
        <v>2246</v>
      </c>
      <c r="E1002" t="s">
        <v>124</v>
      </c>
      <c r="F1002" t="s">
        <v>2247</v>
      </c>
      <c r="G1002" t="str">
        <f>"201406019225"</f>
        <v>201406019225</v>
      </c>
      <c r="H1002" t="s">
        <v>485</v>
      </c>
      <c r="I1002">
        <v>0</v>
      </c>
      <c r="J1002">
        <v>0</v>
      </c>
      <c r="K1002">
        <v>0</v>
      </c>
      <c r="L1002">
        <v>200</v>
      </c>
      <c r="M1002">
        <v>0</v>
      </c>
      <c r="N1002">
        <v>70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X1002">
        <v>0</v>
      </c>
      <c r="Y1002" t="s">
        <v>2248</v>
      </c>
    </row>
    <row r="1003" spans="1:25" x14ac:dyDescent="0.25">
      <c r="H1003" t="s">
        <v>2249</v>
      </c>
    </row>
    <row r="1004" spans="1:25" x14ac:dyDescent="0.25">
      <c r="A1004">
        <v>499</v>
      </c>
      <c r="B1004">
        <v>2442</v>
      </c>
      <c r="C1004" t="s">
        <v>2250</v>
      </c>
      <c r="D1004" t="s">
        <v>141</v>
      </c>
      <c r="E1004" t="s">
        <v>2251</v>
      </c>
      <c r="F1004" t="s">
        <v>2252</v>
      </c>
      <c r="G1004" t="str">
        <f>"201510001082"</f>
        <v>201510001082</v>
      </c>
      <c r="H1004" t="s">
        <v>1094</v>
      </c>
      <c r="I1004">
        <v>0</v>
      </c>
      <c r="J1004">
        <v>0</v>
      </c>
      <c r="K1004">
        <v>0</v>
      </c>
      <c r="L1004">
        <v>200</v>
      </c>
      <c r="M1004">
        <v>0</v>
      </c>
      <c r="N1004">
        <v>70</v>
      </c>
      <c r="O1004">
        <v>0</v>
      </c>
      <c r="P1004">
        <v>0</v>
      </c>
      <c r="Q1004">
        <v>70</v>
      </c>
      <c r="R1004">
        <v>0</v>
      </c>
      <c r="S1004">
        <v>0</v>
      </c>
      <c r="T1004">
        <v>0</v>
      </c>
      <c r="U1004">
        <v>0</v>
      </c>
      <c r="X1004">
        <v>0</v>
      </c>
      <c r="Y1004" t="s">
        <v>2253</v>
      </c>
    </row>
    <row r="1005" spans="1:25" x14ac:dyDescent="0.25">
      <c r="H1005" t="s">
        <v>2254</v>
      </c>
    </row>
    <row r="1006" spans="1:25" x14ac:dyDescent="0.25">
      <c r="A1006">
        <v>500</v>
      </c>
      <c r="B1006">
        <v>1161</v>
      </c>
      <c r="C1006" t="s">
        <v>2255</v>
      </c>
      <c r="D1006" t="s">
        <v>962</v>
      </c>
      <c r="E1006" t="s">
        <v>48</v>
      </c>
      <c r="F1006" t="s">
        <v>2256</v>
      </c>
      <c r="G1006" t="str">
        <f>"00014435"</f>
        <v>00014435</v>
      </c>
      <c r="H1006" t="s">
        <v>1033</v>
      </c>
      <c r="I1006">
        <v>0</v>
      </c>
      <c r="J1006">
        <v>0</v>
      </c>
      <c r="K1006">
        <v>0</v>
      </c>
      <c r="L1006">
        <v>200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30</v>
      </c>
      <c r="S1006">
        <v>0</v>
      </c>
      <c r="T1006">
        <v>0</v>
      </c>
      <c r="U1006">
        <v>0</v>
      </c>
      <c r="X1006">
        <v>0</v>
      </c>
      <c r="Y1006" t="s">
        <v>2257</v>
      </c>
    </row>
    <row r="1007" spans="1:25" x14ac:dyDescent="0.25">
      <c r="H1007" t="s">
        <v>2258</v>
      </c>
    </row>
    <row r="1008" spans="1:25" x14ac:dyDescent="0.25">
      <c r="A1008">
        <v>501</v>
      </c>
      <c r="B1008">
        <v>1563</v>
      </c>
      <c r="C1008" t="s">
        <v>2259</v>
      </c>
      <c r="D1008" t="s">
        <v>2182</v>
      </c>
      <c r="E1008" t="s">
        <v>1190</v>
      </c>
      <c r="F1008" t="s">
        <v>2260</v>
      </c>
      <c r="G1008" t="str">
        <f>"00012681"</f>
        <v>00012681</v>
      </c>
      <c r="H1008" t="s">
        <v>1033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70</v>
      </c>
      <c r="O1008">
        <v>30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X1008">
        <v>0</v>
      </c>
      <c r="Y1008" t="s">
        <v>2257</v>
      </c>
    </row>
    <row r="1009" spans="1:25" x14ac:dyDescent="0.25">
      <c r="H1009" t="s">
        <v>2261</v>
      </c>
    </row>
    <row r="1010" spans="1:25" x14ac:dyDescent="0.25">
      <c r="A1010">
        <v>502</v>
      </c>
      <c r="B1010">
        <v>2824</v>
      </c>
      <c r="C1010" t="s">
        <v>2262</v>
      </c>
      <c r="D1010" t="s">
        <v>2263</v>
      </c>
      <c r="E1010" t="s">
        <v>182</v>
      </c>
      <c r="F1010" t="s">
        <v>2264</v>
      </c>
      <c r="G1010" t="str">
        <f>"00013978"</f>
        <v>00013978</v>
      </c>
      <c r="H1010" t="s">
        <v>1033</v>
      </c>
      <c r="I1010">
        <v>0</v>
      </c>
      <c r="J1010">
        <v>0</v>
      </c>
      <c r="K1010">
        <v>0</v>
      </c>
      <c r="L1010">
        <v>200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70</v>
      </c>
      <c r="X1010">
        <v>0</v>
      </c>
      <c r="Y1010" t="s">
        <v>2257</v>
      </c>
    </row>
    <row r="1011" spans="1:25" x14ac:dyDescent="0.25">
      <c r="H1011" t="s">
        <v>2265</v>
      </c>
    </row>
    <row r="1012" spans="1:25" x14ac:dyDescent="0.25">
      <c r="A1012">
        <v>503</v>
      </c>
      <c r="B1012">
        <v>1871</v>
      </c>
      <c r="C1012" t="s">
        <v>2266</v>
      </c>
      <c r="D1012" t="s">
        <v>2267</v>
      </c>
      <c r="E1012" t="s">
        <v>124</v>
      </c>
      <c r="F1012" t="s">
        <v>2268</v>
      </c>
      <c r="G1012" t="str">
        <f>"00014181"</f>
        <v>00014181</v>
      </c>
      <c r="H1012" t="s">
        <v>2269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70</v>
      </c>
      <c r="O1012">
        <v>70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X1012">
        <v>0</v>
      </c>
      <c r="Y1012" t="s">
        <v>2270</v>
      </c>
    </row>
    <row r="1013" spans="1:25" x14ac:dyDescent="0.25">
      <c r="H1013" t="s">
        <v>1307</v>
      </c>
    </row>
    <row r="1014" spans="1:25" x14ac:dyDescent="0.25">
      <c r="A1014">
        <v>504</v>
      </c>
      <c r="B1014">
        <v>1354</v>
      </c>
      <c r="C1014" t="s">
        <v>2271</v>
      </c>
      <c r="D1014" t="s">
        <v>2272</v>
      </c>
      <c r="E1014" t="s">
        <v>176</v>
      </c>
      <c r="F1014" t="s">
        <v>2273</v>
      </c>
      <c r="G1014" t="str">
        <f>"201511007767"</f>
        <v>201511007767</v>
      </c>
      <c r="H1014" t="s">
        <v>213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70</v>
      </c>
      <c r="O1014">
        <v>0</v>
      </c>
      <c r="P1014">
        <v>30</v>
      </c>
      <c r="Q1014">
        <v>0</v>
      </c>
      <c r="R1014">
        <v>0</v>
      </c>
      <c r="S1014">
        <v>0</v>
      </c>
      <c r="T1014">
        <v>0</v>
      </c>
      <c r="U1014">
        <v>0</v>
      </c>
      <c r="X1014">
        <v>0</v>
      </c>
      <c r="Y1014" t="s">
        <v>2274</v>
      </c>
    </row>
    <row r="1015" spans="1:25" x14ac:dyDescent="0.25">
      <c r="H1015" t="s">
        <v>2275</v>
      </c>
    </row>
    <row r="1016" spans="1:25" x14ac:dyDescent="0.25">
      <c r="A1016">
        <v>505</v>
      </c>
      <c r="B1016">
        <v>216</v>
      </c>
      <c r="C1016" t="s">
        <v>2276</v>
      </c>
      <c r="D1016" t="s">
        <v>2277</v>
      </c>
      <c r="E1016" t="s">
        <v>124</v>
      </c>
      <c r="F1016" t="s">
        <v>2278</v>
      </c>
      <c r="G1016" t="str">
        <f>"00015108"</f>
        <v>00015108</v>
      </c>
      <c r="H1016" t="s">
        <v>491</v>
      </c>
      <c r="I1016">
        <v>0</v>
      </c>
      <c r="J1016">
        <v>0</v>
      </c>
      <c r="K1016">
        <v>0</v>
      </c>
      <c r="L1016">
        <v>200</v>
      </c>
      <c r="M1016">
        <v>0</v>
      </c>
      <c r="N1016">
        <v>70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X1016">
        <v>0</v>
      </c>
      <c r="Y1016" t="s">
        <v>2279</v>
      </c>
    </row>
    <row r="1017" spans="1:25" x14ac:dyDescent="0.25">
      <c r="H1017" t="s">
        <v>2280</v>
      </c>
    </row>
    <row r="1018" spans="1:25" x14ac:dyDescent="0.25">
      <c r="A1018">
        <v>506</v>
      </c>
      <c r="B1018">
        <v>1913</v>
      </c>
      <c r="C1018" t="s">
        <v>2281</v>
      </c>
      <c r="D1018" t="s">
        <v>223</v>
      </c>
      <c r="E1018" t="s">
        <v>124</v>
      </c>
      <c r="F1018" t="s">
        <v>2282</v>
      </c>
      <c r="G1018" t="str">
        <f>"00012778"</f>
        <v>00012778</v>
      </c>
      <c r="H1018" t="s">
        <v>359</v>
      </c>
      <c r="I1018">
        <v>0</v>
      </c>
      <c r="J1018">
        <v>0</v>
      </c>
      <c r="K1018">
        <v>0</v>
      </c>
      <c r="L1018">
        <v>200</v>
      </c>
      <c r="M1018">
        <v>0</v>
      </c>
      <c r="N1018">
        <v>70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X1018">
        <v>2</v>
      </c>
      <c r="Y1018" t="s">
        <v>2283</v>
      </c>
    </row>
    <row r="1019" spans="1:25" x14ac:dyDescent="0.25">
      <c r="H1019" t="s">
        <v>2284</v>
      </c>
    </row>
    <row r="1020" spans="1:25" x14ac:dyDescent="0.25">
      <c r="A1020">
        <v>507</v>
      </c>
      <c r="B1020">
        <v>2879</v>
      </c>
      <c r="C1020" t="s">
        <v>2285</v>
      </c>
      <c r="D1020" t="s">
        <v>878</v>
      </c>
      <c r="E1020" t="s">
        <v>2286</v>
      </c>
      <c r="F1020" t="s">
        <v>2287</v>
      </c>
      <c r="G1020" t="str">
        <f>"00014062"</f>
        <v>00014062</v>
      </c>
      <c r="H1020" t="s">
        <v>108</v>
      </c>
      <c r="I1020">
        <v>0</v>
      </c>
      <c r="J1020">
        <v>0</v>
      </c>
      <c r="K1020">
        <v>0</v>
      </c>
      <c r="L1020">
        <v>200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X1020">
        <v>0</v>
      </c>
      <c r="Y1020" t="s">
        <v>2288</v>
      </c>
    </row>
    <row r="1021" spans="1:25" x14ac:dyDescent="0.25">
      <c r="H1021">
        <v>221</v>
      </c>
    </row>
    <row r="1022" spans="1:25" x14ac:dyDescent="0.25">
      <c r="A1022">
        <v>508</v>
      </c>
      <c r="B1022">
        <v>1551</v>
      </c>
      <c r="C1022" t="s">
        <v>2289</v>
      </c>
      <c r="D1022" t="s">
        <v>842</v>
      </c>
      <c r="E1022" t="s">
        <v>217</v>
      </c>
      <c r="F1022" t="s">
        <v>2290</v>
      </c>
      <c r="G1022" t="str">
        <f>"200801001164"</f>
        <v>200801001164</v>
      </c>
      <c r="H1022" t="s">
        <v>1060</v>
      </c>
      <c r="I1022">
        <v>0</v>
      </c>
      <c r="J1022">
        <v>0</v>
      </c>
      <c r="K1022">
        <v>0</v>
      </c>
      <c r="L1022">
        <v>200</v>
      </c>
      <c r="M1022">
        <v>0</v>
      </c>
      <c r="N1022">
        <v>70</v>
      </c>
      <c r="O1022">
        <v>0</v>
      </c>
      <c r="P1022">
        <v>0</v>
      </c>
      <c r="Q1022">
        <v>0</v>
      </c>
      <c r="R1022">
        <v>30</v>
      </c>
      <c r="S1022">
        <v>0</v>
      </c>
      <c r="T1022">
        <v>0</v>
      </c>
      <c r="U1022">
        <v>0</v>
      </c>
      <c r="X1022">
        <v>0</v>
      </c>
      <c r="Y1022" t="s">
        <v>2291</v>
      </c>
    </row>
    <row r="1023" spans="1:25" x14ac:dyDescent="0.25">
      <c r="H1023" t="s">
        <v>1912</v>
      </c>
    </row>
    <row r="1024" spans="1:25" x14ac:dyDescent="0.25">
      <c r="A1024">
        <v>509</v>
      </c>
      <c r="B1024">
        <v>1214</v>
      </c>
      <c r="C1024" t="s">
        <v>2292</v>
      </c>
      <c r="D1024" t="s">
        <v>141</v>
      </c>
      <c r="E1024" t="s">
        <v>21</v>
      </c>
      <c r="F1024" t="s">
        <v>2293</v>
      </c>
      <c r="G1024" t="str">
        <f>"00013597"</f>
        <v>00013597</v>
      </c>
      <c r="H1024" t="s">
        <v>557</v>
      </c>
      <c r="I1024">
        <v>0</v>
      </c>
      <c r="J1024">
        <v>0</v>
      </c>
      <c r="K1024">
        <v>0</v>
      </c>
      <c r="L1024">
        <v>200</v>
      </c>
      <c r="M1024">
        <v>0</v>
      </c>
      <c r="N1024">
        <v>50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X1024">
        <v>0</v>
      </c>
      <c r="Y1024" t="s">
        <v>2294</v>
      </c>
    </row>
    <row r="1025" spans="1:25" x14ac:dyDescent="0.25">
      <c r="H1025" t="s">
        <v>2295</v>
      </c>
    </row>
    <row r="1026" spans="1:25" x14ac:dyDescent="0.25">
      <c r="A1026">
        <v>510</v>
      </c>
      <c r="B1026">
        <v>1671</v>
      </c>
      <c r="C1026" t="s">
        <v>2296</v>
      </c>
      <c r="D1026" t="s">
        <v>330</v>
      </c>
      <c r="E1026" t="s">
        <v>306</v>
      </c>
      <c r="F1026" t="s">
        <v>2297</v>
      </c>
      <c r="G1026" t="str">
        <f>"00013728"</f>
        <v>00013728</v>
      </c>
      <c r="H1026" t="s">
        <v>500</v>
      </c>
      <c r="I1026">
        <v>0</v>
      </c>
      <c r="J1026">
        <v>0</v>
      </c>
      <c r="K1026">
        <v>0</v>
      </c>
      <c r="L1026">
        <v>200</v>
      </c>
      <c r="M1026">
        <v>0</v>
      </c>
      <c r="N1026">
        <v>70</v>
      </c>
      <c r="O1026">
        <v>0</v>
      </c>
      <c r="P1026">
        <v>50</v>
      </c>
      <c r="Q1026">
        <v>0</v>
      </c>
      <c r="R1026">
        <v>0</v>
      </c>
      <c r="S1026">
        <v>0</v>
      </c>
      <c r="T1026">
        <v>0</v>
      </c>
      <c r="U1026">
        <v>0</v>
      </c>
      <c r="X1026">
        <v>1</v>
      </c>
      <c r="Y1026" t="s">
        <v>2298</v>
      </c>
    </row>
    <row r="1027" spans="1:25" x14ac:dyDescent="0.25">
      <c r="H1027" t="s">
        <v>2299</v>
      </c>
    </row>
    <row r="1028" spans="1:25" x14ac:dyDescent="0.25">
      <c r="A1028">
        <v>511</v>
      </c>
      <c r="B1028">
        <v>2952</v>
      </c>
      <c r="C1028" t="s">
        <v>2300</v>
      </c>
      <c r="D1028" t="s">
        <v>124</v>
      </c>
      <c r="E1028" t="s">
        <v>21</v>
      </c>
      <c r="F1028" t="s">
        <v>2301</v>
      </c>
      <c r="G1028" t="str">
        <f>"00011664"</f>
        <v>00011664</v>
      </c>
      <c r="H1028" t="s">
        <v>505</v>
      </c>
      <c r="I1028">
        <v>0</v>
      </c>
      <c r="J1028">
        <v>0</v>
      </c>
      <c r="K1028">
        <v>0</v>
      </c>
      <c r="L1028">
        <v>200</v>
      </c>
      <c r="M1028">
        <v>0</v>
      </c>
      <c r="N1028">
        <v>70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X1028">
        <v>0</v>
      </c>
      <c r="Y1028" t="s">
        <v>2302</v>
      </c>
    </row>
    <row r="1029" spans="1:25" x14ac:dyDescent="0.25">
      <c r="H1029" t="s">
        <v>52</v>
      </c>
    </row>
    <row r="1030" spans="1:25" x14ac:dyDescent="0.25">
      <c r="A1030">
        <v>512</v>
      </c>
      <c r="B1030">
        <v>422</v>
      </c>
      <c r="C1030" t="s">
        <v>2303</v>
      </c>
      <c r="D1030" t="s">
        <v>2304</v>
      </c>
      <c r="E1030" t="s">
        <v>301</v>
      </c>
      <c r="F1030" t="s">
        <v>2305</v>
      </c>
      <c r="G1030" t="str">
        <f>"200802011367"</f>
        <v>200802011367</v>
      </c>
      <c r="H1030" t="s">
        <v>505</v>
      </c>
      <c r="I1030">
        <v>0</v>
      </c>
      <c r="J1030">
        <v>0</v>
      </c>
      <c r="K1030">
        <v>0</v>
      </c>
      <c r="L1030">
        <v>200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X1030">
        <v>0</v>
      </c>
      <c r="Y1030" t="s">
        <v>2302</v>
      </c>
    </row>
    <row r="1031" spans="1:25" x14ac:dyDescent="0.25">
      <c r="H1031" t="s">
        <v>2306</v>
      </c>
    </row>
    <row r="1032" spans="1:25" x14ac:dyDescent="0.25">
      <c r="A1032">
        <v>513</v>
      </c>
      <c r="B1032">
        <v>659</v>
      </c>
      <c r="C1032" t="s">
        <v>2307</v>
      </c>
      <c r="D1032" t="s">
        <v>2308</v>
      </c>
      <c r="E1032" t="s">
        <v>22</v>
      </c>
      <c r="F1032" t="s">
        <v>2309</v>
      </c>
      <c r="G1032" t="str">
        <f>"00014285"</f>
        <v>00014285</v>
      </c>
      <c r="H1032" t="s">
        <v>1078</v>
      </c>
      <c r="I1032">
        <v>0</v>
      </c>
      <c r="J1032">
        <v>0</v>
      </c>
      <c r="K1032">
        <v>0</v>
      </c>
      <c r="L1032">
        <v>200</v>
      </c>
      <c r="M1032">
        <v>0</v>
      </c>
      <c r="N1032">
        <v>70</v>
      </c>
      <c r="O1032">
        <v>0</v>
      </c>
      <c r="P1032">
        <v>0</v>
      </c>
      <c r="Q1032">
        <v>30</v>
      </c>
      <c r="R1032">
        <v>0</v>
      </c>
      <c r="S1032">
        <v>0</v>
      </c>
      <c r="T1032">
        <v>0</v>
      </c>
      <c r="U1032">
        <v>0</v>
      </c>
      <c r="X1032">
        <v>0</v>
      </c>
      <c r="Y1032" t="s">
        <v>2310</v>
      </c>
    </row>
    <row r="1033" spans="1:25" x14ac:dyDescent="0.25">
      <c r="H1033" t="s">
        <v>2311</v>
      </c>
    </row>
    <row r="1034" spans="1:25" x14ac:dyDescent="0.25">
      <c r="A1034">
        <v>514</v>
      </c>
      <c r="B1034">
        <v>346</v>
      </c>
      <c r="C1034" t="s">
        <v>2312</v>
      </c>
      <c r="D1034" t="s">
        <v>2313</v>
      </c>
      <c r="E1034" t="s">
        <v>48</v>
      </c>
      <c r="F1034" t="s">
        <v>2314</v>
      </c>
      <c r="G1034" t="str">
        <f>"201603000271"</f>
        <v>201603000271</v>
      </c>
      <c r="H1034" t="s">
        <v>705</v>
      </c>
      <c r="I1034">
        <v>0</v>
      </c>
      <c r="J1034">
        <v>0</v>
      </c>
      <c r="K1034">
        <v>0</v>
      </c>
      <c r="L1034">
        <v>200</v>
      </c>
      <c r="M1034">
        <v>0</v>
      </c>
      <c r="N1034">
        <v>70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X1034">
        <v>0</v>
      </c>
      <c r="Y1034" t="s">
        <v>2315</v>
      </c>
    </row>
    <row r="1035" spans="1:25" x14ac:dyDescent="0.25">
      <c r="H1035" t="s">
        <v>2316</v>
      </c>
    </row>
    <row r="1036" spans="1:25" x14ac:dyDescent="0.25">
      <c r="A1036">
        <v>515</v>
      </c>
      <c r="B1036">
        <v>1246</v>
      </c>
      <c r="C1036" t="s">
        <v>2317</v>
      </c>
      <c r="D1036" t="s">
        <v>2318</v>
      </c>
      <c r="E1036" t="s">
        <v>22</v>
      </c>
      <c r="F1036" t="s">
        <v>2319</v>
      </c>
      <c r="G1036" t="str">
        <f>"00014428"</f>
        <v>00014428</v>
      </c>
      <c r="H1036" t="s">
        <v>383</v>
      </c>
      <c r="I1036">
        <v>0</v>
      </c>
      <c r="J1036">
        <v>0</v>
      </c>
      <c r="K1036">
        <v>0</v>
      </c>
      <c r="L1036">
        <v>0</v>
      </c>
      <c r="M1036">
        <v>100</v>
      </c>
      <c r="N1036">
        <v>70</v>
      </c>
      <c r="O1036">
        <v>0</v>
      </c>
      <c r="P1036">
        <v>50</v>
      </c>
      <c r="Q1036">
        <v>0</v>
      </c>
      <c r="R1036">
        <v>0</v>
      </c>
      <c r="S1036">
        <v>0</v>
      </c>
      <c r="T1036">
        <v>0</v>
      </c>
      <c r="U1036">
        <v>0</v>
      </c>
      <c r="X1036">
        <v>0</v>
      </c>
      <c r="Y1036" t="s">
        <v>2320</v>
      </c>
    </row>
    <row r="1037" spans="1:25" x14ac:dyDescent="0.25">
      <c r="H1037" t="s">
        <v>1920</v>
      </c>
    </row>
    <row r="1038" spans="1:25" x14ac:dyDescent="0.25">
      <c r="A1038">
        <v>516</v>
      </c>
      <c r="B1038">
        <v>2815</v>
      </c>
      <c r="C1038" t="s">
        <v>2321</v>
      </c>
      <c r="D1038" t="s">
        <v>22</v>
      </c>
      <c r="E1038" t="s">
        <v>440</v>
      </c>
      <c r="F1038" t="s">
        <v>2322</v>
      </c>
      <c r="G1038" t="str">
        <f>"201503000332"</f>
        <v>201503000332</v>
      </c>
      <c r="H1038" t="s">
        <v>2323</v>
      </c>
      <c r="I1038">
        <v>0</v>
      </c>
      <c r="J1038">
        <v>0</v>
      </c>
      <c r="K1038">
        <v>0</v>
      </c>
      <c r="L1038">
        <v>0</v>
      </c>
      <c r="M1038">
        <v>100</v>
      </c>
      <c r="N1038">
        <v>70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X1038">
        <v>0</v>
      </c>
      <c r="Y1038" t="s">
        <v>2324</v>
      </c>
    </row>
    <row r="1039" spans="1:25" x14ac:dyDescent="0.25">
      <c r="H1039" t="s">
        <v>2325</v>
      </c>
    </row>
    <row r="1040" spans="1:25" x14ac:dyDescent="0.25">
      <c r="A1040">
        <v>517</v>
      </c>
      <c r="B1040">
        <v>1925</v>
      </c>
      <c r="C1040" t="s">
        <v>2326</v>
      </c>
      <c r="D1040" t="s">
        <v>330</v>
      </c>
      <c r="E1040" t="s">
        <v>907</v>
      </c>
      <c r="F1040" t="s">
        <v>2327</v>
      </c>
      <c r="G1040" t="str">
        <f>"00014119"</f>
        <v>00014119</v>
      </c>
      <c r="H1040" t="s">
        <v>768</v>
      </c>
      <c r="I1040">
        <v>0</v>
      </c>
      <c r="J1040">
        <v>0</v>
      </c>
      <c r="K1040">
        <v>0</v>
      </c>
      <c r="L1040">
        <v>200</v>
      </c>
      <c r="M1040">
        <v>0</v>
      </c>
      <c r="N1040">
        <v>50</v>
      </c>
      <c r="O1040">
        <v>0</v>
      </c>
      <c r="P1040">
        <v>30</v>
      </c>
      <c r="Q1040">
        <v>0</v>
      </c>
      <c r="R1040">
        <v>0</v>
      </c>
      <c r="S1040">
        <v>0</v>
      </c>
      <c r="T1040">
        <v>0</v>
      </c>
      <c r="U1040">
        <v>0</v>
      </c>
      <c r="X1040">
        <v>0</v>
      </c>
      <c r="Y1040" t="s">
        <v>2324</v>
      </c>
    </row>
    <row r="1041" spans="1:25" x14ac:dyDescent="0.25">
      <c r="H1041" t="s">
        <v>2328</v>
      </c>
    </row>
    <row r="1042" spans="1:25" x14ac:dyDescent="0.25">
      <c r="A1042">
        <v>518</v>
      </c>
      <c r="B1042">
        <v>1983</v>
      </c>
      <c r="C1042" t="s">
        <v>2329</v>
      </c>
      <c r="D1042" t="s">
        <v>175</v>
      </c>
      <c r="E1042" t="s">
        <v>182</v>
      </c>
      <c r="F1042" t="s">
        <v>2330</v>
      </c>
      <c r="G1042" t="str">
        <f>"201412001529"</f>
        <v>201412001529</v>
      </c>
      <c r="H1042" t="s">
        <v>795</v>
      </c>
      <c r="I1042">
        <v>0</v>
      </c>
      <c r="J1042">
        <v>0</v>
      </c>
      <c r="K1042">
        <v>0</v>
      </c>
      <c r="L1042">
        <v>200</v>
      </c>
      <c r="M1042">
        <v>0</v>
      </c>
      <c r="N1042">
        <v>70</v>
      </c>
      <c r="O1042">
        <v>30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X1042">
        <v>0</v>
      </c>
      <c r="Y1042" t="s">
        <v>2331</v>
      </c>
    </row>
    <row r="1043" spans="1:25" x14ac:dyDescent="0.25">
      <c r="H1043" t="s">
        <v>2332</v>
      </c>
    </row>
    <row r="1044" spans="1:25" x14ac:dyDescent="0.25">
      <c r="A1044">
        <v>519</v>
      </c>
      <c r="B1044">
        <v>1608</v>
      </c>
      <c r="C1044" t="s">
        <v>2333</v>
      </c>
      <c r="D1044" t="s">
        <v>41</v>
      </c>
      <c r="E1044" t="s">
        <v>217</v>
      </c>
      <c r="F1044" t="s">
        <v>2334</v>
      </c>
      <c r="G1044" t="str">
        <f>"00014616"</f>
        <v>00014616</v>
      </c>
      <c r="H1044" t="s">
        <v>1783</v>
      </c>
      <c r="I1044">
        <v>0</v>
      </c>
      <c r="J1044">
        <v>0</v>
      </c>
      <c r="K1044">
        <v>0</v>
      </c>
      <c r="L1044">
        <v>200</v>
      </c>
      <c r="M1044">
        <v>0</v>
      </c>
      <c r="N1044">
        <v>70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X1044">
        <v>0</v>
      </c>
      <c r="Y1044" t="s">
        <v>2335</v>
      </c>
    </row>
    <row r="1045" spans="1:25" x14ac:dyDescent="0.25">
      <c r="H1045" t="s">
        <v>332</v>
      </c>
    </row>
    <row r="1046" spans="1:25" x14ac:dyDescent="0.25">
      <c r="A1046">
        <v>520</v>
      </c>
      <c r="B1046">
        <v>2650</v>
      </c>
      <c r="C1046" t="s">
        <v>2336</v>
      </c>
      <c r="D1046" t="s">
        <v>2337</v>
      </c>
      <c r="E1046" t="s">
        <v>417</v>
      </c>
      <c r="F1046" t="s">
        <v>2338</v>
      </c>
      <c r="G1046" t="str">
        <f>"201504003052"</f>
        <v>201504003052</v>
      </c>
      <c r="H1046" t="s">
        <v>43</v>
      </c>
      <c r="I1046">
        <v>0</v>
      </c>
      <c r="J1046">
        <v>0</v>
      </c>
      <c r="K1046">
        <v>0</v>
      </c>
      <c r="L1046">
        <v>200</v>
      </c>
      <c r="M1046">
        <v>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X1046">
        <v>0</v>
      </c>
      <c r="Y1046" t="s">
        <v>2339</v>
      </c>
    </row>
    <row r="1047" spans="1:25" x14ac:dyDescent="0.25">
      <c r="H1047" t="s">
        <v>2340</v>
      </c>
    </row>
    <row r="1048" spans="1:25" x14ac:dyDescent="0.25">
      <c r="A1048">
        <v>521</v>
      </c>
      <c r="B1048">
        <v>1224</v>
      </c>
      <c r="C1048" t="s">
        <v>2341</v>
      </c>
      <c r="D1048" t="s">
        <v>2342</v>
      </c>
      <c r="E1048" t="s">
        <v>41</v>
      </c>
      <c r="F1048" t="s">
        <v>2343</v>
      </c>
      <c r="G1048" t="str">
        <f>"201504004053"</f>
        <v>201504004053</v>
      </c>
      <c r="H1048" t="s">
        <v>541</v>
      </c>
      <c r="I1048">
        <v>0</v>
      </c>
      <c r="J1048">
        <v>0</v>
      </c>
      <c r="K1048">
        <v>0</v>
      </c>
      <c r="L1048">
        <v>200</v>
      </c>
      <c r="M1048">
        <v>0</v>
      </c>
      <c r="N1048">
        <v>70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X1048">
        <v>1</v>
      </c>
      <c r="Y1048" t="s">
        <v>2344</v>
      </c>
    </row>
    <row r="1049" spans="1:25" x14ac:dyDescent="0.25">
      <c r="H1049" t="s">
        <v>2345</v>
      </c>
    </row>
    <row r="1050" spans="1:25" x14ac:dyDescent="0.25">
      <c r="A1050">
        <v>522</v>
      </c>
      <c r="B1050">
        <v>2191</v>
      </c>
      <c r="C1050" t="s">
        <v>2346</v>
      </c>
      <c r="D1050" t="s">
        <v>93</v>
      </c>
      <c r="E1050" t="s">
        <v>190</v>
      </c>
      <c r="F1050" t="s">
        <v>2347</v>
      </c>
      <c r="G1050" t="str">
        <f>"00013648"</f>
        <v>00013648</v>
      </c>
      <c r="H1050" t="s">
        <v>620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70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X1050">
        <v>0</v>
      </c>
      <c r="Y1050" t="s">
        <v>2348</v>
      </c>
    </row>
    <row r="1051" spans="1:25" x14ac:dyDescent="0.25">
      <c r="H1051" t="s">
        <v>2349</v>
      </c>
    </row>
    <row r="1052" spans="1:25" x14ac:dyDescent="0.25">
      <c r="A1052">
        <v>523</v>
      </c>
      <c r="B1052">
        <v>2804</v>
      </c>
      <c r="C1052" t="s">
        <v>2350</v>
      </c>
      <c r="D1052" t="s">
        <v>330</v>
      </c>
      <c r="E1052" t="s">
        <v>21</v>
      </c>
      <c r="F1052" t="s">
        <v>2351</v>
      </c>
      <c r="G1052" t="str">
        <f>"00014165"</f>
        <v>00014165</v>
      </c>
      <c r="H1052" t="s">
        <v>635</v>
      </c>
      <c r="I1052">
        <v>0</v>
      </c>
      <c r="J1052">
        <v>0</v>
      </c>
      <c r="K1052">
        <v>0</v>
      </c>
      <c r="L1052">
        <v>200</v>
      </c>
      <c r="M1052">
        <v>0</v>
      </c>
      <c r="N1052">
        <v>70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X1052">
        <v>0</v>
      </c>
      <c r="Y1052" t="s">
        <v>2352</v>
      </c>
    </row>
    <row r="1053" spans="1:25" x14ac:dyDescent="0.25">
      <c r="H1053" t="s">
        <v>2353</v>
      </c>
    </row>
    <row r="1054" spans="1:25" x14ac:dyDescent="0.25">
      <c r="A1054">
        <v>524</v>
      </c>
      <c r="B1054">
        <v>1959</v>
      </c>
      <c r="C1054" t="s">
        <v>2354</v>
      </c>
      <c r="D1054" t="s">
        <v>106</v>
      </c>
      <c r="E1054" t="s">
        <v>306</v>
      </c>
      <c r="F1054" t="s">
        <v>2355</v>
      </c>
      <c r="G1054" t="str">
        <f>"201411001047"</f>
        <v>201411001047</v>
      </c>
      <c r="H1054" t="s">
        <v>641</v>
      </c>
      <c r="I1054">
        <v>0</v>
      </c>
      <c r="J1054">
        <v>0</v>
      </c>
      <c r="K1054">
        <v>0</v>
      </c>
      <c r="L1054">
        <v>200</v>
      </c>
      <c r="M1054">
        <v>0</v>
      </c>
      <c r="N1054">
        <v>50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X1054">
        <v>0</v>
      </c>
      <c r="Y1054" t="s">
        <v>2356</v>
      </c>
    </row>
    <row r="1055" spans="1:25" x14ac:dyDescent="0.25">
      <c r="H1055" t="s">
        <v>2357</v>
      </c>
    </row>
    <row r="1056" spans="1:25" x14ac:dyDescent="0.25">
      <c r="A1056">
        <v>525</v>
      </c>
      <c r="B1056">
        <v>1937</v>
      </c>
      <c r="C1056" t="s">
        <v>2358</v>
      </c>
      <c r="D1056" t="s">
        <v>498</v>
      </c>
      <c r="E1056" t="s">
        <v>217</v>
      </c>
      <c r="F1056" t="s">
        <v>2359</v>
      </c>
      <c r="G1056" t="str">
        <f>"00014567"</f>
        <v>00014567</v>
      </c>
      <c r="H1056" t="s">
        <v>225</v>
      </c>
      <c r="I1056">
        <v>0</v>
      </c>
      <c r="J1056">
        <v>0</v>
      </c>
      <c r="K1056">
        <v>0</v>
      </c>
      <c r="L1056">
        <v>200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X1056">
        <v>0</v>
      </c>
      <c r="Y1056" t="s">
        <v>2360</v>
      </c>
    </row>
    <row r="1057" spans="1:25" x14ac:dyDescent="0.25">
      <c r="H1057" t="s">
        <v>2361</v>
      </c>
    </row>
    <row r="1058" spans="1:25" x14ac:dyDescent="0.25">
      <c r="A1058">
        <v>526</v>
      </c>
      <c r="B1058">
        <v>2539</v>
      </c>
      <c r="C1058" t="s">
        <v>2362</v>
      </c>
      <c r="D1058" t="s">
        <v>2363</v>
      </c>
      <c r="E1058" t="s">
        <v>112</v>
      </c>
      <c r="F1058" t="s">
        <v>2364</v>
      </c>
      <c r="G1058" t="str">
        <f>"201411002380"</f>
        <v>201411002380</v>
      </c>
      <c r="H1058" t="s">
        <v>225</v>
      </c>
      <c r="I1058">
        <v>0</v>
      </c>
      <c r="J1058">
        <v>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X1058">
        <v>1</v>
      </c>
      <c r="Y1058" t="s">
        <v>2360</v>
      </c>
    </row>
    <row r="1059" spans="1:25" x14ac:dyDescent="0.25">
      <c r="H1059" t="s">
        <v>2365</v>
      </c>
    </row>
    <row r="1060" spans="1:25" x14ac:dyDescent="0.25">
      <c r="A1060">
        <v>527</v>
      </c>
      <c r="B1060">
        <v>2294</v>
      </c>
      <c r="C1060" t="s">
        <v>2366</v>
      </c>
      <c r="D1060" t="s">
        <v>93</v>
      </c>
      <c r="E1060" t="s">
        <v>48</v>
      </c>
      <c r="F1060" t="s">
        <v>2367</v>
      </c>
      <c r="G1060" t="str">
        <f>"00014496"</f>
        <v>00014496</v>
      </c>
      <c r="H1060" t="s">
        <v>225</v>
      </c>
      <c r="I1060">
        <v>0</v>
      </c>
      <c r="J1060">
        <v>0</v>
      </c>
      <c r="K1060">
        <v>0</v>
      </c>
      <c r="L1060">
        <v>200</v>
      </c>
      <c r="M1060">
        <v>0</v>
      </c>
      <c r="N1060">
        <v>70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X1060">
        <v>1</v>
      </c>
      <c r="Y1060" t="s">
        <v>2360</v>
      </c>
    </row>
    <row r="1061" spans="1:25" x14ac:dyDescent="0.25">
      <c r="H1061" t="s">
        <v>2368</v>
      </c>
    </row>
    <row r="1062" spans="1:25" x14ac:dyDescent="0.25">
      <c r="A1062">
        <v>528</v>
      </c>
      <c r="B1062">
        <v>1814</v>
      </c>
      <c r="C1062" t="s">
        <v>1864</v>
      </c>
      <c r="D1062" t="s">
        <v>217</v>
      </c>
      <c r="E1062" t="s">
        <v>22</v>
      </c>
      <c r="F1062" t="s">
        <v>2369</v>
      </c>
      <c r="G1062" t="str">
        <f>"201412002203"</f>
        <v>201412002203</v>
      </c>
      <c r="H1062" t="s">
        <v>1305</v>
      </c>
      <c r="I1062">
        <v>0</v>
      </c>
      <c r="J1062">
        <v>0</v>
      </c>
      <c r="K1062">
        <v>0</v>
      </c>
      <c r="L1062">
        <v>200</v>
      </c>
      <c r="M1062">
        <v>30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X1062">
        <v>0</v>
      </c>
      <c r="Y1062" t="s">
        <v>2370</v>
      </c>
    </row>
    <row r="1063" spans="1:25" x14ac:dyDescent="0.25">
      <c r="H1063" t="s">
        <v>2371</v>
      </c>
    </row>
    <row r="1064" spans="1:25" x14ac:dyDescent="0.25">
      <c r="A1064">
        <v>529</v>
      </c>
      <c r="B1064">
        <v>741</v>
      </c>
      <c r="C1064" t="s">
        <v>2372</v>
      </c>
      <c r="D1064" t="s">
        <v>243</v>
      </c>
      <c r="E1064" t="s">
        <v>2373</v>
      </c>
      <c r="F1064" t="s">
        <v>2374</v>
      </c>
      <c r="G1064" t="str">
        <f>"00013463"</f>
        <v>00013463</v>
      </c>
      <c r="H1064" t="s">
        <v>1305</v>
      </c>
      <c r="I1064">
        <v>0</v>
      </c>
      <c r="J1064">
        <v>0</v>
      </c>
      <c r="K1064">
        <v>0</v>
      </c>
      <c r="L1064">
        <v>200</v>
      </c>
      <c r="M1064">
        <v>0</v>
      </c>
      <c r="N1064">
        <v>70</v>
      </c>
      <c r="O1064">
        <v>30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X1064">
        <v>0</v>
      </c>
      <c r="Y1064" t="s">
        <v>2370</v>
      </c>
    </row>
    <row r="1065" spans="1:25" x14ac:dyDescent="0.25">
      <c r="H1065" t="s">
        <v>2375</v>
      </c>
    </row>
    <row r="1066" spans="1:25" x14ac:dyDescent="0.25">
      <c r="A1066">
        <v>530</v>
      </c>
      <c r="B1066">
        <v>3300</v>
      </c>
      <c r="C1066" t="s">
        <v>2376</v>
      </c>
      <c r="D1066" t="s">
        <v>176</v>
      </c>
      <c r="E1066" t="s">
        <v>2377</v>
      </c>
      <c r="F1066" t="s">
        <v>2378</v>
      </c>
      <c r="G1066" t="str">
        <f>"00014472"</f>
        <v>00014472</v>
      </c>
      <c r="H1066" t="s">
        <v>856</v>
      </c>
      <c r="I1066">
        <v>0</v>
      </c>
      <c r="J1066">
        <v>0</v>
      </c>
      <c r="K1066">
        <v>0</v>
      </c>
      <c r="L1066">
        <v>200</v>
      </c>
      <c r="M1066">
        <v>0</v>
      </c>
      <c r="N1066">
        <v>50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X1066">
        <v>0</v>
      </c>
      <c r="Y1066" t="s">
        <v>2379</v>
      </c>
    </row>
    <row r="1067" spans="1:25" x14ac:dyDescent="0.25">
      <c r="H1067" t="s">
        <v>2380</v>
      </c>
    </row>
    <row r="1068" spans="1:25" x14ac:dyDescent="0.25">
      <c r="A1068">
        <v>531</v>
      </c>
      <c r="B1068">
        <v>1100</v>
      </c>
      <c r="C1068" t="s">
        <v>2381</v>
      </c>
      <c r="D1068" t="s">
        <v>124</v>
      </c>
      <c r="E1068" t="s">
        <v>118</v>
      </c>
      <c r="F1068" t="s">
        <v>2382</v>
      </c>
      <c r="G1068" t="str">
        <f>"00014382"</f>
        <v>00014382</v>
      </c>
      <c r="H1068" t="s">
        <v>2383</v>
      </c>
      <c r="I1068">
        <v>0</v>
      </c>
      <c r="J1068">
        <v>0</v>
      </c>
      <c r="K1068">
        <v>0</v>
      </c>
      <c r="L1068">
        <v>200</v>
      </c>
      <c r="M1068">
        <v>0</v>
      </c>
      <c r="N1068">
        <v>30</v>
      </c>
      <c r="O1068">
        <v>50</v>
      </c>
      <c r="P1068">
        <v>0</v>
      </c>
      <c r="Q1068">
        <v>30</v>
      </c>
      <c r="R1068">
        <v>0</v>
      </c>
      <c r="S1068">
        <v>0</v>
      </c>
      <c r="T1068">
        <v>0</v>
      </c>
      <c r="U1068">
        <v>0</v>
      </c>
      <c r="X1068">
        <v>0</v>
      </c>
      <c r="Y1068" t="s">
        <v>2384</v>
      </c>
    </row>
    <row r="1069" spans="1:25" x14ac:dyDescent="0.25">
      <c r="H1069" t="s">
        <v>2385</v>
      </c>
    </row>
    <row r="1070" spans="1:25" x14ac:dyDescent="0.25">
      <c r="A1070">
        <v>532</v>
      </c>
      <c r="B1070">
        <v>1254</v>
      </c>
      <c r="C1070" t="s">
        <v>1316</v>
      </c>
      <c r="D1070" t="s">
        <v>147</v>
      </c>
      <c r="E1070" t="s">
        <v>41</v>
      </c>
      <c r="F1070" t="s">
        <v>2386</v>
      </c>
      <c r="G1070" t="str">
        <f>"00011251"</f>
        <v>00011251</v>
      </c>
      <c r="H1070" t="s">
        <v>1230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70</v>
      </c>
      <c r="O1070">
        <v>0</v>
      </c>
      <c r="P1070">
        <v>30</v>
      </c>
      <c r="Q1070">
        <v>0</v>
      </c>
      <c r="R1070">
        <v>0</v>
      </c>
      <c r="S1070">
        <v>0</v>
      </c>
      <c r="T1070">
        <v>0</v>
      </c>
      <c r="U1070">
        <v>0</v>
      </c>
      <c r="X1070">
        <v>0</v>
      </c>
      <c r="Y1070" t="s">
        <v>2387</v>
      </c>
    </row>
    <row r="1071" spans="1:25" x14ac:dyDescent="0.25">
      <c r="H1071" t="s">
        <v>2388</v>
      </c>
    </row>
    <row r="1072" spans="1:25" x14ac:dyDescent="0.25">
      <c r="A1072">
        <v>533</v>
      </c>
      <c r="B1072">
        <v>2001</v>
      </c>
      <c r="C1072" t="s">
        <v>2389</v>
      </c>
      <c r="D1072" t="s">
        <v>223</v>
      </c>
      <c r="E1072" t="s">
        <v>41</v>
      </c>
      <c r="F1072" t="s">
        <v>2390</v>
      </c>
      <c r="G1072" t="str">
        <f>"00014261"</f>
        <v>00014261</v>
      </c>
      <c r="H1072" t="s">
        <v>1230</v>
      </c>
      <c r="I1072">
        <v>0</v>
      </c>
      <c r="J1072">
        <v>0</v>
      </c>
      <c r="K1072">
        <v>0</v>
      </c>
      <c r="L1072">
        <v>200</v>
      </c>
      <c r="M1072">
        <v>0</v>
      </c>
      <c r="N1072">
        <v>70</v>
      </c>
      <c r="O1072">
        <v>30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X1072">
        <v>0</v>
      </c>
      <c r="Y1072" t="s">
        <v>2387</v>
      </c>
    </row>
    <row r="1073" spans="1:25" x14ac:dyDescent="0.25">
      <c r="H1073" t="s">
        <v>2391</v>
      </c>
    </row>
    <row r="1074" spans="1:25" x14ac:dyDescent="0.25">
      <c r="A1074">
        <v>534</v>
      </c>
      <c r="B1074">
        <v>962</v>
      </c>
      <c r="C1074" t="s">
        <v>2392</v>
      </c>
      <c r="D1074" t="s">
        <v>330</v>
      </c>
      <c r="E1074" t="s">
        <v>21</v>
      </c>
      <c r="F1074" t="s">
        <v>2393</v>
      </c>
      <c r="G1074" t="str">
        <f>"00011207"</f>
        <v>00011207</v>
      </c>
      <c r="H1074" t="s">
        <v>68</v>
      </c>
      <c r="I1074">
        <v>0</v>
      </c>
      <c r="J1074">
        <v>0</v>
      </c>
      <c r="K1074">
        <v>0</v>
      </c>
      <c r="L1074">
        <v>200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X1074">
        <v>0</v>
      </c>
      <c r="Y1074" t="s">
        <v>2394</v>
      </c>
    </row>
    <row r="1075" spans="1:25" x14ac:dyDescent="0.25">
      <c r="H1075" t="s">
        <v>2395</v>
      </c>
    </row>
    <row r="1076" spans="1:25" x14ac:dyDescent="0.25">
      <c r="A1076">
        <v>535</v>
      </c>
      <c r="B1076">
        <v>912</v>
      </c>
      <c r="C1076" t="s">
        <v>2396</v>
      </c>
      <c r="D1076" t="s">
        <v>2397</v>
      </c>
      <c r="E1076" t="s">
        <v>2398</v>
      </c>
      <c r="F1076" t="s">
        <v>2399</v>
      </c>
      <c r="G1076" t="str">
        <f>"00013761"</f>
        <v>00013761</v>
      </c>
      <c r="H1076" t="s">
        <v>68</v>
      </c>
      <c r="I1076">
        <v>0</v>
      </c>
      <c r="J1076">
        <v>0</v>
      </c>
      <c r="K1076">
        <v>0</v>
      </c>
      <c r="L1076">
        <v>200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X1076">
        <v>0</v>
      </c>
      <c r="Y1076" t="s">
        <v>2394</v>
      </c>
    </row>
    <row r="1077" spans="1:25" x14ac:dyDescent="0.25">
      <c r="H1077" t="s">
        <v>2400</v>
      </c>
    </row>
    <row r="1078" spans="1:25" x14ac:dyDescent="0.25">
      <c r="A1078">
        <v>536</v>
      </c>
      <c r="B1078">
        <v>516</v>
      </c>
      <c r="C1078" t="s">
        <v>2401</v>
      </c>
      <c r="D1078" t="s">
        <v>48</v>
      </c>
      <c r="E1078" t="s">
        <v>158</v>
      </c>
      <c r="F1078" t="s">
        <v>2402</v>
      </c>
      <c r="G1078" t="str">
        <f>"201511039682"</f>
        <v>201511039682</v>
      </c>
      <c r="H1078" t="s">
        <v>782</v>
      </c>
      <c r="I1078">
        <v>0</v>
      </c>
      <c r="J1078">
        <v>0</v>
      </c>
      <c r="K1078">
        <v>0</v>
      </c>
      <c r="L1078">
        <v>200</v>
      </c>
      <c r="M1078">
        <v>0</v>
      </c>
      <c r="N1078">
        <v>70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X1078">
        <v>0</v>
      </c>
      <c r="Y1078" t="s">
        <v>2403</v>
      </c>
    </row>
    <row r="1079" spans="1:25" x14ac:dyDescent="0.25">
      <c r="H1079" t="s">
        <v>2404</v>
      </c>
    </row>
    <row r="1080" spans="1:25" x14ac:dyDescent="0.25">
      <c r="A1080">
        <v>537</v>
      </c>
      <c r="B1080">
        <v>2416</v>
      </c>
      <c r="C1080" t="s">
        <v>2405</v>
      </c>
      <c r="D1080" t="s">
        <v>2406</v>
      </c>
      <c r="E1080" t="s">
        <v>21</v>
      </c>
      <c r="F1080" t="s">
        <v>2407</v>
      </c>
      <c r="G1080" t="str">
        <f>"00014133"</f>
        <v>00014133</v>
      </c>
      <c r="H1080" t="s">
        <v>782</v>
      </c>
      <c r="I1080">
        <v>0</v>
      </c>
      <c r="J1080">
        <v>0</v>
      </c>
      <c r="K1080">
        <v>0</v>
      </c>
      <c r="L1080">
        <v>200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X1080">
        <v>0</v>
      </c>
      <c r="Y1080" t="s">
        <v>2403</v>
      </c>
    </row>
    <row r="1081" spans="1:25" x14ac:dyDescent="0.25">
      <c r="H1081" t="s">
        <v>2408</v>
      </c>
    </row>
    <row r="1082" spans="1:25" x14ac:dyDescent="0.25">
      <c r="A1082">
        <v>538</v>
      </c>
      <c r="B1082">
        <v>2682</v>
      </c>
      <c r="C1082" t="s">
        <v>2409</v>
      </c>
      <c r="D1082" t="s">
        <v>87</v>
      </c>
      <c r="E1082" t="s">
        <v>440</v>
      </c>
      <c r="F1082" t="s">
        <v>2410</v>
      </c>
      <c r="G1082" t="str">
        <f>"200812000367"</f>
        <v>200812000367</v>
      </c>
      <c r="H1082">
        <v>770</v>
      </c>
      <c r="I1082">
        <v>0</v>
      </c>
      <c r="J1082">
        <v>0</v>
      </c>
      <c r="K1082">
        <v>0</v>
      </c>
      <c r="L1082">
        <v>200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30</v>
      </c>
      <c r="S1082">
        <v>0</v>
      </c>
      <c r="T1082">
        <v>0</v>
      </c>
      <c r="U1082">
        <v>0</v>
      </c>
      <c r="X1082">
        <v>0</v>
      </c>
      <c r="Y1082">
        <v>1030</v>
      </c>
    </row>
    <row r="1083" spans="1:25" x14ac:dyDescent="0.25">
      <c r="H1083" t="s">
        <v>2411</v>
      </c>
    </row>
    <row r="1084" spans="1:25" x14ac:dyDescent="0.25">
      <c r="A1084">
        <v>539</v>
      </c>
      <c r="B1084">
        <v>1842</v>
      </c>
      <c r="C1084" t="s">
        <v>2412</v>
      </c>
      <c r="D1084" t="s">
        <v>2413</v>
      </c>
      <c r="E1084" t="s">
        <v>130</v>
      </c>
      <c r="F1084" t="s">
        <v>2414</v>
      </c>
      <c r="G1084" t="str">
        <f>"201406016041"</f>
        <v>201406016041</v>
      </c>
      <c r="H1084" t="s">
        <v>1094</v>
      </c>
      <c r="I1084">
        <v>0</v>
      </c>
      <c r="J1084">
        <v>0</v>
      </c>
      <c r="K1084">
        <v>0</v>
      </c>
      <c r="L1084">
        <v>200</v>
      </c>
      <c r="M1084">
        <v>0</v>
      </c>
      <c r="N1084">
        <v>70</v>
      </c>
      <c r="O1084">
        <v>50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X1084">
        <v>0</v>
      </c>
      <c r="Y1084" t="s">
        <v>2415</v>
      </c>
    </row>
    <row r="1085" spans="1:25" x14ac:dyDescent="0.25">
      <c r="H1085" t="s">
        <v>2416</v>
      </c>
    </row>
    <row r="1086" spans="1:25" x14ac:dyDescent="0.25">
      <c r="A1086">
        <v>540</v>
      </c>
      <c r="B1086">
        <v>2159</v>
      </c>
      <c r="C1086" t="s">
        <v>2417</v>
      </c>
      <c r="D1086" t="s">
        <v>1421</v>
      </c>
      <c r="E1086" t="s">
        <v>124</v>
      </c>
      <c r="F1086" t="s">
        <v>2418</v>
      </c>
      <c r="G1086" t="str">
        <f>"00013781"</f>
        <v>00013781</v>
      </c>
      <c r="H1086">
        <v>759</v>
      </c>
      <c r="I1086">
        <v>0</v>
      </c>
      <c r="J1086">
        <v>0</v>
      </c>
      <c r="K1086">
        <v>0</v>
      </c>
      <c r="L1086">
        <v>200</v>
      </c>
      <c r="M1086">
        <v>0</v>
      </c>
      <c r="N1086">
        <v>70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X1086">
        <v>1</v>
      </c>
      <c r="Y1086">
        <v>1029</v>
      </c>
    </row>
    <row r="1087" spans="1:25" x14ac:dyDescent="0.25">
      <c r="H1087" t="s">
        <v>2419</v>
      </c>
    </row>
    <row r="1088" spans="1:25" x14ac:dyDescent="0.25">
      <c r="A1088">
        <v>541</v>
      </c>
      <c r="B1088">
        <v>1466</v>
      </c>
      <c r="C1088" t="s">
        <v>2420</v>
      </c>
      <c r="D1088" t="s">
        <v>2421</v>
      </c>
      <c r="E1088" t="s">
        <v>2422</v>
      </c>
      <c r="F1088" t="s">
        <v>2423</v>
      </c>
      <c r="G1088" t="str">
        <f>"00014245"</f>
        <v>00014245</v>
      </c>
      <c r="H1088">
        <v>759</v>
      </c>
      <c r="I1088">
        <v>0</v>
      </c>
      <c r="J1088">
        <v>0</v>
      </c>
      <c r="K1088">
        <v>0</v>
      </c>
      <c r="L1088">
        <v>200</v>
      </c>
      <c r="M1088">
        <v>0</v>
      </c>
      <c r="N1088">
        <v>70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X1088">
        <v>0</v>
      </c>
      <c r="Y1088">
        <v>1029</v>
      </c>
    </row>
    <row r="1089" spans="1:25" x14ac:dyDescent="0.25">
      <c r="H1089" t="s">
        <v>203</v>
      </c>
    </row>
    <row r="1090" spans="1:25" x14ac:dyDescent="0.25">
      <c r="A1090">
        <v>542</v>
      </c>
      <c r="B1090">
        <v>2138</v>
      </c>
      <c r="C1090" t="s">
        <v>2424</v>
      </c>
      <c r="D1090" t="s">
        <v>93</v>
      </c>
      <c r="E1090" t="s">
        <v>440</v>
      </c>
      <c r="F1090" t="s">
        <v>2425</v>
      </c>
      <c r="G1090" t="str">
        <f>"201504001619"</f>
        <v>201504001619</v>
      </c>
      <c r="H1090" t="s">
        <v>535</v>
      </c>
      <c r="I1090">
        <v>150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70</v>
      </c>
      <c r="R1090">
        <v>0</v>
      </c>
      <c r="S1090">
        <v>0</v>
      </c>
      <c r="T1090">
        <v>0</v>
      </c>
      <c r="U1090">
        <v>0</v>
      </c>
      <c r="X1090">
        <v>0</v>
      </c>
      <c r="Y1090" t="s">
        <v>2426</v>
      </c>
    </row>
    <row r="1091" spans="1:25" x14ac:dyDescent="0.25">
      <c r="H1091" t="s">
        <v>2427</v>
      </c>
    </row>
    <row r="1092" spans="1:25" x14ac:dyDescent="0.25">
      <c r="A1092">
        <v>543</v>
      </c>
      <c r="B1092">
        <v>3040</v>
      </c>
      <c r="C1092" t="s">
        <v>2428</v>
      </c>
      <c r="D1092" t="s">
        <v>175</v>
      </c>
      <c r="E1092" t="s">
        <v>66</v>
      </c>
      <c r="F1092" t="s">
        <v>2429</v>
      </c>
      <c r="G1092" t="str">
        <f>"00014490"</f>
        <v>00014490</v>
      </c>
      <c r="H1092" t="s">
        <v>1160</v>
      </c>
      <c r="I1092">
        <v>0</v>
      </c>
      <c r="J1092">
        <v>0</v>
      </c>
      <c r="K1092">
        <v>0</v>
      </c>
      <c r="L1092">
        <v>200</v>
      </c>
      <c r="M1092">
        <v>0</v>
      </c>
      <c r="N1092">
        <v>70</v>
      </c>
      <c r="O1092">
        <v>30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X1092">
        <v>0</v>
      </c>
      <c r="Y1092" t="s">
        <v>2430</v>
      </c>
    </row>
    <row r="1093" spans="1:25" x14ac:dyDescent="0.25">
      <c r="H1093" t="s">
        <v>2431</v>
      </c>
    </row>
    <row r="1094" spans="1:25" x14ac:dyDescent="0.25">
      <c r="A1094">
        <v>544</v>
      </c>
      <c r="B1094">
        <v>2575</v>
      </c>
      <c r="C1094" t="s">
        <v>2432</v>
      </c>
      <c r="D1094" t="s">
        <v>2433</v>
      </c>
      <c r="E1094" t="s">
        <v>2434</v>
      </c>
      <c r="F1094" t="s">
        <v>2435</v>
      </c>
      <c r="G1094" t="str">
        <f>"00014589"</f>
        <v>00014589</v>
      </c>
      <c r="H1094">
        <v>748</v>
      </c>
      <c r="I1094">
        <v>0</v>
      </c>
      <c r="J1094">
        <v>0</v>
      </c>
      <c r="K1094">
        <v>0</v>
      </c>
      <c r="L1094">
        <v>200</v>
      </c>
      <c r="M1094">
        <v>0</v>
      </c>
      <c r="N1094">
        <v>30</v>
      </c>
      <c r="O1094">
        <v>0</v>
      </c>
      <c r="P1094">
        <v>50</v>
      </c>
      <c r="Q1094">
        <v>0</v>
      </c>
      <c r="R1094">
        <v>0</v>
      </c>
      <c r="S1094">
        <v>0</v>
      </c>
      <c r="T1094">
        <v>0</v>
      </c>
      <c r="U1094">
        <v>0</v>
      </c>
      <c r="X1094">
        <v>0</v>
      </c>
      <c r="Y1094">
        <v>1028</v>
      </c>
    </row>
    <row r="1095" spans="1:25" x14ac:dyDescent="0.25">
      <c r="H1095" t="s">
        <v>2436</v>
      </c>
    </row>
    <row r="1096" spans="1:25" x14ac:dyDescent="0.25">
      <c r="A1096">
        <v>545</v>
      </c>
      <c r="B1096">
        <v>2110</v>
      </c>
      <c r="C1096" t="s">
        <v>2437</v>
      </c>
      <c r="D1096" t="s">
        <v>306</v>
      </c>
      <c r="E1096" t="s">
        <v>860</v>
      </c>
      <c r="F1096" t="s">
        <v>2438</v>
      </c>
      <c r="G1096" t="str">
        <f>"201412007312"</f>
        <v>201412007312</v>
      </c>
      <c r="H1096" t="s">
        <v>809</v>
      </c>
      <c r="I1096">
        <v>0</v>
      </c>
      <c r="J1096">
        <v>0</v>
      </c>
      <c r="K1096">
        <v>0</v>
      </c>
      <c r="L1096">
        <v>200</v>
      </c>
      <c r="M1096">
        <v>0</v>
      </c>
      <c r="N1096">
        <v>70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X1096">
        <v>0</v>
      </c>
      <c r="Y1096" t="s">
        <v>2439</v>
      </c>
    </row>
    <row r="1097" spans="1:25" x14ac:dyDescent="0.25">
      <c r="H1097" t="s">
        <v>2440</v>
      </c>
    </row>
    <row r="1098" spans="1:25" x14ac:dyDescent="0.25">
      <c r="A1098">
        <v>546</v>
      </c>
      <c r="B1098">
        <v>325</v>
      </c>
      <c r="C1098" t="s">
        <v>2441</v>
      </c>
      <c r="D1098" t="s">
        <v>450</v>
      </c>
      <c r="E1098" t="s">
        <v>112</v>
      </c>
      <c r="F1098" t="s">
        <v>2442</v>
      </c>
      <c r="G1098" t="str">
        <f>"200812000200"</f>
        <v>200812000200</v>
      </c>
      <c r="H1098">
        <v>737</v>
      </c>
      <c r="I1098">
        <v>0</v>
      </c>
      <c r="J1098">
        <v>0</v>
      </c>
      <c r="K1098">
        <v>0</v>
      </c>
      <c r="L1098">
        <v>260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X1098">
        <v>0</v>
      </c>
      <c r="Y1098">
        <v>1027</v>
      </c>
    </row>
    <row r="1099" spans="1:25" x14ac:dyDescent="0.25">
      <c r="H1099" t="s">
        <v>2443</v>
      </c>
    </row>
    <row r="1100" spans="1:25" x14ac:dyDescent="0.25">
      <c r="A1100">
        <v>547</v>
      </c>
      <c r="B1100">
        <v>1609</v>
      </c>
      <c r="C1100" t="s">
        <v>2444</v>
      </c>
      <c r="D1100" t="s">
        <v>66</v>
      </c>
      <c r="E1100" t="s">
        <v>48</v>
      </c>
      <c r="F1100" t="s">
        <v>2445</v>
      </c>
      <c r="G1100" t="str">
        <f>"201412007208"</f>
        <v>201412007208</v>
      </c>
      <c r="H1100" t="s">
        <v>982</v>
      </c>
      <c r="I1100">
        <v>0</v>
      </c>
      <c r="J1100">
        <v>0</v>
      </c>
      <c r="K1100">
        <v>0</v>
      </c>
      <c r="L1100">
        <v>200</v>
      </c>
      <c r="M1100">
        <v>0</v>
      </c>
      <c r="N1100">
        <v>70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X1100">
        <v>0</v>
      </c>
      <c r="Y1100" t="s">
        <v>2446</v>
      </c>
    </row>
    <row r="1101" spans="1:25" x14ac:dyDescent="0.25">
      <c r="H1101" t="s">
        <v>2299</v>
      </c>
    </row>
    <row r="1102" spans="1:25" x14ac:dyDescent="0.25">
      <c r="A1102">
        <v>548</v>
      </c>
      <c r="B1102">
        <v>299</v>
      </c>
      <c r="C1102" t="s">
        <v>2447</v>
      </c>
      <c r="D1102" t="s">
        <v>141</v>
      </c>
      <c r="E1102" t="s">
        <v>22</v>
      </c>
      <c r="F1102" t="s">
        <v>2448</v>
      </c>
      <c r="G1102" t="str">
        <f>"00011332"</f>
        <v>00011332</v>
      </c>
      <c r="H1102" t="s">
        <v>982</v>
      </c>
      <c r="I1102">
        <v>0</v>
      </c>
      <c r="J1102">
        <v>0</v>
      </c>
      <c r="K1102">
        <v>0</v>
      </c>
      <c r="L1102">
        <v>200</v>
      </c>
      <c r="M1102">
        <v>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X1102">
        <v>1</v>
      </c>
      <c r="Y1102" t="s">
        <v>2446</v>
      </c>
    </row>
    <row r="1103" spans="1:25" x14ac:dyDescent="0.25">
      <c r="H1103" t="s">
        <v>2449</v>
      </c>
    </row>
    <row r="1104" spans="1:25" x14ac:dyDescent="0.25">
      <c r="A1104">
        <v>549</v>
      </c>
      <c r="B1104">
        <v>1615</v>
      </c>
      <c r="C1104" t="s">
        <v>2450</v>
      </c>
      <c r="D1104" t="s">
        <v>141</v>
      </c>
      <c r="E1104" t="s">
        <v>21</v>
      </c>
      <c r="F1104" t="s">
        <v>2451</v>
      </c>
      <c r="G1104" t="str">
        <f>"201504005397"</f>
        <v>201504005397</v>
      </c>
      <c r="H1104" t="s">
        <v>428</v>
      </c>
      <c r="I1104">
        <v>0</v>
      </c>
      <c r="J1104">
        <v>0</v>
      </c>
      <c r="K1104">
        <v>0</v>
      </c>
      <c r="L1104">
        <v>0</v>
      </c>
      <c r="M1104">
        <v>100</v>
      </c>
      <c r="N1104">
        <v>70</v>
      </c>
      <c r="O1104">
        <v>30</v>
      </c>
      <c r="P1104">
        <v>0</v>
      </c>
      <c r="Q1104">
        <v>0</v>
      </c>
      <c r="R1104">
        <v>30</v>
      </c>
      <c r="S1104">
        <v>0</v>
      </c>
      <c r="T1104">
        <v>0</v>
      </c>
      <c r="U1104">
        <v>0</v>
      </c>
      <c r="X1104">
        <v>0</v>
      </c>
      <c r="Y1104" t="s">
        <v>2452</v>
      </c>
    </row>
    <row r="1105" spans="1:25" x14ac:dyDescent="0.25">
      <c r="H1105" t="s">
        <v>2453</v>
      </c>
    </row>
    <row r="1106" spans="1:25" x14ac:dyDescent="0.25">
      <c r="A1106">
        <v>550</v>
      </c>
      <c r="B1106">
        <v>1334</v>
      </c>
      <c r="C1106" t="s">
        <v>2454</v>
      </c>
      <c r="D1106" t="s">
        <v>284</v>
      </c>
      <c r="E1106" t="s">
        <v>907</v>
      </c>
      <c r="F1106" t="s">
        <v>2455</v>
      </c>
      <c r="G1106" t="str">
        <f>"200802000661"</f>
        <v>200802000661</v>
      </c>
      <c r="H1106" t="s">
        <v>1692</v>
      </c>
      <c r="I1106">
        <v>0</v>
      </c>
      <c r="J1106">
        <v>0</v>
      </c>
      <c r="K1106">
        <v>0</v>
      </c>
      <c r="L1106">
        <v>200</v>
      </c>
      <c r="M1106">
        <v>0</v>
      </c>
      <c r="N1106">
        <v>70</v>
      </c>
      <c r="O1106">
        <v>0</v>
      </c>
      <c r="P1106">
        <v>0</v>
      </c>
      <c r="Q1106">
        <v>0</v>
      </c>
      <c r="R1106">
        <v>30</v>
      </c>
      <c r="S1106">
        <v>0</v>
      </c>
      <c r="T1106">
        <v>0</v>
      </c>
      <c r="U1106">
        <v>0</v>
      </c>
      <c r="X1106">
        <v>0</v>
      </c>
      <c r="Y1106" t="s">
        <v>2456</v>
      </c>
    </row>
    <row r="1107" spans="1:25" x14ac:dyDescent="0.25">
      <c r="H1107" t="s">
        <v>2457</v>
      </c>
    </row>
    <row r="1108" spans="1:25" x14ac:dyDescent="0.25">
      <c r="A1108">
        <v>551</v>
      </c>
      <c r="B1108">
        <v>2250</v>
      </c>
      <c r="C1108" t="s">
        <v>2458</v>
      </c>
      <c r="D1108" t="s">
        <v>2459</v>
      </c>
      <c r="E1108" t="s">
        <v>417</v>
      </c>
      <c r="F1108" t="s">
        <v>2460</v>
      </c>
      <c r="G1108" t="str">
        <f>"00015005"</f>
        <v>00015005</v>
      </c>
      <c r="H1108" t="s">
        <v>1692</v>
      </c>
      <c r="I1108">
        <v>0</v>
      </c>
      <c r="J1108">
        <v>0</v>
      </c>
      <c r="K1108">
        <v>0</v>
      </c>
      <c r="L1108">
        <v>200</v>
      </c>
      <c r="M1108">
        <v>0</v>
      </c>
      <c r="N1108">
        <v>70</v>
      </c>
      <c r="O1108">
        <v>30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X1108">
        <v>0</v>
      </c>
      <c r="Y1108" t="s">
        <v>2456</v>
      </c>
    </row>
    <row r="1109" spans="1:25" x14ac:dyDescent="0.25">
      <c r="H1109" t="s">
        <v>2461</v>
      </c>
    </row>
    <row r="1110" spans="1:25" x14ac:dyDescent="0.25">
      <c r="A1110">
        <v>552</v>
      </c>
      <c r="B1110">
        <v>2838</v>
      </c>
      <c r="C1110" t="s">
        <v>2462</v>
      </c>
      <c r="D1110" t="s">
        <v>284</v>
      </c>
      <c r="E1110" t="s">
        <v>41</v>
      </c>
      <c r="F1110" t="s">
        <v>2463</v>
      </c>
      <c r="G1110" t="str">
        <f>"00013760"</f>
        <v>00013760</v>
      </c>
      <c r="H1110" t="s">
        <v>303</v>
      </c>
      <c r="I1110">
        <v>0</v>
      </c>
      <c r="J1110">
        <v>0</v>
      </c>
      <c r="K1110">
        <v>0</v>
      </c>
      <c r="L1110">
        <v>200</v>
      </c>
      <c r="M1110">
        <v>0</v>
      </c>
      <c r="N1110">
        <v>70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X1110">
        <v>0</v>
      </c>
      <c r="Y1110" t="s">
        <v>2464</v>
      </c>
    </row>
    <row r="1111" spans="1:25" x14ac:dyDescent="0.25">
      <c r="H1111" t="s">
        <v>52</v>
      </c>
    </row>
    <row r="1112" spans="1:25" x14ac:dyDescent="0.25">
      <c r="A1112">
        <v>553</v>
      </c>
      <c r="B1112">
        <v>1221</v>
      </c>
      <c r="C1112" t="s">
        <v>2465</v>
      </c>
      <c r="D1112" t="s">
        <v>2466</v>
      </c>
      <c r="E1112" t="s">
        <v>2467</v>
      </c>
      <c r="F1112" t="s">
        <v>2468</v>
      </c>
      <c r="G1112" t="str">
        <f>"00012960"</f>
        <v>00012960</v>
      </c>
      <c r="H1112" t="s">
        <v>303</v>
      </c>
      <c r="I1112">
        <v>0</v>
      </c>
      <c r="J1112">
        <v>0</v>
      </c>
      <c r="K1112">
        <v>0</v>
      </c>
      <c r="L1112">
        <v>200</v>
      </c>
      <c r="M1112">
        <v>0</v>
      </c>
      <c r="N1112">
        <v>70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X1112">
        <v>0</v>
      </c>
      <c r="Y1112" t="s">
        <v>2464</v>
      </c>
    </row>
    <row r="1113" spans="1:25" x14ac:dyDescent="0.25">
      <c r="H1113" t="s">
        <v>2469</v>
      </c>
    </row>
    <row r="1114" spans="1:25" x14ac:dyDescent="0.25">
      <c r="A1114">
        <v>554</v>
      </c>
      <c r="B1114">
        <v>2166</v>
      </c>
      <c r="C1114" t="s">
        <v>2470</v>
      </c>
      <c r="D1114" t="s">
        <v>2004</v>
      </c>
      <c r="E1114" t="s">
        <v>896</v>
      </c>
      <c r="F1114" t="s">
        <v>2471</v>
      </c>
      <c r="G1114" t="str">
        <f>"00014128"</f>
        <v>00014128</v>
      </c>
      <c r="H1114" t="s">
        <v>313</v>
      </c>
      <c r="I1114">
        <v>0</v>
      </c>
      <c r="J1114">
        <v>0</v>
      </c>
      <c r="K1114">
        <v>0</v>
      </c>
      <c r="L1114">
        <v>200</v>
      </c>
      <c r="M1114">
        <v>0</v>
      </c>
      <c r="N1114">
        <v>70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X1114">
        <v>0</v>
      </c>
      <c r="Y1114" t="s">
        <v>2472</v>
      </c>
    </row>
    <row r="1115" spans="1:25" x14ac:dyDescent="0.25">
      <c r="H1115">
        <v>224</v>
      </c>
    </row>
    <row r="1116" spans="1:25" x14ac:dyDescent="0.25">
      <c r="A1116">
        <v>555</v>
      </c>
      <c r="B1116">
        <v>766</v>
      </c>
      <c r="C1116" t="s">
        <v>2473</v>
      </c>
      <c r="D1116" t="s">
        <v>98</v>
      </c>
      <c r="E1116" t="s">
        <v>66</v>
      </c>
      <c r="F1116" t="s">
        <v>2474</v>
      </c>
      <c r="G1116" t="str">
        <f>"200802003175"</f>
        <v>200802003175</v>
      </c>
      <c r="H1116" t="s">
        <v>2063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70</v>
      </c>
      <c r="O1116">
        <v>0</v>
      </c>
      <c r="P1116">
        <v>70</v>
      </c>
      <c r="Q1116">
        <v>0</v>
      </c>
      <c r="R1116">
        <v>0</v>
      </c>
      <c r="S1116">
        <v>0</v>
      </c>
      <c r="T1116">
        <v>0</v>
      </c>
      <c r="U1116">
        <v>0</v>
      </c>
      <c r="X1116">
        <v>1</v>
      </c>
      <c r="Y1116" t="s">
        <v>2475</v>
      </c>
    </row>
    <row r="1117" spans="1:25" x14ac:dyDescent="0.25">
      <c r="H1117" t="s">
        <v>52</v>
      </c>
    </row>
    <row r="1118" spans="1:25" x14ac:dyDescent="0.25">
      <c r="A1118">
        <v>556</v>
      </c>
      <c r="B1118">
        <v>1394</v>
      </c>
      <c r="C1118" t="s">
        <v>2476</v>
      </c>
      <c r="D1118" t="s">
        <v>2477</v>
      </c>
      <c r="E1118" t="s">
        <v>254</v>
      </c>
      <c r="F1118" t="s">
        <v>2478</v>
      </c>
      <c r="G1118" t="str">
        <f>"201402001549"</f>
        <v>201402001549</v>
      </c>
      <c r="H1118">
        <v>792</v>
      </c>
      <c r="I1118">
        <v>0</v>
      </c>
      <c r="J1118">
        <v>0</v>
      </c>
      <c r="K1118">
        <v>0</v>
      </c>
      <c r="L1118">
        <v>200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X1118">
        <v>0</v>
      </c>
      <c r="Y1118">
        <v>1022</v>
      </c>
    </row>
    <row r="1119" spans="1:25" x14ac:dyDescent="0.25">
      <c r="H1119" t="s">
        <v>2479</v>
      </c>
    </row>
    <row r="1120" spans="1:25" x14ac:dyDescent="0.25">
      <c r="A1120">
        <v>557</v>
      </c>
      <c r="B1120">
        <v>2081</v>
      </c>
      <c r="C1120" t="s">
        <v>2480</v>
      </c>
      <c r="D1120" t="s">
        <v>489</v>
      </c>
      <c r="E1120" t="s">
        <v>124</v>
      </c>
      <c r="F1120" t="s">
        <v>2481</v>
      </c>
      <c r="G1120" t="str">
        <f>"00011264"</f>
        <v>00011264</v>
      </c>
      <c r="H1120">
        <v>792</v>
      </c>
      <c r="I1120">
        <v>0</v>
      </c>
      <c r="J1120">
        <v>0</v>
      </c>
      <c r="K1120">
        <v>0</v>
      </c>
      <c r="L1120">
        <v>200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X1120">
        <v>0</v>
      </c>
      <c r="Y1120">
        <v>1022</v>
      </c>
    </row>
    <row r="1121" spans="1:25" x14ac:dyDescent="0.25">
      <c r="H1121" t="s">
        <v>2482</v>
      </c>
    </row>
    <row r="1122" spans="1:25" x14ac:dyDescent="0.25">
      <c r="A1122">
        <v>558</v>
      </c>
      <c r="B1122">
        <v>1325</v>
      </c>
      <c r="C1122" t="s">
        <v>2483</v>
      </c>
      <c r="D1122" t="s">
        <v>254</v>
      </c>
      <c r="E1122" t="s">
        <v>66</v>
      </c>
      <c r="F1122" t="s">
        <v>2484</v>
      </c>
      <c r="G1122" t="str">
        <f>"00014614"</f>
        <v>00014614</v>
      </c>
      <c r="H1122">
        <v>792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X1122">
        <v>0</v>
      </c>
      <c r="Y1122">
        <v>1022</v>
      </c>
    </row>
    <row r="1123" spans="1:25" x14ac:dyDescent="0.25">
      <c r="H1123" t="s">
        <v>52</v>
      </c>
    </row>
    <row r="1124" spans="1:25" x14ac:dyDescent="0.25">
      <c r="A1124">
        <v>559</v>
      </c>
      <c r="B1124">
        <v>1446</v>
      </c>
      <c r="C1124" t="s">
        <v>2485</v>
      </c>
      <c r="D1124" t="s">
        <v>2486</v>
      </c>
      <c r="E1124" t="s">
        <v>306</v>
      </c>
      <c r="F1124" t="s">
        <v>2487</v>
      </c>
      <c r="G1124" t="str">
        <f>"00013813"</f>
        <v>00013813</v>
      </c>
      <c r="H1124" t="s">
        <v>2383</v>
      </c>
      <c r="I1124">
        <v>0</v>
      </c>
      <c r="J1124">
        <v>0</v>
      </c>
      <c r="K1124">
        <v>0</v>
      </c>
      <c r="L1124">
        <v>200</v>
      </c>
      <c r="M1124">
        <v>0</v>
      </c>
      <c r="N1124">
        <v>70</v>
      </c>
      <c r="O1124">
        <v>0</v>
      </c>
      <c r="P1124">
        <v>0</v>
      </c>
      <c r="Q1124">
        <v>30</v>
      </c>
      <c r="R1124">
        <v>0</v>
      </c>
      <c r="S1124">
        <v>0</v>
      </c>
      <c r="T1124">
        <v>0</v>
      </c>
      <c r="U1124">
        <v>0</v>
      </c>
      <c r="X1124">
        <v>0</v>
      </c>
      <c r="Y1124" t="s">
        <v>2488</v>
      </c>
    </row>
    <row r="1125" spans="1:25" x14ac:dyDescent="0.25">
      <c r="H1125" t="s">
        <v>2489</v>
      </c>
    </row>
    <row r="1126" spans="1:25" x14ac:dyDescent="0.25">
      <c r="A1126">
        <v>560</v>
      </c>
      <c r="B1126">
        <v>2464</v>
      </c>
      <c r="C1126" t="s">
        <v>2490</v>
      </c>
      <c r="D1126" t="s">
        <v>526</v>
      </c>
      <c r="E1126" t="s">
        <v>2491</v>
      </c>
      <c r="F1126" t="s">
        <v>2492</v>
      </c>
      <c r="G1126" t="str">
        <f>"201504001888"</f>
        <v>201504001888</v>
      </c>
      <c r="H1126" t="s">
        <v>1022</v>
      </c>
      <c r="I1126">
        <v>0</v>
      </c>
      <c r="J1126">
        <v>0</v>
      </c>
      <c r="K1126">
        <v>0</v>
      </c>
      <c r="L1126">
        <v>200</v>
      </c>
      <c r="M1126">
        <v>0</v>
      </c>
      <c r="N1126">
        <v>70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X1126">
        <v>2</v>
      </c>
      <c r="Y1126" t="s">
        <v>2493</v>
      </c>
    </row>
    <row r="1127" spans="1:25" x14ac:dyDescent="0.25">
      <c r="H1127" t="s">
        <v>52</v>
      </c>
    </row>
    <row r="1128" spans="1:25" x14ac:dyDescent="0.25">
      <c r="A1128">
        <v>561</v>
      </c>
      <c r="B1128">
        <v>2265</v>
      </c>
      <c r="C1128" t="s">
        <v>2494</v>
      </c>
      <c r="D1128" t="s">
        <v>175</v>
      </c>
      <c r="E1128" t="s">
        <v>1313</v>
      </c>
      <c r="F1128" t="s">
        <v>2495</v>
      </c>
      <c r="G1128" t="str">
        <f>"00014096"</f>
        <v>00014096</v>
      </c>
      <c r="H1128" t="s">
        <v>768</v>
      </c>
      <c r="I1128">
        <v>0</v>
      </c>
      <c r="J1128">
        <v>0</v>
      </c>
      <c r="K1128">
        <v>0</v>
      </c>
      <c r="L1128">
        <v>200</v>
      </c>
      <c r="M1128">
        <v>0</v>
      </c>
      <c r="N1128">
        <v>30</v>
      </c>
      <c r="O1128">
        <v>0</v>
      </c>
      <c r="P1128">
        <v>30</v>
      </c>
      <c r="Q1128">
        <v>0</v>
      </c>
      <c r="R1128">
        <v>0</v>
      </c>
      <c r="S1128">
        <v>0</v>
      </c>
      <c r="T1128">
        <v>0</v>
      </c>
      <c r="U1128">
        <v>0</v>
      </c>
      <c r="X1128">
        <v>0</v>
      </c>
      <c r="Y1128" t="s">
        <v>2496</v>
      </c>
    </row>
    <row r="1129" spans="1:25" x14ac:dyDescent="0.25">
      <c r="H1129">
        <v>221</v>
      </c>
    </row>
    <row r="1130" spans="1:25" x14ac:dyDescent="0.25">
      <c r="A1130">
        <v>562</v>
      </c>
      <c r="B1130">
        <v>2457</v>
      </c>
      <c r="C1130" t="s">
        <v>2497</v>
      </c>
      <c r="D1130" t="s">
        <v>2498</v>
      </c>
      <c r="E1130" t="s">
        <v>440</v>
      </c>
      <c r="F1130" t="s">
        <v>2499</v>
      </c>
      <c r="G1130" t="str">
        <f>"00014980"</f>
        <v>00014980</v>
      </c>
      <c r="H1130">
        <v>891</v>
      </c>
      <c r="I1130">
        <v>0</v>
      </c>
      <c r="J1130">
        <v>0</v>
      </c>
      <c r="K1130">
        <v>0</v>
      </c>
      <c r="L1130">
        <v>0</v>
      </c>
      <c r="M1130">
        <v>100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X1130">
        <v>0</v>
      </c>
      <c r="Y1130">
        <v>1021</v>
      </c>
    </row>
    <row r="1131" spans="1:25" x14ac:dyDescent="0.25">
      <c r="H1131" t="s">
        <v>2500</v>
      </c>
    </row>
    <row r="1132" spans="1:25" x14ac:dyDescent="0.25">
      <c r="A1132">
        <v>563</v>
      </c>
      <c r="B1132">
        <v>2493</v>
      </c>
      <c r="C1132" t="s">
        <v>2501</v>
      </c>
      <c r="D1132" t="s">
        <v>417</v>
      </c>
      <c r="E1132" t="s">
        <v>41</v>
      </c>
      <c r="F1132" t="s">
        <v>2502</v>
      </c>
      <c r="G1132" t="str">
        <f>"00014139"</f>
        <v>00014139</v>
      </c>
      <c r="H1132" t="s">
        <v>587</v>
      </c>
      <c r="I1132">
        <v>0</v>
      </c>
      <c r="J1132">
        <v>0</v>
      </c>
      <c r="K1132">
        <v>0</v>
      </c>
      <c r="L1132">
        <v>200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X1132">
        <v>0</v>
      </c>
      <c r="Y1132" t="s">
        <v>2503</v>
      </c>
    </row>
    <row r="1133" spans="1:25" x14ac:dyDescent="0.25">
      <c r="H1133" t="s">
        <v>162</v>
      </c>
    </row>
    <row r="1134" spans="1:25" x14ac:dyDescent="0.25">
      <c r="A1134">
        <v>564</v>
      </c>
      <c r="B1134">
        <v>83</v>
      </c>
      <c r="C1134" t="s">
        <v>2504</v>
      </c>
      <c r="D1134" t="s">
        <v>190</v>
      </c>
      <c r="E1134" t="s">
        <v>48</v>
      </c>
      <c r="F1134" t="s">
        <v>2505</v>
      </c>
      <c r="G1134" t="str">
        <f>"200801010238"</f>
        <v>200801010238</v>
      </c>
      <c r="H1134" t="s">
        <v>1264</v>
      </c>
      <c r="I1134">
        <v>0</v>
      </c>
      <c r="J1134">
        <v>0</v>
      </c>
      <c r="K1134">
        <v>0</v>
      </c>
      <c r="L1134">
        <v>260</v>
      </c>
      <c r="M1134">
        <v>0</v>
      </c>
      <c r="N1134">
        <v>70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X1134">
        <v>0</v>
      </c>
      <c r="Y1134" t="s">
        <v>2506</v>
      </c>
    </row>
    <row r="1135" spans="1:25" x14ac:dyDescent="0.25">
      <c r="H1135" t="s">
        <v>2507</v>
      </c>
    </row>
    <row r="1136" spans="1:25" x14ac:dyDescent="0.25">
      <c r="A1136">
        <v>565</v>
      </c>
      <c r="B1136">
        <v>2302</v>
      </c>
      <c r="C1136" t="s">
        <v>2508</v>
      </c>
      <c r="D1136" t="s">
        <v>2509</v>
      </c>
      <c r="E1136" t="s">
        <v>48</v>
      </c>
      <c r="F1136" t="s">
        <v>2510</v>
      </c>
      <c r="G1136" t="str">
        <f>"00012098"</f>
        <v>00012098</v>
      </c>
      <c r="H1136" t="s">
        <v>2081</v>
      </c>
      <c r="I1136">
        <v>0</v>
      </c>
      <c r="J1136">
        <v>0</v>
      </c>
      <c r="K1136">
        <v>0</v>
      </c>
      <c r="L1136">
        <v>200</v>
      </c>
      <c r="M1136">
        <v>0</v>
      </c>
      <c r="N1136">
        <v>70</v>
      </c>
      <c r="O1136">
        <v>30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X1136">
        <v>0</v>
      </c>
      <c r="Y1136" t="s">
        <v>2511</v>
      </c>
    </row>
    <row r="1137" spans="1:25" x14ac:dyDescent="0.25">
      <c r="H1137" t="s">
        <v>2512</v>
      </c>
    </row>
    <row r="1138" spans="1:25" x14ac:dyDescent="0.25">
      <c r="A1138">
        <v>566</v>
      </c>
      <c r="B1138">
        <v>955</v>
      </c>
      <c r="C1138" t="s">
        <v>2513</v>
      </c>
      <c r="D1138" t="s">
        <v>22</v>
      </c>
      <c r="E1138" t="s">
        <v>896</v>
      </c>
      <c r="F1138" t="s">
        <v>2514</v>
      </c>
      <c r="G1138" t="str">
        <f>"00014657"</f>
        <v>00014657</v>
      </c>
      <c r="H1138" t="s">
        <v>870</v>
      </c>
      <c r="I1138">
        <v>0</v>
      </c>
      <c r="J1138">
        <v>0</v>
      </c>
      <c r="K1138">
        <v>0</v>
      </c>
      <c r="L1138">
        <v>200</v>
      </c>
      <c r="M1138">
        <v>0</v>
      </c>
      <c r="N1138">
        <v>70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X1138">
        <v>0</v>
      </c>
      <c r="Y1138" t="s">
        <v>2515</v>
      </c>
    </row>
    <row r="1139" spans="1:25" x14ac:dyDescent="0.25">
      <c r="H1139" t="s">
        <v>2516</v>
      </c>
    </row>
    <row r="1140" spans="1:25" x14ac:dyDescent="0.25">
      <c r="A1140">
        <v>567</v>
      </c>
      <c r="B1140">
        <v>3102</v>
      </c>
      <c r="C1140" t="s">
        <v>2517</v>
      </c>
      <c r="D1140" t="s">
        <v>217</v>
      </c>
      <c r="E1140" t="s">
        <v>87</v>
      </c>
      <c r="F1140" t="s">
        <v>2518</v>
      </c>
      <c r="G1140" t="str">
        <f>"00014163"</f>
        <v>00014163</v>
      </c>
      <c r="H1140" t="s">
        <v>596</v>
      </c>
      <c r="I1140">
        <v>0</v>
      </c>
      <c r="J1140">
        <v>0</v>
      </c>
      <c r="K1140">
        <v>0</v>
      </c>
      <c r="L1140">
        <v>200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X1140">
        <v>0</v>
      </c>
      <c r="Y1140" t="s">
        <v>2519</v>
      </c>
    </row>
    <row r="1141" spans="1:25" x14ac:dyDescent="0.25">
      <c r="H1141" t="s">
        <v>2520</v>
      </c>
    </row>
    <row r="1142" spans="1:25" x14ac:dyDescent="0.25">
      <c r="A1142">
        <v>568</v>
      </c>
      <c r="B1142">
        <v>1484</v>
      </c>
      <c r="C1142" t="s">
        <v>2521</v>
      </c>
      <c r="D1142" t="s">
        <v>41</v>
      </c>
      <c r="E1142" t="s">
        <v>317</v>
      </c>
      <c r="F1142" t="s">
        <v>2522</v>
      </c>
      <c r="G1142" t="str">
        <f>"00013415"</f>
        <v>00013415</v>
      </c>
      <c r="H1142" t="s">
        <v>2523</v>
      </c>
      <c r="I1142">
        <v>0</v>
      </c>
      <c r="J1142">
        <v>0</v>
      </c>
      <c r="K1142">
        <v>0</v>
      </c>
      <c r="L1142">
        <v>200</v>
      </c>
      <c r="M1142">
        <v>0</v>
      </c>
      <c r="N1142">
        <v>70</v>
      </c>
      <c r="O1142">
        <v>50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X1142">
        <v>0</v>
      </c>
      <c r="Y1142" t="s">
        <v>2524</v>
      </c>
    </row>
    <row r="1143" spans="1:25" x14ac:dyDescent="0.25">
      <c r="H1143" t="s">
        <v>2525</v>
      </c>
    </row>
    <row r="1144" spans="1:25" x14ac:dyDescent="0.25">
      <c r="A1144">
        <v>569</v>
      </c>
      <c r="B1144">
        <v>916</v>
      </c>
      <c r="C1144" t="s">
        <v>2526</v>
      </c>
      <c r="D1144" t="s">
        <v>417</v>
      </c>
      <c r="E1144" t="s">
        <v>306</v>
      </c>
      <c r="F1144" t="s">
        <v>2527</v>
      </c>
      <c r="G1144" t="str">
        <f>"00015298"</f>
        <v>00015298</v>
      </c>
      <c r="H1144" t="s">
        <v>803</v>
      </c>
      <c r="I1144">
        <v>0</v>
      </c>
      <c r="J1144">
        <v>0</v>
      </c>
      <c r="K1144">
        <v>0</v>
      </c>
      <c r="L1144">
        <v>200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X1144">
        <v>0</v>
      </c>
      <c r="Y1144" t="s">
        <v>2528</v>
      </c>
    </row>
    <row r="1145" spans="1:25" x14ac:dyDescent="0.25">
      <c r="H1145">
        <v>221</v>
      </c>
    </row>
    <row r="1146" spans="1:25" x14ac:dyDescent="0.25">
      <c r="A1146">
        <v>570</v>
      </c>
      <c r="B1146">
        <v>2653</v>
      </c>
      <c r="C1146" t="s">
        <v>2529</v>
      </c>
      <c r="D1146" t="s">
        <v>2530</v>
      </c>
      <c r="E1146" t="s">
        <v>41</v>
      </c>
      <c r="F1146" t="s">
        <v>2531</v>
      </c>
      <c r="G1146" t="str">
        <f>"00014053"</f>
        <v>00014053</v>
      </c>
      <c r="H1146" t="s">
        <v>1375</v>
      </c>
      <c r="I1146">
        <v>0</v>
      </c>
      <c r="J1146">
        <v>0</v>
      </c>
      <c r="K1146">
        <v>0</v>
      </c>
      <c r="L1146">
        <v>200</v>
      </c>
      <c r="M1146">
        <v>0</v>
      </c>
      <c r="N1146">
        <v>70</v>
      </c>
      <c r="O1146">
        <v>70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X1146">
        <v>0</v>
      </c>
      <c r="Y1146" t="s">
        <v>2528</v>
      </c>
    </row>
    <row r="1147" spans="1:25" x14ac:dyDescent="0.25">
      <c r="H1147" t="s">
        <v>2532</v>
      </c>
    </row>
    <row r="1148" spans="1:25" x14ac:dyDescent="0.25">
      <c r="A1148">
        <v>571</v>
      </c>
      <c r="B1148">
        <v>2228</v>
      </c>
      <c r="C1148" t="s">
        <v>2533</v>
      </c>
      <c r="D1148" t="s">
        <v>98</v>
      </c>
      <c r="E1148" t="s">
        <v>2534</v>
      </c>
      <c r="F1148" t="s">
        <v>2535</v>
      </c>
      <c r="G1148" t="str">
        <f>"00002198"</f>
        <v>00002198</v>
      </c>
      <c r="H1148">
        <v>748</v>
      </c>
      <c r="I1148">
        <v>0</v>
      </c>
      <c r="J1148">
        <v>0</v>
      </c>
      <c r="K1148">
        <v>0</v>
      </c>
      <c r="L1148">
        <v>200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X1148">
        <v>0</v>
      </c>
      <c r="Y1148">
        <v>1018</v>
      </c>
    </row>
    <row r="1149" spans="1:25" x14ac:dyDescent="0.25">
      <c r="H1149" t="s">
        <v>2536</v>
      </c>
    </row>
    <row r="1150" spans="1:25" x14ac:dyDescent="0.25">
      <c r="A1150">
        <v>572</v>
      </c>
      <c r="B1150">
        <v>3369</v>
      </c>
      <c r="C1150" t="s">
        <v>2537</v>
      </c>
      <c r="D1150" t="s">
        <v>2538</v>
      </c>
      <c r="E1150" t="s">
        <v>278</v>
      </c>
      <c r="F1150" t="s">
        <v>2539</v>
      </c>
      <c r="G1150" t="str">
        <f>"201504001744"</f>
        <v>201504001744</v>
      </c>
      <c r="H1150" t="s">
        <v>809</v>
      </c>
      <c r="I1150">
        <v>0</v>
      </c>
      <c r="J1150">
        <v>0</v>
      </c>
      <c r="K1150">
        <v>0</v>
      </c>
      <c r="L1150">
        <v>200</v>
      </c>
      <c r="M1150">
        <v>0</v>
      </c>
      <c r="N1150">
        <v>30</v>
      </c>
      <c r="O1150">
        <v>0</v>
      </c>
      <c r="P1150">
        <v>30</v>
      </c>
      <c r="Q1150">
        <v>0</v>
      </c>
      <c r="R1150">
        <v>0</v>
      </c>
      <c r="S1150">
        <v>0</v>
      </c>
      <c r="T1150">
        <v>0</v>
      </c>
      <c r="U1150">
        <v>0</v>
      </c>
      <c r="X1150">
        <v>0</v>
      </c>
      <c r="Y1150" t="s">
        <v>2540</v>
      </c>
    </row>
    <row r="1151" spans="1:25" x14ac:dyDescent="0.25">
      <c r="H1151" t="s">
        <v>2541</v>
      </c>
    </row>
    <row r="1152" spans="1:25" x14ac:dyDescent="0.25">
      <c r="A1152">
        <v>573</v>
      </c>
      <c r="B1152">
        <v>3173</v>
      </c>
      <c r="C1152" t="s">
        <v>2542</v>
      </c>
      <c r="D1152" t="s">
        <v>450</v>
      </c>
      <c r="E1152" t="s">
        <v>48</v>
      </c>
      <c r="F1152" t="s">
        <v>2543</v>
      </c>
      <c r="G1152" t="str">
        <f>"201504003318"</f>
        <v>201504003318</v>
      </c>
      <c r="H1152" t="s">
        <v>818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X1152">
        <v>0</v>
      </c>
      <c r="Y1152" t="s">
        <v>2544</v>
      </c>
    </row>
    <row r="1153" spans="1:25" x14ac:dyDescent="0.25">
      <c r="H1153" t="s">
        <v>2545</v>
      </c>
    </row>
    <row r="1154" spans="1:25" x14ac:dyDescent="0.25">
      <c r="A1154">
        <v>574</v>
      </c>
      <c r="B1154">
        <v>324</v>
      </c>
      <c r="C1154" t="s">
        <v>2546</v>
      </c>
      <c r="D1154" t="s">
        <v>2547</v>
      </c>
      <c r="E1154" t="s">
        <v>2548</v>
      </c>
      <c r="F1154" t="s">
        <v>2549</v>
      </c>
      <c r="G1154" t="str">
        <f>"00014115"</f>
        <v>00014115</v>
      </c>
      <c r="H1154" t="s">
        <v>686</v>
      </c>
      <c r="I1154">
        <v>0</v>
      </c>
      <c r="J1154">
        <v>0</v>
      </c>
      <c r="K1154">
        <v>0</v>
      </c>
      <c r="L1154">
        <v>200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X1154">
        <v>0</v>
      </c>
      <c r="Y1154" t="s">
        <v>2550</v>
      </c>
    </row>
    <row r="1155" spans="1:25" x14ac:dyDescent="0.25">
      <c r="H1155" t="s">
        <v>2551</v>
      </c>
    </row>
    <row r="1156" spans="1:25" x14ac:dyDescent="0.25">
      <c r="A1156">
        <v>575</v>
      </c>
      <c r="B1156">
        <v>25</v>
      </c>
      <c r="C1156" t="s">
        <v>2552</v>
      </c>
      <c r="D1156" t="s">
        <v>243</v>
      </c>
      <c r="E1156" t="s">
        <v>41</v>
      </c>
      <c r="F1156" t="s">
        <v>2553</v>
      </c>
      <c r="G1156" t="str">
        <f>"00002413"</f>
        <v>00002413</v>
      </c>
      <c r="H1156" t="s">
        <v>1054</v>
      </c>
      <c r="I1156">
        <v>0</v>
      </c>
      <c r="J1156">
        <v>0</v>
      </c>
      <c r="K1156">
        <v>0</v>
      </c>
      <c r="L1156">
        <v>200</v>
      </c>
      <c r="M1156">
        <v>0</v>
      </c>
      <c r="N1156">
        <v>70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X1156">
        <v>0</v>
      </c>
      <c r="Y1156" t="s">
        <v>2554</v>
      </c>
    </row>
    <row r="1157" spans="1:25" x14ac:dyDescent="0.25">
      <c r="H1157">
        <v>221</v>
      </c>
    </row>
    <row r="1158" spans="1:25" x14ac:dyDescent="0.25">
      <c r="A1158">
        <v>576</v>
      </c>
      <c r="B1158">
        <v>2189</v>
      </c>
      <c r="C1158" t="s">
        <v>2555</v>
      </c>
      <c r="D1158" t="s">
        <v>2556</v>
      </c>
      <c r="E1158" t="s">
        <v>41</v>
      </c>
      <c r="F1158" t="s">
        <v>2557</v>
      </c>
      <c r="G1158" t="str">
        <f>"00013908"</f>
        <v>00013908</v>
      </c>
      <c r="H1158" t="s">
        <v>1060</v>
      </c>
      <c r="I1158">
        <v>0</v>
      </c>
      <c r="J1158">
        <v>0</v>
      </c>
      <c r="K1158">
        <v>0</v>
      </c>
      <c r="L1158">
        <v>200</v>
      </c>
      <c r="M1158">
        <v>0</v>
      </c>
      <c r="N1158">
        <v>70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X1158">
        <v>0</v>
      </c>
      <c r="Y1158" t="s">
        <v>2558</v>
      </c>
    </row>
    <row r="1159" spans="1:25" x14ac:dyDescent="0.25">
      <c r="H1159" t="s">
        <v>203</v>
      </c>
    </row>
    <row r="1160" spans="1:25" x14ac:dyDescent="0.25">
      <c r="A1160">
        <v>577</v>
      </c>
      <c r="B1160">
        <v>1000</v>
      </c>
      <c r="C1160" t="s">
        <v>2559</v>
      </c>
      <c r="D1160" t="s">
        <v>242</v>
      </c>
      <c r="E1160" t="s">
        <v>278</v>
      </c>
      <c r="F1160" t="s">
        <v>2560</v>
      </c>
      <c r="G1160" t="str">
        <f>"00013847"</f>
        <v>00013847</v>
      </c>
      <c r="H1160" t="s">
        <v>303</v>
      </c>
      <c r="I1160">
        <v>0</v>
      </c>
      <c r="J1160">
        <v>0</v>
      </c>
      <c r="K1160">
        <v>0</v>
      </c>
      <c r="L1160">
        <v>200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30</v>
      </c>
      <c r="S1160">
        <v>0</v>
      </c>
      <c r="T1160">
        <v>0</v>
      </c>
      <c r="U1160">
        <v>0</v>
      </c>
      <c r="X1160">
        <v>0</v>
      </c>
      <c r="Y1160" t="s">
        <v>2561</v>
      </c>
    </row>
    <row r="1161" spans="1:25" x14ac:dyDescent="0.25">
      <c r="H1161" t="s">
        <v>2562</v>
      </c>
    </row>
    <row r="1162" spans="1:25" x14ac:dyDescent="0.25">
      <c r="A1162">
        <v>578</v>
      </c>
      <c r="B1162">
        <v>630</v>
      </c>
      <c r="C1162" t="s">
        <v>2563</v>
      </c>
      <c r="D1162" t="s">
        <v>2564</v>
      </c>
      <c r="E1162" t="s">
        <v>278</v>
      </c>
      <c r="F1162" t="s">
        <v>2565</v>
      </c>
      <c r="G1162" t="str">
        <f>"00011378"</f>
        <v>00011378</v>
      </c>
      <c r="H1162" t="s">
        <v>656</v>
      </c>
      <c r="I1162">
        <v>0</v>
      </c>
      <c r="J1162">
        <v>0</v>
      </c>
      <c r="K1162">
        <v>0</v>
      </c>
      <c r="L1162">
        <v>200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X1162">
        <v>0</v>
      </c>
      <c r="Y1162" t="s">
        <v>2566</v>
      </c>
    </row>
    <row r="1163" spans="1:25" x14ac:dyDescent="0.25">
      <c r="H1163" t="s">
        <v>2567</v>
      </c>
    </row>
    <row r="1164" spans="1:25" x14ac:dyDescent="0.25">
      <c r="A1164">
        <v>579</v>
      </c>
      <c r="B1164">
        <v>1231</v>
      </c>
      <c r="C1164" t="s">
        <v>2568</v>
      </c>
      <c r="D1164" t="s">
        <v>181</v>
      </c>
      <c r="E1164" t="s">
        <v>21</v>
      </c>
      <c r="F1164" t="s">
        <v>2569</v>
      </c>
      <c r="G1164" t="str">
        <f>"201410008614"</f>
        <v>201410008614</v>
      </c>
      <c r="H1164" t="s">
        <v>1225</v>
      </c>
      <c r="I1164">
        <v>0</v>
      </c>
      <c r="J1164">
        <v>0</v>
      </c>
      <c r="K1164">
        <v>0</v>
      </c>
      <c r="L1164">
        <v>200</v>
      </c>
      <c r="M1164">
        <v>0</v>
      </c>
      <c r="N1164">
        <v>70</v>
      </c>
      <c r="O1164">
        <v>30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X1164">
        <v>0</v>
      </c>
      <c r="Y1164" t="s">
        <v>2570</v>
      </c>
    </row>
    <row r="1165" spans="1:25" x14ac:dyDescent="0.25">
      <c r="H1165" t="s">
        <v>1944</v>
      </c>
    </row>
    <row r="1166" spans="1:25" x14ac:dyDescent="0.25">
      <c r="A1166">
        <v>580</v>
      </c>
      <c r="B1166">
        <v>2063</v>
      </c>
      <c r="C1166" t="s">
        <v>2571</v>
      </c>
      <c r="D1166" t="s">
        <v>842</v>
      </c>
      <c r="E1166" t="s">
        <v>41</v>
      </c>
      <c r="F1166" t="s">
        <v>2572</v>
      </c>
      <c r="G1166" t="str">
        <f>"201511017211"</f>
        <v>201511017211</v>
      </c>
      <c r="H1166" t="s">
        <v>2072</v>
      </c>
      <c r="I1166">
        <v>0</v>
      </c>
      <c r="J1166">
        <v>0</v>
      </c>
      <c r="K1166">
        <v>0</v>
      </c>
      <c r="L1166">
        <v>200</v>
      </c>
      <c r="M1166">
        <v>0</v>
      </c>
      <c r="N1166">
        <v>70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X1166">
        <v>1</v>
      </c>
      <c r="Y1166" t="s">
        <v>2573</v>
      </c>
    </row>
    <row r="1167" spans="1:25" x14ac:dyDescent="0.25">
      <c r="H1167" t="s">
        <v>2574</v>
      </c>
    </row>
    <row r="1168" spans="1:25" x14ac:dyDescent="0.25">
      <c r="A1168">
        <v>581</v>
      </c>
      <c r="B1168">
        <v>1050</v>
      </c>
      <c r="C1168" t="s">
        <v>2575</v>
      </c>
      <c r="D1168" t="s">
        <v>175</v>
      </c>
      <c r="E1168" t="s">
        <v>317</v>
      </c>
      <c r="F1168" t="s">
        <v>2576</v>
      </c>
      <c r="G1168" t="str">
        <f>"00014962"</f>
        <v>00014962</v>
      </c>
      <c r="H1168">
        <v>781</v>
      </c>
      <c r="I1168">
        <v>0</v>
      </c>
      <c r="J1168">
        <v>0</v>
      </c>
      <c r="K1168">
        <v>0</v>
      </c>
      <c r="L1168">
        <v>200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X1168">
        <v>0</v>
      </c>
      <c r="Y1168">
        <v>1011</v>
      </c>
    </row>
    <row r="1169" spans="1:25" x14ac:dyDescent="0.25">
      <c r="H1169" t="s">
        <v>2577</v>
      </c>
    </row>
    <row r="1170" spans="1:25" x14ac:dyDescent="0.25">
      <c r="A1170">
        <v>582</v>
      </c>
      <c r="B1170">
        <v>2025</v>
      </c>
      <c r="C1170" t="s">
        <v>2578</v>
      </c>
      <c r="D1170" t="s">
        <v>310</v>
      </c>
      <c r="E1170" t="s">
        <v>22</v>
      </c>
      <c r="F1170" t="s">
        <v>2579</v>
      </c>
      <c r="G1170" t="str">
        <f>"00011347"</f>
        <v>00011347</v>
      </c>
      <c r="H1170" t="s">
        <v>1028</v>
      </c>
      <c r="I1170">
        <v>0</v>
      </c>
      <c r="J1170">
        <v>0</v>
      </c>
      <c r="K1170">
        <v>0</v>
      </c>
      <c r="L1170">
        <v>200</v>
      </c>
      <c r="M1170">
        <v>0</v>
      </c>
      <c r="N1170">
        <v>70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X1170">
        <v>0</v>
      </c>
      <c r="Y1170" t="s">
        <v>2580</v>
      </c>
    </row>
    <row r="1171" spans="1:25" x14ac:dyDescent="0.25">
      <c r="H1171" t="s">
        <v>2581</v>
      </c>
    </row>
    <row r="1172" spans="1:25" x14ac:dyDescent="0.25">
      <c r="A1172">
        <v>583</v>
      </c>
      <c r="B1172">
        <v>2059</v>
      </c>
      <c r="C1172" t="s">
        <v>2582</v>
      </c>
      <c r="D1172" t="s">
        <v>2583</v>
      </c>
      <c r="E1172" t="s">
        <v>2584</v>
      </c>
      <c r="F1172" t="s">
        <v>2585</v>
      </c>
      <c r="G1172" t="str">
        <f>"200801005581"</f>
        <v>200801005581</v>
      </c>
      <c r="H1172" t="s">
        <v>795</v>
      </c>
      <c r="I1172">
        <v>0</v>
      </c>
      <c r="J1172">
        <v>0</v>
      </c>
      <c r="K1172">
        <v>0</v>
      </c>
      <c r="L1172">
        <v>200</v>
      </c>
      <c r="M1172">
        <v>0</v>
      </c>
      <c r="N1172">
        <v>70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X1172">
        <v>0</v>
      </c>
      <c r="Y1172" t="s">
        <v>2586</v>
      </c>
    </row>
    <row r="1173" spans="1:25" x14ac:dyDescent="0.25">
      <c r="H1173" t="s">
        <v>2587</v>
      </c>
    </row>
    <row r="1174" spans="1:25" x14ac:dyDescent="0.25">
      <c r="A1174">
        <v>584</v>
      </c>
      <c r="B1174">
        <v>1864</v>
      </c>
      <c r="C1174" t="s">
        <v>2588</v>
      </c>
      <c r="D1174" t="s">
        <v>2589</v>
      </c>
      <c r="E1174" t="s">
        <v>2377</v>
      </c>
      <c r="F1174" t="s">
        <v>2590</v>
      </c>
      <c r="G1174" t="str">
        <f>"00011683"</f>
        <v>00011683</v>
      </c>
      <c r="H1174" t="s">
        <v>1033</v>
      </c>
      <c r="I1174">
        <v>0</v>
      </c>
      <c r="J1174">
        <v>0</v>
      </c>
      <c r="K1174">
        <v>0</v>
      </c>
      <c r="L1174">
        <v>200</v>
      </c>
      <c r="M1174">
        <v>0</v>
      </c>
      <c r="N1174">
        <v>30</v>
      </c>
      <c r="O1174">
        <v>30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X1174">
        <v>0</v>
      </c>
      <c r="Y1174" t="s">
        <v>2591</v>
      </c>
    </row>
    <row r="1175" spans="1:25" x14ac:dyDescent="0.25">
      <c r="H1175" t="s">
        <v>2592</v>
      </c>
    </row>
    <row r="1176" spans="1:25" x14ac:dyDescent="0.25">
      <c r="A1176">
        <v>585</v>
      </c>
      <c r="B1176">
        <v>35</v>
      </c>
      <c r="C1176" t="s">
        <v>2593</v>
      </c>
      <c r="D1176" t="s">
        <v>2182</v>
      </c>
      <c r="E1176" t="s">
        <v>106</v>
      </c>
      <c r="F1176" t="s">
        <v>2594</v>
      </c>
      <c r="G1176" t="str">
        <f>"201101000196"</f>
        <v>201101000196</v>
      </c>
      <c r="H1176" t="s">
        <v>43</v>
      </c>
      <c r="I1176">
        <v>0</v>
      </c>
      <c r="J1176">
        <v>0</v>
      </c>
      <c r="K1176">
        <v>0</v>
      </c>
      <c r="L1176">
        <v>0</v>
      </c>
      <c r="M1176">
        <v>100</v>
      </c>
      <c r="N1176">
        <v>70</v>
      </c>
      <c r="O1176">
        <v>30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X1176">
        <v>0</v>
      </c>
      <c r="Y1176" t="s">
        <v>2595</v>
      </c>
    </row>
    <row r="1177" spans="1:25" x14ac:dyDescent="0.25">
      <c r="H1177" t="s">
        <v>2596</v>
      </c>
    </row>
    <row r="1178" spans="1:25" x14ac:dyDescent="0.25">
      <c r="A1178">
        <v>586</v>
      </c>
      <c r="B1178">
        <v>996</v>
      </c>
      <c r="C1178" t="s">
        <v>2597</v>
      </c>
      <c r="D1178" t="s">
        <v>267</v>
      </c>
      <c r="E1178" t="s">
        <v>124</v>
      </c>
      <c r="F1178" t="s">
        <v>2598</v>
      </c>
      <c r="G1178" t="str">
        <f>"200912000018"</f>
        <v>200912000018</v>
      </c>
      <c r="H1178" t="s">
        <v>1353</v>
      </c>
      <c r="I1178">
        <v>0</v>
      </c>
      <c r="J1178">
        <v>0</v>
      </c>
      <c r="K1178">
        <v>0</v>
      </c>
      <c r="L1178">
        <v>260</v>
      </c>
      <c r="M1178">
        <v>0</v>
      </c>
      <c r="N1178">
        <v>30</v>
      </c>
      <c r="O1178">
        <v>0</v>
      </c>
      <c r="P1178">
        <v>30</v>
      </c>
      <c r="Q1178">
        <v>0</v>
      </c>
      <c r="R1178">
        <v>0</v>
      </c>
      <c r="S1178">
        <v>0</v>
      </c>
      <c r="T1178">
        <v>0</v>
      </c>
      <c r="U1178">
        <v>0</v>
      </c>
      <c r="X1178">
        <v>0</v>
      </c>
      <c r="Y1178" t="s">
        <v>2599</v>
      </c>
    </row>
    <row r="1179" spans="1:25" x14ac:dyDescent="0.25">
      <c r="H1179" t="s">
        <v>919</v>
      </c>
    </row>
    <row r="1180" spans="1:25" x14ac:dyDescent="0.25">
      <c r="A1180">
        <v>587</v>
      </c>
      <c r="B1180">
        <v>2067</v>
      </c>
      <c r="C1180" t="s">
        <v>2600</v>
      </c>
      <c r="D1180" t="s">
        <v>2601</v>
      </c>
      <c r="E1180" t="s">
        <v>2602</v>
      </c>
      <c r="F1180" t="s">
        <v>2603</v>
      </c>
      <c r="G1180" t="str">
        <f>"20160702380"</f>
        <v>20160702380</v>
      </c>
      <c r="H1180" t="s">
        <v>1353</v>
      </c>
      <c r="I1180">
        <v>0</v>
      </c>
      <c r="J1180">
        <v>0</v>
      </c>
      <c r="K1180">
        <v>0</v>
      </c>
      <c r="L1180">
        <v>200</v>
      </c>
      <c r="M1180">
        <v>0</v>
      </c>
      <c r="N1180">
        <v>70</v>
      </c>
      <c r="O1180">
        <v>0</v>
      </c>
      <c r="P1180">
        <v>50</v>
      </c>
      <c r="Q1180">
        <v>0</v>
      </c>
      <c r="R1180">
        <v>0</v>
      </c>
      <c r="S1180">
        <v>0</v>
      </c>
      <c r="T1180">
        <v>0</v>
      </c>
      <c r="U1180">
        <v>0</v>
      </c>
      <c r="X1180">
        <v>0</v>
      </c>
      <c r="Y1180" t="s">
        <v>2599</v>
      </c>
    </row>
    <row r="1181" spans="1:25" x14ac:dyDescent="0.25">
      <c r="H1181" t="s">
        <v>752</v>
      </c>
    </row>
    <row r="1182" spans="1:25" x14ac:dyDescent="0.25">
      <c r="A1182">
        <v>588</v>
      </c>
      <c r="B1182">
        <v>1650</v>
      </c>
      <c r="C1182" t="s">
        <v>2604</v>
      </c>
      <c r="D1182" t="s">
        <v>66</v>
      </c>
      <c r="E1182" t="s">
        <v>2605</v>
      </c>
      <c r="F1182" t="s">
        <v>2606</v>
      </c>
      <c r="G1182" t="str">
        <f>"00013588"</f>
        <v>00013588</v>
      </c>
      <c r="H1182" t="s">
        <v>491</v>
      </c>
      <c r="I1182">
        <v>0</v>
      </c>
      <c r="J1182">
        <v>0</v>
      </c>
      <c r="K1182">
        <v>0</v>
      </c>
      <c r="L1182">
        <v>200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X1182">
        <v>0</v>
      </c>
      <c r="Y1182" t="s">
        <v>2607</v>
      </c>
    </row>
    <row r="1183" spans="1:25" x14ac:dyDescent="0.25">
      <c r="H1183" t="s">
        <v>52</v>
      </c>
    </row>
    <row r="1184" spans="1:25" x14ac:dyDescent="0.25">
      <c r="A1184">
        <v>589</v>
      </c>
      <c r="B1184">
        <v>1479</v>
      </c>
      <c r="C1184" t="s">
        <v>2608</v>
      </c>
      <c r="D1184" t="s">
        <v>199</v>
      </c>
      <c r="E1184" t="s">
        <v>565</v>
      </c>
      <c r="F1184" t="s">
        <v>2609</v>
      </c>
      <c r="G1184" t="str">
        <f>"00013138"</f>
        <v>00013138</v>
      </c>
      <c r="H1184" t="s">
        <v>686</v>
      </c>
      <c r="I1184">
        <v>0</v>
      </c>
      <c r="J1184">
        <v>0</v>
      </c>
      <c r="K1184">
        <v>0</v>
      </c>
      <c r="L1184">
        <v>0</v>
      </c>
      <c r="M1184">
        <v>100</v>
      </c>
      <c r="N1184">
        <v>70</v>
      </c>
      <c r="O1184">
        <v>0</v>
      </c>
      <c r="P1184">
        <v>50</v>
      </c>
      <c r="Q1184">
        <v>0</v>
      </c>
      <c r="R1184">
        <v>0</v>
      </c>
      <c r="S1184">
        <v>0</v>
      </c>
      <c r="T1184">
        <v>0</v>
      </c>
      <c r="U1184">
        <v>0</v>
      </c>
      <c r="X1184">
        <v>0</v>
      </c>
      <c r="Y1184" t="s">
        <v>2610</v>
      </c>
    </row>
    <row r="1185" spans="1:25" x14ac:dyDescent="0.25">
      <c r="H1185">
        <v>221</v>
      </c>
    </row>
    <row r="1186" spans="1:25" x14ac:dyDescent="0.25">
      <c r="A1186">
        <v>590</v>
      </c>
      <c r="B1186">
        <v>2020</v>
      </c>
      <c r="C1186" t="s">
        <v>2611</v>
      </c>
      <c r="D1186" t="s">
        <v>22</v>
      </c>
      <c r="E1186" t="s">
        <v>124</v>
      </c>
      <c r="F1186" t="s">
        <v>2612</v>
      </c>
      <c r="G1186" t="str">
        <f>"201412002993"</f>
        <v>201412002993</v>
      </c>
      <c r="H1186" t="s">
        <v>287</v>
      </c>
      <c r="I1186">
        <v>0</v>
      </c>
      <c r="J1186">
        <v>0</v>
      </c>
      <c r="K1186">
        <v>0</v>
      </c>
      <c r="L1186">
        <v>0</v>
      </c>
      <c r="M1186">
        <v>100</v>
      </c>
      <c r="N1186">
        <v>70</v>
      </c>
      <c r="O1186">
        <v>0</v>
      </c>
      <c r="P1186">
        <v>30</v>
      </c>
      <c r="Q1186">
        <v>0</v>
      </c>
      <c r="R1186">
        <v>0</v>
      </c>
      <c r="S1186">
        <v>0</v>
      </c>
      <c r="T1186">
        <v>0</v>
      </c>
      <c r="U1186">
        <v>0</v>
      </c>
      <c r="X1186">
        <v>0</v>
      </c>
      <c r="Y1186" t="s">
        <v>2613</v>
      </c>
    </row>
    <row r="1187" spans="1:25" x14ac:dyDescent="0.25">
      <c r="H1187" t="s">
        <v>1944</v>
      </c>
    </row>
    <row r="1188" spans="1:25" x14ac:dyDescent="0.25">
      <c r="A1188">
        <v>591</v>
      </c>
      <c r="B1188">
        <v>2604</v>
      </c>
      <c r="C1188" t="s">
        <v>2614</v>
      </c>
      <c r="D1188" t="s">
        <v>98</v>
      </c>
      <c r="E1188" t="s">
        <v>278</v>
      </c>
      <c r="F1188" t="s">
        <v>2615</v>
      </c>
      <c r="G1188" t="str">
        <f>"00013836"</f>
        <v>00013836</v>
      </c>
      <c r="H1188" t="s">
        <v>2616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X1188">
        <v>0</v>
      </c>
      <c r="Y1188" t="s">
        <v>2617</v>
      </c>
    </row>
    <row r="1189" spans="1:25" x14ac:dyDescent="0.25">
      <c r="H1189">
        <v>224</v>
      </c>
    </row>
    <row r="1190" spans="1:25" x14ac:dyDescent="0.25">
      <c r="A1190">
        <v>592</v>
      </c>
      <c r="B1190">
        <v>1590</v>
      </c>
      <c r="C1190" t="s">
        <v>1378</v>
      </c>
      <c r="D1190" t="s">
        <v>720</v>
      </c>
      <c r="E1190" t="s">
        <v>896</v>
      </c>
      <c r="F1190" t="s">
        <v>2618</v>
      </c>
      <c r="G1190" t="str">
        <f>"00014544"</f>
        <v>00014544</v>
      </c>
      <c r="H1190" t="s">
        <v>2107</v>
      </c>
      <c r="I1190">
        <v>0</v>
      </c>
      <c r="J1190">
        <v>0</v>
      </c>
      <c r="K1190">
        <v>0</v>
      </c>
      <c r="L1190">
        <v>0</v>
      </c>
      <c r="M1190">
        <v>100</v>
      </c>
      <c r="N1190">
        <v>70</v>
      </c>
      <c r="O1190">
        <v>30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X1190">
        <v>0</v>
      </c>
      <c r="Y1190" t="s">
        <v>2619</v>
      </c>
    </row>
    <row r="1191" spans="1:25" x14ac:dyDescent="0.25">
      <c r="H1191" t="s">
        <v>52</v>
      </c>
    </row>
    <row r="1192" spans="1:25" x14ac:dyDescent="0.25">
      <c r="A1192">
        <v>593</v>
      </c>
      <c r="B1192">
        <v>1453</v>
      </c>
      <c r="C1192" t="s">
        <v>2620</v>
      </c>
      <c r="D1192" t="s">
        <v>124</v>
      </c>
      <c r="E1192" t="s">
        <v>306</v>
      </c>
      <c r="F1192" t="s">
        <v>2621</v>
      </c>
      <c r="G1192" t="str">
        <f>"00014102"</f>
        <v>00014102</v>
      </c>
      <c r="H1192" t="s">
        <v>297</v>
      </c>
      <c r="I1192">
        <v>0</v>
      </c>
      <c r="J1192">
        <v>0</v>
      </c>
      <c r="K1192">
        <v>0</v>
      </c>
      <c r="L1192">
        <v>200</v>
      </c>
      <c r="M1192">
        <v>0</v>
      </c>
      <c r="N1192">
        <v>70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X1192">
        <v>0</v>
      </c>
      <c r="Y1192" t="s">
        <v>2622</v>
      </c>
    </row>
    <row r="1193" spans="1:25" x14ac:dyDescent="0.25">
      <c r="H1193" t="s">
        <v>2623</v>
      </c>
    </row>
    <row r="1194" spans="1:25" x14ac:dyDescent="0.25">
      <c r="A1194">
        <v>594</v>
      </c>
      <c r="B1194">
        <v>1098</v>
      </c>
      <c r="C1194" t="s">
        <v>2624</v>
      </c>
      <c r="D1194" t="s">
        <v>181</v>
      </c>
      <c r="E1194" t="s">
        <v>182</v>
      </c>
      <c r="F1194" t="s">
        <v>2625</v>
      </c>
      <c r="G1194" t="str">
        <f>"00014916"</f>
        <v>00014916</v>
      </c>
      <c r="H1194" t="s">
        <v>1698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70</v>
      </c>
      <c r="O1194">
        <v>30</v>
      </c>
      <c r="P1194">
        <v>30</v>
      </c>
      <c r="Q1194">
        <v>0</v>
      </c>
      <c r="R1194">
        <v>0</v>
      </c>
      <c r="S1194">
        <v>0</v>
      </c>
      <c r="T1194">
        <v>0</v>
      </c>
      <c r="U1194">
        <v>0</v>
      </c>
      <c r="X1194">
        <v>0</v>
      </c>
      <c r="Y1194" t="s">
        <v>2626</v>
      </c>
    </row>
    <row r="1195" spans="1:25" x14ac:dyDescent="0.25">
      <c r="H1195" t="s">
        <v>2627</v>
      </c>
    </row>
    <row r="1196" spans="1:25" x14ac:dyDescent="0.25">
      <c r="A1196">
        <v>595</v>
      </c>
      <c r="B1196">
        <v>2580</v>
      </c>
      <c r="C1196" t="s">
        <v>2628</v>
      </c>
      <c r="D1196" t="s">
        <v>254</v>
      </c>
      <c r="E1196" t="s">
        <v>124</v>
      </c>
      <c r="F1196" t="s">
        <v>2629</v>
      </c>
      <c r="G1196" t="str">
        <f>"00014898"</f>
        <v>00014898</v>
      </c>
      <c r="H1196">
        <v>803</v>
      </c>
      <c r="I1196">
        <v>0</v>
      </c>
      <c r="J1196">
        <v>0</v>
      </c>
      <c r="K1196">
        <v>0</v>
      </c>
      <c r="L1196">
        <v>0</v>
      </c>
      <c r="M1196">
        <v>130</v>
      </c>
      <c r="N1196">
        <v>70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X1196">
        <v>0</v>
      </c>
      <c r="Y1196">
        <v>1003</v>
      </c>
    </row>
    <row r="1197" spans="1:25" x14ac:dyDescent="0.25">
      <c r="H1197" t="s">
        <v>2630</v>
      </c>
    </row>
    <row r="1198" spans="1:25" x14ac:dyDescent="0.25">
      <c r="A1198">
        <v>596</v>
      </c>
      <c r="B1198">
        <v>2214</v>
      </c>
      <c r="C1198" t="s">
        <v>2631</v>
      </c>
      <c r="D1198" t="s">
        <v>124</v>
      </c>
      <c r="E1198" t="s">
        <v>112</v>
      </c>
      <c r="F1198" t="s">
        <v>2632</v>
      </c>
      <c r="G1198" t="str">
        <f>"200801007992"</f>
        <v>200801007992</v>
      </c>
      <c r="H1198" t="s">
        <v>705</v>
      </c>
      <c r="I1198">
        <v>0</v>
      </c>
      <c r="J1198">
        <v>0</v>
      </c>
      <c r="K1198">
        <v>0</v>
      </c>
      <c r="L1198">
        <v>200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X1198">
        <v>0</v>
      </c>
      <c r="Y1198" t="s">
        <v>2633</v>
      </c>
    </row>
    <row r="1199" spans="1:25" x14ac:dyDescent="0.25">
      <c r="H1199" t="s">
        <v>2634</v>
      </c>
    </row>
    <row r="1200" spans="1:25" x14ac:dyDescent="0.25">
      <c r="A1200">
        <v>597</v>
      </c>
      <c r="B1200">
        <v>1689</v>
      </c>
      <c r="C1200" t="s">
        <v>2635</v>
      </c>
      <c r="D1200" t="s">
        <v>2459</v>
      </c>
      <c r="E1200" t="s">
        <v>1189</v>
      </c>
      <c r="F1200" t="s">
        <v>2636</v>
      </c>
      <c r="G1200" t="str">
        <f>"00013640"</f>
        <v>00013640</v>
      </c>
      <c r="H1200">
        <v>682</v>
      </c>
      <c r="I1200">
        <v>0</v>
      </c>
      <c r="J1200">
        <v>0</v>
      </c>
      <c r="K1200">
        <v>0</v>
      </c>
      <c r="L1200">
        <v>200</v>
      </c>
      <c r="M1200">
        <v>0</v>
      </c>
      <c r="N1200">
        <v>70</v>
      </c>
      <c r="O1200">
        <v>0</v>
      </c>
      <c r="P1200">
        <v>0</v>
      </c>
      <c r="Q1200">
        <v>50</v>
      </c>
      <c r="R1200">
        <v>0</v>
      </c>
      <c r="S1200">
        <v>0</v>
      </c>
      <c r="T1200">
        <v>0</v>
      </c>
      <c r="U1200">
        <v>0</v>
      </c>
      <c r="X1200">
        <v>0</v>
      </c>
      <c r="Y1200">
        <v>1002</v>
      </c>
    </row>
    <row r="1201" spans="1:25" x14ac:dyDescent="0.25">
      <c r="H1201" t="s">
        <v>2637</v>
      </c>
    </row>
    <row r="1202" spans="1:25" x14ac:dyDescent="0.25">
      <c r="A1202">
        <v>598</v>
      </c>
      <c r="B1202">
        <v>2075</v>
      </c>
      <c r="C1202" t="s">
        <v>2638</v>
      </c>
      <c r="D1202" t="s">
        <v>1087</v>
      </c>
      <c r="E1202" t="s">
        <v>112</v>
      </c>
      <c r="F1202" t="s">
        <v>2639</v>
      </c>
      <c r="G1202" t="str">
        <f>"00014348"</f>
        <v>00014348</v>
      </c>
      <c r="H1202" t="s">
        <v>2081</v>
      </c>
      <c r="I1202">
        <v>0</v>
      </c>
      <c r="J1202">
        <v>0</v>
      </c>
      <c r="K1202">
        <v>0</v>
      </c>
      <c r="L1202">
        <v>200</v>
      </c>
      <c r="M1202">
        <v>30</v>
      </c>
      <c r="N1202">
        <v>50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X1202">
        <v>2</v>
      </c>
      <c r="Y1202" t="s">
        <v>2640</v>
      </c>
    </row>
    <row r="1203" spans="1:25" x14ac:dyDescent="0.25">
      <c r="H1203" t="s">
        <v>2641</v>
      </c>
    </row>
    <row r="1204" spans="1:25" x14ac:dyDescent="0.25">
      <c r="A1204">
        <v>599</v>
      </c>
      <c r="B1204">
        <v>1791</v>
      </c>
      <c r="C1204" t="s">
        <v>2642</v>
      </c>
      <c r="D1204" t="s">
        <v>526</v>
      </c>
      <c r="E1204" t="s">
        <v>21</v>
      </c>
      <c r="F1204" t="s">
        <v>2643</v>
      </c>
      <c r="G1204" t="str">
        <f>"00014022"</f>
        <v>00014022</v>
      </c>
      <c r="H1204" t="s">
        <v>101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70</v>
      </c>
      <c r="O1204">
        <v>70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X1204">
        <v>0</v>
      </c>
      <c r="Y1204" t="s">
        <v>2644</v>
      </c>
    </row>
    <row r="1205" spans="1:25" x14ac:dyDescent="0.25">
      <c r="H1205" t="s">
        <v>110</v>
      </c>
    </row>
    <row r="1206" spans="1:25" x14ac:dyDescent="0.25">
      <c r="A1206">
        <v>600</v>
      </c>
      <c r="B1206">
        <v>2600</v>
      </c>
      <c r="C1206" t="s">
        <v>2645</v>
      </c>
      <c r="D1206" t="s">
        <v>2646</v>
      </c>
      <c r="E1206" t="s">
        <v>451</v>
      </c>
      <c r="F1206" t="s">
        <v>2647</v>
      </c>
      <c r="G1206" t="str">
        <f>"201512002343"</f>
        <v>201512002343</v>
      </c>
      <c r="H1206" t="s">
        <v>1160</v>
      </c>
      <c r="I1206">
        <v>0</v>
      </c>
      <c r="J1206">
        <v>0</v>
      </c>
      <c r="K1206">
        <v>0</v>
      </c>
      <c r="L1206">
        <v>200</v>
      </c>
      <c r="M1206">
        <v>0</v>
      </c>
      <c r="N1206">
        <v>70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X1206">
        <v>0</v>
      </c>
      <c r="Y1206" t="s">
        <v>2648</v>
      </c>
    </row>
    <row r="1207" spans="1:25" x14ac:dyDescent="0.25">
      <c r="H1207">
        <v>224</v>
      </c>
    </row>
    <row r="1208" spans="1:25" x14ac:dyDescent="0.25">
      <c r="A1208">
        <v>601</v>
      </c>
      <c r="B1208">
        <v>3336</v>
      </c>
      <c r="C1208" t="s">
        <v>2649</v>
      </c>
      <c r="D1208" t="s">
        <v>21</v>
      </c>
      <c r="E1208" t="s">
        <v>22</v>
      </c>
      <c r="F1208" t="s">
        <v>2650</v>
      </c>
      <c r="G1208" t="str">
        <f>"00013751"</f>
        <v>00013751</v>
      </c>
      <c r="H1208" t="s">
        <v>184</v>
      </c>
      <c r="I1208">
        <v>150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X1208">
        <v>0</v>
      </c>
      <c r="Y1208" t="s">
        <v>2651</v>
      </c>
    </row>
    <row r="1209" spans="1:25" x14ac:dyDescent="0.25">
      <c r="H1209" t="s">
        <v>2652</v>
      </c>
    </row>
    <row r="1210" spans="1:25" x14ac:dyDescent="0.25">
      <c r="A1210">
        <v>602</v>
      </c>
      <c r="B1210">
        <v>1140</v>
      </c>
      <c r="C1210" t="s">
        <v>2653</v>
      </c>
      <c r="D1210" t="s">
        <v>1728</v>
      </c>
      <c r="E1210" t="s">
        <v>306</v>
      </c>
      <c r="F1210" t="s">
        <v>2654</v>
      </c>
      <c r="G1210" t="str">
        <f>"00015107"</f>
        <v>00015107</v>
      </c>
      <c r="H1210" t="s">
        <v>1169</v>
      </c>
      <c r="I1210">
        <v>0</v>
      </c>
      <c r="J1210">
        <v>0</v>
      </c>
      <c r="K1210">
        <v>0</v>
      </c>
      <c r="L1210">
        <v>200</v>
      </c>
      <c r="M1210">
        <v>0</v>
      </c>
      <c r="N1210">
        <v>70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X1210">
        <v>1</v>
      </c>
      <c r="Y1210" t="s">
        <v>2655</v>
      </c>
    </row>
    <row r="1211" spans="1:25" x14ac:dyDescent="0.25">
      <c r="H1211" t="s">
        <v>2656</v>
      </c>
    </row>
    <row r="1212" spans="1:25" x14ac:dyDescent="0.25">
      <c r="A1212">
        <v>603</v>
      </c>
      <c r="B1212">
        <v>2872</v>
      </c>
      <c r="C1212" t="s">
        <v>2657</v>
      </c>
      <c r="D1212" t="s">
        <v>306</v>
      </c>
      <c r="E1212" t="s">
        <v>130</v>
      </c>
      <c r="F1212" t="s">
        <v>2658</v>
      </c>
      <c r="G1212" t="str">
        <f>"00012939"</f>
        <v>00012939</v>
      </c>
      <c r="H1212" t="s">
        <v>635</v>
      </c>
      <c r="I1212">
        <v>0</v>
      </c>
      <c r="J1212">
        <v>0</v>
      </c>
      <c r="K1212">
        <v>0</v>
      </c>
      <c r="L1212">
        <v>200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X1212">
        <v>0</v>
      </c>
      <c r="Y1212" t="s">
        <v>2659</v>
      </c>
    </row>
    <row r="1213" spans="1:25" x14ac:dyDescent="0.25">
      <c r="H1213">
        <v>221</v>
      </c>
    </row>
    <row r="1214" spans="1:25" x14ac:dyDescent="0.25">
      <c r="A1214">
        <v>604</v>
      </c>
      <c r="B1214">
        <v>1758</v>
      </c>
      <c r="C1214" t="s">
        <v>927</v>
      </c>
      <c r="D1214" t="s">
        <v>22</v>
      </c>
      <c r="E1214" t="s">
        <v>124</v>
      </c>
      <c r="F1214" t="s">
        <v>2660</v>
      </c>
      <c r="G1214" t="str">
        <f>"00013192"</f>
        <v>00013192</v>
      </c>
      <c r="H1214" t="s">
        <v>225</v>
      </c>
      <c r="I1214">
        <v>0</v>
      </c>
      <c r="J1214">
        <v>0</v>
      </c>
      <c r="K1214">
        <v>0</v>
      </c>
      <c r="L1214">
        <v>200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X1214">
        <v>0</v>
      </c>
      <c r="Y1214" t="s">
        <v>2661</v>
      </c>
    </row>
    <row r="1215" spans="1:25" x14ac:dyDescent="0.25">
      <c r="H1215" t="s">
        <v>2662</v>
      </c>
    </row>
    <row r="1216" spans="1:25" x14ac:dyDescent="0.25">
      <c r="A1216">
        <v>605</v>
      </c>
      <c r="B1216">
        <v>1503</v>
      </c>
      <c r="C1216" t="s">
        <v>1175</v>
      </c>
      <c r="D1216" t="s">
        <v>199</v>
      </c>
      <c r="E1216" t="s">
        <v>124</v>
      </c>
      <c r="F1216" t="s">
        <v>2663</v>
      </c>
      <c r="G1216" t="str">
        <f>"00013725"</f>
        <v>00013725</v>
      </c>
      <c r="H1216">
        <v>693</v>
      </c>
      <c r="I1216">
        <v>0</v>
      </c>
      <c r="J1216">
        <v>0</v>
      </c>
      <c r="K1216">
        <v>0</v>
      </c>
      <c r="L1216">
        <v>200</v>
      </c>
      <c r="M1216">
        <v>0</v>
      </c>
      <c r="N1216">
        <v>70</v>
      </c>
      <c r="O1216">
        <v>30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X1216">
        <v>0</v>
      </c>
      <c r="Y1216">
        <v>993</v>
      </c>
    </row>
    <row r="1217" spans="1:25" x14ac:dyDescent="0.25">
      <c r="H1217" t="s">
        <v>1307</v>
      </c>
    </row>
    <row r="1218" spans="1:25" x14ac:dyDescent="0.25">
      <c r="A1218">
        <v>606</v>
      </c>
      <c r="B1218">
        <v>1428</v>
      </c>
      <c r="C1218" t="s">
        <v>2664</v>
      </c>
      <c r="D1218" t="s">
        <v>1087</v>
      </c>
      <c r="E1218" t="s">
        <v>190</v>
      </c>
      <c r="F1218" t="s">
        <v>2665</v>
      </c>
      <c r="G1218" t="str">
        <f>"200712004088"</f>
        <v>200712004088</v>
      </c>
      <c r="H1218" t="s">
        <v>705</v>
      </c>
      <c r="I1218">
        <v>0</v>
      </c>
      <c r="J1218">
        <v>0</v>
      </c>
      <c r="K1218">
        <v>0</v>
      </c>
      <c r="L1218">
        <v>0</v>
      </c>
      <c r="M1218">
        <v>100</v>
      </c>
      <c r="N1218">
        <v>70</v>
      </c>
      <c r="O1218">
        <v>50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X1218">
        <v>0</v>
      </c>
      <c r="Y1218" t="s">
        <v>2666</v>
      </c>
    </row>
    <row r="1219" spans="1:25" x14ac:dyDescent="0.25">
      <c r="H1219" t="s">
        <v>52</v>
      </c>
    </row>
    <row r="1220" spans="1:25" x14ac:dyDescent="0.25">
      <c r="A1220">
        <v>607</v>
      </c>
      <c r="B1220">
        <v>2960</v>
      </c>
      <c r="C1220" t="s">
        <v>2667</v>
      </c>
      <c r="D1220" t="s">
        <v>141</v>
      </c>
      <c r="E1220" t="s">
        <v>860</v>
      </c>
      <c r="F1220" t="s">
        <v>2668</v>
      </c>
      <c r="G1220" t="str">
        <f>"00011580"</f>
        <v>00011580</v>
      </c>
      <c r="H1220" t="s">
        <v>768</v>
      </c>
      <c r="I1220">
        <v>0</v>
      </c>
      <c r="J1220">
        <v>0</v>
      </c>
      <c r="K1220">
        <v>0</v>
      </c>
      <c r="L1220">
        <v>200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X1220">
        <v>1</v>
      </c>
      <c r="Y1220" t="s">
        <v>2669</v>
      </c>
    </row>
    <row r="1221" spans="1:25" x14ac:dyDescent="0.25">
      <c r="H1221" t="s">
        <v>2670</v>
      </c>
    </row>
    <row r="1222" spans="1:25" x14ac:dyDescent="0.25">
      <c r="A1222">
        <v>608</v>
      </c>
      <c r="B1222">
        <v>596</v>
      </c>
      <c r="C1222" t="s">
        <v>1420</v>
      </c>
      <c r="D1222" t="s">
        <v>390</v>
      </c>
      <c r="E1222" t="s">
        <v>124</v>
      </c>
      <c r="F1222" t="s">
        <v>2671</v>
      </c>
      <c r="G1222" t="str">
        <f>"00012806"</f>
        <v>00012806</v>
      </c>
      <c r="H1222" t="s">
        <v>768</v>
      </c>
      <c r="I1222">
        <v>0</v>
      </c>
      <c r="J1222">
        <v>0</v>
      </c>
      <c r="K1222">
        <v>0</v>
      </c>
      <c r="L1222">
        <v>0</v>
      </c>
      <c r="M1222">
        <v>100</v>
      </c>
      <c r="N1222">
        <v>70</v>
      </c>
      <c r="O1222">
        <v>30</v>
      </c>
      <c r="P1222">
        <v>30</v>
      </c>
      <c r="Q1222">
        <v>0</v>
      </c>
      <c r="R1222">
        <v>0</v>
      </c>
      <c r="S1222">
        <v>0</v>
      </c>
      <c r="T1222">
        <v>0</v>
      </c>
      <c r="U1222">
        <v>0</v>
      </c>
      <c r="X1222">
        <v>0</v>
      </c>
      <c r="Y1222" t="s">
        <v>2669</v>
      </c>
    </row>
    <row r="1223" spans="1:25" x14ac:dyDescent="0.25">
      <c r="H1223" t="s">
        <v>1920</v>
      </c>
    </row>
    <row r="1224" spans="1:25" x14ac:dyDescent="0.25">
      <c r="A1224">
        <v>609</v>
      </c>
      <c r="B1224">
        <v>1975</v>
      </c>
      <c r="C1224" t="s">
        <v>2672</v>
      </c>
      <c r="D1224" t="s">
        <v>2673</v>
      </c>
      <c r="E1224" t="s">
        <v>860</v>
      </c>
      <c r="F1224" t="s">
        <v>2674</v>
      </c>
      <c r="G1224" t="str">
        <f>"201504002036"</f>
        <v>201504002036</v>
      </c>
      <c r="H1224" t="s">
        <v>1264</v>
      </c>
      <c r="I1224">
        <v>0</v>
      </c>
      <c r="J1224">
        <v>0</v>
      </c>
      <c r="K1224">
        <v>0</v>
      </c>
      <c r="L1224">
        <v>200</v>
      </c>
      <c r="M1224">
        <v>0</v>
      </c>
      <c r="N1224">
        <v>70</v>
      </c>
      <c r="O1224">
        <v>30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X1224">
        <v>0</v>
      </c>
      <c r="Y1224" t="s">
        <v>2675</v>
      </c>
    </row>
    <row r="1225" spans="1:25" x14ac:dyDescent="0.25">
      <c r="H1225" t="s">
        <v>2676</v>
      </c>
    </row>
    <row r="1226" spans="1:25" x14ac:dyDescent="0.25">
      <c r="A1226">
        <v>610</v>
      </c>
      <c r="B1226">
        <v>251</v>
      </c>
      <c r="C1226" t="s">
        <v>2677</v>
      </c>
      <c r="D1226" t="s">
        <v>2678</v>
      </c>
      <c r="E1226" t="s">
        <v>41</v>
      </c>
      <c r="F1226" t="s">
        <v>2679</v>
      </c>
      <c r="G1226" t="str">
        <f>"00013625"</f>
        <v>00013625</v>
      </c>
      <c r="H1226" t="s">
        <v>1028</v>
      </c>
      <c r="I1226">
        <v>0</v>
      </c>
      <c r="J1226">
        <v>0</v>
      </c>
      <c r="K1226">
        <v>0</v>
      </c>
      <c r="L1226">
        <v>200</v>
      </c>
      <c r="M1226">
        <v>0</v>
      </c>
      <c r="N1226">
        <v>50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X1226">
        <v>0</v>
      </c>
      <c r="Y1226" t="s">
        <v>2680</v>
      </c>
    </row>
    <row r="1227" spans="1:25" x14ac:dyDescent="0.25">
      <c r="H1227">
        <v>221</v>
      </c>
    </row>
    <row r="1228" spans="1:25" x14ac:dyDescent="0.25">
      <c r="A1228">
        <v>611</v>
      </c>
      <c r="B1228">
        <v>143</v>
      </c>
      <c r="C1228" t="s">
        <v>2681</v>
      </c>
      <c r="D1228" t="s">
        <v>199</v>
      </c>
      <c r="E1228" t="s">
        <v>190</v>
      </c>
      <c r="F1228" t="s">
        <v>2682</v>
      </c>
      <c r="G1228" t="str">
        <f>"200907000334"</f>
        <v>200907000334</v>
      </c>
      <c r="H1228" t="s">
        <v>2683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70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X1228">
        <v>0</v>
      </c>
      <c r="Y1228" t="s">
        <v>2684</v>
      </c>
    </row>
    <row r="1229" spans="1:25" x14ac:dyDescent="0.25">
      <c r="H1229" t="s">
        <v>2685</v>
      </c>
    </row>
    <row r="1230" spans="1:25" x14ac:dyDescent="0.25">
      <c r="A1230">
        <v>612</v>
      </c>
      <c r="B1230">
        <v>2923</v>
      </c>
      <c r="C1230" t="s">
        <v>2686</v>
      </c>
      <c r="D1230" t="s">
        <v>2687</v>
      </c>
      <c r="E1230" t="s">
        <v>2688</v>
      </c>
      <c r="F1230" t="s">
        <v>2689</v>
      </c>
      <c r="G1230" t="str">
        <f>"00011263"</f>
        <v>00011263</v>
      </c>
      <c r="H1230" t="s">
        <v>803</v>
      </c>
      <c r="I1230">
        <v>0</v>
      </c>
      <c r="J1230">
        <v>0</v>
      </c>
      <c r="K1230">
        <v>0</v>
      </c>
      <c r="L1230">
        <v>0</v>
      </c>
      <c r="M1230">
        <v>100</v>
      </c>
      <c r="N1230">
        <v>70</v>
      </c>
      <c r="O1230">
        <v>0</v>
      </c>
      <c r="P1230">
        <v>30</v>
      </c>
      <c r="Q1230">
        <v>0</v>
      </c>
      <c r="R1230">
        <v>0</v>
      </c>
      <c r="S1230">
        <v>0</v>
      </c>
      <c r="T1230">
        <v>0</v>
      </c>
      <c r="U1230">
        <v>0</v>
      </c>
      <c r="X1230">
        <v>0</v>
      </c>
      <c r="Y1230" t="s">
        <v>2690</v>
      </c>
    </row>
    <row r="1231" spans="1:25" x14ac:dyDescent="0.25">
      <c r="H1231">
        <v>221</v>
      </c>
    </row>
    <row r="1232" spans="1:25" x14ac:dyDescent="0.25">
      <c r="A1232">
        <v>613</v>
      </c>
      <c r="B1232">
        <v>756</v>
      </c>
      <c r="C1232" t="s">
        <v>2691</v>
      </c>
      <c r="D1232" t="s">
        <v>98</v>
      </c>
      <c r="E1232" t="s">
        <v>451</v>
      </c>
      <c r="F1232" t="s">
        <v>2692</v>
      </c>
      <c r="G1232" t="str">
        <f>"00014380"</f>
        <v>00014380</v>
      </c>
      <c r="H1232" t="s">
        <v>1040</v>
      </c>
      <c r="I1232">
        <v>0</v>
      </c>
      <c r="J1232">
        <v>0</v>
      </c>
      <c r="K1232">
        <v>0</v>
      </c>
      <c r="L1232">
        <v>200</v>
      </c>
      <c r="M1232">
        <v>0</v>
      </c>
      <c r="N1232">
        <v>70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X1232">
        <v>0</v>
      </c>
      <c r="Y1232" t="s">
        <v>2693</v>
      </c>
    </row>
    <row r="1233" spans="1:25" x14ac:dyDescent="0.25">
      <c r="H1233" t="s">
        <v>2694</v>
      </c>
    </row>
    <row r="1234" spans="1:25" x14ac:dyDescent="0.25">
      <c r="A1234">
        <v>614</v>
      </c>
      <c r="B1234">
        <v>2694</v>
      </c>
      <c r="C1234" t="s">
        <v>793</v>
      </c>
      <c r="D1234" t="s">
        <v>526</v>
      </c>
      <c r="E1234" t="s">
        <v>22</v>
      </c>
      <c r="F1234" t="s">
        <v>2695</v>
      </c>
      <c r="G1234" t="str">
        <f>"00014757"</f>
        <v>00014757</v>
      </c>
      <c r="H1234" t="s">
        <v>184</v>
      </c>
      <c r="I1234">
        <v>0</v>
      </c>
      <c r="J1234">
        <v>0</v>
      </c>
      <c r="K1234">
        <v>0</v>
      </c>
      <c r="L1234">
        <v>0</v>
      </c>
      <c r="M1234">
        <v>100</v>
      </c>
      <c r="N1234">
        <v>70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X1234">
        <v>0</v>
      </c>
      <c r="Y1234" t="s">
        <v>2696</v>
      </c>
    </row>
    <row r="1235" spans="1:25" x14ac:dyDescent="0.25">
      <c r="H1235" t="s">
        <v>2697</v>
      </c>
    </row>
    <row r="1236" spans="1:25" x14ac:dyDescent="0.25">
      <c r="A1236">
        <v>615</v>
      </c>
      <c r="B1236">
        <v>2213</v>
      </c>
      <c r="C1236" t="s">
        <v>2698</v>
      </c>
      <c r="D1236" t="s">
        <v>1189</v>
      </c>
      <c r="E1236" t="s">
        <v>124</v>
      </c>
      <c r="F1236" t="s">
        <v>2699</v>
      </c>
      <c r="G1236" t="str">
        <f>"00014863"</f>
        <v>00014863</v>
      </c>
      <c r="H1236" t="s">
        <v>982</v>
      </c>
      <c r="I1236">
        <v>0</v>
      </c>
      <c r="J1236">
        <v>0</v>
      </c>
      <c r="K1236">
        <v>0</v>
      </c>
      <c r="L1236">
        <v>200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X1236">
        <v>0</v>
      </c>
      <c r="Y1236" t="s">
        <v>2700</v>
      </c>
    </row>
    <row r="1237" spans="1:25" x14ac:dyDescent="0.25">
      <c r="H1237" t="s">
        <v>2701</v>
      </c>
    </row>
    <row r="1238" spans="1:25" x14ac:dyDescent="0.25">
      <c r="A1238">
        <v>616</v>
      </c>
      <c r="B1238">
        <v>1269</v>
      </c>
      <c r="C1238" t="s">
        <v>2702</v>
      </c>
      <c r="D1238" t="s">
        <v>175</v>
      </c>
      <c r="E1238" t="s">
        <v>267</v>
      </c>
      <c r="F1238" t="s">
        <v>2703</v>
      </c>
      <c r="G1238" t="str">
        <f>"00014253"</f>
        <v>00014253</v>
      </c>
      <c r="H1238" t="s">
        <v>982</v>
      </c>
      <c r="I1238">
        <v>0</v>
      </c>
      <c r="J1238">
        <v>0</v>
      </c>
      <c r="K1238">
        <v>0</v>
      </c>
      <c r="L1238">
        <v>200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X1238">
        <v>0</v>
      </c>
      <c r="Y1238" t="s">
        <v>2700</v>
      </c>
    </row>
    <row r="1239" spans="1:25" x14ac:dyDescent="0.25">
      <c r="H1239" t="s">
        <v>2704</v>
      </c>
    </row>
    <row r="1240" spans="1:25" x14ac:dyDescent="0.25">
      <c r="A1240">
        <v>617</v>
      </c>
      <c r="B1240">
        <v>584</v>
      </c>
      <c r="C1240" t="s">
        <v>2705</v>
      </c>
      <c r="D1240" t="s">
        <v>41</v>
      </c>
      <c r="E1240" t="s">
        <v>417</v>
      </c>
      <c r="F1240" t="s">
        <v>2706</v>
      </c>
      <c r="G1240" t="str">
        <f>"00013766"</f>
        <v>00013766</v>
      </c>
      <c r="H1240" t="s">
        <v>947</v>
      </c>
      <c r="I1240">
        <v>0</v>
      </c>
      <c r="J1240">
        <v>0</v>
      </c>
      <c r="K1240">
        <v>0</v>
      </c>
      <c r="L1240">
        <v>200</v>
      </c>
      <c r="M1240">
        <v>0</v>
      </c>
      <c r="N1240">
        <v>70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X1240">
        <v>0</v>
      </c>
      <c r="Y1240" t="s">
        <v>2707</v>
      </c>
    </row>
    <row r="1241" spans="1:25" x14ac:dyDescent="0.25">
      <c r="H1241" t="s">
        <v>2708</v>
      </c>
    </row>
    <row r="1242" spans="1:25" x14ac:dyDescent="0.25">
      <c r="A1242">
        <v>618</v>
      </c>
      <c r="B1242">
        <v>2938</v>
      </c>
      <c r="C1242" t="s">
        <v>2709</v>
      </c>
      <c r="D1242" t="s">
        <v>604</v>
      </c>
      <c r="E1242" t="s">
        <v>1313</v>
      </c>
      <c r="F1242" t="s">
        <v>2710</v>
      </c>
      <c r="G1242" t="str">
        <f>"201511004429"</f>
        <v>201511004429</v>
      </c>
      <c r="H1242" t="s">
        <v>1290</v>
      </c>
      <c r="I1242">
        <v>0</v>
      </c>
      <c r="J1242">
        <v>0</v>
      </c>
      <c r="K1242">
        <v>200</v>
      </c>
      <c r="L1242">
        <v>0</v>
      </c>
      <c r="M1242">
        <v>0</v>
      </c>
      <c r="N1242">
        <v>50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X1242">
        <v>0</v>
      </c>
      <c r="Y1242" t="s">
        <v>2711</v>
      </c>
    </row>
    <row r="1243" spans="1:25" x14ac:dyDescent="0.25">
      <c r="H1243" t="s">
        <v>2712</v>
      </c>
    </row>
    <row r="1244" spans="1:25" x14ac:dyDescent="0.25">
      <c r="A1244">
        <v>619</v>
      </c>
      <c r="B1244">
        <v>2474</v>
      </c>
      <c r="C1244" t="s">
        <v>2713</v>
      </c>
      <c r="D1244" t="s">
        <v>267</v>
      </c>
      <c r="E1244" t="s">
        <v>190</v>
      </c>
      <c r="F1244" t="s">
        <v>2714</v>
      </c>
      <c r="G1244" t="str">
        <f>"201504002525"</f>
        <v>201504002525</v>
      </c>
      <c r="H1244" t="s">
        <v>630</v>
      </c>
      <c r="I1244">
        <v>0</v>
      </c>
      <c r="J1244">
        <v>0</v>
      </c>
      <c r="K1244">
        <v>0</v>
      </c>
      <c r="L1244">
        <v>200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X1244">
        <v>0</v>
      </c>
      <c r="Y1244" t="s">
        <v>2715</v>
      </c>
    </row>
    <row r="1245" spans="1:25" x14ac:dyDescent="0.25">
      <c r="H1245" t="s">
        <v>2716</v>
      </c>
    </row>
    <row r="1246" spans="1:25" x14ac:dyDescent="0.25">
      <c r="A1246">
        <v>620</v>
      </c>
      <c r="B1246">
        <v>462</v>
      </c>
      <c r="C1246" t="s">
        <v>2717</v>
      </c>
      <c r="D1246" t="s">
        <v>2718</v>
      </c>
      <c r="E1246" t="s">
        <v>87</v>
      </c>
      <c r="F1246" t="s">
        <v>2719</v>
      </c>
      <c r="G1246" t="str">
        <f>"00014234"</f>
        <v>00014234</v>
      </c>
      <c r="H1246" t="s">
        <v>630</v>
      </c>
      <c r="I1246">
        <v>0</v>
      </c>
      <c r="J1246">
        <v>0</v>
      </c>
      <c r="K1246">
        <v>0</v>
      </c>
      <c r="L1246">
        <v>200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X1246">
        <v>1</v>
      </c>
      <c r="Y1246" t="s">
        <v>2715</v>
      </c>
    </row>
    <row r="1247" spans="1:25" x14ac:dyDescent="0.25">
      <c r="H1247" t="s">
        <v>2720</v>
      </c>
    </row>
    <row r="1248" spans="1:25" x14ac:dyDescent="0.25">
      <c r="A1248">
        <v>621</v>
      </c>
      <c r="B1248">
        <v>20</v>
      </c>
      <c r="C1248" t="s">
        <v>2721</v>
      </c>
      <c r="D1248" t="s">
        <v>41</v>
      </c>
      <c r="E1248" t="s">
        <v>1251</v>
      </c>
      <c r="F1248" t="s">
        <v>2722</v>
      </c>
      <c r="G1248" t="str">
        <f>"00014241"</f>
        <v>00014241</v>
      </c>
      <c r="H1248">
        <v>715</v>
      </c>
      <c r="I1248">
        <v>0</v>
      </c>
      <c r="J1248">
        <v>0</v>
      </c>
      <c r="K1248">
        <v>0</v>
      </c>
      <c r="L1248">
        <v>200</v>
      </c>
      <c r="M1248">
        <v>0</v>
      </c>
      <c r="N1248">
        <v>70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X1248">
        <v>0</v>
      </c>
      <c r="Y1248">
        <v>985</v>
      </c>
    </row>
    <row r="1249" spans="1:25" x14ac:dyDescent="0.25">
      <c r="H1249" t="s">
        <v>2723</v>
      </c>
    </row>
    <row r="1250" spans="1:25" x14ac:dyDescent="0.25">
      <c r="A1250">
        <v>622</v>
      </c>
      <c r="B1250">
        <v>1471</v>
      </c>
      <c r="C1250" t="s">
        <v>623</v>
      </c>
      <c r="D1250" t="s">
        <v>1087</v>
      </c>
      <c r="E1250" t="s">
        <v>41</v>
      </c>
      <c r="F1250" t="s">
        <v>2724</v>
      </c>
      <c r="G1250" t="str">
        <f>"201511034810"</f>
        <v>201511034810</v>
      </c>
      <c r="H1250">
        <v>715</v>
      </c>
      <c r="I1250">
        <v>0</v>
      </c>
      <c r="J1250">
        <v>0</v>
      </c>
      <c r="K1250">
        <v>0</v>
      </c>
      <c r="L1250">
        <v>200</v>
      </c>
      <c r="M1250">
        <v>0</v>
      </c>
      <c r="N1250">
        <v>70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X1250">
        <v>0</v>
      </c>
      <c r="Y1250">
        <v>985</v>
      </c>
    </row>
    <row r="1251" spans="1:25" x14ac:dyDescent="0.25">
      <c r="H1251" t="s">
        <v>162</v>
      </c>
    </row>
    <row r="1252" spans="1:25" x14ac:dyDescent="0.25">
      <c r="A1252">
        <v>623</v>
      </c>
      <c r="B1252">
        <v>598</v>
      </c>
      <c r="C1252" t="s">
        <v>2725</v>
      </c>
      <c r="D1252" t="s">
        <v>21</v>
      </c>
      <c r="E1252" t="s">
        <v>267</v>
      </c>
      <c r="F1252" t="s">
        <v>2726</v>
      </c>
      <c r="G1252" t="str">
        <f>"201504000583"</f>
        <v>201504000583</v>
      </c>
      <c r="H1252" t="s">
        <v>1692</v>
      </c>
      <c r="I1252">
        <v>0</v>
      </c>
      <c r="J1252">
        <v>0</v>
      </c>
      <c r="K1252">
        <v>0</v>
      </c>
      <c r="L1252">
        <v>200</v>
      </c>
      <c r="M1252">
        <v>0</v>
      </c>
      <c r="N1252">
        <v>30</v>
      </c>
      <c r="O1252">
        <v>0</v>
      </c>
      <c r="P1252">
        <v>30</v>
      </c>
      <c r="Q1252">
        <v>0</v>
      </c>
      <c r="R1252">
        <v>0</v>
      </c>
      <c r="S1252">
        <v>0</v>
      </c>
      <c r="T1252">
        <v>0</v>
      </c>
      <c r="U1252">
        <v>0</v>
      </c>
      <c r="X1252">
        <v>0</v>
      </c>
      <c r="Y1252" t="s">
        <v>2727</v>
      </c>
    </row>
    <row r="1253" spans="1:25" x14ac:dyDescent="0.25">
      <c r="H1253" t="s">
        <v>2728</v>
      </c>
    </row>
    <row r="1254" spans="1:25" x14ac:dyDescent="0.25">
      <c r="A1254">
        <v>624</v>
      </c>
      <c r="B1254">
        <v>1010</v>
      </c>
      <c r="C1254" t="s">
        <v>2729</v>
      </c>
      <c r="D1254" t="s">
        <v>190</v>
      </c>
      <c r="E1254" t="s">
        <v>22</v>
      </c>
      <c r="F1254" t="s">
        <v>2730</v>
      </c>
      <c r="G1254" t="str">
        <f>"00014465"</f>
        <v>00014465</v>
      </c>
      <c r="H1254" t="s">
        <v>303</v>
      </c>
      <c r="I1254">
        <v>0</v>
      </c>
      <c r="J1254">
        <v>0</v>
      </c>
      <c r="K1254">
        <v>0</v>
      </c>
      <c r="L1254">
        <v>200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X1254">
        <v>0</v>
      </c>
      <c r="Y1254" t="s">
        <v>2731</v>
      </c>
    </row>
    <row r="1255" spans="1:25" x14ac:dyDescent="0.25">
      <c r="H1255" t="s">
        <v>2732</v>
      </c>
    </row>
    <row r="1256" spans="1:25" x14ac:dyDescent="0.25">
      <c r="A1256">
        <v>625</v>
      </c>
      <c r="B1256">
        <v>1733</v>
      </c>
      <c r="C1256" t="s">
        <v>2733</v>
      </c>
      <c r="D1256" t="s">
        <v>2734</v>
      </c>
      <c r="E1256" t="s">
        <v>2735</v>
      </c>
      <c r="F1256" t="s">
        <v>2736</v>
      </c>
      <c r="G1256" t="str">
        <f>"201409005168"</f>
        <v>201409005168</v>
      </c>
      <c r="H1256" t="s">
        <v>641</v>
      </c>
      <c r="I1256">
        <v>0</v>
      </c>
      <c r="J1256">
        <v>0</v>
      </c>
      <c r="K1256">
        <v>0</v>
      </c>
      <c r="L1256">
        <v>0</v>
      </c>
      <c r="M1256">
        <v>100</v>
      </c>
      <c r="N1256">
        <v>70</v>
      </c>
      <c r="O1256">
        <v>30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X1256">
        <v>0</v>
      </c>
      <c r="Y1256" t="s">
        <v>2737</v>
      </c>
    </row>
    <row r="1257" spans="1:25" x14ac:dyDescent="0.25">
      <c r="H1257" t="s">
        <v>2738</v>
      </c>
    </row>
    <row r="1258" spans="1:25" x14ac:dyDescent="0.25">
      <c r="A1258">
        <v>626</v>
      </c>
      <c r="B1258">
        <v>546</v>
      </c>
      <c r="C1258" t="s">
        <v>2739</v>
      </c>
      <c r="D1258" t="s">
        <v>526</v>
      </c>
      <c r="E1258" t="s">
        <v>22</v>
      </c>
      <c r="F1258" t="s">
        <v>2740</v>
      </c>
      <c r="G1258" t="str">
        <f>"201412006449"</f>
        <v>201412006449</v>
      </c>
      <c r="H1258" t="s">
        <v>500</v>
      </c>
      <c r="I1258">
        <v>0</v>
      </c>
      <c r="J1258">
        <v>0</v>
      </c>
      <c r="K1258">
        <v>0</v>
      </c>
      <c r="L1258">
        <v>200</v>
      </c>
      <c r="M1258">
        <v>0</v>
      </c>
      <c r="N1258">
        <v>30</v>
      </c>
      <c r="O1258">
        <v>0</v>
      </c>
      <c r="P1258">
        <v>30</v>
      </c>
      <c r="Q1258">
        <v>0</v>
      </c>
      <c r="R1258">
        <v>0</v>
      </c>
      <c r="S1258">
        <v>0</v>
      </c>
      <c r="T1258">
        <v>0</v>
      </c>
      <c r="U1258">
        <v>0</v>
      </c>
      <c r="X1258">
        <v>0</v>
      </c>
      <c r="Y1258" t="s">
        <v>2741</v>
      </c>
    </row>
    <row r="1259" spans="1:25" x14ac:dyDescent="0.25">
      <c r="H1259" t="s">
        <v>2742</v>
      </c>
    </row>
    <row r="1260" spans="1:25" x14ac:dyDescent="0.25">
      <c r="A1260">
        <v>627</v>
      </c>
      <c r="B1260">
        <v>3230</v>
      </c>
      <c r="C1260" t="s">
        <v>2743</v>
      </c>
      <c r="D1260" t="s">
        <v>21</v>
      </c>
      <c r="E1260" t="s">
        <v>2744</v>
      </c>
      <c r="F1260" t="s">
        <v>2745</v>
      </c>
      <c r="G1260" t="str">
        <f>"00015175"</f>
        <v>00015175</v>
      </c>
      <c r="H1260" t="s">
        <v>2746</v>
      </c>
      <c r="I1260">
        <v>0</v>
      </c>
      <c r="J1260">
        <v>0</v>
      </c>
      <c r="K1260">
        <v>0</v>
      </c>
      <c r="L1260">
        <v>200</v>
      </c>
      <c r="M1260">
        <v>0</v>
      </c>
      <c r="N1260">
        <v>30</v>
      </c>
      <c r="O1260">
        <v>30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X1260">
        <v>0</v>
      </c>
      <c r="Y1260" t="s">
        <v>2747</v>
      </c>
    </row>
    <row r="1261" spans="1:25" x14ac:dyDescent="0.25">
      <c r="H1261" t="s">
        <v>52</v>
      </c>
    </row>
    <row r="1262" spans="1:25" x14ac:dyDescent="0.25">
      <c r="A1262">
        <v>628</v>
      </c>
      <c r="B1262">
        <v>2564</v>
      </c>
      <c r="C1262" t="s">
        <v>2748</v>
      </c>
      <c r="D1262" t="s">
        <v>306</v>
      </c>
      <c r="E1262" t="s">
        <v>124</v>
      </c>
      <c r="F1262" t="s">
        <v>2749</v>
      </c>
      <c r="G1262" t="str">
        <f>"00014395"</f>
        <v>00014395</v>
      </c>
      <c r="H1262" t="s">
        <v>1225</v>
      </c>
      <c r="I1262">
        <v>0</v>
      </c>
      <c r="J1262">
        <v>0</v>
      </c>
      <c r="K1262">
        <v>0</v>
      </c>
      <c r="L1262">
        <v>200</v>
      </c>
      <c r="M1262">
        <v>0</v>
      </c>
      <c r="N1262">
        <v>70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X1262">
        <v>0</v>
      </c>
      <c r="Y1262" t="s">
        <v>2750</v>
      </c>
    </row>
    <row r="1263" spans="1:25" x14ac:dyDescent="0.25">
      <c r="H1263" t="s">
        <v>2751</v>
      </c>
    </row>
    <row r="1264" spans="1:25" x14ac:dyDescent="0.25">
      <c r="A1264">
        <v>629</v>
      </c>
      <c r="B1264">
        <v>3311</v>
      </c>
      <c r="C1264" t="s">
        <v>2752</v>
      </c>
      <c r="D1264" t="s">
        <v>284</v>
      </c>
      <c r="E1264" t="s">
        <v>585</v>
      </c>
      <c r="F1264" t="s">
        <v>2753</v>
      </c>
      <c r="G1264" t="str">
        <f>"201411001476"</f>
        <v>201411001476</v>
      </c>
      <c r="H1264" t="s">
        <v>2081</v>
      </c>
      <c r="I1264">
        <v>0</v>
      </c>
      <c r="J1264">
        <v>0</v>
      </c>
      <c r="K1264">
        <v>0</v>
      </c>
      <c r="L1264">
        <v>200</v>
      </c>
      <c r="M1264">
        <v>0</v>
      </c>
      <c r="N1264">
        <v>30</v>
      </c>
      <c r="O1264">
        <v>30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X1264">
        <v>0</v>
      </c>
      <c r="Y1264" t="s">
        <v>2754</v>
      </c>
    </row>
    <row r="1265" spans="1:25" x14ac:dyDescent="0.25">
      <c r="H1265" t="s">
        <v>1944</v>
      </c>
    </row>
    <row r="1266" spans="1:25" x14ac:dyDescent="0.25">
      <c r="A1266">
        <v>630</v>
      </c>
      <c r="B1266">
        <v>147</v>
      </c>
      <c r="C1266" t="s">
        <v>2755</v>
      </c>
      <c r="D1266" t="s">
        <v>671</v>
      </c>
      <c r="E1266" t="s">
        <v>440</v>
      </c>
      <c r="F1266" t="s">
        <v>2756</v>
      </c>
      <c r="G1266" t="str">
        <f>"00014585"</f>
        <v>00014585</v>
      </c>
      <c r="H1266" t="s">
        <v>1094</v>
      </c>
      <c r="I1266">
        <v>0</v>
      </c>
      <c r="J1266">
        <v>0</v>
      </c>
      <c r="K1266">
        <v>0</v>
      </c>
      <c r="L1266">
        <v>200</v>
      </c>
      <c r="M1266">
        <v>0</v>
      </c>
      <c r="N1266">
        <v>70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X1266">
        <v>0</v>
      </c>
      <c r="Y1266" t="s">
        <v>2757</v>
      </c>
    </row>
    <row r="1267" spans="1:25" x14ac:dyDescent="0.25">
      <c r="H1267" t="s">
        <v>1553</v>
      </c>
    </row>
    <row r="1268" spans="1:25" x14ac:dyDescent="0.25">
      <c r="A1268">
        <v>631</v>
      </c>
      <c r="B1268">
        <v>2412</v>
      </c>
      <c r="C1268" t="s">
        <v>2758</v>
      </c>
      <c r="D1268" t="s">
        <v>526</v>
      </c>
      <c r="E1268" t="s">
        <v>22</v>
      </c>
      <c r="F1268" t="s">
        <v>2759</v>
      </c>
      <c r="G1268" t="str">
        <f>"200801007873"</f>
        <v>200801007873</v>
      </c>
      <c r="H1268" t="s">
        <v>1094</v>
      </c>
      <c r="I1268">
        <v>0</v>
      </c>
      <c r="J1268">
        <v>0</v>
      </c>
      <c r="K1268">
        <v>0</v>
      </c>
      <c r="L1268">
        <v>200</v>
      </c>
      <c r="M1268">
        <v>0</v>
      </c>
      <c r="N1268">
        <v>70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X1268">
        <v>0</v>
      </c>
      <c r="Y1268" t="s">
        <v>2757</v>
      </c>
    </row>
    <row r="1269" spans="1:25" x14ac:dyDescent="0.25">
      <c r="H1269" t="s">
        <v>2760</v>
      </c>
    </row>
    <row r="1270" spans="1:25" x14ac:dyDescent="0.25">
      <c r="A1270">
        <v>632</v>
      </c>
      <c r="B1270">
        <v>1433</v>
      </c>
      <c r="C1270" t="s">
        <v>2761</v>
      </c>
      <c r="D1270" t="s">
        <v>2762</v>
      </c>
      <c r="E1270" t="s">
        <v>243</v>
      </c>
      <c r="F1270" t="s">
        <v>2763</v>
      </c>
      <c r="G1270" t="str">
        <f>"201511040748"</f>
        <v>201511040748</v>
      </c>
      <c r="H1270" t="s">
        <v>1094</v>
      </c>
      <c r="I1270">
        <v>0</v>
      </c>
      <c r="J1270">
        <v>0</v>
      </c>
      <c r="K1270">
        <v>0</v>
      </c>
      <c r="L1270">
        <v>200</v>
      </c>
      <c r="M1270">
        <v>0</v>
      </c>
      <c r="N1270">
        <v>70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X1270">
        <v>0</v>
      </c>
      <c r="Y1270" t="s">
        <v>2757</v>
      </c>
    </row>
    <row r="1271" spans="1:25" x14ac:dyDescent="0.25">
      <c r="H1271" t="s">
        <v>2764</v>
      </c>
    </row>
    <row r="1272" spans="1:25" x14ac:dyDescent="0.25">
      <c r="A1272">
        <v>633</v>
      </c>
      <c r="B1272">
        <v>1705</v>
      </c>
      <c r="C1272" t="s">
        <v>2765</v>
      </c>
      <c r="D1272" t="s">
        <v>284</v>
      </c>
      <c r="E1272" t="s">
        <v>48</v>
      </c>
      <c r="F1272" t="s">
        <v>2766</v>
      </c>
      <c r="G1272" t="str">
        <f>"201511012894"</f>
        <v>201511012894</v>
      </c>
      <c r="H1272" t="s">
        <v>673</v>
      </c>
      <c r="I1272">
        <v>0</v>
      </c>
      <c r="J1272">
        <v>0</v>
      </c>
      <c r="K1272">
        <v>0</v>
      </c>
      <c r="L1272">
        <v>200</v>
      </c>
      <c r="M1272">
        <v>0</v>
      </c>
      <c r="N1272">
        <v>50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X1272">
        <v>0</v>
      </c>
      <c r="Y1272" t="s">
        <v>2767</v>
      </c>
    </row>
    <row r="1273" spans="1:25" x14ac:dyDescent="0.25">
      <c r="H1273" t="s">
        <v>2768</v>
      </c>
    </row>
    <row r="1274" spans="1:25" x14ac:dyDescent="0.25">
      <c r="A1274">
        <v>634</v>
      </c>
      <c r="B1274">
        <v>2518</v>
      </c>
      <c r="C1274" t="s">
        <v>2769</v>
      </c>
      <c r="D1274" t="s">
        <v>2770</v>
      </c>
      <c r="E1274" t="s">
        <v>273</v>
      </c>
      <c r="F1274" t="s">
        <v>2771</v>
      </c>
      <c r="G1274" t="str">
        <f>"00014367"</f>
        <v>00014367</v>
      </c>
      <c r="H1274" t="s">
        <v>1033</v>
      </c>
      <c r="I1274">
        <v>0</v>
      </c>
      <c r="J1274">
        <v>0</v>
      </c>
      <c r="K1274">
        <v>0</v>
      </c>
      <c r="L1274">
        <v>200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X1274">
        <v>0</v>
      </c>
      <c r="Y1274" t="s">
        <v>2772</v>
      </c>
    </row>
    <row r="1275" spans="1:25" x14ac:dyDescent="0.25">
      <c r="H1275" t="s">
        <v>2773</v>
      </c>
    </row>
    <row r="1276" spans="1:25" x14ac:dyDescent="0.25">
      <c r="A1276">
        <v>635</v>
      </c>
      <c r="B1276">
        <v>579</v>
      </c>
      <c r="C1276" t="s">
        <v>2774</v>
      </c>
      <c r="D1276" t="s">
        <v>106</v>
      </c>
      <c r="E1276" t="s">
        <v>417</v>
      </c>
      <c r="F1276" t="s">
        <v>2775</v>
      </c>
      <c r="G1276" t="str">
        <f>"00013155"</f>
        <v>00013155</v>
      </c>
      <c r="H1276">
        <v>748</v>
      </c>
      <c r="I1276">
        <v>0</v>
      </c>
      <c r="J1276">
        <v>0</v>
      </c>
      <c r="K1276">
        <v>0</v>
      </c>
      <c r="L1276">
        <v>200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X1276">
        <v>0</v>
      </c>
      <c r="Y1276">
        <v>978</v>
      </c>
    </row>
    <row r="1277" spans="1:25" x14ac:dyDescent="0.25">
      <c r="H1277" t="s">
        <v>2776</v>
      </c>
    </row>
    <row r="1278" spans="1:25" x14ac:dyDescent="0.25">
      <c r="A1278">
        <v>636</v>
      </c>
      <c r="B1278">
        <v>2901</v>
      </c>
      <c r="C1278" t="s">
        <v>2777</v>
      </c>
      <c r="D1278" t="s">
        <v>87</v>
      </c>
      <c r="E1278" t="s">
        <v>112</v>
      </c>
      <c r="F1278" t="s">
        <v>2778</v>
      </c>
      <c r="G1278" t="str">
        <f>"00013866"</f>
        <v>00013866</v>
      </c>
      <c r="H1278" t="s">
        <v>365</v>
      </c>
      <c r="I1278">
        <v>0</v>
      </c>
      <c r="J1278">
        <v>0</v>
      </c>
      <c r="K1278">
        <v>0</v>
      </c>
      <c r="L1278">
        <v>0</v>
      </c>
      <c r="M1278">
        <v>100</v>
      </c>
      <c r="N1278">
        <v>30</v>
      </c>
      <c r="O1278">
        <v>0</v>
      </c>
      <c r="P1278">
        <v>50</v>
      </c>
      <c r="Q1278">
        <v>0</v>
      </c>
      <c r="R1278">
        <v>0</v>
      </c>
      <c r="S1278">
        <v>0</v>
      </c>
      <c r="T1278">
        <v>0</v>
      </c>
      <c r="U1278">
        <v>0</v>
      </c>
      <c r="X1278">
        <v>0</v>
      </c>
      <c r="Y1278" t="s">
        <v>2779</v>
      </c>
    </row>
    <row r="1279" spans="1:25" x14ac:dyDescent="0.25">
      <c r="H1279" t="s">
        <v>2780</v>
      </c>
    </row>
    <row r="1280" spans="1:25" x14ac:dyDescent="0.25">
      <c r="A1280">
        <v>637</v>
      </c>
      <c r="B1280">
        <v>1930</v>
      </c>
      <c r="C1280" t="s">
        <v>2781</v>
      </c>
      <c r="D1280" t="s">
        <v>93</v>
      </c>
      <c r="E1280" t="s">
        <v>1826</v>
      </c>
      <c r="F1280" t="s">
        <v>2782</v>
      </c>
      <c r="G1280" t="str">
        <f>"00014347"</f>
        <v>00014347</v>
      </c>
      <c r="H1280" t="s">
        <v>1060</v>
      </c>
      <c r="I1280">
        <v>0</v>
      </c>
      <c r="J1280">
        <v>0</v>
      </c>
      <c r="K1280">
        <v>0</v>
      </c>
      <c r="L1280">
        <v>200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X1280">
        <v>1</v>
      </c>
      <c r="Y1280" t="s">
        <v>2783</v>
      </c>
    </row>
    <row r="1281" spans="1:25" x14ac:dyDescent="0.25">
      <c r="H1281" t="s">
        <v>162</v>
      </c>
    </row>
    <row r="1282" spans="1:25" x14ac:dyDescent="0.25">
      <c r="A1282">
        <v>638</v>
      </c>
      <c r="B1282">
        <v>1470</v>
      </c>
      <c r="C1282" t="s">
        <v>2784</v>
      </c>
      <c r="D1282" t="s">
        <v>526</v>
      </c>
      <c r="E1282" t="s">
        <v>2785</v>
      </c>
      <c r="F1282" t="s">
        <v>2786</v>
      </c>
      <c r="G1282" t="str">
        <f>"00013110"</f>
        <v>00013110</v>
      </c>
      <c r="H1282" t="s">
        <v>2787</v>
      </c>
      <c r="I1282">
        <v>0</v>
      </c>
      <c r="J1282">
        <v>0</v>
      </c>
      <c r="K1282">
        <v>0</v>
      </c>
      <c r="L1282">
        <v>200</v>
      </c>
      <c r="M1282">
        <v>0</v>
      </c>
      <c r="N1282">
        <v>30</v>
      </c>
      <c r="O1282">
        <v>0</v>
      </c>
      <c r="P1282">
        <v>50</v>
      </c>
      <c r="Q1282">
        <v>0</v>
      </c>
      <c r="R1282">
        <v>0</v>
      </c>
      <c r="S1282">
        <v>0</v>
      </c>
      <c r="T1282">
        <v>0</v>
      </c>
      <c r="U1282">
        <v>0</v>
      </c>
      <c r="X1282">
        <v>0</v>
      </c>
      <c r="Y1282" t="s">
        <v>2788</v>
      </c>
    </row>
    <row r="1283" spans="1:25" x14ac:dyDescent="0.25">
      <c r="H1283" t="s">
        <v>2789</v>
      </c>
    </row>
    <row r="1284" spans="1:25" x14ac:dyDescent="0.25">
      <c r="A1284">
        <v>639</v>
      </c>
      <c r="B1284">
        <v>2185</v>
      </c>
      <c r="C1284" t="s">
        <v>2790</v>
      </c>
      <c r="D1284" t="s">
        <v>141</v>
      </c>
      <c r="E1284" t="s">
        <v>48</v>
      </c>
      <c r="F1284" t="s">
        <v>2791</v>
      </c>
      <c r="G1284" t="str">
        <f>"00014638"</f>
        <v>00014638</v>
      </c>
      <c r="H1284">
        <v>704</v>
      </c>
      <c r="I1284">
        <v>0</v>
      </c>
      <c r="J1284">
        <v>0</v>
      </c>
      <c r="K1284">
        <v>0</v>
      </c>
      <c r="L1284">
        <v>200</v>
      </c>
      <c r="M1284">
        <v>0</v>
      </c>
      <c r="N1284">
        <v>70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X1284">
        <v>0</v>
      </c>
      <c r="Y1284">
        <v>974</v>
      </c>
    </row>
    <row r="1285" spans="1:25" x14ac:dyDescent="0.25">
      <c r="H1285" t="s">
        <v>956</v>
      </c>
    </row>
    <row r="1286" spans="1:25" x14ac:dyDescent="0.25">
      <c r="A1286">
        <v>640</v>
      </c>
      <c r="B1286">
        <v>2803</v>
      </c>
      <c r="C1286" t="s">
        <v>2792</v>
      </c>
      <c r="D1286" t="s">
        <v>242</v>
      </c>
      <c r="E1286" t="s">
        <v>217</v>
      </c>
      <c r="F1286" t="s">
        <v>2793</v>
      </c>
      <c r="G1286" t="str">
        <f>"201406018399"</f>
        <v>201406018399</v>
      </c>
      <c r="H1286" t="s">
        <v>653</v>
      </c>
      <c r="I1286">
        <v>0</v>
      </c>
      <c r="J1286">
        <v>0</v>
      </c>
      <c r="K1286">
        <v>0</v>
      </c>
      <c r="L1286">
        <v>200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X1286">
        <v>0</v>
      </c>
      <c r="Y1286" t="s">
        <v>2794</v>
      </c>
    </row>
    <row r="1287" spans="1:25" x14ac:dyDescent="0.25">
      <c r="H1287" t="s">
        <v>2795</v>
      </c>
    </row>
    <row r="1288" spans="1:25" x14ac:dyDescent="0.25">
      <c r="A1288">
        <v>641</v>
      </c>
      <c r="B1288">
        <v>835</v>
      </c>
      <c r="C1288" t="s">
        <v>2796</v>
      </c>
      <c r="D1288" t="s">
        <v>2797</v>
      </c>
      <c r="E1288" t="s">
        <v>41</v>
      </c>
      <c r="F1288" t="s">
        <v>2798</v>
      </c>
      <c r="G1288" t="str">
        <f>"201511011597"</f>
        <v>201511011597</v>
      </c>
      <c r="H1288" t="s">
        <v>1410</v>
      </c>
      <c r="I1288">
        <v>0</v>
      </c>
      <c r="J1288">
        <v>0</v>
      </c>
      <c r="K1288">
        <v>0</v>
      </c>
      <c r="L1288">
        <v>200</v>
      </c>
      <c r="M1288">
        <v>0</v>
      </c>
      <c r="N1288">
        <v>70</v>
      </c>
      <c r="O1288">
        <v>0</v>
      </c>
      <c r="P1288">
        <v>0</v>
      </c>
      <c r="Q1288">
        <v>0</v>
      </c>
      <c r="R1288">
        <v>30</v>
      </c>
      <c r="S1288">
        <v>0</v>
      </c>
      <c r="T1288">
        <v>0</v>
      </c>
      <c r="U1288">
        <v>0</v>
      </c>
      <c r="X1288">
        <v>0</v>
      </c>
      <c r="Y1288" t="s">
        <v>2799</v>
      </c>
    </row>
    <row r="1289" spans="1:25" x14ac:dyDescent="0.25">
      <c r="H1289" t="s">
        <v>2800</v>
      </c>
    </row>
    <row r="1290" spans="1:25" x14ac:dyDescent="0.25">
      <c r="A1290">
        <v>642</v>
      </c>
      <c r="B1290">
        <v>2320</v>
      </c>
      <c r="C1290" t="s">
        <v>2801</v>
      </c>
      <c r="D1290" t="s">
        <v>2199</v>
      </c>
      <c r="E1290" t="s">
        <v>48</v>
      </c>
      <c r="F1290" t="s">
        <v>2802</v>
      </c>
      <c r="G1290" t="str">
        <f>"00014005"</f>
        <v>00014005</v>
      </c>
      <c r="H1290" t="s">
        <v>1387</v>
      </c>
      <c r="I1290">
        <v>0</v>
      </c>
      <c r="J1290">
        <v>0</v>
      </c>
      <c r="K1290">
        <v>0</v>
      </c>
      <c r="L1290">
        <v>200</v>
      </c>
      <c r="M1290">
        <v>0</v>
      </c>
      <c r="N1290">
        <v>70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X1290">
        <v>0</v>
      </c>
      <c r="Y1290" t="s">
        <v>2803</v>
      </c>
    </row>
    <row r="1291" spans="1:25" x14ac:dyDescent="0.25">
      <c r="H1291" t="s">
        <v>2804</v>
      </c>
    </row>
    <row r="1292" spans="1:25" x14ac:dyDescent="0.25">
      <c r="A1292">
        <v>643</v>
      </c>
      <c r="B1292">
        <v>1456</v>
      </c>
      <c r="C1292" t="s">
        <v>2805</v>
      </c>
      <c r="D1292" t="s">
        <v>498</v>
      </c>
      <c r="E1292" t="s">
        <v>48</v>
      </c>
      <c r="F1292" t="s">
        <v>2806</v>
      </c>
      <c r="G1292" t="str">
        <f>"201410000881"</f>
        <v>201410000881</v>
      </c>
      <c r="H1292" t="s">
        <v>1005</v>
      </c>
      <c r="I1292">
        <v>0</v>
      </c>
      <c r="J1292">
        <v>0</v>
      </c>
      <c r="K1292">
        <v>0</v>
      </c>
      <c r="L1292">
        <v>0</v>
      </c>
      <c r="M1292">
        <v>100</v>
      </c>
      <c r="N1292">
        <v>70</v>
      </c>
      <c r="O1292">
        <v>0</v>
      </c>
      <c r="P1292">
        <v>0</v>
      </c>
      <c r="Q1292">
        <v>50</v>
      </c>
      <c r="R1292">
        <v>0</v>
      </c>
      <c r="S1292">
        <v>0</v>
      </c>
      <c r="T1292">
        <v>0</v>
      </c>
      <c r="U1292">
        <v>0</v>
      </c>
      <c r="X1292">
        <v>0</v>
      </c>
      <c r="Y1292" t="s">
        <v>2807</v>
      </c>
    </row>
    <row r="1293" spans="1:25" x14ac:dyDescent="0.25">
      <c r="H1293" t="s">
        <v>2808</v>
      </c>
    </row>
    <row r="1294" spans="1:25" x14ac:dyDescent="0.25">
      <c r="A1294">
        <v>644</v>
      </c>
      <c r="B1294">
        <v>1869</v>
      </c>
      <c r="C1294" t="s">
        <v>2809</v>
      </c>
      <c r="D1294" t="s">
        <v>223</v>
      </c>
      <c r="E1294" t="s">
        <v>124</v>
      </c>
      <c r="F1294" t="s">
        <v>2810</v>
      </c>
      <c r="G1294" t="str">
        <f>"201504002382"</f>
        <v>201504002382</v>
      </c>
      <c r="H1294" t="s">
        <v>324</v>
      </c>
      <c r="I1294">
        <v>0</v>
      </c>
      <c r="J1294">
        <v>0</v>
      </c>
      <c r="K1294">
        <v>0</v>
      </c>
      <c r="L1294">
        <v>0</v>
      </c>
      <c r="M1294">
        <v>100</v>
      </c>
      <c r="N1294">
        <v>30</v>
      </c>
      <c r="O1294">
        <v>0</v>
      </c>
      <c r="P1294">
        <v>30</v>
      </c>
      <c r="Q1294">
        <v>0</v>
      </c>
      <c r="R1294">
        <v>0</v>
      </c>
      <c r="S1294">
        <v>0</v>
      </c>
      <c r="T1294">
        <v>0</v>
      </c>
      <c r="U1294">
        <v>0</v>
      </c>
      <c r="X1294">
        <v>0</v>
      </c>
      <c r="Y1294" t="s">
        <v>2811</v>
      </c>
    </row>
    <row r="1295" spans="1:25" x14ac:dyDescent="0.25">
      <c r="H1295" t="s">
        <v>203</v>
      </c>
    </row>
    <row r="1296" spans="1:25" x14ac:dyDescent="0.25">
      <c r="A1296">
        <v>645</v>
      </c>
      <c r="B1296">
        <v>2261</v>
      </c>
      <c r="C1296" t="s">
        <v>2812</v>
      </c>
      <c r="D1296" t="s">
        <v>2813</v>
      </c>
      <c r="E1296" t="s">
        <v>22</v>
      </c>
      <c r="F1296" t="s">
        <v>2814</v>
      </c>
      <c r="G1296" t="str">
        <f>"00013689"</f>
        <v>00013689</v>
      </c>
      <c r="H1296" t="s">
        <v>386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70</v>
      </c>
      <c r="O1296">
        <v>0</v>
      </c>
      <c r="P1296">
        <v>0</v>
      </c>
      <c r="Q1296">
        <v>0</v>
      </c>
      <c r="R1296">
        <v>0</v>
      </c>
      <c r="S1296">
        <v>50</v>
      </c>
      <c r="T1296">
        <v>0</v>
      </c>
      <c r="U1296">
        <v>0</v>
      </c>
      <c r="X1296">
        <v>0</v>
      </c>
      <c r="Y1296" t="s">
        <v>2815</v>
      </c>
    </row>
    <row r="1297" spans="1:25" x14ac:dyDescent="0.25">
      <c r="H1297" t="s">
        <v>1920</v>
      </c>
    </row>
    <row r="1298" spans="1:25" x14ac:dyDescent="0.25">
      <c r="A1298">
        <v>646</v>
      </c>
      <c r="B1298">
        <v>1310</v>
      </c>
      <c r="C1298" t="s">
        <v>2816</v>
      </c>
      <c r="D1298" t="s">
        <v>21</v>
      </c>
      <c r="E1298" t="s">
        <v>2817</v>
      </c>
      <c r="F1298" t="s">
        <v>2818</v>
      </c>
      <c r="G1298" t="str">
        <f>"201402011006"</f>
        <v>201402011006</v>
      </c>
      <c r="H1298" t="s">
        <v>2072</v>
      </c>
      <c r="I1298">
        <v>0</v>
      </c>
      <c r="J1298">
        <v>0</v>
      </c>
      <c r="K1298">
        <v>0</v>
      </c>
      <c r="L1298">
        <v>200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X1298">
        <v>0</v>
      </c>
      <c r="Y1298" t="s">
        <v>2815</v>
      </c>
    </row>
    <row r="1299" spans="1:25" x14ac:dyDescent="0.25">
      <c r="H1299" t="s">
        <v>52</v>
      </c>
    </row>
    <row r="1300" spans="1:25" x14ac:dyDescent="0.25">
      <c r="A1300">
        <v>647</v>
      </c>
      <c r="B1300">
        <v>2096</v>
      </c>
      <c r="C1300" t="s">
        <v>2819</v>
      </c>
      <c r="D1300" t="s">
        <v>2820</v>
      </c>
      <c r="E1300" t="s">
        <v>21</v>
      </c>
      <c r="F1300" t="s">
        <v>2821</v>
      </c>
      <c r="G1300" t="str">
        <f>"201406014788"</f>
        <v>201406014788</v>
      </c>
      <c r="H1300">
        <v>671</v>
      </c>
      <c r="I1300">
        <v>0</v>
      </c>
      <c r="J1300">
        <v>0</v>
      </c>
      <c r="K1300">
        <v>0</v>
      </c>
      <c r="L1300">
        <v>200</v>
      </c>
      <c r="M1300">
        <v>0</v>
      </c>
      <c r="N1300">
        <v>30</v>
      </c>
      <c r="O1300">
        <v>0</v>
      </c>
      <c r="P1300">
        <v>70</v>
      </c>
      <c r="Q1300">
        <v>0</v>
      </c>
      <c r="R1300">
        <v>0</v>
      </c>
      <c r="S1300">
        <v>0</v>
      </c>
      <c r="T1300">
        <v>0</v>
      </c>
      <c r="U1300">
        <v>0</v>
      </c>
      <c r="X1300">
        <v>0</v>
      </c>
      <c r="Y1300">
        <v>971</v>
      </c>
    </row>
    <row r="1301" spans="1:25" x14ac:dyDescent="0.25">
      <c r="H1301">
        <v>224</v>
      </c>
    </row>
    <row r="1302" spans="1:25" x14ac:dyDescent="0.25">
      <c r="A1302">
        <v>648</v>
      </c>
      <c r="B1302">
        <v>1618</v>
      </c>
      <c r="C1302" t="s">
        <v>2822</v>
      </c>
      <c r="D1302" t="s">
        <v>41</v>
      </c>
      <c r="E1302" t="s">
        <v>2075</v>
      </c>
      <c r="F1302" t="s">
        <v>2823</v>
      </c>
      <c r="G1302" t="str">
        <f>"200802010454"</f>
        <v>200802010454</v>
      </c>
      <c r="H1302" t="s">
        <v>777</v>
      </c>
      <c r="I1302">
        <v>0</v>
      </c>
      <c r="J1302">
        <v>0</v>
      </c>
      <c r="K1302">
        <v>0</v>
      </c>
      <c r="L1302">
        <v>0</v>
      </c>
      <c r="M1302">
        <v>100</v>
      </c>
      <c r="N1302">
        <v>30</v>
      </c>
      <c r="O1302">
        <v>30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X1302">
        <v>0</v>
      </c>
      <c r="Y1302" t="s">
        <v>2824</v>
      </c>
    </row>
    <row r="1303" spans="1:25" x14ac:dyDescent="0.25">
      <c r="H1303">
        <v>224</v>
      </c>
    </row>
    <row r="1304" spans="1:25" x14ac:dyDescent="0.25">
      <c r="A1304">
        <v>649</v>
      </c>
      <c r="B1304">
        <v>2318</v>
      </c>
      <c r="C1304" t="s">
        <v>2825</v>
      </c>
      <c r="D1304" t="s">
        <v>141</v>
      </c>
      <c r="E1304" t="s">
        <v>124</v>
      </c>
      <c r="F1304" t="s">
        <v>2826</v>
      </c>
      <c r="G1304" t="str">
        <f>"00014415"</f>
        <v>00014415</v>
      </c>
      <c r="H1304" t="s">
        <v>2827</v>
      </c>
      <c r="I1304">
        <v>0</v>
      </c>
      <c r="J1304">
        <v>0</v>
      </c>
      <c r="K1304">
        <v>0</v>
      </c>
      <c r="L1304">
        <v>200</v>
      </c>
      <c r="M1304">
        <v>0</v>
      </c>
      <c r="N1304">
        <v>30</v>
      </c>
      <c r="O1304">
        <v>0</v>
      </c>
      <c r="P1304">
        <v>0</v>
      </c>
      <c r="Q1304">
        <v>30</v>
      </c>
      <c r="R1304">
        <v>0</v>
      </c>
      <c r="S1304">
        <v>0</v>
      </c>
      <c r="T1304">
        <v>0</v>
      </c>
      <c r="U1304">
        <v>0</v>
      </c>
      <c r="X1304">
        <v>0</v>
      </c>
      <c r="Y1304" t="s">
        <v>2828</v>
      </c>
    </row>
    <row r="1305" spans="1:25" x14ac:dyDescent="0.25">
      <c r="H1305" t="s">
        <v>2829</v>
      </c>
    </row>
    <row r="1306" spans="1:25" x14ac:dyDescent="0.25">
      <c r="A1306">
        <v>650</v>
      </c>
      <c r="B1306">
        <v>2873</v>
      </c>
      <c r="C1306" t="s">
        <v>2830</v>
      </c>
      <c r="D1306" t="s">
        <v>2152</v>
      </c>
      <c r="E1306" t="s">
        <v>301</v>
      </c>
      <c r="F1306" t="s">
        <v>2831</v>
      </c>
      <c r="G1306" t="str">
        <f>"00014147"</f>
        <v>00014147</v>
      </c>
      <c r="H1306" t="s">
        <v>2081</v>
      </c>
      <c r="I1306">
        <v>0</v>
      </c>
      <c r="J1306">
        <v>0</v>
      </c>
      <c r="K1306">
        <v>0</v>
      </c>
      <c r="L1306">
        <v>0</v>
      </c>
      <c r="M1306">
        <v>100</v>
      </c>
      <c r="N1306">
        <v>70</v>
      </c>
      <c r="O1306">
        <v>30</v>
      </c>
      <c r="P1306">
        <v>50</v>
      </c>
      <c r="Q1306">
        <v>0</v>
      </c>
      <c r="R1306">
        <v>0</v>
      </c>
      <c r="S1306">
        <v>0</v>
      </c>
      <c r="T1306">
        <v>0</v>
      </c>
      <c r="U1306">
        <v>0</v>
      </c>
      <c r="X1306">
        <v>0</v>
      </c>
      <c r="Y1306" t="s">
        <v>2832</v>
      </c>
    </row>
    <row r="1307" spans="1:25" x14ac:dyDescent="0.25">
      <c r="H1307" t="s">
        <v>2833</v>
      </c>
    </row>
    <row r="1308" spans="1:25" x14ac:dyDescent="0.25">
      <c r="A1308">
        <v>651</v>
      </c>
      <c r="B1308">
        <v>2658</v>
      </c>
      <c r="C1308" t="s">
        <v>2834</v>
      </c>
      <c r="D1308" t="s">
        <v>1153</v>
      </c>
      <c r="E1308" t="s">
        <v>83</v>
      </c>
      <c r="F1308" t="s">
        <v>2835</v>
      </c>
      <c r="G1308" t="str">
        <f>"00014928"</f>
        <v>00014928</v>
      </c>
      <c r="H1308" t="s">
        <v>1028</v>
      </c>
      <c r="I1308">
        <v>0</v>
      </c>
      <c r="J1308">
        <v>0</v>
      </c>
      <c r="K1308">
        <v>0</v>
      </c>
      <c r="L1308">
        <v>200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X1308">
        <v>0</v>
      </c>
      <c r="Y1308" t="s">
        <v>2836</v>
      </c>
    </row>
    <row r="1309" spans="1:25" x14ac:dyDescent="0.25">
      <c r="H1309" t="s">
        <v>52</v>
      </c>
    </row>
    <row r="1310" spans="1:25" x14ac:dyDescent="0.25">
      <c r="A1310">
        <v>652</v>
      </c>
      <c r="B1310">
        <v>2476</v>
      </c>
      <c r="C1310" t="s">
        <v>2837</v>
      </c>
      <c r="D1310" t="s">
        <v>526</v>
      </c>
      <c r="E1310" t="s">
        <v>701</v>
      </c>
      <c r="F1310" t="s">
        <v>2838</v>
      </c>
      <c r="G1310" t="str">
        <f>"00013500"</f>
        <v>00013500</v>
      </c>
      <c r="H1310" t="s">
        <v>795</v>
      </c>
      <c r="I1310">
        <v>0</v>
      </c>
      <c r="J1310">
        <v>0</v>
      </c>
      <c r="K1310">
        <v>0</v>
      </c>
      <c r="L1310">
        <v>200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X1310">
        <v>0</v>
      </c>
      <c r="Y1310" t="s">
        <v>2839</v>
      </c>
    </row>
    <row r="1311" spans="1:25" x14ac:dyDescent="0.25">
      <c r="H1311" t="s">
        <v>2840</v>
      </c>
    </row>
    <row r="1312" spans="1:25" x14ac:dyDescent="0.25">
      <c r="A1312">
        <v>653</v>
      </c>
      <c r="B1312">
        <v>219</v>
      </c>
      <c r="C1312" t="s">
        <v>2841</v>
      </c>
      <c r="D1312" t="s">
        <v>526</v>
      </c>
      <c r="E1312" t="s">
        <v>83</v>
      </c>
      <c r="F1312" t="s">
        <v>2842</v>
      </c>
      <c r="G1312" t="str">
        <f>"20160706532"</f>
        <v>20160706532</v>
      </c>
      <c r="H1312" t="s">
        <v>809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70</v>
      </c>
      <c r="O1312">
        <v>30</v>
      </c>
      <c r="P1312">
        <v>50</v>
      </c>
      <c r="Q1312">
        <v>30</v>
      </c>
      <c r="R1312">
        <v>30</v>
      </c>
      <c r="S1312">
        <v>0</v>
      </c>
      <c r="T1312">
        <v>0</v>
      </c>
      <c r="U1312">
        <v>0</v>
      </c>
      <c r="X1312">
        <v>0</v>
      </c>
      <c r="Y1312" t="s">
        <v>2843</v>
      </c>
    </row>
    <row r="1313" spans="1:25" x14ac:dyDescent="0.25">
      <c r="H1313" t="s">
        <v>2844</v>
      </c>
    </row>
    <row r="1314" spans="1:25" x14ac:dyDescent="0.25">
      <c r="A1314">
        <v>654</v>
      </c>
      <c r="B1314">
        <v>457</v>
      </c>
      <c r="C1314" t="s">
        <v>2845</v>
      </c>
      <c r="D1314" t="s">
        <v>2152</v>
      </c>
      <c r="E1314" t="s">
        <v>48</v>
      </c>
      <c r="F1314" t="s">
        <v>2846</v>
      </c>
      <c r="G1314" t="str">
        <f>"00015046"</f>
        <v>00015046</v>
      </c>
      <c r="H1314" t="s">
        <v>1437</v>
      </c>
      <c r="I1314">
        <v>0</v>
      </c>
      <c r="J1314">
        <v>0</v>
      </c>
      <c r="K1314">
        <v>0</v>
      </c>
      <c r="L1314">
        <v>200</v>
      </c>
      <c r="M1314">
        <v>0</v>
      </c>
      <c r="N1314">
        <v>70</v>
      </c>
      <c r="O1314">
        <v>50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X1314">
        <v>0</v>
      </c>
      <c r="Y1314" t="s">
        <v>2843</v>
      </c>
    </row>
    <row r="1315" spans="1:25" x14ac:dyDescent="0.25">
      <c r="H1315" t="s">
        <v>52</v>
      </c>
    </row>
    <row r="1316" spans="1:25" x14ac:dyDescent="0.25">
      <c r="A1316">
        <v>655</v>
      </c>
      <c r="B1316">
        <v>2032</v>
      </c>
      <c r="C1316" t="s">
        <v>2847</v>
      </c>
      <c r="D1316" t="s">
        <v>1778</v>
      </c>
      <c r="E1316" t="s">
        <v>1475</v>
      </c>
      <c r="F1316" t="s">
        <v>2848</v>
      </c>
      <c r="G1316" t="str">
        <f>"200801002406"</f>
        <v>200801002406</v>
      </c>
      <c r="H1316" t="s">
        <v>541</v>
      </c>
      <c r="I1316">
        <v>0</v>
      </c>
      <c r="J1316">
        <v>0</v>
      </c>
      <c r="K1316">
        <v>0</v>
      </c>
      <c r="L1316">
        <v>0</v>
      </c>
      <c r="M1316">
        <v>100</v>
      </c>
      <c r="N1316">
        <v>70</v>
      </c>
      <c r="O1316">
        <v>30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X1316">
        <v>0</v>
      </c>
      <c r="Y1316" t="s">
        <v>2849</v>
      </c>
    </row>
    <row r="1317" spans="1:25" x14ac:dyDescent="0.25">
      <c r="H1317" t="s">
        <v>110</v>
      </c>
    </row>
    <row r="1318" spans="1:25" x14ac:dyDescent="0.25">
      <c r="A1318">
        <v>656</v>
      </c>
      <c r="B1318">
        <v>134</v>
      </c>
      <c r="C1318" t="s">
        <v>2850</v>
      </c>
      <c r="D1318" t="s">
        <v>310</v>
      </c>
      <c r="E1318" t="s">
        <v>66</v>
      </c>
      <c r="F1318" t="s">
        <v>2851</v>
      </c>
      <c r="G1318" t="str">
        <f>"00015072"</f>
        <v>00015072</v>
      </c>
      <c r="H1318" t="s">
        <v>541</v>
      </c>
      <c r="I1318">
        <v>0</v>
      </c>
      <c r="J1318">
        <v>0</v>
      </c>
      <c r="K1318">
        <v>0</v>
      </c>
      <c r="L1318">
        <v>0</v>
      </c>
      <c r="M1318">
        <v>100</v>
      </c>
      <c r="N1318">
        <v>70</v>
      </c>
      <c r="O1318">
        <v>30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X1318">
        <v>0</v>
      </c>
      <c r="Y1318" t="s">
        <v>2849</v>
      </c>
    </row>
    <row r="1319" spans="1:25" x14ac:dyDescent="0.25">
      <c r="H1319" t="s">
        <v>2852</v>
      </c>
    </row>
    <row r="1320" spans="1:25" x14ac:dyDescent="0.25">
      <c r="A1320">
        <v>657</v>
      </c>
      <c r="B1320">
        <v>2042</v>
      </c>
      <c r="C1320" t="s">
        <v>2853</v>
      </c>
      <c r="D1320" t="s">
        <v>41</v>
      </c>
      <c r="E1320" t="s">
        <v>48</v>
      </c>
      <c r="F1320" t="s">
        <v>2854</v>
      </c>
      <c r="G1320" t="str">
        <f>"201510003930"</f>
        <v>201510003930</v>
      </c>
      <c r="H1320">
        <v>737</v>
      </c>
      <c r="I1320">
        <v>0</v>
      </c>
      <c r="J1320">
        <v>0</v>
      </c>
      <c r="K1320">
        <v>0</v>
      </c>
      <c r="L1320">
        <v>200</v>
      </c>
      <c r="M1320">
        <v>0</v>
      </c>
      <c r="N1320">
        <v>30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X1320">
        <v>0</v>
      </c>
      <c r="Y1320">
        <v>967</v>
      </c>
    </row>
    <row r="1321" spans="1:25" x14ac:dyDescent="0.25">
      <c r="H1321" t="s">
        <v>2855</v>
      </c>
    </row>
    <row r="1322" spans="1:25" x14ac:dyDescent="0.25">
      <c r="A1322">
        <v>658</v>
      </c>
      <c r="B1322">
        <v>2989</v>
      </c>
      <c r="C1322" t="s">
        <v>2856</v>
      </c>
      <c r="D1322" t="s">
        <v>181</v>
      </c>
      <c r="E1322" t="s">
        <v>701</v>
      </c>
      <c r="F1322" t="s">
        <v>2857</v>
      </c>
      <c r="G1322" t="str">
        <f>"00011937"</f>
        <v>00011937</v>
      </c>
      <c r="H1322" t="s">
        <v>1301</v>
      </c>
      <c r="I1322">
        <v>0</v>
      </c>
      <c r="J1322">
        <v>0</v>
      </c>
      <c r="K1322">
        <v>0</v>
      </c>
      <c r="L1322">
        <v>200</v>
      </c>
      <c r="M1322">
        <v>30</v>
      </c>
      <c r="N1322">
        <v>50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X1322">
        <v>0</v>
      </c>
      <c r="Y1322" t="s">
        <v>2858</v>
      </c>
    </row>
    <row r="1323" spans="1:25" x14ac:dyDescent="0.25">
      <c r="H1323" t="s">
        <v>2859</v>
      </c>
    </row>
    <row r="1324" spans="1:25" x14ac:dyDescent="0.25">
      <c r="A1324">
        <v>659</v>
      </c>
      <c r="B1324">
        <v>768</v>
      </c>
      <c r="C1324" t="s">
        <v>2860</v>
      </c>
      <c r="D1324" t="s">
        <v>2861</v>
      </c>
      <c r="E1324" t="s">
        <v>124</v>
      </c>
      <c r="F1324" t="s">
        <v>2862</v>
      </c>
      <c r="G1324" t="str">
        <f>"200712004330"</f>
        <v>200712004330</v>
      </c>
      <c r="H1324" t="s">
        <v>557</v>
      </c>
      <c r="I1324">
        <v>0</v>
      </c>
      <c r="J1324">
        <v>0</v>
      </c>
      <c r="K1324">
        <v>0</v>
      </c>
      <c r="L1324">
        <v>0</v>
      </c>
      <c r="M1324">
        <v>100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X1324">
        <v>0</v>
      </c>
      <c r="Y1324" t="s">
        <v>2863</v>
      </c>
    </row>
    <row r="1325" spans="1:25" x14ac:dyDescent="0.25">
      <c r="H1325" t="s">
        <v>2864</v>
      </c>
    </row>
    <row r="1326" spans="1:25" x14ac:dyDescent="0.25">
      <c r="A1326">
        <v>660</v>
      </c>
      <c r="B1326">
        <v>838</v>
      </c>
      <c r="C1326" t="s">
        <v>2865</v>
      </c>
      <c r="D1326" t="s">
        <v>571</v>
      </c>
      <c r="E1326" t="s">
        <v>124</v>
      </c>
      <c r="F1326" t="s">
        <v>2866</v>
      </c>
      <c r="G1326" t="str">
        <f>"00014550"</f>
        <v>00014550</v>
      </c>
      <c r="H1326" t="s">
        <v>557</v>
      </c>
      <c r="I1326">
        <v>0</v>
      </c>
      <c r="J1326">
        <v>0</v>
      </c>
      <c r="K1326">
        <v>0</v>
      </c>
      <c r="L1326">
        <v>0</v>
      </c>
      <c r="M1326">
        <v>100</v>
      </c>
      <c r="N1326">
        <v>70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X1326">
        <v>0</v>
      </c>
      <c r="Y1326" t="s">
        <v>2863</v>
      </c>
    </row>
    <row r="1327" spans="1:25" x14ac:dyDescent="0.25">
      <c r="H1327" t="s">
        <v>52</v>
      </c>
    </row>
    <row r="1328" spans="1:25" x14ac:dyDescent="0.25">
      <c r="A1328">
        <v>661</v>
      </c>
      <c r="B1328">
        <v>2405</v>
      </c>
      <c r="C1328" t="s">
        <v>2867</v>
      </c>
      <c r="D1328" t="s">
        <v>22</v>
      </c>
      <c r="E1328" t="s">
        <v>48</v>
      </c>
      <c r="F1328" t="s">
        <v>2868</v>
      </c>
      <c r="G1328" t="str">
        <f>"00013976"</f>
        <v>00013976</v>
      </c>
      <c r="H1328" t="s">
        <v>2787</v>
      </c>
      <c r="I1328">
        <v>0</v>
      </c>
      <c r="J1328">
        <v>0</v>
      </c>
      <c r="K1328">
        <v>0</v>
      </c>
      <c r="L1328">
        <v>200</v>
      </c>
      <c r="M1328">
        <v>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X1328">
        <v>0</v>
      </c>
      <c r="Y1328" t="s">
        <v>2869</v>
      </c>
    </row>
    <row r="1329" spans="1:25" x14ac:dyDescent="0.25">
      <c r="H1329" t="s">
        <v>2870</v>
      </c>
    </row>
    <row r="1330" spans="1:25" x14ac:dyDescent="0.25">
      <c r="A1330">
        <v>662</v>
      </c>
      <c r="B1330">
        <v>840</v>
      </c>
      <c r="C1330" t="s">
        <v>2871</v>
      </c>
      <c r="D1330" t="s">
        <v>238</v>
      </c>
      <c r="E1330" t="s">
        <v>48</v>
      </c>
      <c r="F1330" t="s">
        <v>2872</v>
      </c>
      <c r="G1330" t="str">
        <f>"200801006431"</f>
        <v>200801006431</v>
      </c>
      <c r="H1330" t="s">
        <v>1305</v>
      </c>
      <c r="I1330">
        <v>0</v>
      </c>
      <c r="J1330">
        <v>0</v>
      </c>
      <c r="K1330">
        <v>0</v>
      </c>
      <c r="L1330">
        <v>200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X1330">
        <v>0</v>
      </c>
      <c r="Y1330" t="s">
        <v>2873</v>
      </c>
    </row>
    <row r="1331" spans="1:25" x14ac:dyDescent="0.25">
      <c r="H1331" t="s">
        <v>2874</v>
      </c>
    </row>
    <row r="1332" spans="1:25" x14ac:dyDescent="0.25">
      <c r="A1332">
        <v>663</v>
      </c>
      <c r="B1332">
        <v>1547</v>
      </c>
      <c r="C1332" t="s">
        <v>2875</v>
      </c>
      <c r="D1332" t="s">
        <v>526</v>
      </c>
      <c r="E1332" t="s">
        <v>334</v>
      </c>
      <c r="F1332" t="s">
        <v>2876</v>
      </c>
      <c r="G1332" t="str">
        <f>"201601000606"</f>
        <v>201601000606</v>
      </c>
      <c r="H1332" t="s">
        <v>2877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70</v>
      </c>
      <c r="O1332">
        <v>30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X1332">
        <v>1</v>
      </c>
      <c r="Y1332" t="s">
        <v>2878</v>
      </c>
    </row>
    <row r="1333" spans="1:25" x14ac:dyDescent="0.25">
      <c r="H1333" t="s">
        <v>52</v>
      </c>
    </row>
    <row r="1334" spans="1:25" x14ac:dyDescent="0.25">
      <c r="A1334">
        <v>664</v>
      </c>
      <c r="B1334">
        <v>3079</v>
      </c>
      <c r="C1334" t="s">
        <v>2879</v>
      </c>
      <c r="D1334" t="s">
        <v>217</v>
      </c>
      <c r="E1334" t="s">
        <v>1189</v>
      </c>
      <c r="F1334" t="s">
        <v>2880</v>
      </c>
      <c r="G1334" t="str">
        <f>"201504002501"</f>
        <v>201504002501</v>
      </c>
      <c r="H1334" t="s">
        <v>777</v>
      </c>
      <c r="I1334">
        <v>0</v>
      </c>
      <c r="J1334">
        <v>0</v>
      </c>
      <c r="K1334">
        <v>0</v>
      </c>
      <c r="L1334">
        <v>0</v>
      </c>
      <c r="M1334">
        <v>100</v>
      </c>
      <c r="N1334">
        <v>50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X1334">
        <v>0</v>
      </c>
      <c r="Y1334" t="s">
        <v>2881</v>
      </c>
    </row>
    <row r="1335" spans="1:25" x14ac:dyDescent="0.25">
      <c r="H1335" t="s">
        <v>2882</v>
      </c>
    </row>
    <row r="1336" spans="1:25" x14ac:dyDescent="0.25">
      <c r="A1336">
        <v>665</v>
      </c>
      <c r="B1336">
        <v>1308</v>
      </c>
      <c r="C1336" t="s">
        <v>888</v>
      </c>
      <c r="D1336" t="s">
        <v>98</v>
      </c>
      <c r="E1336" t="s">
        <v>124</v>
      </c>
      <c r="F1336" t="s">
        <v>2883</v>
      </c>
      <c r="G1336" t="str">
        <f>"00014271"</f>
        <v>00014271</v>
      </c>
      <c r="H1336" t="s">
        <v>2884</v>
      </c>
      <c r="I1336">
        <v>0</v>
      </c>
      <c r="J1336">
        <v>0</v>
      </c>
      <c r="K1336">
        <v>0</v>
      </c>
      <c r="L1336">
        <v>200</v>
      </c>
      <c r="M1336">
        <v>0</v>
      </c>
      <c r="N1336">
        <v>30</v>
      </c>
      <c r="O1336">
        <v>30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X1336">
        <v>0</v>
      </c>
      <c r="Y1336" t="s">
        <v>2881</v>
      </c>
    </row>
    <row r="1337" spans="1:25" x14ac:dyDescent="0.25">
      <c r="H1337">
        <v>221</v>
      </c>
    </row>
    <row r="1338" spans="1:25" x14ac:dyDescent="0.25">
      <c r="A1338">
        <v>666</v>
      </c>
      <c r="B1338">
        <v>3260</v>
      </c>
      <c r="C1338" t="s">
        <v>2885</v>
      </c>
      <c r="D1338" t="s">
        <v>181</v>
      </c>
      <c r="E1338" t="s">
        <v>41</v>
      </c>
      <c r="F1338" t="s">
        <v>2886</v>
      </c>
      <c r="G1338" t="str">
        <f>"00012297"</f>
        <v>00012297</v>
      </c>
      <c r="H1338" t="s">
        <v>531</v>
      </c>
      <c r="I1338">
        <v>0</v>
      </c>
      <c r="J1338">
        <v>0</v>
      </c>
      <c r="K1338">
        <v>0</v>
      </c>
      <c r="L1338">
        <v>200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X1338">
        <v>0</v>
      </c>
      <c r="Y1338" t="s">
        <v>2887</v>
      </c>
    </row>
    <row r="1339" spans="1:25" x14ac:dyDescent="0.25">
      <c r="H1339" t="s">
        <v>2888</v>
      </c>
    </row>
    <row r="1340" spans="1:25" x14ac:dyDescent="0.25">
      <c r="A1340">
        <v>667</v>
      </c>
      <c r="B1340">
        <v>2085</v>
      </c>
      <c r="C1340" t="s">
        <v>2889</v>
      </c>
      <c r="D1340" t="s">
        <v>2121</v>
      </c>
      <c r="E1340" t="s">
        <v>1483</v>
      </c>
      <c r="F1340" t="s">
        <v>2890</v>
      </c>
      <c r="G1340" t="str">
        <f>"00014237"</f>
        <v>00014237</v>
      </c>
      <c r="H1340" t="s">
        <v>531</v>
      </c>
      <c r="I1340">
        <v>0</v>
      </c>
      <c r="J1340">
        <v>0</v>
      </c>
      <c r="K1340">
        <v>0</v>
      </c>
      <c r="L1340">
        <v>200</v>
      </c>
      <c r="M1340">
        <v>0</v>
      </c>
      <c r="N1340">
        <v>30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X1340">
        <v>0</v>
      </c>
      <c r="Y1340" t="s">
        <v>2887</v>
      </c>
    </row>
    <row r="1341" spans="1:25" x14ac:dyDescent="0.25">
      <c r="H1341" t="s">
        <v>2891</v>
      </c>
    </row>
    <row r="1342" spans="1:25" x14ac:dyDescent="0.25">
      <c r="A1342">
        <v>668</v>
      </c>
      <c r="B1342">
        <v>2827</v>
      </c>
      <c r="C1342" t="s">
        <v>2892</v>
      </c>
      <c r="D1342" t="s">
        <v>141</v>
      </c>
      <c r="E1342" t="s">
        <v>48</v>
      </c>
      <c r="F1342" t="s">
        <v>2893</v>
      </c>
      <c r="G1342" t="str">
        <f>"00014649"</f>
        <v>00014649</v>
      </c>
      <c r="H1342" t="s">
        <v>531</v>
      </c>
      <c r="I1342">
        <v>0</v>
      </c>
      <c r="J1342">
        <v>0</v>
      </c>
      <c r="K1342">
        <v>0</v>
      </c>
      <c r="L1342">
        <v>200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X1342">
        <v>0</v>
      </c>
      <c r="Y1342" t="s">
        <v>2887</v>
      </c>
    </row>
    <row r="1343" spans="1:25" x14ac:dyDescent="0.25">
      <c r="H1343" t="s">
        <v>2894</v>
      </c>
    </row>
    <row r="1344" spans="1:25" x14ac:dyDescent="0.25">
      <c r="A1344">
        <v>669</v>
      </c>
      <c r="B1344">
        <v>1041</v>
      </c>
      <c r="C1344" t="s">
        <v>2895</v>
      </c>
      <c r="D1344" t="s">
        <v>526</v>
      </c>
      <c r="E1344" t="s">
        <v>182</v>
      </c>
      <c r="F1344" t="s">
        <v>2896</v>
      </c>
      <c r="G1344" t="str">
        <f>"00014590"</f>
        <v>00014590</v>
      </c>
      <c r="H1344" t="s">
        <v>2897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30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X1344">
        <v>0</v>
      </c>
      <c r="Y1344" t="s">
        <v>2898</v>
      </c>
    </row>
    <row r="1345" spans="1:25" x14ac:dyDescent="0.25">
      <c r="H1345" t="s">
        <v>2899</v>
      </c>
    </row>
    <row r="1346" spans="1:25" x14ac:dyDescent="0.25">
      <c r="A1346">
        <v>670</v>
      </c>
      <c r="B1346">
        <v>3128</v>
      </c>
      <c r="C1346" t="s">
        <v>2900</v>
      </c>
      <c r="D1346" t="s">
        <v>93</v>
      </c>
      <c r="E1346" t="s">
        <v>66</v>
      </c>
      <c r="F1346" t="s">
        <v>2901</v>
      </c>
      <c r="G1346" t="str">
        <f>"200712004712"</f>
        <v>200712004712</v>
      </c>
      <c r="H1346" t="s">
        <v>1169</v>
      </c>
      <c r="I1346">
        <v>0</v>
      </c>
      <c r="J1346">
        <v>0</v>
      </c>
      <c r="K1346">
        <v>0</v>
      </c>
      <c r="L1346">
        <v>200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X1346">
        <v>0</v>
      </c>
      <c r="Y1346" t="s">
        <v>2902</v>
      </c>
    </row>
    <row r="1347" spans="1:25" x14ac:dyDescent="0.25">
      <c r="H1347" t="s">
        <v>2903</v>
      </c>
    </row>
    <row r="1348" spans="1:25" x14ac:dyDescent="0.25">
      <c r="A1348">
        <v>671</v>
      </c>
      <c r="B1348">
        <v>1170</v>
      </c>
      <c r="C1348" t="s">
        <v>2904</v>
      </c>
      <c r="D1348" t="s">
        <v>66</v>
      </c>
      <c r="E1348" t="s">
        <v>1483</v>
      </c>
      <c r="F1348" t="s">
        <v>2905</v>
      </c>
      <c r="G1348" t="str">
        <f>"201512000397"</f>
        <v>201512000397</v>
      </c>
      <c r="H1348" t="s">
        <v>982</v>
      </c>
      <c r="I1348">
        <v>0</v>
      </c>
      <c r="J1348">
        <v>0</v>
      </c>
      <c r="K1348">
        <v>0</v>
      </c>
      <c r="L1348">
        <v>0</v>
      </c>
      <c r="M1348">
        <v>100</v>
      </c>
      <c r="N1348">
        <v>70</v>
      </c>
      <c r="O1348">
        <v>30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X1348">
        <v>0</v>
      </c>
      <c r="Y1348" t="s">
        <v>2906</v>
      </c>
    </row>
    <row r="1349" spans="1:25" x14ac:dyDescent="0.25">
      <c r="H1349" t="s">
        <v>1944</v>
      </c>
    </row>
    <row r="1350" spans="1:25" x14ac:dyDescent="0.25">
      <c r="A1350">
        <v>672</v>
      </c>
      <c r="B1350">
        <v>2850</v>
      </c>
      <c r="C1350" t="s">
        <v>2907</v>
      </c>
      <c r="D1350" t="s">
        <v>211</v>
      </c>
      <c r="E1350" t="s">
        <v>124</v>
      </c>
      <c r="F1350" t="s">
        <v>2908</v>
      </c>
      <c r="G1350" t="str">
        <f>"200904000508"</f>
        <v>200904000508</v>
      </c>
      <c r="H1350" t="s">
        <v>219</v>
      </c>
      <c r="I1350">
        <v>0</v>
      </c>
      <c r="J1350">
        <v>0</v>
      </c>
      <c r="K1350">
        <v>0</v>
      </c>
      <c r="L1350">
        <v>0</v>
      </c>
      <c r="M1350">
        <v>100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X1350">
        <v>2</v>
      </c>
      <c r="Y1350" t="s">
        <v>2909</v>
      </c>
    </row>
    <row r="1351" spans="1:25" x14ac:dyDescent="0.25">
      <c r="H1351">
        <v>224</v>
      </c>
    </row>
    <row r="1352" spans="1:25" x14ac:dyDescent="0.25">
      <c r="A1352">
        <v>673</v>
      </c>
      <c r="B1352">
        <v>1528</v>
      </c>
      <c r="C1352" t="s">
        <v>2910</v>
      </c>
      <c r="D1352" t="s">
        <v>2911</v>
      </c>
      <c r="E1352" t="s">
        <v>66</v>
      </c>
      <c r="F1352" t="s">
        <v>2912</v>
      </c>
      <c r="G1352" t="str">
        <f>"00013140"</f>
        <v>00013140</v>
      </c>
      <c r="H1352">
        <v>726</v>
      </c>
      <c r="I1352">
        <v>0</v>
      </c>
      <c r="J1352">
        <v>0</v>
      </c>
      <c r="K1352">
        <v>0</v>
      </c>
      <c r="L1352">
        <v>200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X1352">
        <v>0</v>
      </c>
      <c r="Y1352">
        <v>956</v>
      </c>
    </row>
    <row r="1353" spans="1:25" x14ac:dyDescent="0.25">
      <c r="H1353" t="s">
        <v>2913</v>
      </c>
    </row>
    <row r="1354" spans="1:25" x14ac:dyDescent="0.25">
      <c r="A1354">
        <v>674</v>
      </c>
      <c r="B1354">
        <v>722</v>
      </c>
      <c r="C1354" t="s">
        <v>2914</v>
      </c>
      <c r="D1354" t="s">
        <v>2915</v>
      </c>
      <c r="E1354" t="s">
        <v>2916</v>
      </c>
      <c r="F1354" t="s">
        <v>2917</v>
      </c>
      <c r="G1354" t="str">
        <f>"00013997"</f>
        <v>00013997</v>
      </c>
      <c r="H1354" t="s">
        <v>630</v>
      </c>
      <c r="I1354">
        <v>0</v>
      </c>
      <c r="J1354">
        <v>0</v>
      </c>
      <c r="K1354">
        <v>0</v>
      </c>
      <c r="L1354">
        <v>0</v>
      </c>
      <c r="M1354">
        <v>100</v>
      </c>
      <c r="N1354">
        <v>70</v>
      </c>
      <c r="O1354">
        <v>30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X1354">
        <v>0</v>
      </c>
      <c r="Y1354" t="s">
        <v>2918</v>
      </c>
    </row>
    <row r="1355" spans="1:25" x14ac:dyDescent="0.25">
      <c r="H1355" t="s">
        <v>2919</v>
      </c>
    </row>
    <row r="1356" spans="1:25" x14ac:dyDescent="0.25">
      <c r="A1356">
        <v>675</v>
      </c>
      <c r="B1356">
        <v>1578</v>
      </c>
      <c r="C1356" t="s">
        <v>2920</v>
      </c>
      <c r="D1356" t="s">
        <v>639</v>
      </c>
      <c r="E1356" t="s">
        <v>1038</v>
      </c>
      <c r="F1356" t="s">
        <v>2921</v>
      </c>
      <c r="G1356" t="str">
        <f>"201511013827"</f>
        <v>201511013827</v>
      </c>
      <c r="H1356" t="s">
        <v>303</v>
      </c>
      <c r="I1356">
        <v>0</v>
      </c>
      <c r="J1356">
        <v>0</v>
      </c>
      <c r="K1356">
        <v>0</v>
      </c>
      <c r="L1356">
        <v>0</v>
      </c>
      <c r="M1356">
        <v>100</v>
      </c>
      <c r="N1356">
        <v>70</v>
      </c>
      <c r="O1356">
        <v>0</v>
      </c>
      <c r="P1356">
        <v>0</v>
      </c>
      <c r="Q1356">
        <v>30</v>
      </c>
      <c r="R1356">
        <v>0</v>
      </c>
      <c r="S1356">
        <v>0</v>
      </c>
      <c r="T1356">
        <v>0</v>
      </c>
      <c r="U1356">
        <v>0</v>
      </c>
      <c r="X1356">
        <v>0</v>
      </c>
      <c r="Y1356" t="s">
        <v>2922</v>
      </c>
    </row>
    <row r="1357" spans="1:25" x14ac:dyDescent="0.25">
      <c r="H1357" t="s">
        <v>2923</v>
      </c>
    </row>
    <row r="1358" spans="1:25" x14ac:dyDescent="0.25">
      <c r="A1358">
        <v>676</v>
      </c>
      <c r="B1358">
        <v>1046</v>
      </c>
      <c r="C1358" t="s">
        <v>2924</v>
      </c>
      <c r="D1358" t="s">
        <v>2925</v>
      </c>
      <c r="E1358" t="s">
        <v>124</v>
      </c>
      <c r="F1358" t="s">
        <v>2926</v>
      </c>
      <c r="G1358" t="str">
        <f>"201412002103"</f>
        <v>201412002103</v>
      </c>
      <c r="H1358">
        <v>693</v>
      </c>
      <c r="I1358">
        <v>0</v>
      </c>
      <c r="J1358">
        <v>0</v>
      </c>
      <c r="K1358">
        <v>0</v>
      </c>
      <c r="L1358">
        <v>200</v>
      </c>
      <c r="M1358">
        <v>0</v>
      </c>
      <c r="N1358">
        <v>30</v>
      </c>
      <c r="O1358">
        <v>30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X1358">
        <v>0</v>
      </c>
      <c r="Y1358">
        <v>953</v>
      </c>
    </row>
    <row r="1359" spans="1:25" x14ac:dyDescent="0.25">
      <c r="H1359" t="s">
        <v>2927</v>
      </c>
    </row>
    <row r="1360" spans="1:25" x14ac:dyDescent="0.25">
      <c r="A1360">
        <v>677</v>
      </c>
      <c r="B1360">
        <v>502</v>
      </c>
      <c r="C1360" t="s">
        <v>2928</v>
      </c>
      <c r="D1360" t="s">
        <v>2929</v>
      </c>
      <c r="E1360" t="s">
        <v>124</v>
      </c>
      <c r="F1360" t="s">
        <v>2930</v>
      </c>
      <c r="G1360" t="str">
        <f>"00015112"</f>
        <v>00015112</v>
      </c>
      <c r="H1360" t="s">
        <v>1005</v>
      </c>
      <c r="I1360">
        <v>0</v>
      </c>
      <c r="J1360">
        <v>0</v>
      </c>
      <c r="K1360">
        <v>0</v>
      </c>
      <c r="L1360">
        <v>0</v>
      </c>
      <c r="M1360">
        <v>100</v>
      </c>
      <c r="N1360">
        <v>50</v>
      </c>
      <c r="O1360">
        <v>50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X1360">
        <v>0</v>
      </c>
      <c r="Y1360" t="s">
        <v>2931</v>
      </c>
    </row>
    <row r="1361" spans="1:25" x14ac:dyDescent="0.25">
      <c r="H1361" t="s">
        <v>52</v>
      </c>
    </row>
    <row r="1362" spans="1:25" x14ac:dyDescent="0.25">
      <c r="A1362">
        <v>678</v>
      </c>
      <c r="B1362">
        <v>336</v>
      </c>
      <c r="C1362" t="s">
        <v>2932</v>
      </c>
      <c r="D1362" t="s">
        <v>1087</v>
      </c>
      <c r="E1362" t="s">
        <v>48</v>
      </c>
      <c r="F1362" t="s">
        <v>2933</v>
      </c>
      <c r="G1362" t="str">
        <f>"200801008924"</f>
        <v>200801008924</v>
      </c>
      <c r="H1362">
        <v>682</v>
      </c>
      <c r="I1362">
        <v>0</v>
      </c>
      <c r="J1362">
        <v>0</v>
      </c>
      <c r="K1362">
        <v>0</v>
      </c>
      <c r="L1362">
        <v>200</v>
      </c>
      <c r="M1362">
        <v>0</v>
      </c>
      <c r="N1362">
        <v>70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X1362">
        <v>1</v>
      </c>
      <c r="Y1362">
        <v>952</v>
      </c>
    </row>
    <row r="1363" spans="1:25" x14ac:dyDescent="0.25">
      <c r="H1363" t="s">
        <v>2934</v>
      </c>
    </row>
    <row r="1364" spans="1:25" x14ac:dyDescent="0.25">
      <c r="A1364">
        <v>679</v>
      </c>
      <c r="B1364">
        <v>554</v>
      </c>
      <c r="C1364" t="s">
        <v>2935</v>
      </c>
      <c r="D1364" t="s">
        <v>2936</v>
      </c>
      <c r="E1364" t="s">
        <v>22</v>
      </c>
      <c r="F1364" t="s">
        <v>2937</v>
      </c>
      <c r="G1364" t="str">
        <f>"00013609"</f>
        <v>00013609</v>
      </c>
      <c r="H1364" t="s">
        <v>1244</v>
      </c>
      <c r="I1364">
        <v>0</v>
      </c>
      <c r="J1364">
        <v>0</v>
      </c>
      <c r="K1364">
        <v>0</v>
      </c>
      <c r="L1364">
        <v>200</v>
      </c>
      <c r="M1364">
        <v>0</v>
      </c>
      <c r="N1364">
        <v>70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X1364">
        <v>0</v>
      </c>
      <c r="Y1364" t="s">
        <v>2938</v>
      </c>
    </row>
    <row r="1365" spans="1:25" x14ac:dyDescent="0.25">
      <c r="H1365" t="s">
        <v>2939</v>
      </c>
    </row>
    <row r="1366" spans="1:25" x14ac:dyDescent="0.25">
      <c r="A1366">
        <v>680</v>
      </c>
      <c r="B1366">
        <v>2150</v>
      </c>
      <c r="C1366" t="s">
        <v>1788</v>
      </c>
      <c r="D1366" t="s">
        <v>2940</v>
      </c>
      <c r="E1366" t="s">
        <v>124</v>
      </c>
      <c r="F1366" t="s">
        <v>2941</v>
      </c>
      <c r="G1366" t="str">
        <f>"00014519"</f>
        <v>00014519</v>
      </c>
      <c r="H1366" t="s">
        <v>2081</v>
      </c>
      <c r="I1366">
        <v>0</v>
      </c>
      <c r="J1366">
        <v>0</v>
      </c>
      <c r="K1366">
        <v>0</v>
      </c>
      <c r="L1366">
        <v>200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X1366">
        <v>0</v>
      </c>
      <c r="Y1366" t="s">
        <v>2942</v>
      </c>
    </row>
    <row r="1367" spans="1:25" x14ac:dyDescent="0.25">
      <c r="H1367" t="s">
        <v>2943</v>
      </c>
    </row>
    <row r="1368" spans="1:25" x14ac:dyDescent="0.25">
      <c r="A1368">
        <v>681</v>
      </c>
      <c r="B1368">
        <v>2646</v>
      </c>
      <c r="C1368" t="s">
        <v>2944</v>
      </c>
      <c r="D1368" t="s">
        <v>551</v>
      </c>
      <c r="E1368" t="s">
        <v>2945</v>
      </c>
      <c r="F1368" t="s">
        <v>2946</v>
      </c>
      <c r="G1368" t="str">
        <f>"00014610"</f>
        <v>00014610</v>
      </c>
      <c r="H1368" t="s">
        <v>1957</v>
      </c>
      <c r="I1368">
        <v>0</v>
      </c>
      <c r="J1368">
        <v>0</v>
      </c>
      <c r="K1368">
        <v>0</v>
      </c>
      <c r="L1368">
        <v>200</v>
      </c>
      <c r="M1368">
        <v>0</v>
      </c>
      <c r="N1368">
        <v>50</v>
      </c>
      <c r="O1368">
        <v>0</v>
      </c>
      <c r="P1368">
        <v>0</v>
      </c>
      <c r="Q1368">
        <v>30</v>
      </c>
      <c r="R1368">
        <v>0</v>
      </c>
      <c r="S1368">
        <v>0</v>
      </c>
      <c r="T1368">
        <v>0</v>
      </c>
      <c r="U1368">
        <v>0</v>
      </c>
      <c r="X1368">
        <v>0</v>
      </c>
      <c r="Y1368" t="s">
        <v>2947</v>
      </c>
    </row>
    <row r="1369" spans="1:25" x14ac:dyDescent="0.25">
      <c r="H1369" t="s">
        <v>52</v>
      </c>
    </row>
    <row r="1370" spans="1:25" x14ac:dyDescent="0.25">
      <c r="A1370">
        <v>682</v>
      </c>
      <c r="B1370">
        <v>507</v>
      </c>
      <c r="C1370" t="s">
        <v>2948</v>
      </c>
      <c r="D1370" t="s">
        <v>772</v>
      </c>
      <c r="E1370" t="s">
        <v>238</v>
      </c>
      <c r="F1370" t="s">
        <v>2949</v>
      </c>
      <c r="G1370" t="str">
        <f>"201412004812"</f>
        <v>201412004812</v>
      </c>
      <c r="H1370" t="s">
        <v>1602</v>
      </c>
      <c r="I1370">
        <v>0</v>
      </c>
      <c r="J1370">
        <v>0</v>
      </c>
      <c r="K1370">
        <v>0</v>
      </c>
      <c r="L1370">
        <v>0</v>
      </c>
      <c r="M1370">
        <v>100</v>
      </c>
      <c r="N1370">
        <v>70</v>
      </c>
      <c r="O1370">
        <v>0</v>
      </c>
      <c r="P1370">
        <v>0</v>
      </c>
      <c r="Q1370">
        <v>30</v>
      </c>
      <c r="R1370">
        <v>30</v>
      </c>
      <c r="S1370">
        <v>0</v>
      </c>
      <c r="T1370">
        <v>0</v>
      </c>
      <c r="U1370">
        <v>0</v>
      </c>
      <c r="X1370">
        <v>0</v>
      </c>
      <c r="Y1370" t="s">
        <v>2950</v>
      </c>
    </row>
    <row r="1371" spans="1:25" x14ac:dyDescent="0.25">
      <c r="H1371" t="s">
        <v>2951</v>
      </c>
    </row>
    <row r="1372" spans="1:25" x14ac:dyDescent="0.25">
      <c r="A1372">
        <v>683</v>
      </c>
      <c r="B1372">
        <v>1747</v>
      </c>
      <c r="C1372" t="s">
        <v>2952</v>
      </c>
      <c r="D1372" t="s">
        <v>242</v>
      </c>
      <c r="E1372" t="s">
        <v>28</v>
      </c>
      <c r="F1372" t="s">
        <v>2953</v>
      </c>
      <c r="G1372" t="str">
        <f>"201511013548"</f>
        <v>201511013548</v>
      </c>
      <c r="H1372" t="s">
        <v>535</v>
      </c>
      <c r="I1372">
        <v>0</v>
      </c>
      <c r="J1372">
        <v>0</v>
      </c>
      <c r="K1372">
        <v>0</v>
      </c>
      <c r="L1372">
        <v>0</v>
      </c>
      <c r="M1372">
        <v>100</v>
      </c>
      <c r="N1372">
        <v>70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X1372">
        <v>0</v>
      </c>
      <c r="Y1372" t="s">
        <v>2954</v>
      </c>
    </row>
    <row r="1373" spans="1:25" x14ac:dyDescent="0.25">
      <c r="H1373" t="s">
        <v>2955</v>
      </c>
    </row>
    <row r="1374" spans="1:25" x14ac:dyDescent="0.25">
      <c r="A1374">
        <v>684</v>
      </c>
      <c r="B1374">
        <v>1345</v>
      </c>
      <c r="C1374" t="s">
        <v>575</v>
      </c>
      <c r="D1374" t="s">
        <v>223</v>
      </c>
      <c r="E1374" t="s">
        <v>124</v>
      </c>
      <c r="F1374" t="s">
        <v>2956</v>
      </c>
      <c r="G1374" t="str">
        <f>"00012564"</f>
        <v>00012564</v>
      </c>
      <c r="H1374" t="s">
        <v>1423</v>
      </c>
      <c r="I1374">
        <v>0</v>
      </c>
      <c r="J1374">
        <v>0</v>
      </c>
      <c r="K1374">
        <v>0</v>
      </c>
      <c r="L1374">
        <v>200</v>
      </c>
      <c r="M1374">
        <v>0</v>
      </c>
      <c r="N1374">
        <v>70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X1374">
        <v>0</v>
      </c>
      <c r="Y1374" t="s">
        <v>2957</v>
      </c>
    </row>
    <row r="1375" spans="1:25" x14ac:dyDescent="0.25">
      <c r="H1375" t="s">
        <v>2958</v>
      </c>
    </row>
    <row r="1376" spans="1:25" x14ac:dyDescent="0.25">
      <c r="A1376">
        <v>685</v>
      </c>
      <c r="B1376">
        <v>2783</v>
      </c>
      <c r="C1376" t="s">
        <v>2959</v>
      </c>
      <c r="D1376" t="s">
        <v>604</v>
      </c>
      <c r="E1376" t="s">
        <v>169</v>
      </c>
      <c r="F1376" t="s">
        <v>2960</v>
      </c>
      <c r="G1376" t="str">
        <f>"00013215"</f>
        <v>00013215</v>
      </c>
      <c r="H1376" t="s">
        <v>432</v>
      </c>
      <c r="I1376">
        <v>0</v>
      </c>
      <c r="J1376">
        <v>0</v>
      </c>
      <c r="K1376">
        <v>0</v>
      </c>
      <c r="L1376">
        <v>0</v>
      </c>
      <c r="M1376">
        <v>100</v>
      </c>
      <c r="N1376">
        <v>30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X1376">
        <v>0</v>
      </c>
      <c r="Y1376" t="s">
        <v>2961</v>
      </c>
    </row>
    <row r="1377" spans="1:25" x14ac:dyDescent="0.25">
      <c r="H1377" t="s">
        <v>2962</v>
      </c>
    </row>
    <row r="1378" spans="1:25" x14ac:dyDescent="0.25">
      <c r="A1378">
        <v>686</v>
      </c>
      <c r="B1378">
        <v>2139</v>
      </c>
      <c r="C1378" t="s">
        <v>2963</v>
      </c>
      <c r="D1378" t="s">
        <v>223</v>
      </c>
      <c r="E1378" t="s">
        <v>22</v>
      </c>
      <c r="F1378" t="s">
        <v>2964</v>
      </c>
      <c r="G1378" t="str">
        <f>"200812000883"</f>
        <v>200812000883</v>
      </c>
      <c r="H1378" t="s">
        <v>2965</v>
      </c>
      <c r="I1378">
        <v>0</v>
      </c>
      <c r="J1378">
        <v>0</v>
      </c>
      <c r="K1378">
        <v>0</v>
      </c>
      <c r="L1378">
        <v>200</v>
      </c>
      <c r="M1378">
        <v>0</v>
      </c>
      <c r="N1378">
        <v>0</v>
      </c>
      <c r="O1378">
        <v>50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X1378">
        <v>0</v>
      </c>
      <c r="Y1378" t="s">
        <v>2966</v>
      </c>
    </row>
    <row r="1379" spans="1:25" x14ac:dyDescent="0.25">
      <c r="H1379" t="s">
        <v>2967</v>
      </c>
    </row>
    <row r="1380" spans="1:25" x14ac:dyDescent="0.25">
      <c r="A1380">
        <v>687</v>
      </c>
      <c r="B1380">
        <v>1420</v>
      </c>
      <c r="C1380" t="s">
        <v>2968</v>
      </c>
      <c r="D1380" t="s">
        <v>300</v>
      </c>
      <c r="E1380" t="s">
        <v>2969</v>
      </c>
      <c r="F1380" t="s">
        <v>2970</v>
      </c>
      <c r="G1380" t="str">
        <f>"201406017587"</f>
        <v>201406017587</v>
      </c>
      <c r="H1380" t="s">
        <v>108</v>
      </c>
      <c r="I1380">
        <v>0</v>
      </c>
      <c r="J1380">
        <v>0</v>
      </c>
      <c r="K1380">
        <v>0</v>
      </c>
      <c r="L1380">
        <v>0</v>
      </c>
      <c r="M1380">
        <v>100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X1380">
        <v>0</v>
      </c>
      <c r="Y1380" t="s">
        <v>2971</v>
      </c>
    </row>
    <row r="1381" spans="1:25" x14ac:dyDescent="0.25">
      <c r="H1381" t="s">
        <v>1944</v>
      </c>
    </row>
    <row r="1382" spans="1:25" x14ac:dyDescent="0.25">
      <c r="A1382">
        <v>688</v>
      </c>
      <c r="B1382">
        <v>2788</v>
      </c>
      <c r="C1382" t="s">
        <v>2972</v>
      </c>
      <c r="D1382" t="s">
        <v>1087</v>
      </c>
      <c r="E1382" t="s">
        <v>41</v>
      </c>
      <c r="F1382" t="s">
        <v>2973</v>
      </c>
      <c r="G1382" t="str">
        <f>"00008500"</f>
        <v>00008500</v>
      </c>
      <c r="H1382" t="s">
        <v>2974</v>
      </c>
      <c r="I1382">
        <v>0</v>
      </c>
      <c r="J1382">
        <v>0</v>
      </c>
      <c r="K1382">
        <v>0</v>
      </c>
      <c r="L1382">
        <v>200</v>
      </c>
      <c r="M1382">
        <v>0</v>
      </c>
      <c r="N1382">
        <v>30</v>
      </c>
      <c r="O1382">
        <v>30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X1382">
        <v>0</v>
      </c>
      <c r="Y1382" t="s">
        <v>2975</v>
      </c>
    </row>
    <row r="1383" spans="1:25" x14ac:dyDescent="0.25">
      <c r="H1383" t="s">
        <v>2976</v>
      </c>
    </row>
    <row r="1384" spans="1:25" x14ac:dyDescent="0.25">
      <c r="A1384">
        <v>689</v>
      </c>
      <c r="B1384">
        <v>2161</v>
      </c>
      <c r="C1384" t="s">
        <v>2977</v>
      </c>
      <c r="D1384" t="s">
        <v>124</v>
      </c>
      <c r="E1384" t="s">
        <v>48</v>
      </c>
      <c r="F1384" t="s">
        <v>2978</v>
      </c>
      <c r="G1384" t="str">
        <f>"201411002844"</f>
        <v>201411002844</v>
      </c>
      <c r="H1384" t="s">
        <v>2787</v>
      </c>
      <c r="I1384">
        <v>0</v>
      </c>
      <c r="J1384">
        <v>0</v>
      </c>
      <c r="K1384">
        <v>0</v>
      </c>
      <c r="L1384">
        <v>200</v>
      </c>
      <c r="M1384">
        <v>0</v>
      </c>
      <c r="N1384">
        <v>50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X1384">
        <v>1</v>
      </c>
      <c r="Y1384" t="s">
        <v>2979</v>
      </c>
    </row>
    <row r="1385" spans="1:25" x14ac:dyDescent="0.25">
      <c r="H1385" t="s">
        <v>2980</v>
      </c>
    </row>
    <row r="1386" spans="1:25" x14ac:dyDescent="0.25">
      <c r="A1386">
        <v>690</v>
      </c>
      <c r="B1386">
        <v>2833</v>
      </c>
      <c r="C1386" t="s">
        <v>2981</v>
      </c>
      <c r="D1386" t="s">
        <v>66</v>
      </c>
      <c r="E1386" t="s">
        <v>83</v>
      </c>
      <c r="F1386" t="s">
        <v>2982</v>
      </c>
      <c r="G1386" t="str">
        <f>"200712004183"</f>
        <v>200712004183</v>
      </c>
      <c r="H1386" t="s">
        <v>1521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70</v>
      </c>
      <c r="O1386">
        <v>50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X1386">
        <v>0</v>
      </c>
      <c r="Y1386" t="s">
        <v>2983</v>
      </c>
    </row>
    <row r="1387" spans="1:25" x14ac:dyDescent="0.25">
      <c r="H1387" t="s">
        <v>1062</v>
      </c>
    </row>
    <row r="1388" spans="1:25" x14ac:dyDescent="0.25">
      <c r="A1388">
        <v>691</v>
      </c>
      <c r="B1388">
        <v>1850</v>
      </c>
      <c r="C1388" t="s">
        <v>2984</v>
      </c>
      <c r="D1388" t="s">
        <v>842</v>
      </c>
      <c r="E1388" t="s">
        <v>565</v>
      </c>
      <c r="F1388" t="s">
        <v>2985</v>
      </c>
      <c r="G1388" t="str">
        <f>"00013285"</f>
        <v>00013285</v>
      </c>
      <c r="H1388" t="s">
        <v>1214</v>
      </c>
      <c r="I1388">
        <v>0</v>
      </c>
      <c r="J1388">
        <v>0</v>
      </c>
      <c r="K1388">
        <v>0</v>
      </c>
      <c r="L1388">
        <v>200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X1388">
        <v>0</v>
      </c>
      <c r="Y1388" t="s">
        <v>2983</v>
      </c>
    </row>
    <row r="1389" spans="1:25" x14ac:dyDescent="0.25">
      <c r="H1389" t="s">
        <v>2986</v>
      </c>
    </row>
    <row r="1390" spans="1:25" x14ac:dyDescent="0.25">
      <c r="A1390">
        <v>692</v>
      </c>
      <c r="B1390">
        <v>483</v>
      </c>
      <c r="C1390" t="s">
        <v>2987</v>
      </c>
      <c r="D1390" t="s">
        <v>2988</v>
      </c>
      <c r="E1390" t="s">
        <v>48</v>
      </c>
      <c r="F1390" t="s">
        <v>2989</v>
      </c>
      <c r="G1390" t="str">
        <f>"00014644"</f>
        <v>00014644</v>
      </c>
      <c r="H1390" t="s">
        <v>653</v>
      </c>
      <c r="I1390">
        <v>0</v>
      </c>
      <c r="J1390">
        <v>0</v>
      </c>
      <c r="K1390">
        <v>0</v>
      </c>
      <c r="L1390">
        <v>0</v>
      </c>
      <c r="M1390">
        <v>100</v>
      </c>
      <c r="N1390">
        <v>70</v>
      </c>
      <c r="O1390">
        <v>30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X1390">
        <v>0</v>
      </c>
      <c r="Y1390" t="s">
        <v>2990</v>
      </c>
    </row>
    <row r="1391" spans="1:25" x14ac:dyDescent="0.25">
      <c r="H1391" t="s">
        <v>2299</v>
      </c>
    </row>
    <row r="1392" spans="1:25" x14ac:dyDescent="0.25">
      <c r="A1392">
        <v>693</v>
      </c>
      <c r="B1392">
        <v>3089</v>
      </c>
      <c r="C1392" t="s">
        <v>2991</v>
      </c>
      <c r="D1392" t="s">
        <v>2992</v>
      </c>
      <c r="E1392" t="s">
        <v>2993</v>
      </c>
      <c r="F1392" t="s">
        <v>2994</v>
      </c>
      <c r="G1392" t="str">
        <f>"00013992"</f>
        <v>00013992</v>
      </c>
      <c r="H1392" t="s">
        <v>1186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50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X1392">
        <v>0</v>
      </c>
      <c r="Y1392" t="s">
        <v>2995</v>
      </c>
    </row>
    <row r="1393" spans="1:25" x14ac:dyDescent="0.25">
      <c r="H1393" t="s">
        <v>2996</v>
      </c>
    </row>
    <row r="1394" spans="1:25" x14ac:dyDescent="0.25">
      <c r="A1394">
        <v>694</v>
      </c>
      <c r="B1394">
        <v>2253</v>
      </c>
      <c r="C1394" t="s">
        <v>2997</v>
      </c>
      <c r="D1394" t="s">
        <v>526</v>
      </c>
      <c r="E1394" t="s">
        <v>106</v>
      </c>
      <c r="F1394" t="s">
        <v>2998</v>
      </c>
      <c r="G1394" t="str">
        <f>"00012992"</f>
        <v>00012992</v>
      </c>
      <c r="H1394" t="s">
        <v>1220</v>
      </c>
      <c r="I1394">
        <v>0</v>
      </c>
      <c r="J1394">
        <v>0</v>
      </c>
      <c r="K1394">
        <v>0</v>
      </c>
      <c r="L1394">
        <v>200</v>
      </c>
      <c r="M1394">
        <v>0</v>
      </c>
      <c r="N1394">
        <v>50</v>
      </c>
      <c r="O1394">
        <v>30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X1394">
        <v>0</v>
      </c>
      <c r="Y1394" t="s">
        <v>2999</v>
      </c>
    </row>
    <row r="1395" spans="1:25" x14ac:dyDescent="0.25">
      <c r="H1395" t="s">
        <v>3000</v>
      </c>
    </row>
    <row r="1396" spans="1:25" x14ac:dyDescent="0.25">
      <c r="A1396">
        <v>695</v>
      </c>
      <c r="B1396">
        <v>990</v>
      </c>
      <c r="C1396" t="s">
        <v>3001</v>
      </c>
      <c r="D1396" t="s">
        <v>284</v>
      </c>
      <c r="E1396" t="s">
        <v>48</v>
      </c>
      <c r="F1396" t="s">
        <v>3002</v>
      </c>
      <c r="G1396" t="str">
        <f>"201511023014"</f>
        <v>201511023014</v>
      </c>
      <c r="H1396" t="s">
        <v>3003</v>
      </c>
      <c r="I1396">
        <v>0</v>
      </c>
      <c r="J1396">
        <v>0</v>
      </c>
      <c r="K1396">
        <v>0</v>
      </c>
      <c r="L1396">
        <v>200</v>
      </c>
      <c r="M1396">
        <v>0</v>
      </c>
      <c r="N1396">
        <v>50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X1396">
        <v>0</v>
      </c>
      <c r="Y1396" t="s">
        <v>3004</v>
      </c>
    </row>
    <row r="1397" spans="1:25" x14ac:dyDescent="0.25">
      <c r="H1397" t="s">
        <v>3005</v>
      </c>
    </row>
    <row r="1398" spans="1:25" x14ac:dyDescent="0.25">
      <c r="A1398">
        <v>696</v>
      </c>
      <c r="B1398">
        <v>1646</v>
      </c>
      <c r="C1398" t="s">
        <v>1267</v>
      </c>
      <c r="D1398" t="s">
        <v>181</v>
      </c>
      <c r="E1398" t="s">
        <v>565</v>
      </c>
      <c r="F1398" t="s">
        <v>3006</v>
      </c>
      <c r="G1398" t="str">
        <f>"201511007888"</f>
        <v>201511007888</v>
      </c>
      <c r="H1398" t="s">
        <v>1225</v>
      </c>
      <c r="I1398">
        <v>0</v>
      </c>
      <c r="J1398">
        <v>0</v>
      </c>
      <c r="K1398">
        <v>0</v>
      </c>
      <c r="L1398">
        <v>200</v>
      </c>
      <c r="M1398">
        <v>0</v>
      </c>
      <c r="N1398">
        <v>30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X1398">
        <v>0</v>
      </c>
      <c r="Y1398" t="s">
        <v>3007</v>
      </c>
    </row>
    <row r="1399" spans="1:25" x14ac:dyDescent="0.25">
      <c r="H1399" t="s">
        <v>52</v>
      </c>
    </row>
    <row r="1400" spans="1:25" x14ac:dyDescent="0.25">
      <c r="A1400">
        <v>697</v>
      </c>
      <c r="B1400">
        <v>1927</v>
      </c>
      <c r="C1400" t="s">
        <v>3008</v>
      </c>
      <c r="D1400" t="s">
        <v>2199</v>
      </c>
      <c r="E1400" t="s">
        <v>1048</v>
      </c>
      <c r="F1400" t="s">
        <v>3009</v>
      </c>
      <c r="G1400" t="str">
        <f>"00014697"</f>
        <v>00014697</v>
      </c>
      <c r="H1400" t="s">
        <v>1225</v>
      </c>
      <c r="I1400">
        <v>0</v>
      </c>
      <c r="J1400">
        <v>0</v>
      </c>
      <c r="K1400">
        <v>0</v>
      </c>
      <c r="L1400">
        <v>200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X1400">
        <v>0</v>
      </c>
      <c r="Y1400" t="s">
        <v>3007</v>
      </c>
    </row>
    <row r="1401" spans="1:25" x14ac:dyDescent="0.25">
      <c r="H1401" t="s">
        <v>3010</v>
      </c>
    </row>
    <row r="1402" spans="1:25" x14ac:dyDescent="0.25">
      <c r="A1402">
        <v>698</v>
      </c>
      <c r="B1402">
        <v>2076</v>
      </c>
      <c r="C1402" t="s">
        <v>3011</v>
      </c>
      <c r="D1402" t="s">
        <v>310</v>
      </c>
      <c r="E1402" t="s">
        <v>451</v>
      </c>
      <c r="F1402" t="s">
        <v>3012</v>
      </c>
      <c r="G1402" t="str">
        <f>"00013115"</f>
        <v>00013115</v>
      </c>
      <c r="H1402" t="s">
        <v>1089</v>
      </c>
      <c r="I1402">
        <v>0</v>
      </c>
      <c r="J1402">
        <v>0</v>
      </c>
      <c r="K1402">
        <v>0</v>
      </c>
      <c r="L1402">
        <v>200</v>
      </c>
      <c r="M1402">
        <v>0</v>
      </c>
      <c r="N1402">
        <v>70</v>
      </c>
      <c r="O1402">
        <v>0</v>
      </c>
      <c r="P1402">
        <v>30</v>
      </c>
      <c r="Q1402">
        <v>0</v>
      </c>
      <c r="R1402">
        <v>0</v>
      </c>
      <c r="S1402">
        <v>0</v>
      </c>
      <c r="T1402">
        <v>0</v>
      </c>
      <c r="U1402">
        <v>0</v>
      </c>
      <c r="X1402">
        <v>0</v>
      </c>
      <c r="Y1402" t="s">
        <v>3013</v>
      </c>
    </row>
    <row r="1403" spans="1:25" x14ac:dyDescent="0.25">
      <c r="H1403" t="s">
        <v>3014</v>
      </c>
    </row>
    <row r="1404" spans="1:25" x14ac:dyDescent="0.25">
      <c r="A1404">
        <v>699</v>
      </c>
      <c r="B1404">
        <v>2036</v>
      </c>
      <c r="C1404" t="s">
        <v>3015</v>
      </c>
      <c r="D1404" t="s">
        <v>3016</v>
      </c>
      <c r="E1404" t="s">
        <v>48</v>
      </c>
      <c r="F1404" t="s">
        <v>3017</v>
      </c>
      <c r="G1404" t="str">
        <f>"00014351"</f>
        <v>00014351</v>
      </c>
      <c r="H1404" t="s">
        <v>1094</v>
      </c>
      <c r="I1404">
        <v>0</v>
      </c>
      <c r="J1404">
        <v>0</v>
      </c>
      <c r="K1404">
        <v>0</v>
      </c>
      <c r="L1404">
        <v>200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X1404">
        <v>0</v>
      </c>
      <c r="Y1404" t="s">
        <v>3018</v>
      </c>
    </row>
    <row r="1405" spans="1:25" x14ac:dyDescent="0.25">
      <c r="H1405" t="s">
        <v>203</v>
      </c>
    </row>
    <row r="1406" spans="1:25" x14ac:dyDescent="0.25">
      <c r="A1406">
        <v>700</v>
      </c>
      <c r="B1406">
        <v>2801</v>
      </c>
      <c r="C1406" t="s">
        <v>3019</v>
      </c>
      <c r="D1406" t="s">
        <v>83</v>
      </c>
      <c r="E1406" t="s">
        <v>565</v>
      </c>
      <c r="F1406" t="s">
        <v>3020</v>
      </c>
      <c r="G1406" t="str">
        <f>"00014561"</f>
        <v>00014561</v>
      </c>
      <c r="H1406" t="s">
        <v>1602</v>
      </c>
      <c r="I1406">
        <v>0</v>
      </c>
      <c r="J1406">
        <v>0</v>
      </c>
      <c r="K1406">
        <v>0</v>
      </c>
      <c r="L1406">
        <v>0</v>
      </c>
      <c r="M1406">
        <v>100</v>
      </c>
      <c r="N1406">
        <v>70</v>
      </c>
      <c r="O1406">
        <v>0</v>
      </c>
      <c r="P1406">
        <v>50</v>
      </c>
      <c r="Q1406">
        <v>0</v>
      </c>
      <c r="R1406">
        <v>0</v>
      </c>
      <c r="S1406">
        <v>0</v>
      </c>
      <c r="T1406">
        <v>0</v>
      </c>
      <c r="U1406">
        <v>0</v>
      </c>
      <c r="X1406">
        <v>0</v>
      </c>
      <c r="Y1406" t="s">
        <v>3021</v>
      </c>
    </row>
    <row r="1407" spans="1:25" x14ac:dyDescent="0.25">
      <c r="H1407" t="s">
        <v>3022</v>
      </c>
    </row>
    <row r="1408" spans="1:25" x14ac:dyDescent="0.25">
      <c r="A1408">
        <v>701</v>
      </c>
      <c r="B1408">
        <v>826</v>
      </c>
      <c r="C1408" t="s">
        <v>1025</v>
      </c>
      <c r="D1408" t="s">
        <v>3023</v>
      </c>
      <c r="E1408" t="s">
        <v>417</v>
      </c>
      <c r="F1408" t="s">
        <v>3024</v>
      </c>
      <c r="G1408" t="str">
        <f>"00013895"</f>
        <v>00013895</v>
      </c>
      <c r="H1408" t="s">
        <v>3025</v>
      </c>
      <c r="I1408">
        <v>0</v>
      </c>
      <c r="J1408">
        <v>0</v>
      </c>
      <c r="K1408">
        <v>0</v>
      </c>
      <c r="L1408">
        <v>200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X1408">
        <v>0</v>
      </c>
      <c r="Y1408" t="s">
        <v>3026</v>
      </c>
    </row>
    <row r="1409" spans="1:25" x14ac:dyDescent="0.25">
      <c r="H1409" t="s">
        <v>3027</v>
      </c>
    </row>
    <row r="1410" spans="1:25" x14ac:dyDescent="0.25">
      <c r="A1410">
        <v>702</v>
      </c>
      <c r="B1410">
        <v>1505</v>
      </c>
      <c r="C1410" t="s">
        <v>2856</v>
      </c>
      <c r="D1410" t="s">
        <v>141</v>
      </c>
      <c r="E1410" t="s">
        <v>48</v>
      </c>
      <c r="F1410" t="s">
        <v>3028</v>
      </c>
      <c r="G1410" t="str">
        <f>"201511006442"</f>
        <v>201511006442</v>
      </c>
      <c r="H1410" t="s">
        <v>1273</v>
      </c>
      <c r="I1410">
        <v>0</v>
      </c>
      <c r="J1410">
        <v>0</v>
      </c>
      <c r="K1410">
        <v>0</v>
      </c>
      <c r="L1410">
        <v>200</v>
      </c>
      <c r="M1410">
        <v>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X1410">
        <v>0</v>
      </c>
      <c r="Y1410" t="s">
        <v>3029</v>
      </c>
    </row>
    <row r="1411" spans="1:25" x14ac:dyDescent="0.25">
      <c r="H1411" t="s">
        <v>3030</v>
      </c>
    </row>
    <row r="1412" spans="1:25" x14ac:dyDescent="0.25">
      <c r="A1412">
        <v>703</v>
      </c>
      <c r="B1412">
        <v>3144</v>
      </c>
      <c r="C1412" t="s">
        <v>3031</v>
      </c>
      <c r="D1412" t="s">
        <v>284</v>
      </c>
      <c r="E1412" t="s">
        <v>1313</v>
      </c>
      <c r="F1412" t="s">
        <v>3032</v>
      </c>
      <c r="G1412" t="str">
        <f>"201402003569"</f>
        <v>201402003569</v>
      </c>
      <c r="H1412" t="s">
        <v>1353</v>
      </c>
      <c r="I1412">
        <v>0</v>
      </c>
      <c r="J1412">
        <v>0</v>
      </c>
      <c r="K1412">
        <v>0</v>
      </c>
      <c r="L1412">
        <v>200</v>
      </c>
      <c r="M1412">
        <v>0</v>
      </c>
      <c r="N1412">
        <v>50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X1412">
        <v>0</v>
      </c>
      <c r="Y1412" t="s">
        <v>3033</v>
      </c>
    </row>
    <row r="1413" spans="1:25" x14ac:dyDescent="0.25">
      <c r="H1413" t="s">
        <v>3034</v>
      </c>
    </row>
    <row r="1414" spans="1:25" x14ac:dyDescent="0.25">
      <c r="A1414">
        <v>704</v>
      </c>
      <c r="B1414">
        <v>698</v>
      </c>
      <c r="C1414" t="s">
        <v>3035</v>
      </c>
      <c r="D1414" t="s">
        <v>3036</v>
      </c>
      <c r="E1414" t="s">
        <v>41</v>
      </c>
      <c r="F1414" t="s">
        <v>3037</v>
      </c>
      <c r="G1414" t="str">
        <f>"00015304"</f>
        <v>00015304</v>
      </c>
      <c r="H1414" t="s">
        <v>1209</v>
      </c>
      <c r="I1414">
        <v>0</v>
      </c>
      <c r="J1414">
        <v>0</v>
      </c>
      <c r="K1414">
        <v>0</v>
      </c>
      <c r="L1414">
        <v>0</v>
      </c>
      <c r="M1414">
        <v>100</v>
      </c>
      <c r="N1414">
        <v>70</v>
      </c>
      <c r="O1414">
        <v>0</v>
      </c>
      <c r="P1414">
        <v>50</v>
      </c>
      <c r="Q1414">
        <v>0</v>
      </c>
      <c r="R1414">
        <v>0</v>
      </c>
      <c r="S1414">
        <v>0</v>
      </c>
      <c r="T1414">
        <v>0</v>
      </c>
      <c r="U1414">
        <v>0</v>
      </c>
      <c r="X1414">
        <v>0</v>
      </c>
      <c r="Y1414" t="s">
        <v>3038</v>
      </c>
    </row>
    <row r="1415" spans="1:25" x14ac:dyDescent="0.25">
      <c r="H1415" t="s">
        <v>203</v>
      </c>
    </row>
    <row r="1416" spans="1:25" x14ac:dyDescent="0.25">
      <c r="A1416">
        <v>705</v>
      </c>
      <c r="B1416">
        <v>602</v>
      </c>
      <c r="C1416" t="s">
        <v>3039</v>
      </c>
      <c r="D1416" t="s">
        <v>93</v>
      </c>
      <c r="E1416" t="s">
        <v>21</v>
      </c>
      <c r="F1416" t="s">
        <v>3040</v>
      </c>
      <c r="G1416" t="str">
        <f>"00012958"</f>
        <v>00012958</v>
      </c>
      <c r="H1416" t="s">
        <v>428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70</v>
      </c>
      <c r="O1416">
        <v>0</v>
      </c>
      <c r="P1416">
        <v>70</v>
      </c>
      <c r="Q1416">
        <v>0</v>
      </c>
      <c r="R1416">
        <v>0</v>
      </c>
      <c r="S1416">
        <v>0</v>
      </c>
      <c r="T1416">
        <v>0</v>
      </c>
      <c r="U1416">
        <v>0</v>
      </c>
      <c r="X1416">
        <v>0</v>
      </c>
      <c r="Y1416" t="s">
        <v>3041</v>
      </c>
    </row>
    <row r="1417" spans="1:25" x14ac:dyDescent="0.25">
      <c r="H1417">
        <v>221</v>
      </c>
    </row>
    <row r="1418" spans="1:25" x14ac:dyDescent="0.25">
      <c r="A1418">
        <v>706</v>
      </c>
      <c r="B1418">
        <v>642</v>
      </c>
      <c r="C1418" t="s">
        <v>3042</v>
      </c>
      <c r="D1418" t="s">
        <v>2121</v>
      </c>
      <c r="E1418" t="s">
        <v>21</v>
      </c>
      <c r="F1418" t="s">
        <v>3043</v>
      </c>
      <c r="G1418" t="str">
        <f>"00010808"</f>
        <v>00010808</v>
      </c>
      <c r="H1418" t="s">
        <v>625</v>
      </c>
      <c r="I1418">
        <v>0</v>
      </c>
      <c r="J1418">
        <v>0</v>
      </c>
      <c r="K1418">
        <v>0</v>
      </c>
      <c r="L1418">
        <v>200</v>
      </c>
      <c r="M1418">
        <v>0</v>
      </c>
      <c r="N1418">
        <v>30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X1418">
        <v>0</v>
      </c>
      <c r="Y1418" t="s">
        <v>3044</v>
      </c>
    </row>
    <row r="1419" spans="1:25" x14ac:dyDescent="0.25">
      <c r="H1419" t="s">
        <v>3045</v>
      </c>
    </row>
    <row r="1420" spans="1:25" x14ac:dyDescent="0.25">
      <c r="A1420">
        <v>707</v>
      </c>
      <c r="B1420">
        <v>1701</v>
      </c>
      <c r="C1420" t="s">
        <v>3046</v>
      </c>
      <c r="D1420" t="s">
        <v>87</v>
      </c>
      <c r="E1420" t="s">
        <v>21</v>
      </c>
      <c r="F1420" t="s">
        <v>3047</v>
      </c>
      <c r="G1420" t="str">
        <f>"00011596"</f>
        <v>00011596</v>
      </c>
      <c r="H1420" t="s">
        <v>1122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X1420">
        <v>0</v>
      </c>
      <c r="Y1420" t="s">
        <v>3048</v>
      </c>
    </row>
    <row r="1421" spans="1:25" x14ac:dyDescent="0.25">
      <c r="H1421" t="s">
        <v>3049</v>
      </c>
    </row>
    <row r="1422" spans="1:25" x14ac:dyDescent="0.25">
      <c r="A1422">
        <v>708</v>
      </c>
      <c r="B1422">
        <v>637</v>
      </c>
      <c r="C1422" t="s">
        <v>3050</v>
      </c>
      <c r="D1422" t="s">
        <v>98</v>
      </c>
      <c r="E1422" t="s">
        <v>48</v>
      </c>
      <c r="F1422" t="s">
        <v>3051</v>
      </c>
      <c r="G1422" t="str">
        <f>"201504000549"</f>
        <v>201504000549</v>
      </c>
      <c r="H1422" t="s">
        <v>1301</v>
      </c>
      <c r="I1422">
        <v>0</v>
      </c>
      <c r="J1422">
        <v>0</v>
      </c>
      <c r="K1422">
        <v>0</v>
      </c>
      <c r="L1422">
        <v>200</v>
      </c>
      <c r="M1422">
        <v>0</v>
      </c>
      <c r="N1422">
        <v>50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X1422">
        <v>0</v>
      </c>
      <c r="Y1422" t="s">
        <v>3048</v>
      </c>
    </row>
    <row r="1423" spans="1:25" x14ac:dyDescent="0.25">
      <c r="H1423" t="s">
        <v>3052</v>
      </c>
    </row>
    <row r="1424" spans="1:25" x14ac:dyDescent="0.25">
      <c r="A1424">
        <v>709</v>
      </c>
      <c r="B1424">
        <v>301</v>
      </c>
      <c r="C1424" t="s">
        <v>1645</v>
      </c>
      <c r="D1424" t="s">
        <v>70</v>
      </c>
      <c r="E1424" t="s">
        <v>48</v>
      </c>
      <c r="F1424" t="s">
        <v>3053</v>
      </c>
      <c r="G1424" t="str">
        <f>"201412002062"</f>
        <v>201412002062</v>
      </c>
      <c r="H1424" t="s">
        <v>3054</v>
      </c>
      <c r="I1424">
        <v>0</v>
      </c>
      <c r="J1424">
        <v>0</v>
      </c>
      <c r="K1424">
        <v>0</v>
      </c>
      <c r="L1424">
        <v>200</v>
      </c>
      <c r="M1424">
        <v>0</v>
      </c>
      <c r="N1424">
        <v>70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X1424">
        <v>0</v>
      </c>
      <c r="Y1424" t="s">
        <v>3055</v>
      </c>
    </row>
    <row r="1425" spans="1:25" x14ac:dyDescent="0.25">
      <c r="H1425" t="s">
        <v>52</v>
      </c>
    </row>
    <row r="1426" spans="1:25" x14ac:dyDescent="0.25">
      <c r="A1426">
        <v>710</v>
      </c>
      <c r="B1426">
        <v>1749</v>
      </c>
      <c r="C1426" t="s">
        <v>3056</v>
      </c>
      <c r="D1426" t="s">
        <v>2121</v>
      </c>
      <c r="E1426" t="s">
        <v>41</v>
      </c>
      <c r="F1426" t="s">
        <v>3057</v>
      </c>
      <c r="G1426" t="str">
        <f>"00012278"</f>
        <v>00012278</v>
      </c>
      <c r="H1426" t="s">
        <v>3058</v>
      </c>
      <c r="I1426">
        <v>0</v>
      </c>
      <c r="J1426">
        <v>0</v>
      </c>
      <c r="K1426">
        <v>0</v>
      </c>
      <c r="L1426">
        <v>200</v>
      </c>
      <c r="M1426">
        <v>0</v>
      </c>
      <c r="N1426">
        <v>70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X1426">
        <v>0</v>
      </c>
      <c r="Y1426" t="s">
        <v>3059</v>
      </c>
    </row>
    <row r="1427" spans="1:25" x14ac:dyDescent="0.25">
      <c r="H1427" t="s">
        <v>3060</v>
      </c>
    </row>
    <row r="1428" spans="1:25" x14ac:dyDescent="0.25">
      <c r="A1428">
        <v>711</v>
      </c>
      <c r="B1428">
        <v>2280</v>
      </c>
      <c r="C1428" t="s">
        <v>3061</v>
      </c>
      <c r="D1428" t="s">
        <v>1071</v>
      </c>
      <c r="E1428" t="s">
        <v>41</v>
      </c>
      <c r="F1428" t="s">
        <v>3062</v>
      </c>
      <c r="G1428" t="str">
        <f>"00014752"</f>
        <v>00014752</v>
      </c>
      <c r="H1428" t="s">
        <v>1387</v>
      </c>
      <c r="I1428">
        <v>0</v>
      </c>
      <c r="J1428">
        <v>0</v>
      </c>
      <c r="K1428">
        <v>0</v>
      </c>
      <c r="L1428">
        <v>200</v>
      </c>
      <c r="M1428">
        <v>0</v>
      </c>
      <c r="N1428">
        <v>0</v>
      </c>
      <c r="O1428">
        <v>0</v>
      </c>
      <c r="P1428">
        <v>30</v>
      </c>
      <c r="Q1428">
        <v>0</v>
      </c>
      <c r="R1428">
        <v>0</v>
      </c>
      <c r="S1428">
        <v>0</v>
      </c>
      <c r="T1428">
        <v>0</v>
      </c>
      <c r="U1428">
        <v>0</v>
      </c>
      <c r="X1428">
        <v>0</v>
      </c>
      <c r="Y1428" t="s">
        <v>3063</v>
      </c>
    </row>
    <row r="1429" spans="1:25" x14ac:dyDescent="0.25">
      <c r="H1429" t="s">
        <v>3064</v>
      </c>
    </row>
    <row r="1430" spans="1:25" x14ac:dyDescent="0.25">
      <c r="A1430">
        <v>712</v>
      </c>
      <c r="B1430">
        <v>552</v>
      </c>
      <c r="C1430" t="s">
        <v>3065</v>
      </c>
      <c r="D1430" t="s">
        <v>124</v>
      </c>
      <c r="E1430" t="s">
        <v>451</v>
      </c>
      <c r="F1430" t="s">
        <v>3066</v>
      </c>
      <c r="G1430" t="str">
        <f>"201411003524"</f>
        <v>201411003524</v>
      </c>
      <c r="H1430" t="s">
        <v>461</v>
      </c>
      <c r="I1430">
        <v>0</v>
      </c>
      <c r="J1430">
        <v>0</v>
      </c>
      <c r="K1430">
        <v>0</v>
      </c>
      <c r="L1430">
        <v>0</v>
      </c>
      <c r="M1430">
        <v>100</v>
      </c>
      <c r="N1430">
        <v>70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X1430">
        <v>0</v>
      </c>
      <c r="Y1430" t="s">
        <v>3067</v>
      </c>
    </row>
    <row r="1431" spans="1:25" x14ac:dyDescent="0.25">
      <c r="H1431" t="s">
        <v>1944</v>
      </c>
    </row>
    <row r="1432" spans="1:25" x14ac:dyDescent="0.25">
      <c r="A1432">
        <v>713</v>
      </c>
      <c r="B1432">
        <v>1261</v>
      </c>
      <c r="C1432" t="s">
        <v>3068</v>
      </c>
      <c r="D1432" t="s">
        <v>526</v>
      </c>
      <c r="E1432" t="s">
        <v>21</v>
      </c>
      <c r="F1432" t="s">
        <v>3069</v>
      </c>
      <c r="G1432" t="str">
        <f>"201406008759"</f>
        <v>201406008759</v>
      </c>
      <c r="H1432" t="s">
        <v>1329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30</v>
      </c>
      <c r="O1432">
        <v>30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X1432">
        <v>0</v>
      </c>
      <c r="Y1432" t="s">
        <v>3070</v>
      </c>
    </row>
    <row r="1433" spans="1:25" x14ac:dyDescent="0.25">
      <c r="H1433" t="s">
        <v>3071</v>
      </c>
    </row>
    <row r="1434" spans="1:25" x14ac:dyDescent="0.25">
      <c r="A1434">
        <v>714</v>
      </c>
      <c r="B1434">
        <v>2029</v>
      </c>
      <c r="C1434" t="s">
        <v>210</v>
      </c>
      <c r="D1434" t="s">
        <v>3072</v>
      </c>
      <c r="E1434" t="s">
        <v>417</v>
      </c>
      <c r="F1434" t="s">
        <v>3073</v>
      </c>
      <c r="G1434" t="str">
        <f>"201502001340"</f>
        <v>201502001340</v>
      </c>
      <c r="H1434">
        <v>682</v>
      </c>
      <c r="I1434">
        <v>0</v>
      </c>
      <c r="J1434">
        <v>0</v>
      </c>
      <c r="K1434">
        <v>0</v>
      </c>
      <c r="L1434">
        <v>200</v>
      </c>
      <c r="M1434">
        <v>0</v>
      </c>
      <c r="N1434">
        <v>50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X1434">
        <v>0</v>
      </c>
      <c r="Y1434">
        <v>932</v>
      </c>
    </row>
    <row r="1435" spans="1:25" x14ac:dyDescent="0.25">
      <c r="H1435" t="s">
        <v>3074</v>
      </c>
    </row>
    <row r="1436" spans="1:25" x14ac:dyDescent="0.25">
      <c r="A1436">
        <v>715</v>
      </c>
      <c r="B1436">
        <v>459</v>
      </c>
      <c r="C1436" t="s">
        <v>3075</v>
      </c>
      <c r="D1436" t="s">
        <v>41</v>
      </c>
      <c r="E1436" t="s">
        <v>124</v>
      </c>
      <c r="F1436" t="s">
        <v>3076</v>
      </c>
      <c r="G1436" t="str">
        <f>"201504004646"</f>
        <v>201504004646</v>
      </c>
      <c r="H1436" t="s">
        <v>768</v>
      </c>
      <c r="I1436">
        <v>0</v>
      </c>
      <c r="J1436">
        <v>0</v>
      </c>
      <c r="K1436">
        <v>0</v>
      </c>
      <c r="L1436">
        <v>0</v>
      </c>
      <c r="M1436">
        <v>100</v>
      </c>
      <c r="N1436">
        <v>70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X1436">
        <v>0</v>
      </c>
      <c r="Y1436" t="s">
        <v>3077</v>
      </c>
    </row>
    <row r="1437" spans="1:25" x14ac:dyDescent="0.25">
      <c r="H1437" t="s">
        <v>3078</v>
      </c>
    </row>
    <row r="1438" spans="1:25" x14ac:dyDescent="0.25">
      <c r="A1438">
        <v>716</v>
      </c>
      <c r="B1438">
        <v>2637</v>
      </c>
      <c r="C1438" t="s">
        <v>3079</v>
      </c>
      <c r="D1438" t="s">
        <v>526</v>
      </c>
      <c r="E1438" t="s">
        <v>87</v>
      </c>
      <c r="F1438" t="s">
        <v>3080</v>
      </c>
      <c r="G1438" t="str">
        <f>"201406008323"</f>
        <v>201406008323</v>
      </c>
      <c r="H1438">
        <v>781</v>
      </c>
      <c r="I1438">
        <v>150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X1438">
        <v>0</v>
      </c>
      <c r="Y1438">
        <v>931</v>
      </c>
    </row>
    <row r="1439" spans="1:25" x14ac:dyDescent="0.25">
      <c r="H1439" t="s">
        <v>203</v>
      </c>
    </row>
    <row r="1440" spans="1:25" x14ac:dyDescent="0.25">
      <c r="A1440">
        <v>717</v>
      </c>
      <c r="B1440">
        <v>2577</v>
      </c>
      <c r="C1440" t="s">
        <v>3081</v>
      </c>
      <c r="D1440" t="s">
        <v>300</v>
      </c>
      <c r="E1440" t="s">
        <v>48</v>
      </c>
      <c r="F1440" t="s">
        <v>3082</v>
      </c>
      <c r="G1440" t="str">
        <f>"20160705503"</f>
        <v>20160705503</v>
      </c>
      <c r="H1440">
        <v>660</v>
      </c>
      <c r="I1440">
        <v>0</v>
      </c>
      <c r="J1440">
        <v>0</v>
      </c>
      <c r="K1440">
        <v>0</v>
      </c>
      <c r="L1440">
        <v>200</v>
      </c>
      <c r="M1440">
        <v>0</v>
      </c>
      <c r="N1440">
        <v>70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X1440">
        <v>0</v>
      </c>
      <c r="Y1440">
        <v>930</v>
      </c>
    </row>
    <row r="1441" spans="1:25" x14ac:dyDescent="0.25">
      <c r="H1441" t="s">
        <v>162</v>
      </c>
    </row>
    <row r="1442" spans="1:25" x14ac:dyDescent="0.25">
      <c r="A1442">
        <v>718</v>
      </c>
      <c r="B1442">
        <v>3328</v>
      </c>
      <c r="C1442" t="s">
        <v>3083</v>
      </c>
      <c r="D1442" t="s">
        <v>278</v>
      </c>
      <c r="E1442" t="s">
        <v>3036</v>
      </c>
      <c r="F1442" t="s">
        <v>3084</v>
      </c>
      <c r="G1442" t="str">
        <f>"201605000127"</f>
        <v>201605000127</v>
      </c>
      <c r="H1442" t="s">
        <v>2523</v>
      </c>
      <c r="I1442">
        <v>0</v>
      </c>
      <c r="J1442">
        <v>0</v>
      </c>
      <c r="K1442">
        <v>0</v>
      </c>
      <c r="L1442">
        <v>200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X1442">
        <v>0</v>
      </c>
      <c r="Y1442" t="s">
        <v>3085</v>
      </c>
    </row>
    <row r="1443" spans="1:25" x14ac:dyDescent="0.25">
      <c r="H1443" t="s">
        <v>3086</v>
      </c>
    </row>
    <row r="1444" spans="1:25" x14ac:dyDescent="0.25">
      <c r="A1444">
        <v>719</v>
      </c>
      <c r="B1444">
        <v>360</v>
      </c>
      <c r="C1444" t="s">
        <v>3087</v>
      </c>
      <c r="D1444" t="s">
        <v>2152</v>
      </c>
      <c r="E1444" t="s">
        <v>440</v>
      </c>
      <c r="F1444" t="s">
        <v>3088</v>
      </c>
      <c r="G1444" t="str">
        <f>"00015134"</f>
        <v>00015134</v>
      </c>
      <c r="H1444" t="s">
        <v>43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70</v>
      </c>
      <c r="O1444">
        <v>0</v>
      </c>
      <c r="P1444">
        <v>50</v>
      </c>
      <c r="Q1444">
        <v>0</v>
      </c>
      <c r="R1444">
        <v>0</v>
      </c>
      <c r="S1444">
        <v>0</v>
      </c>
      <c r="T1444">
        <v>0</v>
      </c>
      <c r="U1444">
        <v>0</v>
      </c>
      <c r="X1444">
        <v>0</v>
      </c>
      <c r="Y1444" t="s">
        <v>3089</v>
      </c>
    </row>
    <row r="1445" spans="1:25" x14ac:dyDescent="0.25">
      <c r="H1445" t="s">
        <v>1138</v>
      </c>
    </row>
    <row r="1446" spans="1:25" x14ac:dyDescent="0.25">
      <c r="A1446">
        <v>720</v>
      </c>
      <c r="B1446">
        <v>1616</v>
      </c>
      <c r="C1446" t="s">
        <v>3090</v>
      </c>
      <c r="D1446" t="s">
        <v>2797</v>
      </c>
      <c r="E1446" t="s">
        <v>896</v>
      </c>
      <c r="F1446" t="s">
        <v>3091</v>
      </c>
      <c r="G1446" t="str">
        <f>"201406009339"</f>
        <v>201406009339</v>
      </c>
      <c r="H1446" t="s">
        <v>287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70</v>
      </c>
      <c r="O1446">
        <v>50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X1446">
        <v>0</v>
      </c>
      <c r="Y1446" t="s">
        <v>3092</v>
      </c>
    </row>
    <row r="1447" spans="1:25" x14ac:dyDescent="0.25">
      <c r="H1447" t="s">
        <v>3093</v>
      </c>
    </row>
    <row r="1448" spans="1:25" x14ac:dyDescent="0.25">
      <c r="A1448">
        <v>721</v>
      </c>
      <c r="B1448">
        <v>315</v>
      </c>
      <c r="C1448" t="s">
        <v>1754</v>
      </c>
      <c r="D1448" t="s">
        <v>1087</v>
      </c>
      <c r="E1448" t="s">
        <v>3094</v>
      </c>
      <c r="F1448" t="s">
        <v>3095</v>
      </c>
      <c r="G1448" t="str">
        <f>"00015199"</f>
        <v>00015199</v>
      </c>
      <c r="H1448" t="s">
        <v>219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70</v>
      </c>
      <c r="O1448">
        <v>30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X1448">
        <v>2</v>
      </c>
      <c r="Y1448" t="s">
        <v>3096</v>
      </c>
    </row>
    <row r="1449" spans="1:25" x14ac:dyDescent="0.25">
      <c r="H1449">
        <v>221</v>
      </c>
    </row>
    <row r="1450" spans="1:25" x14ac:dyDescent="0.25">
      <c r="A1450">
        <v>722</v>
      </c>
      <c r="B1450">
        <v>385</v>
      </c>
      <c r="C1450" t="s">
        <v>3097</v>
      </c>
      <c r="D1450" t="s">
        <v>199</v>
      </c>
      <c r="E1450" t="s">
        <v>118</v>
      </c>
      <c r="F1450" t="s">
        <v>3098</v>
      </c>
      <c r="G1450" t="str">
        <f>"00014515"</f>
        <v>00014515</v>
      </c>
      <c r="H1450" t="s">
        <v>630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70</v>
      </c>
      <c r="O1450">
        <v>0</v>
      </c>
      <c r="P1450">
        <v>50</v>
      </c>
      <c r="Q1450">
        <v>0</v>
      </c>
      <c r="R1450">
        <v>50</v>
      </c>
      <c r="S1450">
        <v>0</v>
      </c>
      <c r="T1450">
        <v>0</v>
      </c>
      <c r="U1450">
        <v>0</v>
      </c>
      <c r="X1450">
        <v>0</v>
      </c>
      <c r="Y1450" t="s">
        <v>3099</v>
      </c>
    </row>
    <row r="1451" spans="1:25" x14ac:dyDescent="0.25">
      <c r="H1451" t="s">
        <v>3100</v>
      </c>
    </row>
    <row r="1452" spans="1:25" x14ac:dyDescent="0.25">
      <c r="A1452">
        <v>723</v>
      </c>
      <c r="B1452">
        <v>1055</v>
      </c>
      <c r="C1452" t="s">
        <v>3101</v>
      </c>
      <c r="D1452" t="s">
        <v>181</v>
      </c>
      <c r="E1452" t="s">
        <v>48</v>
      </c>
      <c r="F1452" t="s">
        <v>3102</v>
      </c>
      <c r="G1452" t="str">
        <f>"201504005124"</f>
        <v>201504005124</v>
      </c>
      <c r="H1452">
        <v>825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70</v>
      </c>
      <c r="O1452">
        <v>30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X1452">
        <v>0</v>
      </c>
      <c r="Y1452">
        <v>925</v>
      </c>
    </row>
    <row r="1453" spans="1:25" x14ac:dyDescent="0.25">
      <c r="H1453" t="s">
        <v>3103</v>
      </c>
    </row>
    <row r="1454" spans="1:25" x14ac:dyDescent="0.25">
      <c r="A1454">
        <v>724</v>
      </c>
      <c r="B1454">
        <v>587</v>
      </c>
      <c r="C1454" t="s">
        <v>3104</v>
      </c>
      <c r="D1454" t="s">
        <v>98</v>
      </c>
      <c r="E1454" t="s">
        <v>334</v>
      </c>
      <c r="F1454" t="s">
        <v>3105</v>
      </c>
      <c r="G1454" t="str">
        <f>"00013546"</f>
        <v>00013546</v>
      </c>
      <c r="H1454" t="s">
        <v>567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30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X1454">
        <v>0</v>
      </c>
      <c r="Y1454" t="s">
        <v>3106</v>
      </c>
    </row>
    <row r="1455" spans="1:25" x14ac:dyDescent="0.25">
      <c r="H1455" t="s">
        <v>3107</v>
      </c>
    </row>
    <row r="1456" spans="1:25" x14ac:dyDescent="0.25">
      <c r="A1456">
        <v>725</v>
      </c>
      <c r="B1456">
        <v>2519</v>
      </c>
      <c r="C1456" t="s">
        <v>3108</v>
      </c>
      <c r="D1456" t="s">
        <v>3109</v>
      </c>
      <c r="E1456" t="s">
        <v>907</v>
      </c>
      <c r="F1456" t="s">
        <v>3110</v>
      </c>
      <c r="G1456" t="str">
        <f>"00012957"</f>
        <v>00012957</v>
      </c>
      <c r="H1456" t="s">
        <v>313</v>
      </c>
      <c r="I1456">
        <v>0</v>
      </c>
      <c r="J1456">
        <v>0</v>
      </c>
      <c r="K1456">
        <v>0</v>
      </c>
      <c r="L1456">
        <v>0</v>
      </c>
      <c r="M1456">
        <v>100</v>
      </c>
      <c r="N1456">
        <v>70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X1456">
        <v>1</v>
      </c>
      <c r="Y1456" t="s">
        <v>3106</v>
      </c>
    </row>
    <row r="1457" spans="1:25" x14ac:dyDescent="0.25">
      <c r="H1457" t="s">
        <v>3111</v>
      </c>
    </row>
    <row r="1458" spans="1:25" x14ac:dyDescent="0.25">
      <c r="A1458">
        <v>726</v>
      </c>
      <c r="B1458">
        <v>271</v>
      </c>
      <c r="C1458" t="s">
        <v>3112</v>
      </c>
      <c r="D1458" t="s">
        <v>2547</v>
      </c>
      <c r="E1458" t="s">
        <v>217</v>
      </c>
      <c r="F1458" t="s">
        <v>3113</v>
      </c>
      <c r="G1458" t="str">
        <f>"201512001765"</f>
        <v>201512001765</v>
      </c>
      <c r="H1458" t="s">
        <v>1997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70</v>
      </c>
      <c r="O1458">
        <v>0</v>
      </c>
      <c r="P1458">
        <v>30</v>
      </c>
      <c r="Q1458">
        <v>0</v>
      </c>
      <c r="R1458">
        <v>0</v>
      </c>
      <c r="S1458">
        <v>0</v>
      </c>
      <c r="T1458">
        <v>0</v>
      </c>
      <c r="U1458">
        <v>0</v>
      </c>
      <c r="X1458">
        <v>0</v>
      </c>
      <c r="Y1458" t="s">
        <v>3114</v>
      </c>
    </row>
    <row r="1459" spans="1:25" x14ac:dyDescent="0.25">
      <c r="H1459" t="s">
        <v>3115</v>
      </c>
    </row>
    <row r="1460" spans="1:25" x14ac:dyDescent="0.25">
      <c r="A1460">
        <v>727</v>
      </c>
      <c r="B1460">
        <v>2494</v>
      </c>
      <c r="C1460" t="s">
        <v>3116</v>
      </c>
      <c r="D1460" t="s">
        <v>3117</v>
      </c>
      <c r="E1460" t="s">
        <v>83</v>
      </c>
      <c r="F1460" t="s">
        <v>3118</v>
      </c>
      <c r="G1460" t="str">
        <f>"00013281"</f>
        <v>00013281</v>
      </c>
      <c r="H1460" t="s">
        <v>3003</v>
      </c>
      <c r="I1460">
        <v>0</v>
      </c>
      <c r="J1460">
        <v>0</v>
      </c>
      <c r="K1460">
        <v>0</v>
      </c>
      <c r="L1460">
        <v>200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X1460">
        <v>1</v>
      </c>
      <c r="Y1460" t="s">
        <v>3119</v>
      </c>
    </row>
    <row r="1461" spans="1:25" x14ac:dyDescent="0.25">
      <c r="H1461" t="s">
        <v>3120</v>
      </c>
    </row>
    <row r="1462" spans="1:25" x14ac:dyDescent="0.25">
      <c r="A1462">
        <v>728</v>
      </c>
      <c r="B1462">
        <v>2843</v>
      </c>
      <c r="C1462" t="s">
        <v>3121</v>
      </c>
      <c r="D1462" t="s">
        <v>842</v>
      </c>
      <c r="E1462" t="s">
        <v>22</v>
      </c>
      <c r="F1462" t="s">
        <v>3122</v>
      </c>
      <c r="G1462" t="str">
        <f>"00012266"</f>
        <v>00012266</v>
      </c>
      <c r="H1462">
        <v>671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50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X1462">
        <v>0</v>
      </c>
      <c r="Y1462">
        <v>921</v>
      </c>
    </row>
    <row r="1463" spans="1:25" x14ac:dyDescent="0.25">
      <c r="H1463" t="s">
        <v>3123</v>
      </c>
    </row>
    <row r="1464" spans="1:25" x14ac:dyDescent="0.25">
      <c r="A1464">
        <v>729</v>
      </c>
      <c r="B1464">
        <v>1266</v>
      </c>
      <c r="C1464" t="s">
        <v>3124</v>
      </c>
      <c r="D1464" t="s">
        <v>450</v>
      </c>
      <c r="E1464" t="s">
        <v>306</v>
      </c>
      <c r="F1464" t="s">
        <v>3125</v>
      </c>
      <c r="G1464" t="str">
        <f>"00014489"</f>
        <v>00014489</v>
      </c>
      <c r="H1464" t="s">
        <v>1089</v>
      </c>
      <c r="I1464">
        <v>0</v>
      </c>
      <c r="J1464">
        <v>0</v>
      </c>
      <c r="K1464">
        <v>0</v>
      </c>
      <c r="L1464">
        <v>200</v>
      </c>
      <c r="M1464">
        <v>0</v>
      </c>
      <c r="N1464">
        <v>50</v>
      </c>
      <c r="O1464">
        <v>30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X1464">
        <v>0</v>
      </c>
      <c r="Y1464" t="s">
        <v>3126</v>
      </c>
    </row>
    <row r="1465" spans="1:25" x14ac:dyDescent="0.25">
      <c r="H1465" t="s">
        <v>3127</v>
      </c>
    </row>
    <row r="1466" spans="1:25" x14ac:dyDescent="0.25">
      <c r="A1466">
        <v>730</v>
      </c>
      <c r="B1466">
        <v>2125</v>
      </c>
      <c r="C1466" t="s">
        <v>326</v>
      </c>
      <c r="D1466" t="s">
        <v>498</v>
      </c>
      <c r="E1466" t="s">
        <v>22</v>
      </c>
      <c r="F1466" t="s">
        <v>3128</v>
      </c>
      <c r="G1466" t="str">
        <f>"00014627"</f>
        <v>00014627</v>
      </c>
      <c r="H1466" t="s">
        <v>1602</v>
      </c>
      <c r="I1466">
        <v>0</v>
      </c>
      <c r="J1466">
        <v>0</v>
      </c>
      <c r="K1466">
        <v>0</v>
      </c>
      <c r="L1466">
        <v>0</v>
      </c>
      <c r="M1466">
        <v>100</v>
      </c>
      <c r="N1466">
        <v>70</v>
      </c>
      <c r="O1466">
        <v>0</v>
      </c>
      <c r="P1466">
        <v>0</v>
      </c>
      <c r="Q1466">
        <v>0</v>
      </c>
      <c r="R1466">
        <v>30</v>
      </c>
      <c r="S1466">
        <v>0</v>
      </c>
      <c r="T1466">
        <v>0</v>
      </c>
      <c r="U1466">
        <v>0</v>
      </c>
      <c r="X1466">
        <v>0</v>
      </c>
      <c r="Y1466" t="s">
        <v>3129</v>
      </c>
    </row>
    <row r="1467" spans="1:25" x14ac:dyDescent="0.25">
      <c r="H1467">
        <v>221</v>
      </c>
    </row>
    <row r="1468" spans="1:25" x14ac:dyDescent="0.25">
      <c r="A1468">
        <v>731</v>
      </c>
      <c r="B1468">
        <v>2526</v>
      </c>
      <c r="C1468" t="s">
        <v>3130</v>
      </c>
      <c r="D1468" t="s">
        <v>330</v>
      </c>
      <c r="E1468" t="s">
        <v>451</v>
      </c>
      <c r="F1468" t="s">
        <v>3131</v>
      </c>
      <c r="G1468" t="str">
        <f>"00014045"</f>
        <v>00014045</v>
      </c>
      <c r="H1468" t="s">
        <v>803</v>
      </c>
      <c r="I1468">
        <v>0</v>
      </c>
      <c r="J1468">
        <v>0</v>
      </c>
      <c r="K1468">
        <v>0</v>
      </c>
      <c r="L1468">
        <v>0</v>
      </c>
      <c r="M1468">
        <v>100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X1468">
        <v>0</v>
      </c>
      <c r="Y1468" t="s">
        <v>3132</v>
      </c>
    </row>
    <row r="1469" spans="1:25" x14ac:dyDescent="0.25">
      <c r="H1469" t="s">
        <v>1944</v>
      </c>
    </row>
    <row r="1470" spans="1:25" x14ac:dyDescent="0.25">
      <c r="A1470">
        <v>732</v>
      </c>
      <c r="B1470">
        <v>762</v>
      </c>
      <c r="C1470" t="s">
        <v>3133</v>
      </c>
      <c r="D1470" t="s">
        <v>112</v>
      </c>
      <c r="E1470" t="s">
        <v>217</v>
      </c>
      <c r="F1470" t="s">
        <v>3134</v>
      </c>
      <c r="G1470" t="str">
        <f>"00013969"</f>
        <v>00013969</v>
      </c>
      <c r="H1470" t="s">
        <v>3135</v>
      </c>
      <c r="I1470">
        <v>0</v>
      </c>
      <c r="J1470">
        <v>0</v>
      </c>
      <c r="K1470">
        <v>0</v>
      </c>
      <c r="L1470">
        <v>200</v>
      </c>
      <c r="M1470">
        <v>0</v>
      </c>
      <c r="N1470">
        <v>30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X1470">
        <v>0</v>
      </c>
      <c r="Y1470" t="s">
        <v>3136</v>
      </c>
    </row>
    <row r="1471" spans="1:25" x14ac:dyDescent="0.25">
      <c r="H1471" t="s">
        <v>3137</v>
      </c>
    </row>
    <row r="1472" spans="1:25" x14ac:dyDescent="0.25">
      <c r="A1472">
        <v>733</v>
      </c>
      <c r="B1472">
        <v>1252</v>
      </c>
      <c r="C1472" t="s">
        <v>3138</v>
      </c>
      <c r="D1472" t="s">
        <v>330</v>
      </c>
      <c r="E1472" t="s">
        <v>301</v>
      </c>
      <c r="F1472" t="s">
        <v>3139</v>
      </c>
      <c r="G1472" t="str">
        <f>"00014647"</f>
        <v>00014647</v>
      </c>
      <c r="H1472" t="s">
        <v>3135</v>
      </c>
      <c r="I1472">
        <v>0</v>
      </c>
      <c r="J1472">
        <v>0</v>
      </c>
      <c r="K1472">
        <v>0</v>
      </c>
      <c r="L1472">
        <v>200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X1472">
        <v>0</v>
      </c>
      <c r="Y1472" t="s">
        <v>3136</v>
      </c>
    </row>
    <row r="1473" spans="1:25" x14ac:dyDescent="0.25">
      <c r="H1473" t="s">
        <v>3140</v>
      </c>
    </row>
    <row r="1474" spans="1:25" x14ac:dyDescent="0.25">
      <c r="A1474">
        <v>734</v>
      </c>
      <c r="B1474">
        <v>2966</v>
      </c>
      <c r="C1474" t="s">
        <v>3141</v>
      </c>
      <c r="D1474" t="s">
        <v>147</v>
      </c>
      <c r="E1474" t="s">
        <v>3142</v>
      </c>
      <c r="F1474" t="s">
        <v>3143</v>
      </c>
      <c r="G1474" t="str">
        <f>"00013030"</f>
        <v>00013030</v>
      </c>
      <c r="H1474" t="s">
        <v>716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70</v>
      </c>
      <c r="O1474">
        <v>50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X1474">
        <v>0</v>
      </c>
      <c r="Y1474" t="s">
        <v>3144</v>
      </c>
    </row>
    <row r="1475" spans="1:25" x14ac:dyDescent="0.25">
      <c r="H1475" t="s">
        <v>3145</v>
      </c>
    </row>
    <row r="1476" spans="1:25" x14ac:dyDescent="0.25">
      <c r="A1476">
        <v>735</v>
      </c>
      <c r="B1476">
        <v>2215</v>
      </c>
      <c r="C1476" t="s">
        <v>3146</v>
      </c>
      <c r="D1476" t="s">
        <v>141</v>
      </c>
      <c r="E1476" t="s">
        <v>41</v>
      </c>
      <c r="F1476" t="s">
        <v>3147</v>
      </c>
      <c r="G1476" t="str">
        <f>"00014259"</f>
        <v>00014259</v>
      </c>
      <c r="H1476" t="s">
        <v>3148</v>
      </c>
      <c r="I1476">
        <v>0</v>
      </c>
      <c r="J1476">
        <v>0</v>
      </c>
      <c r="K1476">
        <v>0</v>
      </c>
      <c r="L1476">
        <v>200</v>
      </c>
      <c r="M1476">
        <v>0</v>
      </c>
      <c r="N1476">
        <v>30</v>
      </c>
      <c r="O1476">
        <v>50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X1476">
        <v>0</v>
      </c>
      <c r="Y1476" t="s">
        <v>3149</v>
      </c>
    </row>
    <row r="1477" spans="1:25" x14ac:dyDescent="0.25">
      <c r="H1477" t="s">
        <v>3150</v>
      </c>
    </row>
    <row r="1478" spans="1:25" x14ac:dyDescent="0.25">
      <c r="A1478">
        <v>736</v>
      </c>
      <c r="B1478">
        <v>2226</v>
      </c>
      <c r="C1478" t="s">
        <v>3151</v>
      </c>
      <c r="D1478" t="s">
        <v>217</v>
      </c>
      <c r="E1478" t="s">
        <v>21</v>
      </c>
      <c r="F1478" t="s">
        <v>3152</v>
      </c>
      <c r="G1478" t="str">
        <f>"201511024973"</f>
        <v>201511024973</v>
      </c>
      <c r="H1478" t="s">
        <v>1301</v>
      </c>
      <c r="I1478">
        <v>0</v>
      </c>
      <c r="J1478">
        <v>0</v>
      </c>
      <c r="K1478">
        <v>0</v>
      </c>
      <c r="L1478">
        <v>200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X1478">
        <v>0</v>
      </c>
      <c r="Y1478" t="s">
        <v>3153</v>
      </c>
    </row>
    <row r="1479" spans="1:25" x14ac:dyDescent="0.25">
      <c r="H1479" t="s">
        <v>3154</v>
      </c>
    </row>
    <row r="1480" spans="1:25" x14ac:dyDescent="0.25">
      <c r="A1480">
        <v>737</v>
      </c>
      <c r="B1480">
        <v>889</v>
      </c>
      <c r="C1480" t="s">
        <v>3155</v>
      </c>
      <c r="D1480" t="s">
        <v>267</v>
      </c>
      <c r="E1480" t="s">
        <v>124</v>
      </c>
      <c r="F1480" t="s">
        <v>3156</v>
      </c>
      <c r="G1480" t="str">
        <f>"00014389"</f>
        <v>00014389</v>
      </c>
      <c r="H1480" t="s">
        <v>1301</v>
      </c>
      <c r="I1480">
        <v>0</v>
      </c>
      <c r="J1480">
        <v>0</v>
      </c>
      <c r="K1480">
        <v>0</v>
      </c>
      <c r="L1480">
        <v>200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X1480">
        <v>0</v>
      </c>
      <c r="Y1480" t="s">
        <v>3153</v>
      </c>
    </row>
    <row r="1481" spans="1:25" x14ac:dyDescent="0.25">
      <c r="H1481" t="s">
        <v>3157</v>
      </c>
    </row>
    <row r="1482" spans="1:25" x14ac:dyDescent="0.25">
      <c r="A1482">
        <v>738</v>
      </c>
      <c r="B1482">
        <v>1370</v>
      </c>
      <c r="C1482" t="s">
        <v>3158</v>
      </c>
      <c r="D1482" t="s">
        <v>417</v>
      </c>
      <c r="E1482" t="s">
        <v>124</v>
      </c>
      <c r="F1482" t="s">
        <v>3159</v>
      </c>
      <c r="G1482" t="str">
        <f>"00014445"</f>
        <v>00014445</v>
      </c>
      <c r="H1482" t="s">
        <v>1301</v>
      </c>
      <c r="I1482">
        <v>0</v>
      </c>
      <c r="J1482">
        <v>0</v>
      </c>
      <c r="K1482">
        <v>0</v>
      </c>
      <c r="L1482">
        <v>200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X1482">
        <v>0</v>
      </c>
      <c r="Y1482" t="s">
        <v>3153</v>
      </c>
    </row>
    <row r="1483" spans="1:25" x14ac:dyDescent="0.25">
      <c r="H1483" t="s">
        <v>3160</v>
      </c>
    </row>
    <row r="1484" spans="1:25" x14ac:dyDescent="0.25">
      <c r="A1484">
        <v>739</v>
      </c>
      <c r="B1484">
        <v>749</v>
      </c>
      <c r="C1484" t="s">
        <v>3161</v>
      </c>
      <c r="D1484" t="s">
        <v>2564</v>
      </c>
      <c r="E1484" t="s">
        <v>124</v>
      </c>
      <c r="F1484" t="s">
        <v>3162</v>
      </c>
      <c r="G1484" t="str">
        <f>"00014667"</f>
        <v>00014667</v>
      </c>
      <c r="H1484" t="s">
        <v>1005</v>
      </c>
      <c r="I1484">
        <v>0</v>
      </c>
      <c r="J1484">
        <v>0</v>
      </c>
      <c r="K1484">
        <v>0</v>
      </c>
      <c r="L1484">
        <v>0</v>
      </c>
      <c r="M1484">
        <v>100</v>
      </c>
      <c r="N1484">
        <v>30</v>
      </c>
      <c r="O1484">
        <v>30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X1484">
        <v>0</v>
      </c>
      <c r="Y1484" t="s">
        <v>3163</v>
      </c>
    </row>
    <row r="1485" spans="1:25" x14ac:dyDescent="0.25">
      <c r="H1485" t="s">
        <v>3164</v>
      </c>
    </row>
    <row r="1486" spans="1:25" x14ac:dyDescent="0.25">
      <c r="A1486">
        <v>740</v>
      </c>
      <c r="B1486">
        <v>2169</v>
      </c>
      <c r="C1486" t="s">
        <v>3165</v>
      </c>
      <c r="D1486" t="s">
        <v>2019</v>
      </c>
      <c r="E1486" t="s">
        <v>66</v>
      </c>
      <c r="F1486" t="s">
        <v>3166</v>
      </c>
      <c r="G1486" t="str">
        <f>"201504003794"</f>
        <v>201504003794</v>
      </c>
      <c r="H1486" t="s">
        <v>795</v>
      </c>
      <c r="I1486">
        <v>0</v>
      </c>
      <c r="J1486">
        <v>0</v>
      </c>
      <c r="K1486">
        <v>0</v>
      </c>
      <c r="L1486">
        <v>0</v>
      </c>
      <c r="M1486">
        <v>100</v>
      </c>
      <c r="N1486">
        <v>70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X1486">
        <v>0</v>
      </c>
      <c r="Y1486" t="s">
        <v>3167</v>
      </c>
    </row>
    <row r="1487" spans="1:25" x14ac:dyDescent="0.25">
      <c r="H1487" t="s">
        <v>3168</v>
      </c>
    </row>
    <row r="1488" spans="1:25" x14ac:dyDescent="0.25">
      <c r="A1488">
        <v>741</v>
      </c>
      <c r="B1488">
        <v>938</v>
      </c>
      <c r="C1488" t="s">
        <v>3169</v>
      </c>
      <c r="D1488" t="s">
        <v>3170</v>
      </c>
      <c r="E1488" t="s">
        <v>3171</v>
      </c>
      <c r="F1488" t="s">
        <v>3172</v>
      </c>
      <c r="G1488" t="str">
        <f>"201511034404"</f>
        <v>201511034404</v>
      </c>
      <c r="H1488" t="s">
        <v>1290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70</v>
      </c>
      <c r="O1488">
        <v>70</v>
      </c>
      <c r="P1488">
        <v>0</v>
      </c>
      <c r="Q1488">
        <v>30</v>
      </c>
      <c r="R1488">
        <v>0</v>
      </c>
      <c r="S1488">
        <v>0</v>
      </c>
      <c r="T1488">
        <v>0</v>
      </c>
      <c r="U1488">
        <v>0</v>
      </c>
      <c r="X1488">
        <v>0</v>
      </c>
      <c r="Y1488" t="s">
        <v>3173</v>
      </c>
    </row>
    <row r="1489" spans="1:25" x14ac:dyDescent="0.25">
      <c r="H1489" t="s">
        <v>3174</v>
      </c>
    </row>
    <row r="1490" spans="1:25" x14ac:dyDescent="0.25">
      <c r="A1490">
        <v>742</v>
      </c>
      <c r="B1490">
        <v>1885</v>
      </c>
      <c r="C1490" t="s">
        <v>1864</v>
      </c>
      <c r="D1490" t="s">
        <v>301</v>
      </c>
      <c r="E1490" t="s">
        <v>217</v>
      </c>
      <c r="F1490" t="s">
        <v>3175</v>
      </c>
      <c r="G1490" t="str">
        <f>"201504002385"</f>
        <v>201504002385</v>
      </c>
      <c r="H1490" t="s">
        <v>705</v>
      </c>
      <c r="I1490">
        <v>0</v>
      </c>
      <c r="J1490">
        <v>0</v>
      </c>
      <c r="K1490">
        <v>0</v>
      </c>
      <c r="L1490">
        <v>0</v>
      </c>
      <c r="M1490">
        <v>100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X1490">
        <v>0</v>
      </c>
      <c r="Y1490" t="s">
        <v>3176</v>
      </c>
    </row>
    <row r="1491" spans="1:25" x14ac:dyDescent="0.25">
      <c r="H1491" t="s">
        <v>203</v>
      </c>
    </row>
    <row r="1492" spans="1:25" x14ac:dyDescent="0.25">
      <c r="A1492">
        <v>743</v>
      </c>
      <c r="B1492">
        <v>2962</v>
      </c>
      <c r="C1492" t="s">
        <v>3177</v>
      </c>
      <c r="D1492" t="s">
        <v>124</v>
      </c>
      <c r="E1492" t="s">
        <v>66</v>
      </c>
      <c r="F1492" t="s">
        <v>3178</v>
      </c>
      <c r="G1492" t="str">
        <f>"00012844"</f>
        <v>00012844</v>
      </c>
      <c r="H1492" t="s">
        <v>856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70</v>
      </c>
      <c r="O1492">
        <v>0</v>
      </c>
      <c r="P1492">
        <v>50</v>
      </c>
      <c r="Q1492">
        <v>0</v>
      </c>
      <c r="R1492">
        <v>0</v>
      </c>
      <c r="S1492">
        <v>0</v>
      </c>
      <c r="T1492">
        <v>0</v>
      </c>
      <c r="U1492">
        <v>0</v>
      </c>
      <c r="X1492">
        <v>0</v>
      </c>
      <c r="Y1492" t="s">
        <v>3179</v>
      </c>
    </row>
    <row r="1493" spans="1:25" x14ac:dyDescent="0.25">
      <c r="H1493" t="s">
        <v>3180</v>
      </c>
    </row>
    <row r="1494" spans="1:25" x14ac:dyDescent="0.25">
      <c r="A1494">
        <v>744</v>
      </c>
      <c r="B1494">
        <v>1093</v>
      </c>
      <c r="C1494" t="s">
        <v>3181</v>
      </c>
      <c r="D1494" t="s">
        <v>98</v>
      </c>
      <c r="E1494" t="s">
        <v>217</v>
      </c>
      <c r="F1494" t="s">
        <v>3182</v>
      </c>
      <c r="G1494" t="str">
        <f>"201601000052"</f>
        <v>201601000052</v>
      </c>
      <c r="H1494" t="s">
        <v>1774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70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X1494">
        <v>0</v>
      </c>
      <c r="Y1494" t="s">
        <v>3183</v>
      </c>
    </row>
    <row r="1495" spans="1:25" x14ac:dyDescent="0.25">
      <c r="H1495" t="s">
        <v>3184</v>
      </c>
    </row>
    <row r="1496" spans="1:25" x14ac:dyDescent="0.25">
      <c r="A1496">
        <v>745</v>
      </c>
      <c r="B1496">
        <v>2891</v>
      </c>
      <c r="C1496" t="s">
        <v>3185</v>
      </c>
      <c r="D1496" t="s">
        <v>753</v>
      </c>
      <c r="E1496" t="s">
        <v>112</v>
      </c>
      <c r="F1496" t="s">
        <v>3186</v>
      </c>
      <c r="G1496" t="str">
        <f>"201406007020"</f>
        <v>201406007020</v>
      </c>
      <c r="H1496" t="s">
        <v>1957</v>
      </c>
      <c r="I1496">
        <v>0</v>
      </c>
      <c r="J1496">
        <v>0</v>
      </c>
      <c r="K1496">
        <v>0</v>
      </c>
      <c r="L1496">
        <v>200</v>
      </c>
      <c r="M1496">
        <v>0</v>
      </c>
      <c r="N1496">
        <v>30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X1496">
        <v>0</v>
      </c>
      <c r="Y1496" t="s">
        <v>3187</v>
      </c>
    </row>
    <row r="1497" spans="1:25" x14ac:dyDescent="0.25">
      <c r="H1497" t="s">
        <v>3188</v>
      </c>
    </row>
    <row r="1498" spans="1:25" x14ac:dyDescent="0.25">
      <c r="A1498">
        <v>746</v>
      </c>
      <c r="B1498">
        <v>2936</v>
      </c>
      <c r="C1498" t="s">
        <v>3189</v>
      </c>
      <c r="D1498" t="s">
        <v>223</v>
      </c>
      <c r="E1498" t="s">
        <v>1741</v>
      </c>
      <c r="F1498" t="s">
        <v>3190</v>
      </c>
      <c r="G1498" t="str">
        <f>"201511018629"</f>
        <v>201511018629</v>
      </c>
      <c r="H1498" t="s">
        <v>1144</v>
      </c>
      <c r="I1498">
        <v>0</v>
      </c>
      <c r="J1498">
        <v>0</v>
      </c>
      <c r="K1498">
        <v>0</v>
      </c>
      <c r="L1498">
        <v>0</v>
      </c>
      <c r="M1498">
        <v>100</v>
      </c>
      <c r="N1498">
        <v>70</v>
      </c>
      <c r="O1498">
        <v>50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X1498">
        <v>0</v>
      </c>
      <c r="Y1498" t="s">
        <v>72</v>
      </c>
    </row>
    <row r="1499" spans="1:25" x14ac:dyDescent="0.25">
      <c r="H1499" t="s">
        <v>3191</v>
      </c>
    </row>
    <row r="1500" spans="1:25" x14ac:dyDescent="0.25">
      <c r="A1500">
        <v>747</v>
      </c>
      <c r="B1500">
        <v>1443</v>
      </c>
      <c r="C1500" t="s">
        <v>3192</v>
      </c>
      <c r="D1500" t="s">
        <v>989</v>
      </c>
      <c r="E1500" t="s">
        <v>267</v>
      </c>
      <c r="F1500" t="s">
        <v>3193</v>
      </c>
      <c r="G1500" t="str">
        <f>"00014206"</f>
        <v>00014206</v>
      </c>
      <c r="H1500">
        <v>649</v>
      </c>
      <c r="I1500">
        <v>0</v>
      </c>
      <c r="J1500">
        <v>0</v>
      </c>
      <c r="K1500">
        <v>0</v>
      </c>
      <c r="L1500">
        <v>200</v>
      </c>
      <c r="M1500">
        <v>0</v>
      </c>
      <c r="N1500">
        <v>50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X1500">
        <v>0</v>
      </c>
      <c r="Y1500">
        <v>899</v>
      </c>
    </row>
    <row r="1501" spans="1:25" x14ac:dyDescent="0.25">
      <c r="H1501" t="s">
        <v>3194</v>
      </c>
    </row>
    <row r="1502" spans="1:25" x14ac:dyDescent="0.25">
      <c r="A1502">
        <v>748</v>
      </c>
      <c r="B1502">
        <v>128</v>
      </c>
      <c r="C1502" t="s">
        <v>1503</v>
      </c>
      <c r="D1502" t="s">
        <v>670</v>
      </c>
      <c r="E1502" t="s">
        <v>83</v>
      </c>
      <c r="F1502" t="s">
        <v>3195</v>
      </c>
      <c r="G1502" t="str">
        <f>"00013933"</f>
        <v>00013933</v>
      </c>
      <c r="H1502" t="s">
        <v>541</v>
      </c>
      <c r="I1502">
        <v>0</v>
      </c>
      <c r="J1502">
        <v>0</v>
      </c>
      <c r="K1502">
        <v>0</v>
      </c>
      <c r="L1502">
        <v>0</v>
      </c>
      <c r="M1502">
        <v>100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X1502">
        <v>0</v>
      </c>
      <c r="Y1502" t="s">
        <v>3196</v>
      </c>
    </row>
    <row r="1503" spans="1:25" x14ac:dyDescent="0.25">
      <c r="H1503" t="s">
        <v>3197</v>
      </c>
    </row>
    <row r="1504" spans="1:25" x14ac:dyDescent="0.25">
      <c r="A1504">
        <v>749</v>
      </c>
      <c r="B1504">
        <v>1748</v>
      </c>
      <c r="C1504" t="s">
        <v>3198</v>
      </c>
      <c r="D1504" t="s">
        <v>22</v>
      </c>
      <c r="E1504" t="s">
        <v>28</v>
      </c>
      <c r="F1504" t="s">
        <v>3199</v>
      </c>
      <c r="G1504" t="str">
        <f>"201402003809"</f>
        <v>201402003809</v>
      </c>
      <c r="H1504" t="s">
        <v>1169</v>
      </c>
      <c r="I1504">
        <v>0</v>
      </c>
      <c r="J1504">
        <v>0</v>
      </c>
      <c r="K1504">
        <v>0</v>
      </c>
      <c r="L1504">
        <v>0</v>
      </c>
      <c r="M1504">
        <v>100</v>
      </c>
      <c r="N1504">
        <v>70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X1504">
        <v>0</v>
      </c>
      <c r="Y1504" t="s">
        <v>3200</v>
      </c>
    </row>
    <row r="1505" spans="1:25" x14ac:dyDescent="0.25">
      <c r="H1505" t="s">
        <v>3201</v>
      </c>
    </row>
    <row r="1506" spans="1:25" x14ac:dyDescent="0.25">
      <c r="A1506">
        <v>750</v>
      </c>
      <c r="B1506">
        <v>2570</v>
      </c>
      <c r="C1506" t="s">
        <v>3202</v>
      </c>
      <c r="D1506" t="s">
        <v>3203</v>
      </c>
      <c r="E1506" t="s">
        <v>176</v>
      </c>
      <c r="F1506" t="s">
        <v>3204</v>
      </c>
      <c r="G1506" t="str">
        <f>"201504000478"</f>
        <v>201504000478</v>
      </c>
      <c r="H1506" t="s">
        <v>620</v>
      </c>
      <c r="I1506">
        <v>0</v>
      </c>
      <c r="J1506">
        <v>0</v>
      </c>
      <c r="K1506">
        <v>0</v>
      </c>
      <c r="L1506">
        <v>0</v>
      </c>
      <c r="M1506">
        <v>100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X1506">
        <v>0</v>
      </c>
      <c r="Y1506" t="s">
        <v>3205</v>
      </c>
    </row>
    <row r="1507" spans="1:25" x14ac:dyDescent="0.25">
      <c r="H1507" t="s">
        <v>3206</v>
      </c>
    </row>
    <row r="1508" spans="1:25" x14ac:dyDescent="0.25">
      <c r="A1508">
        <v>751</v>
      </c>
      <c r="B1508">
        <v>878</v>
      </c>
      <c r="C1508" t="s">
        <v>3207</v>
      </c>
      <c r="D1508" t="s">
        <v>124</v>
      </c>
      <c r="E1508" t="s">
        <v>21</v>
      </c>
      <c r="F1508" t="s">
        <v>3208</v>
      </c>
      <c r="G1508" t="str">
        <f>"00013968"</f>
        <v>00013968</v>
      </c>
      <c r="H1508" t="s">
        <v>3209</v>
      </c>
      <c r="I1508">
        <v>0</v>
      </c>
      <c r="J1508">
        <v>0</v>
      </c>
      <c r="K1508">
        <v>0</v>
      </c>
      <c r="L1508">
        <v>200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X1508">
        <v>0</v>
      </c>
      <c r="Y1508" t="s">
        <v>3210</v>
      </c>
    </row>
    <row r="1509" spans="1:25" x14ac:dyDescent="0.25">
      <c r="H1509" t="s">
        <v>1069</v>
      </c>
    </row>
    <row r="1510" spans="1:25" x14ac:dyDescent="0.25">
      <c r="A1510">
        <v>752</v>
      </c>
      <c r="B1510">
        <v>2316</v>
      </c>
      <c r="C1510" t="s">
        <v>3211</v>
      </c>
      <c r="D1510" t="s">
        <v>489</v>
      </c>
      <c r="E1510" t="s">
        <v>217</v>
      </c>
      <c r="F1510" t="s">
        <v>3212</v>
      </c>
      <c r="G1510" t="str">
        <f>"201412004258"</f>
        <v>201412004258</v>
      </c>
      <c r="H1510" t="s">
        <v>365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70</v>
      </c>
      <c r="O1510">
        <v>0</v>
      </c>
      <c r="P1510">
        <v>0</v>
      </c>
      <c r="Q1510">
        <v>30</v>
      </c>
      <c r="R1510">
        <v>0</v>
      </c>
      <c r="S1510">
        <v>0</v>
      </c>
      <c r="T1510">
        <v>0</v>
      </c>
      <c r="U1510">
        <v>0</v>
      </c>
      <c r="X1510">
        <v>0</v>
      </c>
      <c r="Y1510" t="s">
        <v>3213</v>
      </c>
    </row>
    <row r="1511" spans="1:25" x14ac:dyDescent="0.25">
      <c r="H1511" t="s">
        <v>52</v>
      </c>
    </row>
    <row r="1512" spans="1:25" x14ac:dyDescent="0.25">
      <c r="A1512">
        <v>753</v>
      </c>
      <c r="B1512">
        <v>1379</v>
      </c>
      <c r="C1512" t="s">
        <v>3214</v>
      </c>
      <c r="D1512" t="s">
        <v>47</v>
      </c>
      <c r="E1512" t="s">
        <v>130</v>
      </c>
      <c r="F1512" t="s">
        <v>3215</v>
      </c>
      <c r="G1512" t="str">
        <f>"201504004178"</f>
        <v>201504004178</v>
      </c>
      <c r="H1512" t="s">
        <v>1127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70</v>
      </c>
      <c r="O1512">
        <v>50</v>
      </c>
      <c r="P1512">
        <v>0</v>
      </c>
      <c r="Q1512">
        <v>0</v>
      </c>
      <c r="R1512">
        <v>70</v>
      </c>
      <c r="S1512">
        <v>0</v>
      </c>
      <c r="T1512">
        <v>0</v>
      </c>
      <c r="U1512">
        <v>0</v>
      </c>
      <c r="X1512">
        <v>0</v>
      </c>
      <c r="Y1512" t="s">
        <v>3216</v>
      </c>
    </row>
    <row r="1513" spans="1:25" x14ac:dyDescent="0.25">
      <c r="H1513" t="s">
        <v>3217</v>
      </c>
    </row>
    <row r="1514" spans="1:25" x14ac:dyDescent="0.25">
      <c r="A1514">
        <v>754</v>
      </c>
      <c r="B1514">
        <v>1824</v>
      </c>
      <c r="C1514" t="s">
        <v>3218</v>
      </c>
      <c r="D1514" t="s">
        <v>182</v>
      </c>
      <c r="E1514" t="s">
        <v>124</v>
      </c>
      <c r="F1514" t="s">
        <v>3219</v>
      </c>
      <c r="G1514" t="str">
        <f>"00014729"</f>
        <v>00014729</v>
      </c>
      <c r="H1514" t="s">
        <v>1466</v>
      </c>
      <c r="I1514">
        <v>0</v>
      </c>
      <c r="J1514">
        <v>0</v>
      </c>
      <c r="K1514">
        <v>0</v>
      </c>
      <c r="L1514">
        <v>200</v>
      </c>
      <c r="M1514">
        <v>0</v>
      </c>
      <c r="N1514">
        <v>70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X1514">
        <v>0</v>
      </c>
      <c r="Y1514" t="s">
        <v>3220</v>
      </c>
    </row>
    <row r="1515" spans="1:25" x14ac:dyDescent="0.25">
      <c r="H1515">
        <v>221</v>
      </c>
    </row>
    <row r="1516" spans="1:25" x14ac:dyDescent="0.25">
      <c r="A1516">
        <v>755</v>
      </c>
      <c r="B1516">
        <v>1786</v>
      </c>
      <c r="C1516" t="s">
        <v>3221</v>
      </c>
      <c r="D1516" t="s">
        <v>2770</v>
      </c>
      <c r="E1516" t="s">
        <v>48</v>
      </c>
      <c r="F1516" t="s">
        <v>3222</v>
      </c>
      <c r="G1516" t="str">
        <f>"00014553"</f>
        <v>00014553</v>
      </c>
      <c r="H1516" t="s">
        <v>1521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70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X1516">
        <v>0</v>
      </c>
      <c r="Y1516" t="s">
        <v>3223</v>
      </c>
    </row>
    <row r="1517" spans="1:25" x14ac:dyDescent="0.25">
      <c r="H1517" t="s">
        <v>502</v>
      </c>
    </row>
    <row r="1518" spans="1:25" x14ac:dyDescent="0.25">
      <c r="A1518">
        <v>756</v>
      </c>
      <c r="B1518">
        <v>14</v>
      </c>
      <c r="C1518" t="s">
        <v>3224</v>
      </c>
      <c r="D1518" t="s">
        <v>22</v>
      </c>
      <c r="E1518" t="s">
        <v>317</v>
      </c>
      <c r="F1518" t="s">
        <v>3225</v>
      </c>
      <c r="G1518" t="str">
        <f>"00011501"</f>
        <v>00011501</v>
      </c>
      <c r="H1518" t="s">
        <v>3058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X1518">
        <v>0</v>
      </c>
      <c r="Y1518" t="s">
        <v>3226</v>
      </c>
    </row>
    <row r="1519" spans="1:25" x14ac:dyDescent="0.25">
      <c r="H1519" t="s">
        <v>3227</v>
      </c>
    </row>
    <row r="1520" spans="1:25" x14ac:dyDescent="0.25">
      <c r="A1520">
        <v>757</v>
      </c>
      <c r="B1520">
        <v>3276</v>
      </c>
      <c r="C1520" t="s">
        <v>3228</v>
      </c>
      <c r="D1520" t="s">
        <v>571</v>
      </c>
      <c r="E1520" t="s">
        <v>124</v>
      </c>
      <c r="F1520" t="s">
        <v>3229</v>
      </c>
      <c r="G1520" t="str">
        <f>"200903000229"</f>
        <v>200903000229</v>
      </c>
      <c r="H1520">
        <v>693</v>
      </c>
      <c r="I1520">
        <v>0</v>
      </c>
      <c r="J1520">
        <v>0</v>
      </c>
      <c r="K1520">
        <v>0</v>
      </c>
      <c r="L1520">
        <v>0</v>
      </c>
      <c r="M1520">
        <v>100</v>
      </c>
      <c r="N1520">
        <v>50</v>
      </c>
      <c r="O1520">
        <v>50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X1520">
        <v>0</v>
      </c>
      <c r="Y1520">
        <v>893</v>
      </c>
    </row>
    <row r="1521" spans="1:25" x14ac:dyDescent="0.25">
      <c r="H1521" t="s">
        <v>52</v>
      </c>
    </row>
    <row r="1522" spans="1:25" x14ac:dyDescent="0.25">
      <c r="A1522">
        <v>758</v>
      </c>
      <c r="B1522">
        <v>1426</v>
      </c>
      <c r="C1522" t="s">
        <v>3230</v>
      </c>
      <c r="D1522" t="s">
        <v>526</v>
      </c>
      <c r="E1522" t="s">
        <v>87</v>
      </c>
      <c r="F1522" t="s">
        <v>3231</v>
      </c>
      <c r="G1522" t="str">
        <f>"00013180"</f>
        <v>00013180</v>
      </c>
      <c r="H1522" t="s">
        <v>1997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X1522">
        <v>0</v>
      </c>
      <c r="Y1522" t="s">
        <v>3232</v>
      </c>
    </row>
    <row r="1523" spans="1:25" x14ac:dyDescent="0.25">
      <c r="H1523" t="s">
        <v>3233</v>
      </c>
    </row>
    <row r="1524" spans="1:25" x14ac:dyDescent="0.25">
      <c r="A1524">
        <v>759</v>
      </c>
      <c r="B1524">
        <v>95</v>
      </c>
      <c r="C1524" t="s">
        <v>3234</v>
      </c>
      <c r="D1524" t="s">
        <v>670</v>
      </c>
      <c r="E1524" t="s">
        <v>124</v>
      </c>
      <c r="F1524" t="s">
        <v>3235</v>
      </c>
      <c r="G1524" t="str">
        <f>"00012987"</f>
        <v>00012987</v>
      </c>
      <c r="H1524" t="s">
        <v>3236</v>
      </c>
      <c r="I1524">
        <v>0</v>
      </c>
      <c r="J1524">
        <v>0</v>
      </c>
      <c r="K1524">
        <v>0</v>
      </c>
      <c r="L1524">
        <v>200</v>
      </c>
      <c r="M1524">
        <v>0</v>
      </c>
      <c r="N1524">
        <v>70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X1524">
        <v>0</v>
      </c>
      <c r="Y1524" t="s">
        <v>3237</v>
      </c>
    </row>
    <row r="1525" spans="1:25" x14ac:dyDescent="0.25">
      <c r="H1525" t="s">
        <v>3238</v>
      </c>
    </row>
    <row r="1526" spans="1:25" x14ac:dyDescent="0.25">
      <c r="A1526">
        <v>760</v>
      </c>
      <c r="B1526">
        <v>2771</v>
      </c>
      <c r="C1526" t="s">
        <v>3239</v>
      </c>
      <c r="D1526" t="s">
        <v>417</v>
      </c>
      <c r="E1526" t="s">
        <v>701</v>
      </c>
      <c r="F1526" t="s">
        <v>3240</v>
      </c>
      <c r="G1526" t="str">
        <f>"00013471"</f>
        <v>00013471</v>
      </c>
      <c r="H1526" t="s">
        <v>324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30</v>
      </c>
      <c r="O1526">
        <v>0</v>
      </c>
      <c r="P1526">
        <v>50</v>
      </c>
      <c r="Q1526">
        <v>0</v>
      </c>
      <c r="R1526">
        <v>0</v>
      </c>
      <c r="S1526">
        <v>0</v>
      </c>
      <c r="T1526">
        <v>0</v>
      </c>
      <c r="U1526">
        <v>0</v>
      </c>
      <c r="X1526">
        <v>0</v>
      </c>
      <c r="Y1526" t="s">
        <v>3241</v>
      </c>
    </row>
    <row r="1527" spans="1:25" x14ac:dyDescent="0.25">
      <c r="H1527" t="s">
        <v>3242</v>
      </c>
    </row>
    <row r="1528" spans="1:25" x14ac:dyDescent="0.25">
      <c r="A1528">
        <v>761</v>
      </c>
      <c r="B1528">
        <v>46</v>
      </c>
      <c r="C1528" t="s">
        <v>3243</v>
      </c>
      <c r="D1528" t="s">
        <v>3244</v>
      </c>
      <c r="E1528" t="s">
        <v>896</v>
      </c>
      <c r="F1528" t="s">
        <v>3245</v>
      </c>
      <c r="G1528" t="str">
        <f>"00013354"</f>
        <v>00013354</v>
      </c>
      <c r="H1528" t="s">
        <v>587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70</v>
      </c>
      <c r="O1528">
        <v>30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X1528">
        <v>0</v>
      </c>
      <c r="Y1528" t="s">
        <v>3246</v>
      </c>
    </row>
    <row r="1529" spans="1:25" x14ac:dyDescent="0.25">
      <c r="H1529" t="s">
        <v>3247</v>
      </c>
    </row>
    <row r="1530" spans="1:25" x14ac:dyDescent="0.25">
      <c r="A1530">
        <v>762</v>
      </c>
      <c r="B1530">
        <v>2231</v>
      </c>
      <c r="C1530" t="s">
        <v>3248</v>
      </c>
      <c r="D1530" t="s">
        <v>760</v>
      </c>
      <c r="E1530" t="s">
        <v>22</v>
      </c>
      <c r="F1530" t="s">
        <v>3249</v>
      </c>
      <c r="G1530" t="str">
        <f>"201511034800"</f>
        <v>201511034800</v>
      </c>
      <c r="H1530" t="s">
        <v>673</v>
      </c>
      <c r="I1530">
        <v>0</v>
      </c>
      <c r="J1530">
        <v>0</v>
      </c>
      <c r="K1530">
        <v>0</v>
      </c>
      <c r="L1530">
        <v>0</v>
      </c>
      <c r="M1530">
        <v>100</v>
      </c>
      <c r="N1530">
        <v>30</v>
      </c>
      <c r="O1530">
        <v>30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X1530">
        <v>0</v>
      </c>
      <c r="Y1530" t="s">
        <v>3250</v>
      </c>
    </row>
    <row r="1531" spans="1:25" x14ac:dyDescent="0.25">
      <c r="H1531" t="s">
        <v>203</v>
      </c>
    </row>
    <row r="1532" spans="1:25" x14ac:dyDescent="0.25">
      <c r="A1532">
        <v>763</v>
      </c>
      <c r="B1532">
        <v>2860</v>
      </c>
      <c r="C1532" t="s">
        <v>3251</v>
      </c>
      <c r="D1532" t="s">
        <v>417</v>
      </c>
      <c r="E1532" t="s">
        <v>1483</v>
      </c>
      <c r="F1532" t="s">
        <v>3252</v>
      </c>
      <c r="G1532" t="str">
        <f>"201504001649"</f>
        <v>201504001649</v>
      </c>
      <c r="H1532" t="s">
        <v>795</v>
      </c>
      <c r="I1532">
        <v>0</v>
      </c>
      <c r="J1532">
        <v>0</v>
      </c>
      <c r="K1532">
        <v>0</v>
      </c>
      <c r="L1532">
        <v>0</v>
      </c>
      <c r="M1532">
        <v>100</v>
      </c>
      <c r="N1532">
        <v>50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X1532">
        <v>0</v>
      </c>
      <c r="Y1532" t="s">
        <v>3253</v>
      </c>
    </row>
    <row r="1533" spans="1:25" x14ac:dyDescent="0.25">
      <c r="H1533" t="s">
        <v>52</v>
      </c>
    </row>
    <row r="1534" spans="1:25" x14ac:dyDescent="0.25">
      <c r="A1534">
        <v>764</v>
      </c>
      <c r="B1534">
        <v>2174</v>
      </c>
      <c r="C1534" t="s">
        <v>3254</v>
      </c>
      <c r="D1534" t="s">
        <v>3255</v>
      </c>
      <c r="E1534" t="s">
        <v>106</v>
      </c>
      <c r="F1534" t="s">
        <v>3256</v>
      </c>
      <c r="G1534" t="str">
        <f>"00014216"</f>
        <v>00014216</v>
      </c>
      <c r="H1534" t="s">
        <v>982</v>
      </c>
      <c r="I1534">
        <v>0</v>
      </c>
      <c r="J1534">
        <v>0</v>
      </c>
      <c r="K1534">
        <v>0</v>
      </c>
      <c r="L1534">
        <v>0</v>
      </c>
      <c r="M1534">
        <v>100</v>
      </c>
      <c r="N1534">
        <v>30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X1534">
        <v>0</v>
      </c>
      <c r="Y1534" t="s">
        <v>3257</v>
      </c>
    </row>
    <row r="1535" spans="1:25" x14ac:dyDescent="0.25">
      <c r="H1535" t="s">
        <v>3258</v>
      </c>
    </row>
    <row r="1536" spans="1:25" x14ac:dyDescent="0.25">
      <c r="A1536">
        <v>765</v>
      </c>
      <c r="B1536">
        <v>3118</v>
      </c>
      <c r="C1536" t="s">
        <v>3259</v>
      </c>
      <c r="D1536" t="s">
        <v>141</v>
      </c>
      <c r="E1536" t="s">
        <v>124</v>
      </c>
      <c r="F1536" t="s">
        <v>3260</v>
      </c>
      <c r="G1536" t="str">
        <f>"201412004970"</f>
        <v>201412004970</v>
      </c>
      <c r="H1536" t="s">
        <v>620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70</v>
      </c>
      <c r="O1536">
        <v>0</v>
      </c>
      <c r="P1536">
        <v>50</v>
      </c>
      <c r="Q1536">
        <v>0</v>
      </c>
      <c r="R1536">
        <v>0</v>
      </c>
      <c r="S1536">
        <v>0</v>
      </c>
      <c r="T1536">
        <v>0</v>
      </c>
      <c r="U1536">
        <v>0</v>
      </c>
      <c r="X1536">
        <v>0</v>
      </c>
      <c r="Y1536" t="s">
        <v>3261</v>
      </c>
    </row>
    <row r="1537" spans="1:25" x14ac:dyDescent="0.25">
      <c r="H1537" t="s">
        <v>3262</v>
      </c>
    </row>
    <row r="1538" spans="1:25" x14ac:dyDescent="0.25">
      <c r="A1538">
        <v>766</v>
      </c>
      <c r="B1538">
        <v>3143</v>
      </c>
      <c r="C1538" t="s">
        <v>3263</v>
      </c>
      <c r="D1538" t="s">
        <v>93</v>
      </c>
      <c r="E1538" t="s">
        <v>21</v>
      </c>
      <c r="F1538" t="s">
        <v>3264</v>
      </c>
      <c r="G1538" t="str">
        <f>"00013808"</f>
        <v>00013808</v>
      </c>
      <c r="H1538" t="s">
        <v>947</v>
      </c>
      <c r="I1538">
        <v>0</v>
      </c>
      <c r="J1538">
        <v>0</v>
      </c>
      <c r="K1538">
        <v>0</v>
      </c>
      <c r="L1538">
        <v>0</v>
      </c>
      <c r="M1538">
        <v>100</v>
      </c>
      <c r="N1538">
        <v>70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X1538">
        <v>0</v>
      </c>
      <c r="Y1538" t="s">
        <v>3265</v>
      </c>
    </row>
    <row r="1539" spans="1:25" x14ac:dyDescent="0.25">
      <c r="H1539" t="s">
        <v>3266</v>
      </c>
    </row>
    <row r="1540" spans="1:25" x14ac:dyDescent="0.25">
      <c r="A1540">
        <v>767</v>
      </c>
      <c r="B1540">
        <v>1752</v>
      </c>
      <c r="C1540" t="s">
        <v>3267</v>
      </c>
      <c r="D1540" t="s">
        <v>3268</v>
      </c>
      <c r="E1540" t="s">
        <v>3269</v>
      </c>
      <c r="F1540" t="s">
        <v>3270</v>
      </c>
      <c r="G1540" t="str">
        <f>"00014046"</f>
        <v>00014046</v>
      </c>
      <c r="H1540" t="s">
        <v>3271</v>
      </c>
      <c r="I1540">
        <v>0</v>
      </c>
      <c r="J1540">
        <v>0</v>
      </c>
      <c r="K1540">
        <v>0</v>
      </c>
      <c r="L1540">
        <v>200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X1540">
        <v>0</v>
      </c>
      <c r="Y1540" t="s">
        <v>3272</v>
      </c>
    </row>
    <row r="1541" spans="1:25" x14ac:dyDescent="0.25">
      <c r="H1541" t="s">
        <v>52</v>
      </c>
    </row>
    <row r="1542" spans="1:25" x14ac:dyDescent="0.25">
      <c r="A1542">
        <v>768</v>
      </c>
      <c r="B1542">
        <v>260</v>
      </c>
      <c r="C1542" t="s">
        <v>3273</v>
      </c>
      <c r="D1542" t="s">
        <v>41</v>
      </c>
      <c r="E1542" t="s">
        <v>3274</v>
      </c>
      <c r="F1542" t="s">
        <v>3275</v>
      </c>
      <c r="G1542" t="str">
        <f>"00015259"</f>
        <v>00015259</v>
      </c>
      <c r="H1542">
        <v>814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70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X1542">
        <v>0</v>
      </c>
      <c r="Y1542">
        <v>884</v>
      </c>
    </row>
    <row r="1543" spans="1:25" x14ac:dyDescent="0.25">
      <c r="H1543" t="s">
        <v>3276</v>
      </c>
    </row>
    <row r="1544" spans="1:25" x14ac:dyDescent="0.25">
      <c r="A1544">
        <v>769</v>
      </c>
      <c r="B1544">
        <v>41</v>
      </c>
      <c r="C1544" t="s">
        <v>3277</v>
      </c>
      <c r="D1544" t="s">
        <v>300</v>
      </c>
      <c r="E1544" t="s">
        <v>417</v>
      </c>
      <c r="F1544" t="s">
        <v>3278</v>
      </c>
      <c r="G1544" t="str">
        <f>"201504002514"</f>
        <v>201504002514</v>
      </c>
      <c r="H1544" t="s">
        <v>656</v>
      </c>
      <c r="I1544">
        <v>0</v>
      </c>
      <c r="J1544">
        <v>0</v>
      </c>
      <c r="K1544">
        <v>0</v>
      </c>
      <c r="L1544">
        <v>0</v>
      </c>
      <c r="M1544">
        <v>100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X1544">
        <v>0</v>
      </c>
      <c r="Y1544" t="s">
        <v>3279</v>
      </c>
    </row>
    <row r="1545" spans="1:25" x14ac:dyDescent="0.25">
      <c r="H1545" t="s">
        <v>203</v>
      </c>
    </row>
    <row r="1546" spans="1:25" x14ac:dyDescent="0.25">
      <c r="A1546">
        <v>770</v>
      </c>
      <c r="B1546">
        <v>2411</v>
      </c>
      <c r="C1546" t="s">
        <v>3280</v>
      </c>
      <c r="D1546" t="s">
        <v>278</v>
      </c>
      <c r="E1546" t="s">
        <v>41</v>
      </c>
      <c r="F1546" t="s">
        <v>3281</v>
      </c>
      <c r="G1546" t="str">
        <f>"201412000413"</f>
        <v>201412000413</v>
      </c>
      <c r="H1546" t="s">
        <v>324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70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X1546">
        <v>1</v>
      </c>
      <c r="Y1546" t="s">
        <v>3282</v>
      </c>
    </row>
    <row r="1547" spans="1:25" x14ac:dyDescent="0.25">
      <c r="H1547" t="s">
        <v>3283</v>
      </c>
    </row>
    <row r="1548" spans="1:25" x14ac:dyDescent="0.25">
      <c r="A1548">
        <v>771</v>
      </c>
      <c r="B1548">
        <v>564</v>
      </c>
      <c r="C1548" t="s">
        <v>3284</v>
      </c>
      <c r="D1548" t="s">
        <v>907</v>
      </c>
      <c r="E1548" t="s">
        <v>158</v>
      </c>
      <c r="F1548" t="s">
        <v>3285</v>
      </c>
      <c r="G1548" t="str">
        <f>"00013002"</f>
        <v>00013002</v>
      </c>
      <c r="H1548" t="s">
        <v>3286</v>
      </c>
      <c r="I1548">
        <v>0</v>
      </c>
      <c r="J1548">
        <v>0</v>
      </c>
      <c r="K1548">
        <v>0</v>
      </c>
      <c r="L1548">
        <v>200</v>
      </c>
      <c r="M1548">
        <v>0</v>
      </c>
      <c r="N1548">
        <v>30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X1548">
        <v>0</v>
      </c>
      <c r="Y1548" t="s">
        <v>3287</v>
      </c>
    </row>
    <row r="1549" spans="1:25" x14ac:dyDescent="0.25">
      <c r="H1549" t="s">
        <v>3288</v>
      </c>
    </row>
    <row r="1550" spans="1:25" x14ac:dyDescent="0.25">
      <c r="A1550">
        <v>772</v>
      </c>
      <c r="B1550">
        <v>1327</v>
      </c>
      <c r="C1550" t="s">
        <v>3289</v>
      </c>
      <c r="D1550" t="s">
        <v>526</v>
      </c>
      <c r="E1550" t="s">
        <v>3290</v>
      </c>
      <c r="F1550" t="s">
        <v>3291</v>
      </c>
      <c r="G1550" t="str">
        <f>"00014080"</f>
        <v>00014080</v>
      </c>
      <c r="H1550" t="s">
        <v>3286</v>
      </c>
      <c r="I1550">
        <v>0</v>
      </c>
      <c r="J1550">
        <v>0</v>
      </c>
      <c r="K1550">
        <v>0</v>
      </c>
      <c r="L1550">
        <v>200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X1550">
        <v>0</v>
      </c>
      <c r="Y1550" t="s">
        <v>3287</v>
      </c>
    </row>
    <row r="1551" spans="1:25" x14ac:dyDescent="0.25">
      <c r="H1551" t="s">
        <v>3292</v>
      </c>
    </row>
    <row r="1552" spans="1:25" x14ac:dyDescent="0.25">
      <c r="A1552">
        <v>773</v>
      </c>
      <c r="B1552">
        <v>3373</v>
      </c>
      <c r="C1552" t="s">
        <v>3293</v>
      </c>
      <c r="D1552" t="s">
        <v>2397</v>
      </c>
      <c r="E1552" t="s">
        <v>41</v>
      </c>
      <c r="F1552" t="s">
        <v>3294</v>
      </c>
      <c r="G1552" t="str">
        <f>"00014230"</f>
        <v>00014230</v>
      </c>
      <c r="H1552" t="s">
        <v>3286</v>
      </c>
      <c r="I1552">
        <v>0</v>
      </c>
      <c r="J1552">
        <v>0</v>
      </c>
      <c r="K1552">
        <v>0</v>
      </c>
      <c r="L1552">
        <v>200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X1552">
        <v>0</v>
      </c>
      <c r="Y1552" t="s">
        <v>3287</v>
      </c>
    </row>
    <row r="1553" spans="1:25" x14ac:dyDescent="0.25">
      <c r="H1553" t="s">
        <v>3295</v>
      </c>
    </row>
    <row r="1554" spans="1:25" x14ac:dyDescent="0.25">
      <c r="A1554">
        <v>774</v>
      </c>
      <c r="B1554">
        <v>2090</v>
      </c>
      <c r="C1554" t="s">
        <v>3296</v>
      </c>
      <c r="D1554" t="s">
        <v>141</v>
      </c>
      <c r="E1554" t="s">
        <v>217</v>
      </c>
      <c r="F1554" t="s">
        <v>3297</v>
      </c>
      <c r="G1554" t="str">
        <f>"201406009705"</f>
        <v>201406009705</v>
      </c>
      <c r="H1554" t="s">
        <v>2827</v>
      </c>
      <c r="I1554">
        <v>0</v>
      </c>
      <c r="J1554">
        <v>0</v>
      </c>
      <c r="K1554">
        <v>0</v>
      </c>
      <c r="L1554">
        <v>0</v>
      </c>
      <c r="M1554">
        <v>100</v>
      </c>
      <c r="N1554">
        <v>70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X1554">
        <v>0</v>
      </c>
      <c r="Y1554" t="s">
        <v>3298</v>
      </c>
    </row>
    <row r="1555" spans="1:25" x14ac:dyDescent="0.25">
      <c r="H1555" t="s">
        <v>203</v>
      </c>
    </row>
    <row r="1556" spans="1:25" x14ac:dyDescent="0.25">
      <c r="A1556">
        <v>775</v>
      </c>
      <c r="B1556">
        <v>1969</v>
      </c>
      <c r="C1556" t="s">
        <v>3299</v>
      </c>
      <c r="D1556" t="s">
        <v>278</v>
      </c>
      <c r="E1556" t="s">
        <v>22</v>
      </c>
      <c r="F1556" t="s">
        <v>3300</v>
      </c>
      <c r="G1556" t="str">
        <f>"00014687"</f>
        <v>00014687</v>
      </c>
      <c r="H1556" t="s">
        <v>870</v>
      </c>
      <c r="I1556">
        <v>0</v>
      </c>
      <c r="J1556">
        <v>0</v>
      </c>
      <c r="K1556">
        <v>0</v>
      </c>
      <c r="L1556">
        <v>0</v>
      </c>
      <c r="M1556">
        <v>100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X1556">
        <v>0</v>
      </c>
      <c r="Y1556" t="s">
        <v>3301</v>
      </c>
    </row>
    <row r="1557" spans="1:25" x14ac:dyDescent="0.25">
      <c r="H1557" t="s">
        <v>3302</v>
      </c>
    </row>
    <row r="1558" spans="1:25" x14ac:dyDescent="0.25">
      <c r="A1558">
        <v>776</v>
      </c>
      <c r="B1558">
        <v>894</v>
      </c>
      <c r="C1558" t="s">
        <v>3303</v>
      </c>
      <c r="D1558" t="s">
        <v>124</v>
      </c>
      <c r="E1558" t="s">
        <v>1826</v>
      </c>
      <c r="F1558" t="s">
        <v>3304</v>
      </c>
      <c r="G1558" t="str">
        <f>"00014951"</f>
        <v>00014951</v>
      </c>
      <c r="H1558" t="s">
        <v>870</v>
      </c>
      <c r="I1558">
        <v>0</v>
      </c>
      <c r="J1558">
        <v>0</v>
      </c>
      <c r="K1558">
        <v>0</v>
      </c>
      <c r="L1558">
        <v>0</v>
      </c>
      <c r="M1558">
        <v>100</v>
      </c>
      <c r="N1558">
        <v>30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X1558">
        <v>0</v>
      </c>
      <c r="Y1558" t="s">
        <v>3301</v>
      </c>
    </row>
    <row r="1559" spans="1:25" x14ac:dyDescent="0.25">
      <c r="H1559" t="s">
        <v>3305</v>
      </c>
    </row>
    <row r="1560" spans="1:25" x14ac:dyDescent="0.25">
      <c r="A1560">
        <v>777</v>
      </c>
      <c r="B1560">
        <v>8</v>
      </c>
      <c r="C1560" t="s">
        <v>3306</v>
      </c>
      <c r="D1560" t="s">
        <v>450</v>
      </c>
      <c r="E1560" t="s">
        <v>3307</v>
      </c>
      <c r="F1560" t="s">
        <v>3308</v>
      </c>
      <c r="G1560" t="str">
        <f>"00013188"</f>
        <v>00013188</v>
      </c>
      <c r="H1560" t="s">
        <v>485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70</v>
      </c>
      <c r="O1560">
        <v>0</v>
      </c>
      <c r="P1560">
        <v>30</v>
      </c>
      <c r="Q1560">
        <v>0</v>
      </c>
      <c r="R1560">
        <v>0</v>
      </c>
      <c r="S1560">
        <v>0</v>
      </c>
      <c r="T1560">
        <v>0</v>
      </c>
      <c r="U1560">
        <v>0</v>
      </c>
      <c r="X1560">
        <v>1</v>
      </c>
      <c r="Y1560" t="s">
        <v>3309</v>
      </c>
    </row>
    <row r="1561" spans="1:25" x14ac:dyDescent="0.25">
      <c r="H1561" t="s">
        <v>3310</v>
      </c>
    </row>
    <row r="1562" spans="1:25" x14ac:dyDescent="0.25">
      <c r="A1562">
        <v>778</v>
      </c>
      <c r="B1562">
        <v>193</v>
      </c>
      <c r="C1562" t="s">
        <v>3311</v>
      </c>
      <c r="D1562" t="s">
        <v>41</v>
      </c>
      <c r="E1562" t="s">
        <v>238</v>
      </c>
      <c r="F1562" t="s">
        <v>3312</v>
      </c>
      <c r="G1562" t="str">
        <f>"00013111"</f>
        <v>00013111</v>
      </c>
      <c r="H1562">
        <v>847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X1562">
        <v>0</v>
      </c>
      <c r="Y1562">
        <v>877</v>
      </c>
    </row>
    <row r="1563" spans="1:25" x14ac:dyDescent="0.25">
      <c r="H1563" t="s">
        <v>110</v>
      </c>
    </row>
    <row r="1564" spans="1:25" x14ac:dyDescent="0.25">
      <c r="A1564">
        <v>779</v>
      </c>
      <c r="B1564">
        <v>2929</v>
      </c>
      <c r="C1564" t="s">
        <v>3313</v>
      </c>
      <c r="D1564" t="s">
        <v>217</v>
      </c>
      <c r="E1564" t="s">
        <v>41</v>
      </c>
      <c r="F1564" t="s">
        <v>3314</v>
      </c>
      <c r="G1564" t="str">
        <f>"200712002885"</f>
        <v>200712002885</v>
      </c>
      <c r="H1564" t="s">
        <v>3315</v>
      </c>
      <c r="I1564">
        <v>150</v>
      </c>
      <c r="J1564">
        <v>0</v>
      </c>
      <c r="K1564">
        <v>0</v>
      </c>
      <c r="L1564">
        <v>0</v>
      </c>
      <c r="M1564">
        <v>0</v>
      </c>
      <c r="N1564">
        <v>50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X1564">
        <v>0</v>
      </c>
      <c r="Y1564" t="s">
        <v>3316</v>
      </c>
    </row>
    <row r="1565" spans="1:25" x14ac:dyDescent="0.25">
      <c r="H1565" t="s">
        <v>3317</v>
      </c>
    </row>
    <row r="1566" spans="1:25" x14ac:dyDescent="0.25">
      <c r="A1566">
        <v>780</v>
      </c>
      <c r="B1566">
        <v>31</v>
      </c>
      <c r="C1566" t="s">
        <v>3318</v>
      </c>
      <c r="D1566" t="s">
        <v>70</v>
      </c>
      <c r="E1566" t="s">
        <v>21</v>
      </c>
      <c r="F1566" t="s">
        <v>3319</v>
      </c>
      <c r="G1566" t="str">
        <f>"00014447"</f>
        <v>00014447</v>
      </c>
      <c r="H1566" t="s">
        <v>1127</v>
      </c>
      <c r="I1566">
        <v>0</v>
      </c>
      <c r="J1566">
        <v>0</v>
      </c>
      <c r="K1566">
        <v>0</v>
      </c>
      <c r="L1566">
        <v>0</v>
      </c>
      <c r="M1566">
        <v>100</v>
      </c>
      <c r="N1566">
        <v>70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X1566">
        <v>0</v>
      </c>
      <c r="Y1566" t="s">
        <v>3320</v>
      </c>
    </row>
    <row r="1567" spans="1:25" x14ac:dyDescent="0.25">
      <c r="H1567" t="s">
        <v>3321</v>
      </c>
    </row>
    <row r="1568" spans="1:25" x14ac:dyDescent="0.25">
      <c r="A1568">
        <v>781</v>
      </c>
      <c r="B1568">
        <v>211</v>
      </c>
      <c r="C1568" t="s">
        <v>3322</v>
      </c>
      <c r="D1568" t="s">
        <v>41</v>
      </c>
      <c r="E1568" t="s">
        <v>1082</v>
      </c>
      <c r="F1568" t="s">
        <v>3323</v>
      </c>
      <c r="G1568" t="str">
        <f>"201504000909"</f>
        <v>201504000909</v>
      </c>
      <c r="H1568" t="s">
        <v>303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70</v>
      </c>
      <c r="O1568">
        <v>0</v>
      </c>
      <c r="P1568">
        <v>50</v>
      </c>
      <c r="Q1568">
        <v>0</v>
      </c>
      <c r="R1568">
        <v>0</v>
      </c>
      <c r="S1568">
        <v>0</v>
      </c>
      <c r="T1568">
        <v>0</v>
      </c>
      <c r="U1568">
        <v>0</v>
      </c>
      <c r="X1568">
        <v>0</v>
      </c>
      <c r="Y1568" t="s">
        <v>3324</v>
      </c>
    </row>
    <row r="1569" spans="1:25" x14ac:dyDescent="0.25">
      <c r="H1569" t="s">
        <v>52</v>
      </c>
    </row>
    <row r="1570" spans="1:25" x14ac:dyDescent="0.25">
      <c r="A1570">
        <v>782</v>
      </c>
      <c r="B1570">
        <v>1350</v>
      </c>
      <c r="C1570" t="s">
        <v>3325</v>
      </c>
      <c r="D1570" t="s">
        <v>749</v>
      </c>
      <c r="E1570" t="s">
        <v>334</v>
      </c>
      <c r="F1570" t="s">
        <v>3326</v>
      </c>
      <c r="G1570" t="str">
        <f>"00015187"</f>
        <v>00015187</v>
      </c>
      <c r="H1570">
        <v>814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30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X1570">
        <v>0</v>
      </c>
      <c r="Y1570">
        <v>874</v>
      </c>
    </row>
    <row r="1571" spans="1:25" x14ac:dyDescent="0.25">
      <c r="H1571">
        <v>221</v>
      </c>
    </row>
    <row r="1572" spans="1:25" x14ac:dyDescent="0.25">
      <c r="A1572">
        <v>783</v>
      </c>
      <c r="B1572">
        <v>2599</v>
      </c>
      <c r="C1572" t="s">
        <v>3327</v>
      </c>
      <c r="D1572" t="s">
        <v>48</v>
      </c>
      <c r="E1572" t="s">
        <v>22</v>
      </c>
      <c r="F1572" t="s">
        <v>3328</v>
      </c>
      <c r="G1572" t="str">
        <f>"00014506"</f>
        <v>00014506</v>
      </c>
      <c r="H1572" t="s">
        <v>500</v>
      </c>
      <c r="I1572">
        <v>0</v>
      </c>
      <c r="J1572">
        <v>0</v>
      </c>
      <c r="K1572">
        <v>0</v>
      </c>
      <c r="L1572">
        <v>0</v>
      </c>
      <c r="M1572">
        <v>100</v>
      </c>
      <c r="N1572">
        <v>50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X1572">
        <v>0</v>
      </c>
      <c r="Y1572" t="s">
        <v>3329</v>
      </c>
    </row>
    <row r="1573" spans="1:25" x14ac:dyDescent="0.25">
      <c r="H1573" t="s">
        <v>52</v>
      </c>
    </row>
    <row r="1574" spans="1:25" x14ac:dyDescent="0.25">
      <c r="A1574">
        <v>784</v>
      </c>
      <c r="B1574">
        <v>298</v>
      </c>
      <c r="C1574" t="s">
        <v>3330</v>
      </c>
      <c r="D1574" t="s">
        <v>2182</v>
      </c>
      <c r="E1574" t="s">
        <v>87</v>
      </c>
      <c r="F1574" t="s">
        <v>3331</v>
      </c>
      <c r="G1574" t="str">
        <f>"00014814"</f>
        <v>00014814</v>
      </c>
      <c r="H1574" t="s">
        <v>1022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70</v>
      </c>
      <c r="O1574">
        <v>50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X1574">
        <v>0</v>
      </c>
      <c r="Y1574" t="s">
        <v>3332</v>
      </c>
    </row>
    <row r="1575" spans="1:25" x14ac:dyDescent="0.25">
      <c r="H1575" t="s">
        <v>203</v>
      </c>
    </row>
    <row r="1576" spans="1:25" x14ac:dyDescent="0.25">
      <c r="A1576">
        <v>785</v>
      </c>
      <c r="B1576">
        <v>1917</v>
      </c>
      <c r="C1576" t="s">
        <v>3333</v>
      </c>
      <c r="D1576" t="s">
        <v>223</v>
      </c>
      <c r="E1576" t="s">
        <v>41</v>
      </c>
      <c r="F1576" t="s">
        <v>3334</v>
      </c>
      <c r="G1576" t="str">
        <f>"201406006994"</f>
        <v>201406006994</v>
      </c>
      <c r="H1576" t="s">
        <v>929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30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X1576">
        <v>0</v>
      </c>
      <c r="Y1576" t="s">
        <v>3335</v>
      </c>
    </row>
    <row r="1577" spans="1:25" x14ac:dyDescent="0.25">
      <c r="H1577" t="s">
        <v>3336</v>
      </c>
    </row>
    <row r="1578" spans="1:25" x14ac:dyDescent="0.25">
      <c r="A1578">
        <v>786</v>
      </c>
      <c r="B1578">
        <v>3119</v>
      </c>
      <c r="C1578" t="s">
        <v>3337</v>
      </c>
      <c r="D1578" t="s">
        <v>175</v>
      </c>
      <c r="E1578" t="s">
        <v>21</v>
      </c>
      <c r="G1578" t="str">
        <f>"00013195"</f>
        <v>00013195</v>
      </c>
      <c r="H1578">
        <v>748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70</v>
      </c>
      <c r="O1578">
        <v>0</v>
      </c>
      <c r="P1578">
        <v>50</v>
      </c>
      <c r="Q1578">
        <v>0</v>
      </c>
      <c r="R1578">
        <v>0</v>
      </c>
      <c r="S1578">
        <v>0</v>
      </c>
      <c r="T1578">
        <v>0</v>
      </c>
      <c r="U1578">
        <v>0</v>
      </c>
      <c r="X1578">
        <v>0</v>
      </c>
      <c r="Y1578">
        <v>868</v>
      </c>
    </row>
    <row r="1579" spans="1:25" x14ac:dyDescent="0.25">
      <c r="H1579" t="s">
        <v>3338</v>
      </c>
    </row>
    <row r="1580" spans="1:25" x14ac:dyDescent="0.25">
      <c r="A1580">
        <v>787</v>
      </c>
      <c r="B1580">
        <v>1851</v>
      </c>
      <c r="C1580" t="s">
        <v>1025</v>
      </c>
      <c r="D1580" t="s">
        <v>1087</v>
      </c>
      <c r="E1580" t="s">
        <v>87</v>
      </c>
      <c r="F1580" t="s">
        <v>3339</v>
      </c>
      <c r="G1580" t="str">
        <f>"00013703"</f>
        <v>00013703</v>
      </c>
      <c r="H1580" t="s">
        <v>3148</v>
      </c>
      <c r="I1580">
        <v>0</v>
      </c>
      <c r="J1580">
        <v>0</v>
      </c>
      <c r="K1580">
        <v>0</v>
      </c>
      <c r="L1580">
        <v>200</v>
      </c>
      <c r="M1580">
        <v>0</v>
      </c>
      <c r="N1580">
        <v>30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X1580">
        <v>0</v>
      </c>
      <c r="Y1580" t="s">
        <v>3340</v>
      </c>
    </row>
    <row r="1581" spans="1:25" x14ac:dyDescent="0.25">
      <c r="H1581" t="s">
        <v>3341</v>
      </c>
    </row>
    <row r="1582" spans="1:25" x14ac:dyDescent="0.25">
      <c r="A1582">
        <v>788</v>
      </c>
      <c r="B1582">
        <v>1361</v>
      </c>
      <c r="C1582" t="s">
        <v>3342</v>
      </c>
      <c r="D1582" t="s">
        <v>842</v>
      </c>
      <c r="E1582" t="s">
        <v>48</v>
      </c>
      <c r="F1582" t="s">
        <v>3343</v>
      </c>
      <c r="G1582" t="str">
        <f>"00013585"</f>
        <v>00013585</v>
      </c>
      <c r="H1582" t="s">
        <v>428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70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X1582">
        <v>0</v>
      </c>
      <c r="Y1582" t="s">
        <v>3344</v>
      </c>
    </row>
    <row r="1583" spans="1:25" x14ac:dyDescent="0.25">
      <c r="H1583" t="s">
        <v>3345</v>
      </c>
    </row>
    <row r="1584" spans="1:25" x14ac:dyDescent="0.25">
      <c r="A1584">
        <v>789</v>
      </c>
      <c r="B1584">
        <v>660</v>
      </c>
      <c r="C1584" t="s">
        <v>3346</v>
      </c>
      <c r="D1584" t="s">
        <v>267</v>
      </c>
      <c r="E1584" t="s">
        <v>440</v>
      </c>
      <c r="F1584" t="s">
        <v>3347</v>
      </c>
      <c r="G1584" t="str">
        <f>"201411001451"</f>
        <v>201411001451</v>
      </c>
      <c r="H1584" t="s">
        <v>3348</v>
      </c>
      <c r="I1584">
        <v>0</v>
      </c>
      <c r="J1584">
        <v>0</v>
      </c>
      <c r="K1584">
        <v>0</v>
      </c>
      <c r="L1584">
        <v>200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X1584">
        <v>0</v>
      </c>
      <c r="Y1584" t="s">
        <v>3349</v>
      </c>
    </row>
    <row r="1585" spans="1:25" x14ac:dyDescent="0.25">
      <c r="H1585">
        <v>224</v>
      </c>
    </row>
    <row r="1586" spans="1:25" x14ac:dyDescent="0.25">
      <c r="A1586">
        <v>790</v>
      </c>
      <c r="B1586">
        <v>1577</v>
      </c>
      <c r="C1586" t="s">
        <v>2329</v>
      </c>
      <c r="D1586" t="s">
        <v>3350</v>
      </c>
      <c r="E1586" t="s">
        <v>896</v>
      </c>
      <c r="F1586" t="s">
        <v>3351</v>
      </c>
      <c r="G1586" t="str">
        <f>"00007741"</f>
        <v>00007741</v>
      </c>
      <c r="H1586">
        <v>803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30</v>
      </c>
      <c r="O1586">
        <v>0</v>
      </c>
      <c r="P1586">
        <v>30</v>
      </c>
      <c r="Q1586">
        <v>0</v>
      </c>
      <c r="R1586">
        <v>0</v>
      </c>
      <c r="S1586">
        <v>0</v>
      </c>
      <c r="T1586">
        <v>0</v>
      </c>
      <c r="U1586">
        <v>0</v>
      </c>
      <c r="X1586">
        <v>0</v>
      </c>
      <c r="Y1586">
        <v>863</v>
      </c>
    </row>
    <row r="1587" spans="1:25" x14ac:dyDescent="0.25">
      <c r="H1587" t="s">
        <v>3352</v>
      </c>
    </row>
    <row r="1588" spans="1:25" x14ac:dyDescent="0.25">
      <c r="A1588">
        <v>791</v>
      </c>
      <c r="B1588">
        <v>458</v>
      </c>
      <c r="C1588" t="s">
        <v>3353</v>
      </c>
      <c r="D1588" t="s">
        <v>124</v>
      </c>
      <c r="E1588" t="s">
        <v>254</v>
      </c>
      <c r="F1588" t="s">
        <v>3354</v>
      </c>
      <c r="G1588" t="str">
        <f>"200802006211"</f>
        <v>200802006211</v>
      </c>
      <c r="H1588" t="s">
        <v>511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X1588">
        <v>0</v>
      </c>
      <c r="Y1588" t="s">
        <v>3355</v>
      </c>
    </row>
    <row r="1589" spans="1:25" x14ac:dyDescent="0.25">
      <c r="H1589" t="s">
        <v>3356</v>
      </c>
    </row>
    <row r="1590" spans="1:25" x14ac:dyDescent="0.25">
      <c r="A1590">
        <v>792</v>
      </c>
      <c r="B1590">
        <v>1546</v>
      </c>
      <c r="C1590" t="s">
        <v>3357</v>
      </c>
      <c r="D1590" t="s">
        <v>41</v>
      </c>
      <c r="E1590" t="s">
        <v>22</v>
      </c>
      <c r="F1590" t="s">
        <v>3358</v>
      </c>
      <c r="G1590" t="str">
        <f>"200802007797"</f>
        <v>200802007797</v>
      </c>
      <c r="H1590">
        <v>792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70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X1590">
        <v>0</v>
      </c>
      <c r="Y1590">
        <v>862</v>
      </c>
    </row>
    <row r="1591" spans="1:25" x14ac:dyDescent="0.25">
      <c r="H1591" t="s">
        <v>3359</v>
      </c>
    </row>
    <row r="1592" spans="1:25" x14ac:dyDescent="0.25">
      <c r="A1592">
        <v>793</v>
      </c>
      <c r="B1592">
        <v>1122</v>
      </c>
      <c r="C1592" t="s">
        <v>3360</v>
      </c>
      <c r="D1592" t="s">
        <v>147</v>
      </c>
      <c r="E1592" t="s">
        <v>2373</v>
      </c>
      <c r="F1592" t="s">
        <v>3361</v>
      </c>
      <c r="G1592" t="str">
        <f>"00014796"</f>
        <v>00014796</v>
      </c>
      <c r="H1592" t="s">
        <v>1774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X1592">
        <v>1</v>
      </c>
      <c r="Y1592" t="s">
        <v>3362</v>
      </c>
    </row>
    <row r="1593" spans="1:25" x14ac:dyDescent="0.25">
      <c r="H1593" t="s">
        <v>3363</v>
      </c>
    </row>
    <row r="1594" spans="1:25" x14ac:dyDescent="0.25">
      <c r="A1594">
        <v>794</v>
      </c>
      <c r="B1594">
        <v>1455</v>
      </c>
      <c r="C1594" t="s">
        <v>3364</v>
      </c>
      <c r="D1594" t="s">
        <v>381</v>
      </c>
      <c r="E1594" t="s">
        <v>2491</v>
      </c>
      <c r="F1594" t="s">
        <v>3365</v>
      </c>
      <c r="G1594" t="str">
        <f>"00013769"</f>
        <v>00013769</v>
      </c>
      <c r="H1594" t="s">
        <v>782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70</v>
      </c>
      <c r="O1594">
        <v>0</v>
      </c>
      <c r="P1594">
        <v>30</v>
      </c>
      <c r="Q1594">
        <v>0</v>
      </c>
      <c r="R1594">
        <v>0</v>
      </c>
      <c r="S1594">
        <v>0</v>
      </c>
      <c r="T1594">
        <v>0</v>
      </c>
      <c r="U1594">
        <v>0</v>
      </c>
      <c r="X1594">
        <v>0</v>
      </c>
      <c r="Y1594" t="s">
        <v>3366</v>
      </c>
    </row>
    <row r="1595" spans="1:25" x14ac:dyDescent="0.25">
      <c r="H1595" t="s">
        <v>1944</v>
      </c>
    </row>
    <row r="1596" spans="1:25" x14ac:dyDescent="0.25">
      <c r="A1596">
        <v>795</v>
      </c>
      <c r="B1596">
        <v>2327</v>
      </c>
      <c r="C1596" t="s">
        <v>3367</v>
      </c>
      <c r="D1596" t="s">
        <v>3368</v>
      </c>
      <c r="E1596" t="s">
        <v>66</v>
      </c>
      <c r="F1596" t="s">
        <v>3369</v>
      </c>
      <c r="G1596" t="str">
        <f>"201406012638"</f>
        <v>201406012638</v>
      </c>
      <c r="H1596" t="s">
        <v>2107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50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X1596">
        <v>0</v>
      </c>
      <c r="Y1596" t="s">
        <v>3370</v>
      </c>
    </row>
    <row r="1597" spans="1:25" x14ac:dyDescent="0.25">
      <c r="H1597" t="s">
        <v>3371</v>
      </c>
    </row>
    <row r="1598" spans="1:25" x14ac:dyDescent="0.25">
      <c r="A1598">
        <v>796</v>
      </c>
      <c r="B1598">
        <v>666</v>
      </c>
      <c r="C1598" t="s">
        <v>3372</v>
      </c>
      <c r="D1598" t="s">
        <v>1038</v>
      </c>
      <c r="E1598" t="s">
        <v>124</v>
      </c>
      <c r="F1598" t="s">
        <v>3373</v>
      </c>
      <c r="G1598" t="str">
        <f>"00015162"</f>
        <v>00015162</v>
      </c>
      <c r="H1598" t="s">
        <v>1466</v>
      </c>
      <c r="I1598">
        <v>0</v>
      </c>
      <c r="J1598">
        <v>0</v>
      </c>
      <c r="K1598">
        <v>0</v>
      </c>
      <c r="L1598">
        <v>200</v>
      </c>
      <c r="M1598">
        <v>0</v>
      </c>
      <c r="N1598">
        <v>30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X1598">
        <v>0</v>
      </c>
      <c r="Y1598" t="s">
        <v>3374</v>
      </c>
    </row>
    <row r="1599" spans="1:25" x14ac:dyDescent="0.25">
      <c r="H1599" t="s">
        <v>3375</v>
      </c>
    </row>
    <row r="1600" spans="1:25" x14ac:dyDescent="0.25">
      <c r="A1600">
        <v>797</v>
      </c>
      <c r="B1600">
        <v>1790</v>
      </c>
      <c r="C1600" t="s">
        <v>3376</v>
      </c>
      <c r="D1600" t="s">
        <v>962</v>
      </c>
      <c r="E1600" t="s">
        <v>22</v>
      </c>
      <c r="F1600" t="s">
        <v>3377</v>
      </c>
      <c r="G1600" t="str">
        <f>"00012005"</f>
        <v>00012005</v>
      </c>
      <c r="H1600" t="s">
        <v>641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70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X1600">
        <v>0</v>
      </c>
      <c r="Y1600" t="s">
        <v>3378</v>
      </c>
    </row>
    <row r="1601" spans="1:25" x14ac:dyDescent="0.25">
      <c r="H1601" t="s">
        <v>3379</v>
      </c>
    </row>
    <row r="1602" spans="1:25" x14ac:dyDescent="0.25">
      <c r="A1602">
        <v>798</v>
      </c>
      <c r="B1602">
        <v>624</v>
      </c>
      <c r="C1602" t="s">
        <v>3364</v>
      </c>
      <c r="D1602" t="s">
        <v>175</v>
      </c>
      <c r="E1602" t="s">
        <v>306</v>
      </c>
      <c r="F1602" t="s">
        <v>3380</v>
      </c>
      <c r="G1602" t="str">
        <f>"201604000072"</f>
        <v>201604000072</v>
      </c>
      <c r="H1602" t="s">
        <v>1521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30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X1602">
        <v>0</v>
      </c>
      <c r="Y1602" t="s">
        <v>3381</v>
      </c>
    </row>
    <row r="1603" spans="1:25" x14ac:dyDescent="0.25">
      <c r="H1603" t="s">
        <v>3382</v>
      </c>
    </row>
    <row r="1604" spans="1:25" x14ac:dyDescent="0.25">
      <c r="A1604">
        <v>799</v>
      </c>
      <c r="B1604">
        <v>2406</v>
      </c>
      <c r="C1604" t="s">
        <v>3383</v>
      </c>
      <c r="D1604" t="s">
        <v>2770</v>
      </c>
      <c r="E1604" t="s">
        <v>87</v>
      </c>
      <c r="F1604" t="s">
        <v>3384</v>
      </c>
      <c r="G1604" t="str">
        <f>"00014403"</f>
        <v>00014403</v>
      </c>
      <c r="H1604" t="s">
        <v>3385</v>
      </c>
      <c r="I1604">
        <v>0</v>
      </c>
      <c r="J1604">
        <v>0</v>
      </c>
      <c r="K1604">
        <v>0</v>
      </c>
      <c r="L1604">
        <v>200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X1604">
        <v>0</v>
      </c>
      <c r="Y1604" t="s">
        <v>3386</v>
      </c>
    </row>
    <row r="1605" spans="1:25" x14ac:dyDescent="0.25">
      <c r="H1605">
        <v>224</v>
      </c>
    </row>
    <row r="1606" spans="1:25" x14ac:dyDescent="0.25">
      <c r="A1606">
        <v>800</v>
      </c>
      <c r="B1606">
        <v>171</v>
      </c>
      <c r="C1606" t="s">
        <v>3387</v>
      </c>
      <c r="D1606" t="s">
        <v>526</v>
      </c>
      <c r="E1606" t="s">
        <v>41</v>
      </c>
      <c r="F1606" t="s">
        <v>3388</v>
      </c>
      <c r="G1606" t="str">
        <f>"00013210"</f>
        <v>00013210</v>
      </c>
      <c r="H1606" t="s">
        <v>856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70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X1606">
        <v>2</v>
      </c>
      <c r="Y1606" t="s">
        <v>3389</v>
      </c>
    </row>
    <row r="1607" spans="1:25" x14ac:dyDescent="0.25">
      <c r="H1607">
        <v>224</v>
      </c>
    </row>
    <row r="1608" spans="1:25" x14ac:dyDescent="0.25">
      <c r="A1608">
        <v>801</v>
      </c>
      <c r="B1608">
        <v>2148</v>
      </c>
      <c r="C1608" t="s">
        <v>3390</v>
      </c>
      <c r="D1608" t="s">
        <v>639</v>
      </c>
      <c r="E1608" t="s">
        <v>1038</v>
      </c>
      <c r="F1608" t="s">
        <v>3391</v>
      </c>
      <c r="G1608" t="str">
        <f>"00015149"</f>
        <v>00015149</v>
      </c>
      <c r="H1608" t="s">
        <v>3003</v>
      </c>
      <c r="I1608">
        <v>0</v>
      </c>
      <c r="J1608">
        <v>0</v>
      </c>
      <c r="K1608">
        <v>0</v>
      </c>
      <c r="L1608">
        <v>0</v>
      </c>
      <c r="M1608">
        <v>100</v>
      </c>
      <c r="N1608">
        <v>30</v>
      </c>
      <c r="O1608">
        <v>0</v>
      </c>
      <c r="P1608">
        <v>30</v>
      </c>
      <c r="Q1608">
        <v>0</v>
      </c>
      <c r="R1608">
        <v>0</v>
      </c>
      <c r="S1608">
        <v>0</v>
      </c>
      <c r="T1608">
        <v>0</v>
      </c>
      <c r="U1608">
        <v>0</v>
      </c>
      <c r="X1608">
        <v>0</v>
      </c>
      <c r="Y1608" t="s">
        <v>3392</v>
      </c>
    </row>
    <row r="1609" spans="1:25" x14ac:dyDescent="0.25">
      <c r="H1609" t="s">
        <v>3393</v>
      </c>
    </row>
    <row r="1610" spans="1:25" x14ac:dyDescent="0.25">
      <c r="A1610">
        <v>802</v>
      </c>
      <c r="B1610">
        <v>561</v>
      </c>
      <c r="C1610" t="s">
        <v>3394</v>
      </c>
      <c r="D1610" t="s">
        <v>526</v>
      </c>
      <c r="E1610" t="s">
        <v>41</v>
      </c>
      <c r="F1610" t="s">
        <v>3395</v>
      </c>
      <c r="G1610" t="str">
        <f>"00012798"</f>
        <v>00012798</v>
      </c>
      <c r="H1610" t="s">
        <v>870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70</v>
      </c>
      <c r="O1610">
        <v>0</v>
      </c>
      <c r="P1610">
        <v>30</v>
      </c>
      <c r="Q1610">
        <v>0</v>
      </c>
      <c r="R1610">
        <v>0</v>
      </c>
      <c r="S1610">
        <v>0</v>
      </c>
      <c r="T1610">
        <v>0</v>
      </c>
      <c r="U1610">
        <v>0</v>
      </c>
      <c r="X1610">
        <v>0</v>
      </c>
      <c r="Y1610" t="s">
        <v>3396</v>
      </c>
    </row>
    <row r="1611" spans="1:25" x14ac:dyDescent="0.25">
      <c r="H1611" t="s">
        <v>3397</v>
      </c>
    </row>
    <row r="1612" spans="1:25" x14ac:dyDescent="0.25">
      <c r="A1612">
        <v>803</v>
      </c>
      <c r="B1612">
        <v>1368</v>
      </c>
      <c r="C1612" t="s">
        <v>3398</v>
      </c>
      <c r="D1612" t="s">
        <v>147</v>
      </c>
      <c r="E1612" t="s">
        <v>106</v>
      </c>
      <c r="F1612" t="s">
        <v>3399</v>
      </c>
      <c r="G1612" t="str">
        <f>"00014919"</f>
        <v>00014919</v>
      </c>
      <c r="H1612" t="s">
        <v>485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70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X1612">
        <v>0</v>
      </c>
      <c r="Y1612" t="s">
        <v>3400</v>
      </c>
    </row>
    <row r="1613" spans="1:25" x14ac:dyDescent="0.25">
      <c r="H1613" t="s">
        <v>3401</v>
      </c>
    </row>
    <row r="1614" spans="1:25" x14ac:dyDescent="0.25">
      <c r="A1614">
        <v>804</v>
      </c>
      <c r="B1614">
        <v>144</v>
      </c>
      <c r="C1614" t="s">
        <v>3402</v>
      </c>
      <c r="D1614" t="s">
        <v>842</v>
      </c>
      <c r="E1614" t="s">
        <v>48</v>
      </c>
      <c r="F1614" t="s">
        <v>3403</v>
      </c>
      <c r="G1614" t="str">
        <f>"00014906"</f>
        <v>00014906</v>
      </c>
      <c r="H1614" t="s">
        <v>485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70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X1614">
        <v>0</v>
      </c>
      <c r="Y1614" t="s">
        <v>3400</v>
      </c>
    </row>
    <row r="1615" spans="1:25" x14ac:dyDescent="0.25">
      <c r="H1615" t="s">
        <v>3404</v>
      </c>
    </row>
    <row r="1616" spans="1:25" x14ac:dyDescent="0.25">
      <c r="A1616">
        <v>805</v>
      </c>
      <c r="B1616">
        <v>1718</v>
      </c>
      <c r="C1616" t="s">
        <v>3405</v>
      </c>
      <c r="D1616" t="s">
        <v>526</v>
      </c>
      <c r="E1616" t="s">
        <v>22</v>
      </c>
      <c r="F1616" t="s">
        <v>3406</v>
      </c>
      <c r="G1616" t="str">
        <f>"201506001704"</f>
        <v>201506001704</v>
      </c>
      <c r="H1616" t="s">
        <v>596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30</v>
      </c>
      <c r="Q1616">
        <v>0</v>
      </c>
      <c r="R1616">
        <v>0</v>
      </c>
      <c r="S1616">
        <v>0</v>
      </c>
      <c r="T1616">
        <v>0</v>
      </c>
      <c r="U1616">
        <v>0</v>
      </c>
      <c r="X1616">
        <v>0</v>
      </c>
      <c r="Y1616" t="s">
        <v>3407</v>
      </c>
    </row>
    <row r="1617" spans="1:25" x14ac:dyDescent="0.25">
      <c r="H1617" t="s">
        <v>3408</v>
      </c>
    </row>
    <row r="1618" spans="1:25" x14ac:dyDescent="0.25">
      <c r="A1618">
        <v>806</v>
      </c>
      <c r="B1618">
        <v>148</v>
      </c>
      <c r="C1618" t="s">
        <v>3409</v>
      </c>
      <c r="D1618" t="s">
        <v>334</v>
      </c>
      <c r="E1618" t="s">
        <v>267</v>
      </c>
      <c r="F1618" t="s">
        <v>3410</v>
      </c>
      <c r="G1618" t="str">
        <f>"201402003726"</f>
        <v>201402003726</v>
      </c>
      <c r="H1618" t="s">
        <v>1783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50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X1618">
        <v>0</v>
      </c>
      <c r="Y1618" t="s">
        <v>3411</v>
      </c>
    </row>
    <row r="1619" spans="1:25" x14ac:dyDescent="0.25">
      <c r="H1619" t="s">
        <v>52</v>
      </c>
    </row>
    <row r="1620" spans="1:25" x14ac:dyDescent="0.25">
      <c r="A1620">
        <v>807</v>
      </c>
      <c r="B1620">
        <v>2558</v>
      </c>
      <c r="C1620" t="s">
        <v>3412</v>
      </c>
      <c r="D1620" t="s">
        <v>175</v>
      </c>
      <c r="E1620" t="s">
        <v>182</v>
      </c>
      <c r="F1620" t="s">
        <v>3413</v>
      </c>
      <c r="G1620" t="str">
        <f>"00014664"</f>
        <v>00014664</v>
      </c>
      <c r="H1620" t="s">
        <v>535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70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X1620">
        <v>0</v>
      </c>
      <c r="Y1620" t="s">
        <v>3414</v>
      </c>
    </row>
    <row r="1621" spans="1:25" x14ac:dyDescent="0.25">
      <c r="H1621" t="s">
        <v>3415</v>
      </c>
    </row>
    <row r="1622" spans="1:25" x14ac:dyDescent="0.25">
      <c r="A1622">
        <v>808</v>
      </c>
      <c r="B1622">
        <v>2598</v>
      </c>
      <c r="C1622" t="s">
        <v>3416</v>
      </c>
      <c r="D1622" t="s">
        <v>3417</v>
      </c>
      <c r="E1622" t="s">
        <v>1076</v>
      </c>
      <c r="F1622" t="s">
        <v>3418</v>
      </c>
      <c r="G1622" t="str">
        <f>"201511023086"</f>
        <v>201511023086</v>
      </c>
      <c r="H1622" t="s">
        <v>178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30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X1622">
        <v>0</v>
      </c>
      <c r="Y1622" t="s">
        <v>3419</v>
      </c>
    </row>
    <row r="1623" spans="1:25" x14ac:dyDescent="0.25">
      <c r="H1623" t="s">
        <v>3420</v>
      </c>
    </row>
    <row r="1624" spans="1:25" x14ac:dyDescent="0.25">
      <c r="A1624">
        <v>809</v>
      </c>
      <c r="B1624">
        <v>2397</v>
      </c>
      <c r="C1624" t="s">
        <v>3421</v>
      </c>
      <c r="D1624" t="s">
        <v>1087</v>
      </c>
      <c r="E1624" t="s">
        <v>124</v>
      </c>
      <c r="F1624" t="s">
        <v>3422</v>
      </c>
      <c r="G1624" t="str">
        <f>"00015042"</f>
        <v>00015042</v>
      </c>
      <c r="H1624" t="s">
        <v>108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X1624">
        <v>0</v>
      </c>
      <c r="Y1624" t="s">
        <v>3423</v>
      </c>
    </row>
    <row r="1625" spans="1:25" x14ac:dyDescent="0.25">
      <c r="H1625" t="s">
        <v>3424</v>
      </c>
    </row>
    <row r="1626" spans="1:25" x14ac:dyDescent="0.25">
      <c r="A1626">
        <v>810</v>
      </c>
      <c r="B1626">
        <v>1320</v>
      </c>
      <c r="C1626" t="s">
        <v>3425</v>
      </c>
      <c r="D1626" t="s">
        <v>1728</v>
      </c>
      <c r="E1626" t="s">
        <v>21</v>
      </c>
      <c r="F1626" t="s">
        <v>3426</v>
      </c>
      <c r="G1626" t="str">
        <f>"00014215"</f>
        <v>00014215</v>
      </c>
      <c r="H1626" t="s">
        <v>505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70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X1626">
        <v>0</v>
      </c>
      <c r="Y1626" t="s">
        <v>3427</v>
      </c>
    </row>
    <row r="1627" spans="1:25" x14ac:dyDescent="0.25">
      <c r="H1627" t="s">
        <v>3428</v>
      </c>
    </row>
    <row r="1628" spans="1:25" x14ac:dyDescent="0.25">
      <c r="A1628">
        <v>811</v>
      </c>
      <c r="B1628">
        <v>222</v>
      </c>
      <c r="C1628" t="s">
        <v>3429</v>
      </c>
      <c r="D1628" t="s">
        <v>3142</v>
      </c>
      <c r="E1628" t="s">
        <v>585</v>
      </c>
      <c r="F1628" t="s">
        <v>3430</v>
      </c>
      <c r="G1628" t="str">
        <f>"201504001241"</f>
        <v>201504001241</v>
      </c>
      <c r="H1628" t="s">
        <v>1078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70</v>
      </c>
      <c r="O1628">
        <v>30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X1628">
        <v>0</v>
      </c>
      <c r="Y1628" t="s">
        <v>3431</v>
      </c>
    </row>
    <row r="1629" spans="1:25" x14ac:dyDescent="0.25">
      <c r="H1629" t="s">
        <v>3432</v>
      </c>
    </row>
    <row r="1630" spans="1:25" x14ac:dyDescent="0.25">
      <c r="A1630">
        <v>812</v>
      </c>
      <c r="B1630">
        <v>1619</v>
      </c>
      <c r="C1630" t="s">
        <v>3433</v>
      </c>
      <c r="D1630" t="s">
        <v>3434</v>
      </c>
      <c r="E1630" t="s">
        <v>306</v>
      </c>
      <c r="F1630" t="s">
        <v>3435</v>
      </c>
      <c r="G1630" t="str">
        <f>"201402010100"</f>
        <v>201402010100</v>
      </c>
      <c r="H1630" t="s">
        <v>856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30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X1630">
        <v>0</v>
      </c>
      <c r="Y1630" t="s">
        <v>3436</v>
      </c>
    </row>
    <row r="1631" spans="1:25" x14ac:dyDescent="0.25">
      <c r="H1631" t="s">
        <v>3437</v>
      </c>
    </row>
    <row r="1632" spans="1:25" x14ac:dyDescent="0.25">
      <c r="A1632">
        <v>813</v>
      </c>
      <c r="B1632">
        <v>1702</v>
      </c>
      <c r="C1632" t="s">
        <v>3438</v>
      </c>
      <c r="D1632" t="s">
        <v>450</v>
      </c>
      <c r="E1632" t="s">
        <v>317</v>
      </c>
      <c r="F1632" t="s">
        <v>3439</v>
      </c>
      <c r="G1632" t="str">
        <f>"201504001497"</f>
        <v>201504001497</v>
      </c>
      <c r="H1632" t="s">
        <v>1022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30</v>
      </c>
      <c r="O1632">
        <v>0</v>
      </c>
      <c r="P1632">
        <v>0</v>
      </c>
      <c r="Q1632">
        <v>0</v>
      </c>
      <c r="R1632">
        <v>30</v>
      </c>
      <c r="S1632">
        <v>0</v>
      </c>
      <c r="T1632">
        <v>0</v>
      </c>
      <c r="U1632">
        <v>30</v>
      </c>
      <c r="X1632">
        <v>0</v>
      </c>
      <c r="Y1632" t="s">
        <v>3440</v>
      </c>
    </row>
    <row r="1633" spans="1:25" x14ac:dyDescent="0.25">
      <c r="H1633" t="s">
        <v>3441</v>
      </c>
    </row>
    <row r="1634" spans="1:25" x14ac:dyDescent="0.25">
      <c r="A1634">
        <v>814</v>
      </c>
      <c r="B1634">
        <v>2088</v>
      </c>
      <c r="C1634" t="s">
        <v>3442</v>
      </c>
      <c r="D1634" t="s">
        <v>772</v>
      </c>
      <c r="E1634" t="s">
        <v>3443</v>
      </c>
      <c r="F1634" t="s">
        <v>3444</v>
      </c>
      <c r="G1634" t="str">
        <f>"00013647"</f>
        <v>00013647</v>
      </c>
      <c r="H1634" t="s">
        <v>1196</v>
      </c>
      <c r="I1634">
        <v>0</v>
      </c>
      <c r="J1634">
        <v>0</v>
      </c>
      <c r="K1634">
        <v>0</v>
      </c>
      <c r="L1634">
        <v>0</v>
      </c>
      <c r="M1634">
        <v>100</v>
      </c>
      <c r="N1634">
        <v>50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X1634">
        <v>0</v>
      </c>
      <c r="Y1634" t="s">
        <v>3445</v>
      </c>
    </row>
    <row r="1635" spans="1:25" x14ac:dyDescent="0.25">
      <c r="H1635" t="s">
        <v>3446</v>
      </c>
    </row>
    <row r="1636" spans="1:25" x14ac:dyDescent="0.25">
      <c r="A1636">
        <v>815</v>
      </c>
      <c r="B1636">
        <v>1236</v>
      </c>
      <c r="C1636" t="s">
        <v>3447</v>
      </c>
      <c r="D1636" t="s">
        <v>2770</v>
      </c>
      <c r="E1636" t="s">
        <v>124</v>
      </c>
      <c r="F1636" t="s">
        <v>3448</v>
      </c>
      <c r="G1636" t="str">
        <f>"00012978"</f>
        <v>00012978</v>
      </c>
      <c r="H1636" t="s">
        <v>620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70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X1636">
        <v>0</v>
      </c>
      <c r="Y1636" t="s">
        <v>3449</v>
      </c>
    </row>
    <row r="1637" spans="1:25" x14ac:dyDescent="0.25">
      <c r="H1637" t="s">
        <v>3450</v>
      </c>
    </row>
    <row r="1638" spans="1:25" x14ac:dyDescent="0.25">
      <c r="A1638">
        <v>816</v>
      </c>
      <c r="B1638">
        <v>2634</v>
      </c>
      <c r="C1638" t="s">
        <v>3451</v>
      </c>
      <c r="D1638" t="s">
        <v>129</v>
      </c>
      <c r="E1638" t="s">
        <v>3443</v>
      </c>
      <c r="F1638" t="s">
        <v>3452</v>
      </c>
      <c r="G1638" t="str">
        <f>"00015055"</f>
        <v>00015055</v>
      </c>
      <c r="H1638" t="s">
        <v>491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30</v>
      </c>
      <c r="O1638">
        <v>0</v>
      </c>
      <c r="P1638">
        <v>0</v>
      </c>
      <c r="Q1638">
        <v>30</v>
      </c>
      <c r="R1638">
        <v>0</v>
      </c>
      <c r="S1638">
        <v>0</v>
      </c>
      <c r="T1638">
        <v>0</v>
      </c>
      <c r="U1638">
        <v>0</v>
      </c>
      <c r="X1638">
        <v>0</v>
      </c>
      <c r="Y1638" t="s">
        <v>3453</v>
      </c>
    </row>
    <row r="1639" spans="1:25" x14ac:dyDescent="0.25">
      <c r="H1639">
        <v>221</v>
      </c>
    </row>
    <row r="1640" spans="1:25" x14ac:dyDescent="0.25">
      <c r="A1640">
        <v>817</v>
      </c>
      <c r="B1640">
        <v>1389</v>
      </c>
      <c r="C1640" t="s">
        <v>3454</v>
      </c>
      <c r="D1640" t="s">
        <v>749</v>
      </c>
      <c r="E1640" t="s">
        <v>21</v>
      </c>
      <c r="F1640" t="s">
        <v>3455</v>
      </c>
      <c r="G1640" t="str">
        <f>"00013573"</f>
        <v>00013573</v>
      </c>
      <c r="H1640" t="s">
        <v>287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X1640">
        <v>0</v>
      </c>
      <c r="Y1640" t="s">
        <v>3456</v>
      </c>
    </row>
    <row r="1641" spans="1:25" x14ac:dyDescent="0.25">
      <c r="H1641" t="s">
        <v>3457</v>
      </c>
    </row>
    <row r="1642" spans="1:25" x14ac:dyDescent="0.25">
      <c r="A1642">
        <v>818</v>
      </c>
      <c r="B1642">
        <v>2453</v>
      </c>
      <c r="C1642" t="s">
        <v>1293</v>
      </c>
      <c r="D1642" t="s">
        <v>141</v>
      </c>
      <c r="E1642" t="s">
        <v>417</v>
      </c>
      <c r="F1642" t="s">
        <v>3458</v>
      </c>
      <c r="G1642" t="str">
        <f>"00014095"</f>
        <v>00014095</v>
      </c>
      <c r="H1642" t="s">
        <v>297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70</v>
      </c>
      <c r="O1642">
        <v>30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X1642">
        <v>0</v>
      </c>
      <c r="Y1642" t="s">
        <v>3459</v>
      </c>
    </row>
    <row r="1643" spans="1:25" x14ac:dyDescent="0.25">
      <c r="H1643" t="s">
        <v>3460</v>
      </c>
    </row>
    <row r="1644" spans="1:25" x14ac:dyDescent="0.25">
      <c r="A1644">
        <v>819</v>
      </c>
      <c r="B1644">
        <v>173</v>
      </c>
      <c r="C1644" t="s">
        <v>3461</v>
      </c>
      <c r="D1644" t="s">
        <v>526</v>
      </c>
      <c r="E1644" t="s">
        <v>1483</v>
      </c>
      <c r="F1644" t="s">
        <v>3462</v>
      </c>
      <c r="G1644" t="str">
        <f>"200802005175"</f>
        <v>200802005175</v>
      </c>
      <c r="H1644" t="s">
        <v>505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30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X1644">
        <v>0</v>
      </c>
      <c r="Y1644" t="s">
        <v>3463</v>
      </c>
    </row>
    <row r="1645" spans="1:25" x14ac:dyDescent="0.25">
      <c r="H1645" t="s">
        <v>3464</v>
      </c>
    </row>
    <row r="1646" spans="1:25" x14ac:dyDescent="0.25">
      <c r="A1646">
        <v>820</v>
      </c>
      <c r="B1646">
        <v>1660</v>
      </c>
      <c r="C1646" t="s">
        <v>3465</v>
      </c>
      <c r="D1646" t="s">
        <v>98</v>
      </c>
      <c r="E1646" t="s">
        <v>2136</v>
      </c>
      <c r="F1646" t="s">
        <v>3466</v>
      </c>
      <c r="G1646" t="str">
        <f>"201511013742"</f>
        <v>201511013742</v>
      </c>
      <c r="H1646" t="s">
        <v>1220</v>
      </c>
      <c r="I1646">
        <v>0</v>
      </c>
      <c r="J1646">
        <v>0</v>
      </c>
      <c r="K1646">
        <v>0</v>
      </c>
      <c r="L1646">
        <v>0</v>
      </c>
      <c r="M1646">
        <v>100</v>
      </c>
      <c r="N1646">
        <v>70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X1646">
        <v>0</v>
      </c>
      <c r="Y1646" t="s">
        <v>3467</v>
      </c>
    </row>
    <row r="1647" spans="1:25" x14ac:dyDescent="0.25">
      <c r="H1647" t="s">
        <v>3468</v>
      </c>
    </row>
    <row r="1648" spans="1:25" x14ac:dyDescent="0.25">
      <c r="A1648">
        <v>821</v>
      </c>
      <c r="B1648">
        <v>1440</v>
      </c>
      <c r="C1648" t="s">
        <v>3469</v>
      </c>
      <c r="D1648" t="s">
        <v>1087</v>
      </c>
      <c r="E1648" t="s">
        <v>22</v>
      </c>
      <c r="F1648" t="s">
        <v>3470</v>
      </c>
      <c r="G1648" t="str">
        <f>"00013157"</f>
        <v>00013157</v>
      </c>
      <c r="H1648" t="s">
        <v>762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X1648">
        <v>0</v>
      </c>
      <c r="Y1648" t="s">
        <v>3471</v>
      </c>
    </row>
    <row r="1649" spans="1:25" x14ac:dyDescent="0.25">
      <c r="H1649" t="s">
        <v>919</v>
      </c>
    </row>
    <row r="1650" spans="1:25" x14ac:dyDescent="0.25">
      <c r="A1650">
        <v>822</v>
      </c>
      <c r="B1650">
        <v>1875</v>
      </c>
      <c r="C1650" t="s">
        <v>3472</v>
      </c>
      <c r="D1650" t="s">
        <v>3473</v>
      </c>
      <c r="E1650" t="s">
        <v>3474</v>
      </c>
      <c r="F1650" t="s">
        <v>3475</v>
      </c>
      <c r="G1650" t="str">
        <f>"00012782"</f>
        <v>00012782</v>
      </c>
      <c r="H1650" t="s">
        <v>762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30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X1650">
        <v>2</v>
      </c>
      <c r="Y1650" t="s">
        <v>3471</v>
      </c>
    </row>
    <row r="1651" spans="1:25" x14ac:dyDescent="0.25">
      <c r="H1651" t="s">
        <v>3476</v>
      </c>
    </row>
    <row r="1652" spans="1:25" x14ac:dyDescent="0.25">
      <c r="A1652">
        <v>823</v>
      </c>
      <c r="B1652">
        <v>1025</v>
      </c>
      <c r="C1652" t="s">
        <v>1478</v>
      </c>
      <c r="D1652" t="s">
        <v>417</v>
      </c>
      <c r="E1652" t="s">
        <v>22</v>
      </c>
      <c r="F1652" t="s">
        <v>3477</v>
      </c>
      <c r="G1652" t="str">
        <f>"201511030075"</f>
        <v>201511030075</v>
      </c>
      <c r="H1652" t="s">
        <v>673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70</v>
      </c>
      <c r="O1652">
        <v>0</v>
      </c>
      <c r="P1652">
        <v>30</v>
      </c>
      <c r="Q1652">
        <v>0</v>
      </c>
      <c r="R1652">
        <v>0</v>
      </c>
      <c r="S1652">
        <v>0</v>
      </c>
      <c r="T1652">
        <v>0</v>
      </c>
      <c r="U1652">
        <v>0</v>
      </c>
      <c r="X1652">
        <v>0</v>
      </c>
      <c r="Y1652" t="s">
        <v>3478</v>
      </c>
    </row>
    <row r="1653" spans="1:25" x14ac:dyDescent="0.25">
      <c r="H1653" t="s">
        <v>3479</v>
      </c>
    </row>
    <row r="1654" spans="1:25" x14ac:dyDescent="0.25">
      <c r="A1654">
        <v>824</v>
      </c>
      <c r="B1654">
        <v>2314</v>
      </c>
      <c r="C1654" t="s">
        <v>3480</v>
      </c>
      <c r="D1654" t="s">
        <v>1778</v>
      </c>
      <c r="E1654" t="s">
        <v>353</v>
      </c>
      <c r="F1654" t="s">
        <v>3481</v>
      </c>
      <c r="G1654" t="str">
        <f>"200802004480"</f>
        <v>200802004480</v>
      </c>
      <c r="H1654" t="s">
        <v>1160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70</v>
      </c>
      <c r="O1654">
        <v>30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X1654">
        <v>0</v>
      </c>
      <c r="Y1654" t="s">
        <v>3482</v>
      </c>
    </row>
    <row r="1655" spans="1:25" x14ac:dyDescent="0.25">
      <c r="H1655" t="s">
        <v>52</v>
      </c>
    </row>
    <row r="1656" spans="1:25" x14ac:dyDescent="0.25">
      <c r="A1656">
        <v>825</v>
      </c>
      <c r="B1656">
        <v>2198</v>
      </c>
      <c r="C1656" t="s">
        <v>3483</v>
      </c>
      <c r="D1656" t="s">
        <v>3484</v>
      </c>
      <c r="E1656" t="s">
        <v>884</v>
      </c>
      <c r="F1656" t="s">
        <v>3485</v>
      </c>
      <c r="G1656" t="str">
        <f>"00013062"</f>
        <v>00013062</v>
      </c>
      <c r="H1656" t="s">
        <v>982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70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X1656">
        <v>0</v>
      </c>
      <c r="Y1656" t="s">
        <v>3486</v>
      </c>
    </row>
    <row r="1657" spans="1:25" x14ac:dyDescent="0.25">
      <c r="H1657" t="s">
        <v>3487</v>
      </c>
    </row>
    <row r="1658" spans="1:25" x14ac:dyDescent="0.25">
      <c r="A1658">
        <v>826</v>
      </c>
      <c r="B1658">
        <v>3052</v>
      </c>
      <c r="C1658" t="s">
        <v>3488</v>
      </c>
      <c r="D1658" t="s">
        <v>141</v>
      </c>
      <c r="E1658" t="s">
        <v>417</v>
      </c>
      <c r="F1658" t="s">
        <v>3489</v>
      </c>
      <c r="G1658" t="str">
        <f>"200802005005"</f>
        <v>200802005005</v>
      </c>
      <c r="H1658" t="s">
        <v>630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70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X1658">
        <v>0</v>
      </c>
      <c r="Y1658" t="s">
        <v>3490</v>
      </c>
    </row>
    <row r="1659" spans="1:25" x14ac:dyDescent="0.25">
      <c r="H1659" t="s">
        <v>3491</v>
      </c>
    </row>
    <row r="1660" spans="1:25" x14ac:dyDescent="0.25">
      <c r="A1660">
        <v>827</v>
      </c>
      <c r="B1660">
        <v>2363</v>
      </c>
      <c r="C1660" t="s">
        <v>3492</v>
      </c>
      <c r="D1660" t="s">
        <v>3493</v>
      </c>
      <c r="E1660" t="s">
        <v>3494</v>
      </c>
      <c r="F1660" t="s">
        <v>3495</v>
      </c>
      <c r="G1660" t="str">
        <f>"00011503"</f>
        <v>00011503</v>
      </c>
      <c r="H1660" t="s">
        <v>365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X1660">
        <v>0</v>
      </c>
      <c r="Y1660" t="s">
        <v>3496</v>
      </c>
    </row>
    <row r="1661" spans="1:25" x14ac:dyDescent="0.25">
      <c r="H1661" t="s">
        <v>3497</v>
      </c>
    </row>
    <row r="1662" spans="1:25" x14ac:dyDescent="0.25">
      <c r="A1662">
        <v>828</v>
      </c>
      <c r="B1662">
        <v>518</v>
      </c>
      <c r="C1662" t="s">
        <v>1014</v>
      </c>
      <c r="D1662" t="s">
        <v>175</v>
      </c>
      <c r="E1662" t="s">
        <v>118</v>
      </c>
      <c r="F1662" t="s">
        <v>3498</v>
      </c>
      <c r="G1662" t="str">
        <f>"00013682"</f>
        <v>00013682</v>
      </c>
      <c r="H1662" t="s">
        <v>1692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70</v>
      </c>
      <c r="O1662">
        <v>30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X1662">
        <v>0</v>
      </c>
      <c r="Y1662" t="s">
        <v>3499</v>
      </c>
    </row>
    <row r="1663" spans="1:25" x14ac:dyDescent="0.25">
      <c r="H1663" t="s">
        <v>3500</v>
      </c>
    </row>
    <row r="1664" spans="1:25" x14ac:dyDescent="0.25">
      <c r="A1664">
        <v>829</v>
      </c>
      <c r="B1664">
        <v>1027</v>
      </c>
      <c r="C1664" t="s">
        <v>3501</v>
      </c>
      <c r="D1664" t="s">
        <v>175</v>
      </c>
      <c r="E1664" t="s">
        <v>124</v>
      </c>
      <c r="F1664" t="s">
        <v>3502</v>
      </c>
      <c r="G1664" t="str">
        <f>"200804000478"</f>
        <v>200804000478</v>
      </c>
      <c r="H1664" t="s">
        <v>303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70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X1664">
        <v>0</v>
      </c>
      <c r="Y1664" t="s">
        <v>3503</v>
      </c>
    </row>
    <row r="1665" spans="1:25" x14ac:dyDescent="0.25">
      <c r="H1665" t="s">
        <v>3504</v>
      </c>
    </row>
    <row r="1666" spans="1:25" x14ac:dyDescent="0.25">
      <c r="A1666">
        <v>830</v>
      </c>
      <c r="B1666">
        <v>573</v>
      </c>
      <c r="C1666" t="s">
        <v>3505</v>
      </c>
      <c r="D1666" t="s">
        <v>310</v>
      </c>
      <c r="E1666" t="s">
        <v>66</v>
      </c>
      <c r="F1666" t="s">
        <v>3506</v>
      </c>
      <c r="G1666" t="str">
        <f>"00013067"</f>
        <v>00013067</v>
      </c>
      <c r="H1666" t="s">
        <v>303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70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X1666">
        <v>0</v>
      </c>
      <c r="Y1666" t="s">
        <v>3503</v>
      </c>
    </row>
    <row r="1667" spans="1:25" x14ac:dyDescent="0.25">
      <c r="H1667" t="s">
        <v>3507</v>
      </c>
    </row>
    <row r="1668" spans="1:25" x14ac:dyDescent="0.25">
      <c r="A1668">
        <v>831</v>
      </c>
      <c r="B1668">
        <v>2356</v>
      </c>
      <c r="C1668" t="s">
        <v>3508</v>
      </c>
      <c r="D1668" t="s">
        <v>3509</v>
      </c>
      <c r="E1668" t="s">
        <v>22</v>
      </c>
      <c r="F1668" t="s">
        <v>3510</v>
      </c>
      <c r="G1668" t="str">
        <f>"00014820"</f>
        <v>00014820</v>
      </c>
      <c r="H1668" t="s">
        <v>3511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50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X1668">
        <v>0</v>
      </c>
      <c r="Y1668" t="s">
        <v>3512</v>
      </c>
    </row>
    <row r="1669" spans="1:25" x14ac:dyDescent="0.25">
      <c r="H1669">
        <v>221</v>
      </c>
    </row>
    <row r="1670" spans="1:25" x14ac:dyDescent="0.25">
      <c r="A1670">
        <v>832</v>
      </c>
      <c r="B1670">
        <v>200</v>
      </c>
      <c r="C1670" t="s">
        <v>3513</v>
      </c>
      <c r="D1670" t="s">
        <v>3514</v>
      </c>
      <c r="E1670" t="s">
        <v>3515</v>
      </c>
      <c r="F1670" t="s">
        <v>3516</v>
      </c>
      <c r="G1670" t="str">
        <f>"00012250"</f>
        <v>00012250</v>
      </c>
      <c r="H1670" t="s">
        <v>557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X1670">
        <v>0</v>
      </c>
      <c r="Y1670" t="s">
        <v>3517</v>
      </c>
    </row>
    <row r="1671" spans="1:25" x14ac:dyDescent="0.25">
      <c r="H1671" t="s">
        <v>3518</v>
      </c>
    </row>
    <row r="1672" spans="1:25" x14ac:dyDescent="0.25">
      <c r="A1672">
        <v>833</v>
      </c>
      <c r="B1672">
        <v>1968</v>
      </c>
      <c r="C1672" t="s">
        <v>3519</v>
      </c>
      <c r="D1672" t="s">
        <v>181</v>
      </c>
      <c r="E1672" t="s">
        <v>124</v>
      </c>
      <c r="F1672" t="s">
        <v>3520</v>
      </c>
      <c r="G1672" t="str">
        <f>"00013827"</f>
        <v>00013827</v>
      </c>
      <c r="H1672" t="s">
        <v>313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70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X1672">
        <v>0</v>
      </c>
      <c r="Y1672" t="s">
        <v>3521</v>
      </c>
    </row>
    <row r="1673" spans="1:25" x14ac:dyDescent="0.25">
      <c r="H1673" t="s">
        <v>3522</v>
      </c>
    </row>
    <row r="1674" spans="1:25" x14ac:dyDescent="0.25">
      <c r="A1674">
        <v>834</v>
      </c>
      <c r="B1674">
        <v>2758</v>
      </c>
      <c r="C1674" t="s">
        <v>3523</v>
      </c>
      <c r="D1674" t="s">
        <v>87</v>
      </c>
      <c r="E1674" t="s">
        <v>278</v>
      </c>
      <c r="F1674" t="s">
        <v>3524</v>
      </c>
      <c r="G1674" t="str">
        <f>"201402000526"</f>
        <v>201402000526</v>
      </c>
      <c r="H1674" t="s">
        <v>1329</v>
      </c>
      <c r="I1674">
        <v>0</v>
      </c>
      <c r="J1674">
        <v>0</v>
      </c>
      <c r="K1674">
        <v>0</v>
      </c>
      <c r="L1674">
        <v>0</v>
      </c>
      <c r="M1674">
        <v>100</v>
      </c>
      <c r="N1674">
        <v>50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X1674">
        <v>0</v>
      </c>
      <c r="Y1674" t="s">
        <v>3525</v>
      </c>
    </row>
    <row r="1675" spans="1:25" x14ac:dyDescent="0.25">
      <c r="H1675" t="s">
        <v>3526</v>
      </c>
    </row>
    <row r="1676" spans="1:25" x14ac:dyDescent="0.25">
      <c r="A1676">
        <v>835</v>
      </c>
      <c r="B1676">
        <v>2696</v>
      </c>
      <c r="C1676" t="s">
        <v>3527</v>
      </c>
      <c r="D1676" t="s">
        <v>124</v>
      </c>
      <c r="E1676" t="s">
        <v>41</v>
      </c>
      <c r="F1676" t="s">
        <v>3528</v>
      </c>
      <c r="G1676" t="str">
        <f>"201410010274"</f>
        <v>201410010274</v>
      </c>
      <c r="H1676" t="s">
        <v>1022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X1676">
        <v>0</v>
      </c>
      <c r="Y1676" t="s">
        <v>3529</v>
      </c>
    </row>
    <row r="1677" spans="1:25" x14ac:dyDescent="0.25">
      <c r="H1677" t="s">
        <v>3530</v>
      </c>
    </row>
    <row r="1678" spans="1:25" x14ac:dyDescent="0.25">
      <c r="A1678">
        <v>836</v>
      </c>
      <c r="B1678">
        <v>2207</v>
      </c>
      <c r="C1678" t="s">
        <v>210</v>
      </c>
      <c r="D1678" t="s">
        <v>526</v>
      </c>
      <c r="E1678" t="s">
        <v>2075</v>
      </c>
      <c r="F1678" t="s">
        <v>3531</v>
      </c>
      <c r="G1678" t="str">
        <f>"00013387"</f>
        <v>00013387</v>
      </c>
      <c r="H1678" t="s">
        <v>782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30</v>
      </c>
      <c r="Q1678">
        <v>0</v>
      </c>
      <c r="R1678">
        <v>0</v>
      </c>
      <c r="S1678">
        <v>0</v>
      </c>
      <c r="T1678">
        <v>0</v>
      </c>
      <c r="U1678">
        <v>0</v>
      </c>
      <c r="X1678">
        <v>0</v>
      </c>
      <c r="Y1678" t="s">
        <v>3532</v>
      </c>
    </row>
    <row r="1679" spans="1:25" x14ac:dyDescent="0.25">
      <c r="H1679" t="s">
        <v>3533</v>
      </c>
    </row>
    <row r="1680" spans="1:25" x14ac:dyDescent="0.25">
      <c r="A1680">
        <v>837</v>
      </c>
      <c r="B1680">
        <v>3150</v>
      </c>
      <c r="C1680" t="s">
        <v>3534</v>
      </c>
      <c r="D1680" t="s">
        <v>98</v>
      </c>
      <c r="E1680" t="s">
        <v>22</v>
      </c>
      <c r="F1680" t="s">
        <v>3535</v>
      </c>
      <c r="G1680" t="str">
        <f>"00013913"</f>
        <v>00013913</v>
      </c>
      <c r="H1680" t="s">
        <v>795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50</v>
      </c>
      <c r="O1680">
        <v>0</v>
      </c>
      <c r="P1680">
        <v>30</v>
      </c>
      <c r="Q1680">
        <v>0</v>
      </c>
      <c r="R1680">
        <v>0</v>
      </c>
      <c r="S1680">
        <v>0</v>
      </c>
      <c r="T1680">
        <v>0</v>
      </c>
      <c r="U1680">
        <v>0</v>
      </c>
      <c r="X1680">
        <v>0</v>
      </c>
      <c r="Y1680" t="s">
        <v>3536</v>
      </c>
    </row>
    <row r="1681" spans="1:25" x14ac:dyDescent="0.25">
      <c r="H1681" t="s">
        <v>3537</v>
      </c>
    </row>
    <row r="1682" spans="1:25" x14ac:dyDescent="0.25">
      <c r="A1682">
        <v>838</v>
      </c>
      <c r="B1682">
        <v>1890</v>
      </c>
      <c r="C1682" t="s">
        <v>3538</v>
      </c>
      <c r="D1682" t="s">
        <v>1206</v>
      </c>
      <c r="E1682" t="s">
        <v>41</v>
      </c>
      <c r="F1682" t="s">
        <v>3539</v>
      </c>
      <c r="G1682" t="str">
        <f>"00013870"</f>
        <v>00013870</v>
      </c>
      <c r="H1682" t="s">
        <v>1033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X1682">
        <v>0</v>
      </c>
      <c r="Y1682" t="s">
        <v>3540</v>
      </c>
    </row>
    <row r="1683" spans="1:25" x14ac:dyDescent="0.25">
      <c r="H1683" t="s">
        <v>52</v>
      </c>
    </row>
    <row r="1684" spans="1:25" x14ac:dyDescent="0.25">
      <c r="A1684">
        <v>839</v>
      </c>
      <c r="B1684">
        <v>1263</v>
      </c>
      <c r="C1684" t="s">
        <v>3541</v>
      </c>
      <c r="D1684" t="s">
        <v>147</v>
      </c>
      <c r="E1684" t="s">
        <v>1483</v>
      </c>
      <c r="F1684" t="s">
        <v>3542</v>
      </c>
      <c r="G1684" t="str">
        <f>"00013200"</f>
        <v>00013200</v>
      </c>
      <c r="H1684" t="s">
        <v>1033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70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X1684">
        <v>0</v>
      </c>
      <c r="Y1684" t="s">
        <v>3540</v>
      </c>
    </row>
    <row r="1685" spans="1:25" x14ac:dyDescent="0.25">
      <c r="H1685" t="s">
        <v>1944</v>
      </c>
    </row>
    <row r="1686" spans="1:25" x14ac:dyDescent="0.25">
      <c r="A1686">
        <v>840</v>
      </c>
      <c r="B1686">
        <v>3240</v>
      </c>
      <c r="C1686" t="s">
        <v>2409</v>
      </c>
      <c r="D1686" t="s">
        <v>66</v>
      </c>
      <c r="E1686" t="s">
        <v>112</v>
      </c>
      <c r="F1686" t="s">
        <v>3543</v>
      </c>
      <c r="G1686" t="str">
        <f>"00013292"</f>
        <v>00013292</v>
      </c>
      <c r="H1686">
        <v>737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50</v>
      </c>
      <c r="Q1686">
        <v>0</v>
      </c>
      <c r="R1686">
        <v>0</v>
      </c>
      <c r="S1686">
        <v>0</v>
      </c>
      <c r="T1686">
        <v>0</v>
      </c>
      <c r="U1686">
        <v>0</v>
      </c>
      <c r="X1686">
        <v>0</v>
      </c>
      <c r="Y1686">
        <v>817</v>
      </c>
    </row>
    <row r="1687" spans="1:25" x14ac:dyDescent="0.25">
      <c r="H1687" t="s">
        <v>203</v>
      </c>
    </row>
    <row r="1688" spans="1:25" x14ac:dyDescent="0.25">
      <c r="A1688">
        <v>841</v>
      </c>
      <c r="B1688">
        <v>306</v>
      </c>
      <c r="C1688" t="s">
        <v>3544</v>
      </c>
      <c r="D1688" t="s">
        <v>263</v>
      </c>
      <c r="E1688" t="s">
        <v>48</v>
      </c>
      <c r="F1688" t="s">
        <v>3545</v>
      </c>
      <c r="G1688" t="str">
        <f>"00014883"</f>
        <v>00014883</v>
      </c>
      <c r="H1688" t="s">
        <v>1054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70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X1688">
        <v>0</v>
      </c>
      <c r="Y1688" t="s">
        <v>3546</v>
      </c>
    </row>
    <row r="1689" spans="1:25" x14ac:dyDescent="0.25">
      <c r="H1689" t="s">
        <v>3547</v>
      </c>
    </row>
    <row r="1690" spans="1:25" x14ac:dyDescent="0.25">
      <c r="A1690">
        <v>842</v>
      </c>
      <c r="B1690">
        <v>2602</v>
      </c>
      <c r="C1690" t="s">
        <v>3548</v>
      </c>
      <c r="D1690" t="s">
        <v>124</v>
      </c>
      <c r="E1690" t="s">
        <v>66</v>
      </c>
      <c r="F1690" t="s">
        <v>3549</v>
      </c>
      <c r="G1690" t="str">
        <f>"200801008101"</f>
        <v>200801008101</v>
      </c>
      <c r="H1690" t="s">
        <v>1060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70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X1690">
        <v>0</v>
      </c>
      <c r="Y1690" t="s">
        <v>3550</v>
      </c>
    </row>
    <row r="1691" spans="1:25" x14ac:dyDescent="0.25">
      <c r="H1691">
        <v>221</v>
      </c>
    </row>
    <row r="1692" spans="1:25" x14ac:dyDescent="0.25">
      <c r="A1692">
        <v>843</v>
      </c>
      <c r="B1692">
        <v>2663</v>
      </c>
      <c r="C1692" t="s">
        <v>3551</v>
      </c>
      <c r="D1692" t="s">
        <v>1885</v>
      </c>
      <c r="E1692" t="s">
        <v>66</v>
      </c>
      <c r="F1692" t="s">
        <v>3552</v>
      </c>
      <c r="G1692" t="str">
        <f>"00010489"</f>
        <v>00010489</v>
      </c>
      <c r="H1692" t="s">
        <v>303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30</v>
      </c>
      <c r="Q1692">
        <v>0</v>
      </c>
      <c r="R1692">
        <v>0</v>
      </c>
      <c r="S1692">
        <v>0</v>
      </c>
      <c r="T1692">
        <v>0</v>
      </c>
      <c r="U1692">
        <v>0</v>
      </c>
      <c r="X1692">
        <v>0</v>
      </c>
      <c r="Y1692" t="s">
        <v>3553</v>
      </c>
    </row>
    <row r="1693" spans="1:25" x14ac:dyDescent="0.25">
      <c r="H1693" t="s">
        <v>3554</v>
      </c>
    </row>
    <row r="1694" spans="1:25" x14ac:dyDescent="0.25">
      <c r="A1694">
        <v>844</v>
      </c>
      <c r="B1694">
        <v>2903</v>
      </c>
      <c r="C1694" t="s">
        <v>3555</v>
      </c>
      <c r="D1694" t="s">
        <v>141</v>
      </c>
      <c r="E1694" t="s">
        <v>3556</v>
      </c>
      <c r="F1694" t="s">
        <v>3557</v>
      </c>
      <c r="G1694" t="str">
        <f>"00013620"</f>
        <v>00013620</v>
      </c>
      <c r="H1694" t="s">
        <v>641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X1694">
        <v>2</v>
      </c>
      <c r="Y1694" t="s">
        <v>3558</v>
      </c>
    </row>
    <row r="1695" spans="1:25" x14ac:dyDescent="0.25">
      <c r="H1695">
        <v>221</v>
      </c>
    </row>
    <row r="1696" spans="1:25" x14ac:dyDescent="0.25">
      <c r="A1696">
        <v>845</v>
      </c>
      <c r="B1696">
        <v>705</v>
      </c>
      <c r="C1696" t="s">
        <v>3559</v>
      </c>
      <c r="D1696" t="s">
        <v>181</v>
      </c>
      <c r="E1696" t="s">
        <v>217</v>
      </c>
      <c r="F1696" t="s">
        <v>3560</v>
      </c>
      <c r="G1696" t="str">
        <f>"00013699"</f>
        <v>00013699</v>
      </c>
      <c r="H1696" t="s">
        <v>1894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70</v>
      </c>
      <c r="O1696">
        <v>0</v>
      </c>
      <c r="P1696">
        <v>30</v>
      </c>
      <c r="Q1696">
        <v>0</v>
      </c>
      <c r="R1696">
        <v>0</v>
      </c>
      <c r="S1696">
        <v>0</v>
      </c>
      <c r="T1696">
        <v>0</v>
      </c>
      <c r="U1696">
        <v>0</v>
      </c>
      <c r="X1696">
        <v>0</v>
      </c>
      <c r="Y1696" t="s">
        <v>3561</v>
      </c>
    </row>
    <row r="1697" spans="1:25" x14ac:dyDescent="0.25">
      <c r="H1697" t="s">
        <v>3562</v>
      </c>
    </row>
    <row r="1698" spans="1:25" x14ac:dyDescent="0.25">
      <c r="A1698">
        <v>846</v>
      </c>
      <c r="B1698">
        <v>424</v>
      </c>
      <c r="C1698" t="s">
        <v>3563</v>
      </c>
      <c r="D1698" t="s">
        <v>41</v>
      </c>
      <c r="E1698" t="s">
        <v>124</v>
      </c>
      <c r="F1698" t="s">
        <v>3564</v>
      </c>
      <c r="G1698" t="str">
        <f>"201504004505"</f>
        <v>201504004505</v>
      </c>
      <c r="H1698">
        <v>781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X1698">
        <v>0</v>
      </c>
      <c r="Y1698">
        <v>811</v>
      </c>
    </row>
    <row r="1699" spans="1:25" x14ac:dyDescent="0.25">
      <c r="H1699" t="s">
        <v>3565</v>
      </c>
    </row>
    <row r="1700" spans="1:25" x14ac:dyDescent="0.25">
      <c r="A1700">
        <v>847</v>
      </c>
      <c r="B1700">
        <v>1385</v>
      </c>
      <c r="C1700" t="s">
        <v>3566</v>
      </c>
      <c r="D1700" t="s">
        <v>211</v>
      </c>
      <c r="E1700" t="s">
        <v>41</v>
      </c>
      <c r="F1700" t="s">
        <v>3567</v>
      </c>
      <c r="G1700" t="str">
        <f>"00013233"</f>
        <v>00013233</v>
      </c>
      <c r="H1700" t="s">
        <v>485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X1700">
        <v>0</v>
      </c>
      <c r="Y1700" t="s">
        <v>3568</v>
      </c>
    </row>
    <row r="1701" spans="1:25" x14ac:dyDescent="0.25">
      <c r="H1701" t="s">
        <v>3569</v>
      </c>
    </row>
    <row r="1702" spans="1:25" x14ac:dyDescent="0.25">
      <c r="A1702">
        <v>848</v>
      </c>
      <c r="B1702">
        <v>2475</v>
      </c>
      <c r="C1702" t="s">
        <v>3570</v>
      </c>
      <c r="D1702" t="s">
        <v>211</v>
      </c>
      <c r="E1702" t="s">
        <v>124</v>
      </c>
      <c r="F1702" t="s">
        <v>3571</v>
      </c>
      <c r="G1702" t="str">
        <f>"00014470"</f>
        <v>00014470</v>
      </c>
      <c r="H1702" t="s">
        <v>937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70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X1702">
        <v>0</v>
      </c>
      <c r="Y1702" t="s">
        <v>3572</v>
      </c>
    </row>
    <row r="1703" spans="1:25" x14ac:dyDescent="0.25">
      <c r="H1703" t="s">
        <v>3573</v>
      </c>
    </row>
    <row r="1704" spans="1:25" x14ac:dyDescent="0.25">
      <c r="A1704">
        <v>849</v>
      </c>
      <c r="B1704">
        <v>3178</v>
      </c>
      <c r="C1704" t="s">
        <v>3574</v>
      </c>
      <c r="D1704" t="s">
        <v>130</v>
      </c>
      <c r="E1704" t="s">
        <v>48</v>
      </c>
      <c r="F1704" t="s">
        <v>3575</v>
      </c>
      <c r="G1704" t="str">
        <f>"00014562"</f>
        <v>00014562</v>
      </c>
      <c r="H1704" t="s">
        <v>937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70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X1704">
        <v>0</v>
      </c>
      <c r="Y1704" t="s">
        <v>3572</v>
      </c>
    </row>
    <row r="1705" spans="1:25" x14ac:dyDescent="0.25">
      <c r="H1705" t="s">
        <v>3576</v>
      </c>
    </row>
    <row r="1706" spans="1:25" x14ac:dyDescent="0.25">
      <c r="A1706">
        <v>850</v>
      </c>
      <c r="B1706">
        <v>400</v>
      </c>
      <c r="C1706" t="s">
        <v>3577</v>
      </c>
      <c r="D1706" t="s">
        <v>417</v>
      </c>
      <c r="E1706" t="s">
        <v>124</v>
      </c>
      <c r="F1706" t="s">
        <v>3578</v>
      </c>
      <c r="G1706" t="str">
        <f>"201504000957"</f>
        <v>201504000957</v>
      </c>
      <c r="H1706" t="s">
        <v>3511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X1706">
        <v>0</v>
      </c>
      <c r="Y1706" t="s">
        <v>3579</v>
      </c>
    </row>
    <row r="1707" spans="1:25" x14ac:dyDescent="0.25">
      <c r="H1707" t="s">
        <v>3580</v>
      </c>
    </row>
    <row r="1708" spans="1:25" x14ac:dyDescent="0.25">
      <c r="A1708">
        <v>851</v>
      </c>
      <c r="B1708">
        <v>2087</v>
      </c>
      <c r="C1708" t="s">
        <v>3581</v>
      </c>
      <c r="D1708" t="s">
        <v>1659</v>
      </c>
      <c r="E1708" t="s">
        <v>124</v>
      </c>
      <c r="F1708" t="s">
        <v>3582</v>
      </c>
      <c r="G1708" t="str">
        <f>"200910000860"</f>
        <v>200910000860</v>
      </c>
      <c r="H1708" t="s">
        <v>653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30</v>
      </c>
      <c r="R1708">
        <v>0</v>
      </c>
      <c r="S1708">
        <v>0</v>
      </c>
      <c r="T1708">
        <v>0</v>
      </c>
      <c r="U1708">
        <v>0</v>
      </c>
      <c r="X1708">
        <v>0</v>
      </c>
      <c r="Y1708" t="s">
        <v>3583</v>
      </c>
    </row>
    <row r="1709" spans="1:25" x14ac:dyDescent="0.25">
      <c r="H1709" t="s">
        <v>3584</v>
      </c>
    </row>
    <row r="1710" spans="1:25" x14ac:dyDescent="0.25">
      <c r="A1710">
        <v>852</v>
      </c>
      <c r="B1710">
        <v>1627</v>
      </c>
      <c r="C1710" t="s">
        <v>3585</v>
      </c>
      <c r="D1710" t="s">
        <v>21</v>
      </c>
      <c r="E1710" t="s">
        <v>83</v>
      </c>
      <c r="F1710" t="s">
        <v>3586</v>
      </c>
      <c r="G1710" t="str">
        <f>"00015037"</f>
        <v>00015037</v>
      </c>
      <c r="H1710" t="s">
        <v>505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X1710">
        <v>0</v>
      </c>
      <c r="Y1710" t="s">
        <v>3587</v>
      </c>
    </row>
    <row r="1711" spans="1:25" x14ac:dyDescent="0.25">
      <c r="H1711" t="s">
        <v>3588</v>
      </c>
    </row>
    <row r="1712" spans="1:25" x14ac:dyDescent="0.25">
      <c r="A1712">
        <v>853</v>
      </c>
      <c r="B1712">
        <v>2195</v>
      </c>
      <c r="C1712" t="s">
        <v>3589</v>
      </c>
      <c r="D1712" t="s">
        <v>217</v>
      </c>
      <c r="E1712" t="s">
        <v>48</v>
      </c>
      <c r="F1712" t="s">
        <v>3590</v>
      </c>
      <c r="G1712" t="str">
        <f>"201504003439"</f>
        <v>201504003439</v>
      </c>
      <c r="H1712" t="s">
        <v>392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X1712">
        <v>0</v>
      </c>
      <c r="Y1712" t="s">
        <v>3591</v>
      </c>
    </row>
    <row r="1713" spans="1:25" x14ac:dyDescent="0.25">
      <c r="H1713" t="s">
        <v>1361</v>
      </c>
    </row>
    <row r="1714" spans="1:25" x14ac:dyDescent="0.25">
      <c r="A1714">
        <v>854</v>
      </c>
      <c r="B1714">
        <v>2492</v>
      </c>
      <c r="C1714" t="s">
        <v>3592</v>
      </c>
      <c r="D1714" t="s">
        <v>825</v>
      </c>
      <c r="E1714" t="s">
        <v>417</v>
      </c>
      <c r="F1714" t="s">
        <v>3593</v>
      </c>
      <c r="G1714" t="str">
        <f>"00013152"</f>
        <v>00013152</v>
      </c>
      <c r="H1714" t="s">
        <v>1244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70</v>
      </c>
      <c r="O1714">
        <v>50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X1714">
        <v>0</v>
      </c>
      <c r="Y1714" t="s">
        <v>3594</v>
      </c>
    </row>
    <row r="1715" spans="1:25" x14ac:dyDescent="0.25">
      <c r="H1715" t="s">
        <v>3595</v>
      </c>
    </row>
    <row r="1716" spans="1:25" x14ac:dyDescent="0.25">
      <c r="A1716">
        <v>855</v>
      </c>
      <c r="B1716">
        <v>2892</v>
      </c>
      <c r="C1716" t="s">
        <v>3596</v>
      </c>
      <c r="D1716" t="s">
        <v>3597</v>
      </c>
      <c r="E1716" t="s">
        <v>22</v>
      </c>
      <c r="F1716" t="s">
        <v>3598</v>
      </c>
      <c r="G1716" t="str">
        <f>"00014658"</f>
        <v>00014658</v>
      </c>
      <c r="H1716">
        <v>770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X1716">
        <v>0</v>
      </c>
      <c r="Y1716">
        <v>800</v>
      </c>
    </row>
    <row r="1717" spans="1:25" x14ac:dyDescent="0.25">
      <c r="H1717">
        <v>224</v>
      </c>
    </row>
    <row r="1718" spans="1:25" x14ac:dyDescent="0.25">
      <c r="A1718">
        <v>856</v>
      </c>
      <c r="B1718">
        <v>1211</v>
      </c>
      <c r="C1718" t="s">
        <v>3599</v>
      </c>
      <c r="D1718" t="s">
        <v>112</v>
      </c>
      <c r="E1718" t="s">
        <v>217</v>
      </c>
      <c r="F1718" t="s">
        <v>3600</v>
      </c>
      <c r="G1718" t="str">
        <f>"201401002270"</f>
        <v>201401002270</v>
      </c>
      <c r="H1718">
        <v>770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30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X1718">
        <v>0</v>
      </c>
      <c r="Y1718">
        <v>800</v>
      </c>
    </row>
    <row r="1719" spans="1:25" x14ac:dyDescent="0.25">
      <c r="H1719" t="s">
        <v>52</v>
      </c>
    </row>
    <row r="1720" spans="1:25" x14ac:dyDescent="0.25">
      <c r="A1720">
        <v>857</v>
      </c>
      <c r="B1720">
        <v>2503</v>
      </c>
      <c r="C1720" t="s">
        <v>3601</v>
      </c>
      <c r="D1720" t="s">
        <v>1190</v>
      </c>
      <c r="E1720" t="s">
        <v>41</v>
      </c>
      <c r="F1720" t="s">
        <v>3602</v>
      </c>
      <c r="G1720" t="str">
        <f>"201409002504"</f>
        <v>201409002504</v>
      </c>
      <c r="H1720" t="s">
        <v>1160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70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X1720">
        <v>0</v>
      </c>
      <c r="Y1720" t="s">
        <v>3603</v>
      </c>
    </row>
    <row r="1721" spans="1:25" x14ac:dyDescent="0.25">
      <c r="H1721" t="s">
        <v>3604</v>
      </c>
    </row>
    <row r="1722" spans="1:25" x14ac:dyDescent="0.25">
      <c r="A1722">
        <v>858</v>
      </c>
      <c r="B1722">
        <v>2439</v>
      </c>
      <c r="C1722" t="s">
        <v>3605</v>
      </c>
      <c r="D1722" t="s">
        <v>3606</v>
      </c>
      <c r="E1722" t="s">
        <v>300</v>
      </c>
      <c r="F1722" t="s">
        <v>3607</v>
      </c>
      <c r="G1722" t="str">
        <f>"00013367"</f>
        <v>00013367</v>
      </c>
      <c r="H1722" t="s">
        <v>541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X1722">
        <v>0</v>
      </c>
      <c r="Y1722" t="s">
        <v>3608</v>
      </c>
    </row>
    <row r="1723" spans="1:25" x14ac:dyDescent="0.25">
      <c r="H1723" t="s">
        <v>3609</v>
      </c>
    </row>
    <row r="1724" spans="1:25" x14ac:dyDescent="0.25">
      <c r="A1724">
        <v>859</v>
      </c>
      <c r="B1724">
        <v>2370</v>
      </c>
      <c r="C1724" t="s">
        <v>20</v>
      </c>
      <c r="D1724" t="s">
        <v>1087</v>
      </c>
      <c r="E1724" t="s">
        <v>907</v>
      </c>
      <c r="F1724" t="s">
        <v>3610</v>
      </c>
      <c r="G1724" t="str">
        <f>"00014350"</f>
        <v>00014350</v>
      </c>
      <c r="H1724" t="s">
        <v>635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X1724">
        <v>0</v>
      </c>
      <c r="Y1724" t="s">
        <v>3611</v>
      </c>
    </row>
    <row r="1725" spans="1:25" x14ac:dyDescent="0.25">
      <c r="H1725" t="s">
        <v>3612</v>
      </c>
    </row>
    <row r="1726" spans="1:25" x14ac:dyDescent="0.25">
      <c r="A1726">
        <v>860</v>
      </c>
      <c r="B1726">
        <v>1720</v>
      </c>
      <c r="C1726" t="s">
        <v>3613</v>
      </c>
      <c r="D1726" t="s">
        <v>124</v>
      </c>
      <c r="E1726" t="s">
        <v>701</v>
      </c>
      <c r="F1726" t="s">
        <v>3614</v>
      </c>
      <c r="G1726" t="str">
        <f>"00011583"</f>
        <v>00011583</v>
      </c>
      <c r="H1726" t="s">
        <v>635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X1726">
        <v>0</v>
      </c>
      <c r="Y1726" t="s">
        <v>3611</v>
      </c>
    </row>
    <row r="1727" spans="1:25" x14ac:dyDescent="0.25">
      <c r="H1727" t="s">
        <v>3615</v>
      </c>
    </row>
    <row r="1728" spans="1:25" x14ac:dyDescent="0.25">
      <c r="A1728">
        <v>861</v>
      </c>
      <c r="B1728">
        <v>1931</v>
      </c>
      <c r="C1728" t="s">
        <v>3616</v>
      </c>
      <c r="D1728" t="s">
        <v>243</v>
      </c>
      <c r="E1728" t="s">
        <v>3617</v>
      </c>
      <c r="F1728" t="s">
        <v>3618</v>
      </c>
      <c r="G1728" t="str">
        <f>"00011612"</f>
        <v>00011612</v>
      </c>
      <c r="H1728">
        <v>715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50</v>
      </c>
      <c r="Q1728">
        <v>0</v>
      </c>
      <c r="R1728">
        <v>0</v>
      </c>
      <c r="S1728">
        <v>0</v>
      </c>
      <c r="T1728">
        <v>0</v>
      </c>
      <c r="U1728">
        <v>0</v>
      </c>
      <c r="X1728">
        <v>0</v>
      </c>
      <c r="Y1728">
        <v>795</v>
      </c>
    </row>
    <row r="1729" spans="1:25" x14ac:dyDescent="0.25">
      <c r="H1729" t="s">
        <v>3619</v>
      </c>
    </row>
    <row r="1730" spans="1:25" x14ac:dyDescent="0.25">
      <c r="A1730">
        <v>862</v>
      </c>
      <c r="B1730">
        <v>2061</v>
      </c>
      <c r="C1730" t="s">
        <v>3620</v>
      </c>
      <c r="D1730" t="s">
        <v>450</v>
      </c>
      <c r="E1730" t="s">
        <v>417</v>
      </c>
      <c r="F1730" t="s">
        <v>3621</v>
      </c>
      <c r="G1730" t="str">
        <f>"00013880"</f>
        <v>00013880</v>
      </c>
      <c r="H1730" t="s">
        <v>500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70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X1730">
        <v>0</v>
      </c>
      <c r="Y1730" t="s">
        <v>3622</v>
      </c>
    </row>
    <row r="1731" spans="1:25" x14ac:dyDescent="0.25">
      <c r="H1731">
        <v>224</v>
      </c>
    </row>
    <row r="1732" spans="1:25" x14ac:dyDescent="0.25">
      <c r="A1732">
        <v>863</v>
      </c>
      <c r="B1732">
        <v>2438</v>
      </c>
      <c r="C1732" t="s">
        <v>3623</v>
      </c>
      <c r="D1732" t="s">
        <v>124</v>
      </c>
      <c r="E1732" t="s">
        <v>301</v>
      </c>
      <c r="F1732" t="s">
        <v>3624</v>
      </c>
      <c r="G1732" t="str">
        <f>"00013846"</f>
        <v>00013846</v>
      </c>
      <c r="H1732" t="s">
        <v>653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50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X1732">
        <v>1</v>
      </c>
      <c r="Y1732" t="s">
        <v>3625</v>
      </c>
    </row>
    <row r="1733" spans="1:25" x14ac:dyDescent="0.25">
      <c r="H1733" t="s">
        <v>3626</v>
      </c>
    </row>
    <row r="1734" spans="1:25" x14ac:dyDescent="0.25">
      <c r="A1734">
        <v>864</v>
      </c>
      <c r="B1734">
        <v>1805</v>
      </c>
      <c r="C1734" t="s">
        <v>3627</v>
      </c>
      <c r="D1734" t="s">
        <v>3628</v>
      </c>
      <c r="E1734" t="s">
        <v>48</v>
      </c>
      <c r="F1734" t="s">
        <v>3629</v>
      </c>
      <c r="G1734" t="str">
        <f>"201406017722"</f>
        <v>201406017722</v>
      </c>
      <c r="H1734">
        <v>693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70</v>
      </c>
      <c r="O1734">
        <v>30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X1734">
        <v>0</v>
      </c>
      <c r="Y1734">
        <v>793</v>
      </c>
    </row>
    <row r="1735" spans="1:25" x14ac:dyDescent="0.25">
      <c r="H1735" t="s">
        <v>3630</v>
      </c>
    </row>
    <row r="1736" spans="1:25" x14ac:dyDescent="0.25">
      <c r="A1736">
        <v>865</v>
      </c>
      <c r="B1736">
        <v>295</v>
      </c>
      <c r="C1736" t="s">
        <v>3631</v>
      </c>
      <c r="D1736" t="s">
        <v>571</v>
      </c>
      <c r="E1736" t="s">
        <v>22</v>
      </c>
      <c r="F1736" t="s">
        <v>3632</v>
      </c>
      <c r="G1736" t="str">
        <f>"201504004291"</f>
        <v>201504004291</v>
      </c>
      <c r="H1736" t="s">
        <v>3633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70</v>
      </c>
      <c r="O1736">
        <v>70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X1736">
        <v>0</v>
      </c>
      <c r="Y1736" t="s">
        <v>3634</v>
      </c>
    </row>
    <row r="1737" spans="1:25" x14ac:dyDescent="0.25">
      <c r="H1737" t="s">
        <v>1307</v>
      </c>
    </row>
    <row r="1738" spans="1:25" x14ac:dyDescent="0.25">
      <c r="A1738">
        <v>866</v>
      </c>
      <c r="B1738">
        <v>3244</v>
      </c>
      <c r="C1738" t="s">
        <v>439</v>
      </c>
      <c r="D1738" t="s">
        <v>1951</v>
      </c>
      <c r="E1738" t="s">
        <v>317</v>
      </c>
      <c r="F1738" t="s">
        <v>3635</v>
      </c>
      <c r="G1738" t="str">
        <f>"00013779"</f>
        <v>00013779</v>
      </c>
      <c r="H1738" t="s">
        <v>2383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70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X1738">
        <v>1</v>
      </c>
      <c r="Y1738" t="s">
        <v>3636</v>
      </c>
    </row>
    <row r="1739" spans="1:25" x14ac:dyDescent="0.25">
      <c r="H1739" t="s">
        <v>3637</v>
      </c>
    </row>
    <row r="1740" spans="1:25" x14ac:dyDescent="0.25">
      <c r="A1740">
        <v>867</v>
      </c>
      <c r="B1740">
        <v>952</v>
      </c>
      <c r="C1740" t="s">
        <v>3638</v>
      </c>
      <c r="D1740" t="s">
        <v>639</v>
      </c>
      <c r="E1740" t="s">
        <v>124</v>
      </c>
      <c r="F1740" t="s">
        <v>3639</v>
      </c>
      <c r="G1740" t="str">
        <f>"00014771"</f>
        <v>00014771</v>
      </c>
      <c r="H1740" t="s">
        <v>1230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30</v>
      </c>
      <c r="O1740">
        <v>30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X1740">
        <v>0</v>
      </c>
      <c r="Y1740" t="s">
        <v>3640</v>
      </c>
    </row>
    <row r="1741" spans="1:25" x14ac:dyDescent="0.25">
      <c r="H1741" t="s">
        <v>203</v>
      </c>
    </row>
    <row r="1742" spans="1:25" x14ac:dyDescent="0.25">
      <c r="A1742">
        <v>868</v>
      </c>
      <c r="B1742">
        <v>72</v>
      </c>
      <c r="C1742" t="s">
        <v>3641</v>
      </c>
      <c r="D1742" t="s">
        <v>66</v>
      </c>
      <c r="E1742" t="s">
        <v>267</v>
      </c>
      <c r="F1742" t="s">
        <v>3642</v>
      </c>
      <c r="G1742" t="str">
        <f>"201602000392"</f>
        <v>201602000392</v>
      </c>
      <c r="H1742" t="s">
        <v>2072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50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X1742">
        <v>0</v>
      </c>
      <c r="Y1742" t="s">
        <v>3643</v>
      </c>
    </row>
    <row r="1743" spans="1:25" x14ac:dyDescent="0.25">
      <c r="H1743" t="s">
        <v>3644</v>
      </c>
    </row>
    <row r="1744" spans="1:25" x14ac:dyDescent="0.25">
      <c r="A1744">
        <v>869</v>
      </c>
      <c r="B1744">
        <v>2826</v>
      </c>
      <c r="C1744" t="s">
        <v>3645</v>
      </c>
      <c r="D1744" t="s">
        <v>41</v>
      </c>
      <c r="E1744" t="s">
        <v>112</v>
      </c>
      <c r="F1744" t="s">
        <v>3646</v>
      </c>
      <c r="G1744" t="str">
        <f>"00012728"</f>
        <v>00012728</v>
      </c>
      <c r="H1744" t="s">
        <v>2081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70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X1744">
        <v>0</v>
      </c>
      <c r="Y1744" t="s">
        <v>3647</v>
      </c>
    </row>
    <row r="1745" spans="1:25" x14ac:dyDescent="0.25">
      <c r="H1745" t="s">
        <v>3648</v>
      </c>
    </row>
    <row r="1746" spans="1:25" x14ac:dyDescent="0.25">
      <c r="A1746">
        <v>870</v>
      </c>
      <c r="B1746">
        <v>1130</v>
      </c>
      <c r="C1746" t="s">
        <v>3649</v>
      </c>
      <c r="D1746" t="s">
        <v>267</v>
      </c>
      <c r="E1746" t="s">
        <v>124</v>
      </c>
      <c r="F1746" t="s">
        <v>3650</v>
      </c>
      <c r="G1746" t="str">
        <f>"201402001205"</f>
        <v>201402001205</v>
      </c>
      <c r="H1746" t="s">
        <v>795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50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X1746">
        <v>0</v>
      </c>
      <c r="Y1746" t="s">
        <v>3651</v>
      </c>
    </row>
    <row r="1747" spans="1:25" x14ac:dyDescent="0.25">
      <c r="H1747" t="s">
        <v>3652</v>
      </c>
    </row>
    <row r="1748" spans="1:25" x14ac:dyDescent="0.25">
      <c r="A1748">
        <v>871</v>
      </c>
      <c r="B1748">
        <v>2979</v>
      </c>
      <c r="C1748" t="s">
        <v>3653</v>
      </c>
      <c r="D1748" t="s">
        <v>48</v>
      </c>
      <c r="E1748" t="s">
        <v>87</v>
      </c>
      <c r="F1748" t="s">
        <v>3654</v>
      </c>
      <c r="G1748" t="str">
        <f>"201504000801"</f>
        <v>201504000801</v>
      </c>
      <c r="H1748" t="s">
        <v>795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50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X1748">
        <v>0</v>
      </c>
      <c r="Y1748" t="s">
        <v>3651</v>
      </c>
    </row>
    <row r="1749" spans="1:25" x14ac:dyDescent="0.25">
      <c r="H1749" t="s">
        <v>3655</v>
      </c>
    </row>
    <row r="1750" spans="1:25" x14ac:dyDescent="0.25">
      <c r="A1750">
        <v>872</v>
      </c>
      <c r="B1750">
        <v>1870</v>
      </c>
      <c r="C1750" t="s">
        <v>3656</v>
      </c>
      <c r="D1750" t="s">
        <v>3657</v>
      </c>
      <c r="E1750" t="s">
        <v>1483</v>
      </c>
      <c r="F1750" t="s">
        <v>3658</v>
      </c>
      <c r="G1750" t="str">
        <f>"00013122"</f>
        <v>00013122</v>
      </c>
      <c r="H1750" t="s">
        <v>3135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70</v>
      </c>
      <c r="O1750">
        <v>30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X1750">
        <v>0</v>
      </c>
      <c r="Y1750" t="s">
        <v>3659</v>
      </c>
    </row>
    <row r="1751" spans="1:25" x14ac:dyDescent="0.25">
      <c r="H1751" t="s">
        <v>2299</v>
      </c>
    </row>
    <row r="1752" spans="1:25" x14ac:dyDescent="0.25">
      <c r="A1752">
        <v>873</v>
      </c>
      <c r="B1752">
        <v>93</v>
      </c>
      <c r="C1752" t="s">
        <v>3660</v>
      </c>
      <c r="D1752" t="s">
        <v>41</v>
      </c>
      <c r="E1752" t="s">
        <v>417</v>
      </c>
      <c r="F1752" t="s">
        <v>3661</v>
      </c>
      <c r="G1752" t="str">
        <f>"00012492"</f>
        <v>00012492</v>
      </c>
      <c r="H1752" t="s">
        <v>1273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50</v>
      </c>
      <c r="O1752">
        <v>30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X1752">
        <v>0</v>
      </c>
      <c r="Y1752" t="s">
        <v>3662</v>
      </c>
    </row>
    <row r="1753" spans="1:25" x14ac:dyDescent="0.25">
      <c r="H1753" t="s">
        <v>3663</v>
      </c>
    </row>
    <row r="1754" spans="1:25" x14ac:dyDescent="0.25">
      <c r="A1754">
        <v>874</v>
      </c>
      <c r="B1754">
        <v>1312</v>
      </c>
      <c r="C1754" t="s">
        <v>3664</v>
      </c>
      <c r="D1754" t="s">
        <v>217</v>
      </c>
      <c r="E1754" t="s">
        <v>124</v>
      </c>
      <c r="F1754" t="s">
        <v>3665</v>
      </c>
      <c r="G1754" t="str">
        <f>"201502002122"</f>
        <v>201502002122</v>
      </c>
      <c r="H1754" t="s">
        <v>1181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70</v>
      </c>
      <c r="O1754">
        <v>50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X1754">
        <v>0</v>
      </c>
      <c r="Y1754" t="s">
        <v>3666</v>
      </c>
    </row>
    <row r="1755" spans="1:25" x14ac:dyDescent="0.25">
      <c r="H1755" t="s">
        <v>3667</v>
      </c>
    </row>
    <row r="1756" spans="1:25" x14ac:dyDescent="0.25">
      <c r="A1756">
        <v>875</v>
      </c>
      <c r="B1756">
        <v>1329</v>
      </c>
      <c r="C1756" t="s">
        <v>3668</v>
      </c>
      <c r="D1756" t="s">
        <v>2121</v>
      </c>
      <c r="E1756" t="s">
        <v>21</v>
      </c>
      <c r="F1756" t="s">
        <v>3669</v>
      </c>
      <c r="G1756" t="str">
        <f>"00014914"</f>
        <v>00014914</v>
      </c>
      <c r="H1756">
        <v>715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70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X1756">
        <v>0</v>
      </c>
      <c r="Y1756">
        <v>785</v>
      </c>
    </row>
    <row r="1757" spans="1:25" x14ac:dyDescent="0.25">
      <c r="H1757">
        <v>224</v>
      </c>
    </row>
    <row r="1758" spans="1:25" x14ac:dyDescent="0.25">
      <c r="A1758">
        <v>876</v>
      </c>
      <c r="B1758">
        <v>641</v>
      </c>
      <c r="C1758" t="s">
        <v>3670</v>
      </c>
      <c r="D1758" t="s">
        <v>1087</v>
      </c>
      <c r="E1758" t="s">
        <v>238</v>
      </c>
      <c r="F1758" t="s">
        <v>3671</v>
      </c>
      <c r="G1758" t="str">
        <f>"201511031313"</f>
        <v>201511031313</v>
      </c>
      <c r="H1758">
        <v>715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70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X1758">
        <v>0</v>
      </c>
      <c r="Y1758">
        <v>785</v>
      </c>
    </row>
    <row r="1759" spans="1:25" x14ac:dyDescent="0.25">
      <c r="H1759" t="s">
        <v>52</v>
      </c>
    </row>
    <row r="1760" spans="1:25" x14ac:dyDescent="0.25">
      <c r="A1760">
        <v>877</v>
      </c>
      <c r="B1760">
        <v>1767</v>
      </c>
      <c r="C1760" t="s">
        <v>3672</v>
      </c>
      <c r="D1760" t="s">
        <v>3673</v>
      </c>
      <c r="E1760" t="s">
        <v>3674</v>
      </c>
      <c r="F1760" t="s">
        <v>3675</v>
      </c>
      <c r="G1760" t="str">
        <f>"00013337"</f>
        <v>00013337</v>
      </c>
      <c r="H1760" t="s">
        <v>531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50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X1760">
        <v>0</v>
      </c>
      <c r="Y1760" t="s">
        <v>3676</v>
      </c>
    </row>
    <row r="1761" spans="1:25" x14ac:dyDescent="0.25">
      <c r="H1761" t="s">
        <v>3677</v>
      </c>
    </row>
    <row r="1762" spans="1:25" x14ac:dyDescent="0.25">
      <c r="A1762">
        <v>878</v>
      </c>
      <c r="B1762">
        <v>1460</v>
      </c>
      <c r="C1762" t="s">
        <v>3678</v>
      </c>
      <c r="D1762" t="s">
        <v>223</v>
      </c>
      <c r="E1762" t="s">
        <v>48</v>
      </c>
      <c r="F1762" t="s">
        <v>3679</v>
      </c>
      <c r="G1762" t="str">
        <f>"00015045"</f>
        <v>00015045</v>
      </c>
      <c r="H1762" t="s">
        <v>870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30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X1762">
        <v>0</v>
      </c>
      <c r="Y1762" t="s">
        <v>3680</v>
      </c>
    </row>
    <row r="1763" spans="1:25" x14ac:dyDescent="0.25">
      <c r="H1763" t="s">
        <v>3681</v>
      </c>
    </row>
    <row r="1764" spans="1:25" x14ac:dyDescent="0.25">
      <c r="A1764">
        <v>879</v>
      </c>
      <c r="B1764">
        <v>1125</v>
      </c>
      <c r="C1764" t="s">
        <v>3682</v>
      </c>
      <c r="D1764" t="s">
        <v>141</v>
      </c>
      <c r="E1764" t="s">
        <v>41</v>
      </c>
      <c r="F1764" t="s">
        <v>3683</v>
      </c>
      <c r="G1764" t="str">
        <f>"00014521"</f>
        <v>00014521</v>
      </c>
      <c r="H1764" t="s">
        <v>1127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70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X1764">
        <v>0</v>
      </c>
      <c r="Y1764" t="s">
        <v>3684</v>
      </c>
    </row>
    <row r="1765" spans="1:25" x14ac:dyDescent="0.25">
      <c r="H1765" t="s">
        <v>3685</v>
      </c>
    </row>
    <row r="1766" spans="1:25" x14ac:dyDescent="0.25">
      <c r="A1766">
        <v>880</v>
      </c>
      <c r="B1766">
        <v>3106</v>
      </c>
      <c r="C1766" t="s">
        <v>3686</v>
      </c>
      <c r="D1766" t="s">
        <v>498</v>
      </c>
      <c r="E1766" t="s">
        <v>417</v>
      </c>
      <c r="F1766" t="s">
        <v>3687</v>
      </c>
      <c r="G1766" t="str">
        <f>"00013675"</f>
        <v>00013675</v>
      </c>
      <c r="H1766">
        <v>715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30</v>
      </c>
      <c r="Q1766">
        <v>0</v>
      </c>
      <c r="R1766">
        <v>0</v>
      </c>
      <c r="S1766">
        <v>0</v>
      </c>
      <c r="T1766">
        <v>0</v>
      </c>
      <c r="U1766">
        <v>0</v>
      </c>
      <c r="X1766">
        <v>0</v>
      </c>
      <c r="Y1766">
        <v>775</v>
      </c>
    </row>
    <row r="1767" spans="1:25" x14ac:dyDescent="0.25">
      <c r="H1767" t="s">
        <v>3688</v>
      </c>
    </row>
    <row r="1768" spans="1:25" x14ac:dyDescent="0.25">
      <c r="A1768">
        <v>881</v>
      </c>
      <c r="B1768">
        <v>1744</v>
      </c>
      <c r="C1768" t="s">
        <v>3689</v>
      </c>
      <c r="D1768" t="s">
        <v>3690</v>
      </c>
      <c r="E1768" t="s">
        <v>83</v>
      </c>
      <c r="F1768" t="s">
        <v>3691</v>
      </c>
      <c r="G1768" t="str">
        <f>"00013041"</f>
        <v>00013041</v>
      </c>
      <c r="H1768">
        <v>715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30</v>
      </c>
      <c r="Q1768">
        <v>0</v>
      </c>
      <c r="R1768">
        <v>0</v>
      </c>
      <c r="S1768">
        <v>0</v>
      </c>
      <c r="T1768">
        <v>0</v>
      </c>
      <c r="U1768">
        <v>0</v>
      </c>
      <c r="X1768">
        <v>0</v>
      </c>
      <c r="Y1768">
        <v>775</v>
      </c>
    </row>
    <row r="1769" spans="1:25" x14ac:dyDescent="0.25">
      <c r="H1769" t="s">
        <v>3692</v>
      </c>
    </row>
    <row r="1770" spans="1:25" x14ac:dyDescent="0.25">
      <c r="A1770">
        <v>882</v>
      </c>
      <c r="B1770">
        <v>1838</v>
      </c>
      <c r="C1770" t="s">
        <v>3693</v>
      </c>
      <c r="D1770" t="s">
        <v>147</v>
      </c>
      <c r="E1770" t="s">
        <v>2491</v>
      </c>
      <c r="F1770" t="s">
        <v>3694</v>
      </c>
      <c r="G1770" t="str">
        <f>"201410012282"</f>
        <v>201410012282</v>
      </c>
      <c r="H1770" t="s">
        <v>1028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X1770">
        <v>0</v>
      </c>
      <c r="Y1770" t="s">
        <v>3695</v>
      </c>
    </row>
    <row r="1771" spans="1:25" x14ac:dyDescent="0.25">
      <c r="H1771">
        <v>221</v>
      </c>
    </row>
    <row r="1772" spans="1:25" x14ac:dyDescent="0.25">
      <c r="A1772">
        <v>883</v>
      </c>
      <c r="B1772">
        <v>1514</v>
      </c>
      <c r="C1772" t="s">
        <v>3364</v>
      </c>
      <c r="D1772" t="s">
        <v>1728</v>
      </c>
      <c r="E1772" t="s">
        <v>190</v>
      </c>
      <c r="F1772" t="s">
        <v>3696</v>
      </c>
      <c r="G1772" t="str">
        <f>"00015057"</f>
        <v>00015057</v>
      </c>
      <c r="H1772" t="s">
        <v>1028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X1772">
        <v>0</v>
      </c>
      <c r="Y1772" t="s">
        <v>3695</v>
      </c>
    </row>
    <row r="1773" spans="1:25" x14ac:dyDescent="0.25">
      <c r="H1773" t="s">
        <v>919</v>
      </c>
    </row>
    <row r="1774" spans="1:25" x14ac:dyDescent="0.25">
      <c r="A1774">
        <v>884</v>
      </c>
      <c r="B1774">
        <v>726</v>
      </c>
      <c r="C1774" t="s">
        <v>3697</v>
      </c>
      <c r="D1774" t="s">
        <v>760</v>
      </c>
      <c r="E1774" t="s">
        <v>334</v>
      </c>
      <c r="F1774" t="s">
        <v>3698</v>
      </c>
      <c r="G1774" t="str">
        <f>"00011720"</f>
        <v>00011720</v>
      </c>
      <c r="H1774" t="s">
        <v>1957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70</v>
      </c>
      <c r="O1774">
        <v>0</v>
      </c>
      <c r="P1774">
        <v>0</v>
      </c>
      <c r="Q1774">
        <v>30</v>
      </c>
      <c r="R1774">
        <v>0</v>
      </c>
      <c r="S1774">
        <v>0</v>
      </c>
      <c r="T1774">
        <v>0</v>
      </c>
      <c r="U1774">
        <v>0</v>
      </c>
      <c r="X1774">
        <v>2</v>
      </c>
      <c r="Y1774" t="s">
        <v>3699</v>
      </c>
    </row>
    <row r="1775" spans="1:25" x14ac:dyDescent="0.25">
      <c r="H1775" t="s">
        <v>3700</v>
      </c>
    </row>
    <row r="1776" spans="1:25" x14ac:dyDescent="0.25">
      <c r="A1776">
        <v>885</v>
      </c>
      <c r="B1776">
        <v>1209</v>
      </c>
      <c r="C1776" t="s">
        <v>3701</v>
      </c>
      <c r="D1776" t="s">
        <v>48</v>
      </c>
      <c r="E1776" t="s">
        <v>41</v>
      </c>
      <c r="F1776" t="s">
        <v>3702</v>
      </c>
      <c r="G1776" t="str">
        <f>"00014539"</f>
        <v>00014539</v>
      </c>
      <c r="H1776" t="s">
        <v>2965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70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X1776">
        <v>0</v>
      </c>
      <c r="Y1776" t="s">
        <v>3703</v>
      </c>
    </row>
    <row r="1777" spans="1:25" x14ac:dyDescent="0.25">
      <c r="H1777" t="s">
        <v>3704</v>
      </c>
    </row>
    <row r="1778" spans="1:25" x14ac:dyDescent="0.25">
      <c r="A1778">
        <v>886</v>
      </c>
      <c r="B1778">
        <v>2240</v>
      </c>
      <c r="C1778" t="s">
        <v>3705</v>
      </c>
      <c r="D1778" t="s">
        <v>498</v>
      </c>
      <c r="E1778" t="s">
        <v>66</v>
      </c>
      <c r="F1778" t="s">
        <v>3706</v>
      </c>
      <c r="G1778" t="str">
        <f>"201411001842"</f>
        <v>201411001842</v>
      </c>
      <c r="H1778" t="s">
        <v>1230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30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X1778">
        <v>0</v>
      </c>
      <c r="Y1778" t="s">
        <v>3707</v>
      </c>
    </row>
    <row r="1779" spans="1:25" x14ac:dyDescent="0.25">
      <c r="H1779" t="s">
        <v>3708</v>
      </c>
    </row>
    <row r="1780" spans="1:25" x14ac:dyDescent="0.25">
      <c r="A1780">
        <v>887</v>
      </c>
      <c r="B1780">
        <v>2846</v>
      </c>
      <c r="C1780" t="s">
        <v>3709</v>
      </c>
      <c r="D1780" t="s">
        <v>278</v>
      </c>
      <c r="E1780" t="s">
        <v>217</v>
      </c>
      <c r="F1780" t="s">
        <v>3710</v>
      </c>
      <c r="G1780" t="str">
        <f>"20160703400"</f>
        <v>20160703400</v>
      </c>
      <c r="H1780" t="s">
        <v>2884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30</v>
      </c>
      <c r="R1780">
        <v>0</v>
      </c>
      <c r="S1780">
        <v>0</v>
      </c>
      <c r="T1780">
        <v>0</v>
      </c>
      <c r="U1780">
        <v>0</v>
      </c>
      <c r="X1780">
        <v>0</v>
      </c>
      <c r="Y1780" t="s">
        <v>3711</v>
      </c>
    </row>
    <row r="1781" spans="1:25" x14ac:dyDescent="0.25">
      <c r="H1781" t="s">
        <v>3712</v>
      </c>
    </row>
    <row r="1782" spans="1:25" x14ac:dyDescent="0.25">
      <c r="A1782">
        <v>888</v>
      </c>
      <c r="B1782">
        <v>841</v>
      </c>
      <c r="C1782" t="s">
        <v>3713</v>
      </c>
      <c r="D1782" t="s">
        <v>1483</v>
      </c>
      <c r="E1782" t="s">
        <v>565</v>
      </c>
      <c r="F1782" t="s">
        <v>3714</v>
      </c>
      <c r="G1782" t="str">
        <f>"00015143"</f>
        <v>00015143</v>
      </c>
      <c r="H1782">
        <v>660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70</v>
      </c>
      <c r="O1782">
        <v>0</v>
      </c>
      <c r="P1782">
        <v>30</v>
      </c>
      <c r="Q1782">
        <v>0</v>
      </c>
      <c r="R1782">
        <v>0</v>
      </c>
      <c r="S1782">
        <v>0</v>
      </c>
      <c r="T1782">
        <v>0</v>
      </c>
      <c r="U1782">
        <v>0</v>
      </c>
      <c r="X1782">
        <v>0</v>
      </c>
      <c r="Y1782">
        <v>760</v>
      </c>
    </row>
    <row r="1783" spans="1:25" x14ac:dyDescent="0.25">
      <c r="H1783" t="s">
        <v>3715</v>
      </c>
    </row>
    <row r="1784" spans="1:25" x14ac:dyDescent="0.25">
      <c r="A1784">
        <v>889</v>
      </c>
      <c r="B1784">
        <v>2131</v>
      </c>
      <c r="C1784" t="s">
        <v>3364</v>
      </c>
      <c r="D1784" t="s">
        <v>3716</v>
      </c>
      <c r="E1784" t="s">
        <v>417</v>
      </c>
      <c r="F1784" t="s">
        <v>3717</v>
      </c>
      <c r="G1784" t="str">
        <f>"00014681"</f>
        <v>00014681</v>
      </c>
      <c r="H1784" t="s">
        <v>1160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X1784">
        <v>0</v>
      </c>
      <c r="Y1784" t="s">
        <v>3718</v>
      </c>
    </row>
    <row r="1785" spans="1:25" x14ac:dyDescent="0.25">
      <c r="H1785" t="s">
        <v>3719</v>
      </c>
    </row>
    <row r="1786" spans="1:25" x14ac:dyDescent="0.25">
      <c r="A1786">
        <v>890</v>
      </c>
      <c r="B1786">
        <v>30</v>
      </c>
      <c r="C1786" t="s">
        <v>3720</v>
      </c>
      <c r="D1786" t="s">
        <v>526</v>
      </c>
      <c r="E1786" t="s">
        <v>21</v>
      </c>
      <c r="F1786" t="s">
        <v>3721</v>
      </c>
      <c r="G1786" t="str">
        <f>"00013650"</f>
        <v>00013650</v>
      </c>
      <c r="H1786">
        <v>638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70</v>
      </c>
      <c r="O1786">
        <v>50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X1786">
        <v>0</v>
      </c>
      <c r="Y1786">
        <v>758</v>
      </c>
    </row>
    <row r="1787" spans="1:25" x14ac:dyDescent="0.25">
      <c r="H1787" t="s">
        <v>52</v>
      </c>
    </row>
    <row r="1788" spans="1:25" x14ac:dyDescent="0.25">
      <c r="A1788">
        <v>891</v>
      </c>
      <c r="B1788">
        <v>3099</v>
      </c>
      <c r="C1788" t="s">
        <v>3722</v>
      </c>
      <c r="D1788" t="s">
        <v>21</v>
      </c>
      <c r="E1788" t="s">
        <v>124</v>
      </c>
      <c r="F1788" t="s">
        <v>3723</v>
      </c>
      <c r="G1788" t="str">
        <f>"00014709"</f>
        <v>00014709</v>
      </c>
      <c r="H1788" t="s">
        <v>1387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50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X1788">
        <v>0</v>
      </c>
      <c r="Y1788" t="s">
        <v>3724</v>
      </c>
    </row>
    <row r="1789" spans="1:25" x14ac:dyDescent="0.25">
      <c r="H1789" t="s">
        <v>3725</v>
      </c>
    </row>
    <row r="1790" spans="1:25" x14ac:dyDescent="0.25">
      <c r="A1790">
        <v>892</v>
      </c>
      <c r="B1790">
        <v>2910</v>
      </c>
      <c r="C1790" t="s">
        <v>3726</v>
      </c>
      <c r="D1790" t="s">
        <v>526</v>
      </c>
      <c r="E1790" t="s">
        <v>451</v>
      </c>
      <c r="F1790" t="s">
        <v>3727</v>
      </c>
      <c r="G1790" t="str">
        <f>"00013401"</f>
        <v>00013401</v>
      </c>
      <c r="H1790" t="s">
        <v>1602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X1790">
        <v>0</v>
      </c>
      <c r="Y1790" t="s">
        <v>3728</v>
      </c>
    </row>
    <row r="1791" spans="1:25" x14ac:dyDescent="0.25">
      <c r="H1791" t="s">
        <v>3729</v>
      </c>
    </row>
    <row r="1792" spans="1:25" x14ac:dyDescent="0.25">
      <c r="A1792">
        <v>893</v>
      </c>
      <c r="B1792">
        <v>1043</v>
      </c>
      <c r="C1792" t="s">
        <v>1483</v>
      </c>
      <c r="D1792" t="s">
        <v>41</v>
      </c>
      <c r="E1792" t="s">
        <v>440</v>
      </c>
      <c r="F1792" t="s">
        <v>3730</v>
      </c>
      <c r="G1792" t="str">
        <f>"00013831"</f>
        <v>00013831</v>
      </c>
      <c r="H1792" t="s">
        <v>947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X1792">
        <v>0</v>
      </c>
      <c r="Y1792" t="s">
        <v>3731</v>
      </c>
    </row>
    <row r="1793" spans="1:25" x14ac:dyDescent="0.25">
      <c r="H1793" t="s">
        <v>3732</v>
      </c>
    </row>
    <row r="1794" spans="1:25" x14ac:dyDescent="0.25">
      <c r="A1794">
        <v>894</v>
      </c>
      <c r="B1794">
        <v>3267</v>
      </c>
      <c r="C1794" t="s">
        <v>3733</v>
      </c>
      <c r="D1794" t="s">
        <v>22</v>
      </c>
      <c r="E1794" t="s">
        <v>41</v>
      </c>
      <c r="F1794" t="s">
        <v>3734</v>
      </c>
      <c r="G1794" t="str">
        <f>"201411001365"</f>
        <v>201411001365</v>
      </c>
      <c r="H1794" t="s">
        <v>947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X1794">
        <v>0</v>
      </c>
      <c r="Y1794" t="s">
        <v>3731</v>
      </c>
    </row>
    <row r="1795" spans="1:25" x14ac:dyDescent="0.25">
      <c r="H1795" t="s">
        <v>3735</v>
      </c>
    </row>
    <row r="1796" spans="1:25" x14ac:dyDescent="0.25">
      <c r="A1796">
        <v>895</v>
      </c>
      <c r="B1796">
        <v>3184</v>
      </c>
      <c r="C1796" t="s">
        <v>3736</v>
      </c>
      <c r="D1796" t="s">
        <v>571</v>
      </c>
      <c r="E1796" t="s">
        <v>124</v>
      </c>
      <c r="F1796" t="s">
        <v>3737</v>
      </c>
      <c r="G1796" t="str">
        <f>"00014522"</f>
        <v>00014522</v>
      </c>
      <c r="H1796" t="s">
        <v>3738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70</v>
      </c>
      <c r="O1796">
        <v>30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X1796">
        <v>0</v>
      </c>
      <c r="Y1796" t="s">
        <v>3739</v>
      </c>
    </row>
    <row r="1797" spans="1:25" x14ac:dyDescent="0.25">
      <c r="H1797" t="s">
        <v>3740</v>
      </c>
    </row>
    <row r="1798" spans="1:25" x14ac:dyDescent="0.25">
      <c r="A1798">
        <v>896</v>
      </c>
      <c r="B1798">
        <v>1856</v>
      </c>
      <c r="C1798" t="s">
        <v>3741</v>
      </c>
      <c r="D1798" t="s">
        <v>842</v>
      </c>
      <c r="E1798" t="s">
        <v>1885</v>
      </c>
      <c r="F1798" t="s">
        <v>3742</v>
      </c>
      <c r="G1798" t="str">
        <f>"00010838"</f>
        <v>00010838</v>
      </c>
      <c r="H1798">
        <v>715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30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X1798">
        <v>0</v>
      </c>
      <c r="Y1798">
        <v>745</v>
      </c>
    </row>
    <row r="1799" spans="1:25" x14ac:dyDescent="0.25">
      <c r="H1799" t="s">
        <v>3743</v>
      </c>
    </row>
    <row r="1800" spans="1:25" x14ac:dyDescent="0.25">
      <c r="A1800">
        <v>897</v>
      </c>
      <c r="B1800">
        <v>2308</v>
      </c>
      <c r="C1800" t="s">
        <v>3744</v>
      </c>
      <c r="D1800" t="s">
        <v>1087</v>
      </c>
      <c r="E1800" t="s">
        <v>48</v>
      </c>
      <c r="F1800" t="s">
        <v>3745</v>
      </c>
      <c r="G1800" t="str">
        <f>"00013632"</f>
        <v>00013632</v>
      </c>
      <c r="H1800" t="s">
        <v>2827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X1800">
        <v>0</v>
      </c>
      <c r="Y1800" t="s">
        <v>3746</v>
      </c>
    </row>
    <row r="1801" spans="1:25" x14ac:dyDescent="0.25">
      <c r="H1801" t="s">
        <v>3747</v>
      </c>
    </row>
    <row r="1802" spans="1:25" x14ac:dyDescent="0.25">
      <c r="A1802">
        <v>898</v>
      </c>
      <c r="B1802">
        <v>3110</v>
      </c>
      <c r="C1802" t="s">
        <v>3748</v>
      </c>
      <c r="D1802" t="s">
        <v>41</v>
      </c>
      <c r="E1802" t="s">
        <v>106</v>
      </c>
      <c r="F1802" t="s">
        <v>3749</v>
      </c>
      <c r="G1802" t="str">
        <f>"00012221"</f>
        <v>00012221</v>
      </c>
      <c r="H1802" t="s">
        <v>1094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X1802">
        <v>0</v>
      </c>
      <c r="Y1802" t="s">
        <v>3750</v>
      </c>
    </row>
    <row r="1803" spans="1:25" x14ac:dyDescent="0.25">
      <c r="H1803" t="s">
        <v>3751</v>
      </c>
    </row>
    <row r="1804" spans="1:25" x14ac:dyDescent="0.25">
      <c r="A1804">
        <v>899</v>
      </c>
      <c r="B1804">
        <v>2540</v>
      </c>
      <c r="C1804" t="s">
        <v>3752</v>
      </c>
      <c r="D1804" t="s">
        <v>3753</v>
      </c>
      <c r="E1804" t="s">
        <v>1512</v>
      </c>
      <c r="F1804" t="s">
        <v>3754</v>
      </c>
      <c r="G1804" t="str">
        <f>"201511014418"</f>
        <v>201511014418</v>
      </c>
      <c r="H1804" t="s">
        <v>3755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30</v>
      </c>
      <c r="Q1804">
        <v>0</v>
      </c>
      <c r="R1804">
        <v>0</v>
      </c>
      <c r="S1804">
        <v>0</v>
      </c>
      <c r="T1804">
        <v>0</v>
      </c>
      <c r="U1804">
        <v>0</v>
      </c>
      <c r="X1804">
        <v>0</v>
      </c>
      <c r="Y1804" t="s">
        <v>3756</v>
      </c>
    </row>
    <row r="1805" spans="1:25" x14ac:dyDescent="0.25">
      <c r="H1805" t="s">
        <v>3757</v>
      </c>
    </row>
    <row r="1806" spans="1:25" x14ac:dyDescent="0.25">
      <c r="A1806">
        <v>900</v>
      </c>
      <c r="B1806">
        <v>3324</v>
      </c>
      <c r="C1806" t="s">
        <v>3758</v>
      </c>
      <c r="D1806" t="s">
        <v>3690</v>
      </c>
      <c r="E1806" t="s">
        <v>41</v>
      </c>
      <c r="F1806" t="s">
        <v>3759</v>
      </c>
      <c r="G1806" t="str">
        <f>"201406010118"</f>
        <v>201406010118</v>
      </c>
      <c r="H1806" t="s">
        <v>3760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50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X1806">
        <v>0</v>
      </c>
      <c r="Y1806" t="s">
        <v>3761</v>
      </c>
    </row>
    <row r="1807" spans="1:25" x14ac:dyDescent="0.25">
      <c r="H1807">
        <v>221</v>
      </c>
    </row>
    <row r="1808" spans="1:25" x14ac:dyDescent="0.25">
      <c r="A1808">
        <v>901</v>
      </c>
      <c r="B1808">
        <v>3183</v>
      </c>
      <c r="C1808" t="s">
        <v>3762</v>
      </c>
      <c r="D1808" t="s">
        <v>330</v>
      </c>
      <c r="E1808" t="s">
        <v>41</v>
      </c>
      <c r="F1808" t="s">
        <v>3763</v>
      </c>
      <c r="G1808" t="str">
        <f>"00014256"</f>
        <v>00014256</v>
      </c>
      <c r="H1808" t="s">
        <v>1127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X1808">
        <v>0</v>
      </c>
      <c r="Y1808" t="s">
        <v>3764</v>
      </c>
    </row>
    <row r="1809" spans="1:25" x14ac:dyDescent="0.25">
      <c r="H1809" t="s">
        <v>3765</v>
      </c>
    </row>
    <row r="1810" spans="1:25" x14ac:dyDescent="0.25">
      <c r="A1810">
        <v>902</v>
      </c>
      <c r="B1810">
        <v>2006</v>
      </c>
      <c r="C1810" t="s">
        <v>3766</v>
      </c>
      <c r="D1810" t="s">
        <v>1125</v>
      </c>
      <c r="E1810" t="s">
        <v>267</v>
      </c>
      <c r="F1810" t="s">
        <v>3767</v>
      </c>
      <c r="G1810" t="str">
        <f>"00015145"</f>
        <v>00015145</v>
      </c>
      <c r="H1810" t="s">
        <v>2974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50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X1810">
        <v>0</v>
      </c>
      <c r="Y1810" t="s">
        <v>3768</v>
      </c>
    </row>
    <row r="1811" spans="1:25" x14ac:dyDescent="0.25">
      <c r="H1811" t="s">
        <v>1013</v>
      </c>
    </row>
    <row r="1812" spans="1:25" x14ac:dyDescent="0.25">
      <c r="A1812">
        <v>903</v>
      </c>
      <c r="B1812">
        <v>2820</v>
      </c>
      <c r="C1812" t="s">
        <v>33</v>
      </c>
      <c r="D1812" t="s">
        <v>489</v>
      </c>
      <c r="E1812" t="s">
        <v>3769</v>
      </c>
      <c r="F1812" t="s">
        <v>3770</v>
      </c>
      <c r="G1812" t="str">
        <f>"00013989"</f>
        <v>00013989</v>
      </c>
      <c r="H1812">
        <v>704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30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X1812">
        <v>1</v>
      </c>
      <c r="Y1812">
        <v>734</v>
      </c>
    </row>
    <row r="1813" spans="1:25" x14ac:dyDescent="0.25">
      <c r="H1813" t="s">
        <v>3771</v>
      </c>
    </row>
    <row r="1814" spans="1:25" x14ac:dyDescent="0.25">
      <c r="A1814">
        <v>904</v>
      </c>
      <c r="B1814">
        <v>2209</v>
      </c>
      <c r="C1814" t="s">
        <v>3772</v>
      </c>
      <c r="D1814" t="s">
        <v>1153</v>
      </c>
      <c r="E1814" t="s">
        <v>417</v>
      </c>
      <c r="F1814" t="s">
        <v>3773</v>
      </c>
      <c r="G1814" t="str">
        <f>"201411003203"</f>
        <v>201411003203</v>
      </c>
      <c r="H1814" t="s">
        <v>2884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30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X1814">
        <v>0</v>
      </c>
      <c r="Y1814" t="s">
        <v>3774</v>
      </c>
    </row>
    <row r="1815" spans="1:25" x14ac:dyDescent="0.25">
      <c r="H1815" t="s">
        <v>3775</v>
      </c>
    </row>
    <row r="1816" spans="1:25" x14ac:dyDescent="0.25">
      <c r="A1816">
        <v>905</v>
      </c>
      <c r="B1816">
        <v>733</v>
      </c>
      <c r="C1816" t="s">
        <v>3097</v>
      </c>
      <c r="D1816" t="s">
        <v>381</v>
      </c>
      <c r="E1816" t="s">
        <v>21</v>
      </c>
      <c r="F1816" t="s">
        <v>3776</v>
      </c>
      <c r="G1816" t="str">
        <f>"201511043068"</f>
        <v>201511043068</v>
      </c>
      <c r="H1816" t="s">
        <v>2884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X1816">
        <v>1</v>
      </c>
      <c r="Y1816" t="s">
        <v>3774</v>
      </c>
    </row>
    <row r="1817" spans="1:25" x14ac:dyDescent="0.25">
      <c r="H1817" t="s">
        <v>3777</v>
      </c>
    </row>
    <row r="1818" spans="1:25" x14ac:dyDescent="0.25">
      <c r="A1818">
        <v>906</v>
      </c>
      <c r="B1818">
        <v>1911</v>
      </c>
      <c r="C1818" t="s">
        <v>3778</v>
      </c>
      <c r="D1818" t="s">
        <v>3779</v>
      </c>
      <c r="E1818" t="s">
        <v>1189</v>
      </c>
      <c r="F1818" t="s">
        <v>3780</v>
      </c>
      <c r="G1818" t="str">
        <f>"00013639"</f>
        <v>00013639</v>
      </c>
      <c r="H1818" t="s">
        <v>3781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X1818">
        <v>0</v>
      </c>
      <c r="Y1818" t="s">
        <v>3782</v>
      </c>
    </row>
    <row r="1819" spans="1:25" x14ac:dyDescent="0.25">
      <c r="H1819" t="s">
        <v>52</v>
      </c>
    </row>
    <row r="1820" spans="1:25" x14ac:dyDescent="0.25">
      <c r="A1820">
        <v>907</v>
      </c>
      <c r="B1820">
        <v>2325</v>
      </c>
      <c r="C1820" t="s">
        <v>3783</v>
      </c>
      <c r="D1820" t="s">
        <v>842</v>
      </c>
      <c r="E1820" t="s">
        <v>217</v>
      </c>
      <c r="F1820" t="s">
        <v>3784</v>
      </c>
      <c r="G1820" t="str">
        <f>"00013355"</f>
        <v>00013355</v>
      </c>
      <c r="H1820" t="s">
        <v>3271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70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X1820">
        <v>1</v>
      </c>
      <c r="Y1820" t="s">
        <v>3785</v>
      </c>
    </row>
    <row r="1821" spans="1:25" x14ac:dyDescent="0.25">
      <c r="H1821">
        <v>224</v>
      </c>
    </row>
    <row r="1822" spans="1:25" x14ac:dyDescent="0.25">
      <c r="A1822">
        <v>908</v>
      </c>
      <c r="B1822">
        <v>1451</v>
      </c>
      <c r="C1822" t="s">
        <v>3786</v>
      </c>
      <c r="D1822" t="s">
        <v>1087</v>
      </c>
      <c r="E1822" t="s">
        <v>353</v>
      </c>
      <c r="F1822" t="s">
        <v>3787</v>
      </c>
      <c r="G1822" t="str">
        <f>"201410012763"</f>
        <v>201410012763</v>
      </c>
      <c r="H1822" t="s">
        <v>3760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30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X1822">
        <v>0</v>
      </c>
      <c r="Y1822" t="s">
        <v>3788</v>
      </c>
    </row>
    <row r="1823" spans="1:25" x14ac:dyDescent="0.25">
      <c r="H1823" t="s">
        <v>52</v>
      </c>
    </row>
    <row r="1824" spans="1:25" x14ac:dyDescent="0.25">
      <c r="A1824">
        <v>909</v>
      </c>
      <c r="B1824">
        <v>1681</v>
      </c>
      <c r="C1824" t="s">
        <v>3789</v>
      </c>
      <c r="D1824" t="s">
        <v>48</v>
      </c>
      <c r="E1824" t="s">
        <v>896</v>
      </c>
      <c r="F1824" t="s">
        <v>3790</v>
      </c>
      <c r="G1824" t="str">
        <f>"201410008919"</f>
        <v>201410008919</v>
      </c>
      <c r="H1824" t="s">
        <v>1301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X1824">
        <v>0</v>
      </c>
      <c r="Y1824" t="s">
        <v>3791</v>
      </c>
    </row>
    <row r="1825" spans="1:25" x14ac:dyDescent="0.25">
      <c r="H1825" t="s">
        <v>3792</v>
      </c>
    </row>
    <row r="1826" spans="1:25" x14ac:dyDescent="0.25">
      <c r="A1826">
        <v>910</v>
      </c>
      <c r="B1826">
        <v>1575</v>
      </c>
      <c r="C1826" t="s">
        <v>3793</v>
      </c>
      <c r="D1826" t="s">
        <v>842</v>
      </c>
      <c r="E1826" t="s">
        <v>3794</v>
      </c>
      <c r="F1826" t="s">
        <v>3795</v>
      </c>
      <c r="G1826" t="str">
        <f>"20160703396"</f>
        <v>20160703396</v>
      </c>
      <c r="H1826" t="s">
        <v>1089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70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X1826">
        <v>0</v>
      </c>
      <c r="Y1826" t="s">
        <v>3796</v>
      </c>
    </row>
    <row r="1827" spans="1:25" x14ac:dyDescent="0.25">
      <c r="H1827">
        <v>224</v>
      </c>
    </row>
    <row r="1828" spans="1:25" x14ac:dyDescent="0.25">
      <c r="A1828">
        <v>911</v>
      </c>
      <c r="B1828">
        <v>2791</v>
      </c>
      <c r="C1828" t="s">
        <v>3797</v>
      </c>
      <c r="D1828" t="s">
        <v>2342</v>
      </c>
      <c r="E1828" t="s">
        <v>3798</v>
      </c>
      <c r="F1828" t="s">
        <v>3799</v>
      </c>
      <c r="G1828" t="str">
        <f>"00013624"</f>
        <v>00013624</v>
      </c>
      <c r="H1828">
        <v>660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50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X1828">
        <v>0</v>
      </c>
      <c r="Y1828">
        <v>710</v>
      </c>
    </row>
    <row r="1829" spans="1:25" x14ac:dyDescent="0.25">
      <c r="H1829" t="s">
        <v>3800</v>
      </c>
    </row>
    <row r="1830" spans="1:25" x14ac:dyDescent="0.25">
      <c r="A1830">
        <v>912</v>
      </c>
      <c r="B1830">
        <v>2373</v>
      </c>
      <c r="C1830" t="s">
        <v>3801</v>
      </c>
      <c r="D1830" t="s">
        <v>22</v>
      </c>
      <c r="E1830" t="s">
        <v>41</v>
      </c>
      <c r="F1830" t="s">
        <v>3802</v>
      </c>
      <c r="G1830" t="str">
        <f>"00013322"</f>
        <v>00013322</v>
      </c>
      <c r="H1830" t="s">
        <v>3803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50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X1830">
        <v>0</v>
      </c>
      <c r="Y1830" t="s">
        <v>3804</v>
      </c>
    </row>
    <row r="1831" spans="1:25" x14ac:dyDescent="0.25">
      <c r="H1831">
        <v>224</v>
      </c>
    </row>
    <row r="1832" spans="1:25" x14ac:dyDescent="0.25">
      <c r="A1832">
        <v>913</v>
      </c>
      <c r="B1832">
        <v>332</v>
      </c>
      <c r="C1832" t="s">
        <v>3805</v>
      </c>
      <c r="D1832" t="s">
        <v>1087</v>
      </c>
      <c r="E1832" t="s">
        <v>22</v>
      </c>
      <c r="F1832" t="s">
        <v>3806</v>
      </c>
      <c r="G1832" t="str">
        <f>"00013983"</f>
        <v>00013983</v>
      </c>
      <c r="H1832" t="s">
        <v>3315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30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X1832">
        <v>0</v>
      </c>
      <c r="Y1832" t="s">
        <v>3807</v>
      </c>
    </row>
    <row r="1833" spans="1:25" x14ac:dyDescent="0.25">
      <c r="H1833" t="s">
        <v>956</v>
      </c>
    </row>
    <row r="1834" spans="1:25" x14ac:dyDescent="0.25">
      <c r="A1834">
        <v>914</v>
      </c>
      <c r="B1834">
        <v>1491</v>
      </c>
      <c r="C1834" t="s">
        <v>3364</v>
      </c>
      <c r="D1834" t="s">
        <v>3808</v>
      </c>
      <c r="E1834" t="s">
        <v>22</v>
      </c>
      <c r="F1834" t="s">
        <v>3809</v>
      </c>
      <c r="G1834" t="str">
        <f>"00013826"</f>
        <v>00013826</v>
      </c>
      <c r="H1834" t="s">
        <v>1127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X1834">
        <v>0</v>
      </c>
      <c r="Y1834" t="s">
        <v>1127</v>
      </c>
    </row>
    <row r="1835" spans="1:25" x14ac:dyDescent="0.25">
      <c r="H1835" t="s">
        <v>3810</v>
      </c>
    </row>
    <row r="1836" spans="1:25" x14ac:dyDescent="0.25">
      <c r="A1836">
        <v>915</v>
      </c>
      <c r="B1836">
        <v>1527</v>
      </c>
      <c r="C1836" t="s">
        <v>3811</v>
      </c>
      <c r="D1836" t="s">
        <v>3812</v>
      </c>
      <c r="E1836" t="s">
        <v>565</v>
      </c>
      <c r="F1836" t="s">
        <v>3813</v>
      </c>
      <c r="G1836" t="str">
        <f>"00013636"</f>
        <v>00013636</v>
      </c>
      <c r="H1836" t="s">
        <v>3814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30</v>
      </c>
      <c r="O1836">
        <v>30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X1836">
        <v>1</v>
      </c>
      <c r="Y1836" t="s">
        <v>3815</v>
      </c>
    </row>
    <row r="1837" spans="1:25" x14ac:dyDescent="0.25">
      <c r="H1837" t="s">
        <v>3816</v>
      </c>
    </row>
    <row r="1838" spans="1:25" x14ac:dyDescent="0.25">
      <c r="A1838">
        <v>916</v>
      </c>
      <c r="B1838">
        <v>3368</v>
      </c>
      <c r="C1838" t="s">
        <v>3817</v>
      </c>
      <c r="D1838" t="s">
        <v>1212</v>
      </c>
      <c r="E1838" t="s">
        <v>21</v>
      </c>
      <c r="F1838" t="s">
        <v>3818</v>
      </c>
      <c r="G1838" t="str">
        <f>"00013665"</f>
        <v>00013665</v>
      </c>
      <c r="H1838" t="s">
        <v>1466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70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X1838">
        <v>0</v>
      </c>
      <c r="Y1838" t="s">
        <v>3819</v>
      </c>
    </row>
    <row r="1839" spans="1:25" x14ac:dyDescent="0.25">
      <c r="H1839" t="s">
        <v>3820</v>
      </c>
    </row>
    <row r="1840" spans="1:25" x14ac:dyDescent="0.25">
      <c r="A1840">
        <v>917</v>
      </c>
      <c r="B1840">
        <v>2821</v>
      </c>
      <c r="C1840" t="s">
        <v>3821</v>
      </c>
      <c r="D1840" t="s">
        <v>766</v>
      </c>
      <c r="E1840" t="s">
        <v>124</v>
      </c>
      <c r="F1840" t="s">
        <v>3822</v>
      </c>
      <c r="G1840" t="str">
        <f>"00012018"</f>
        <v>00012018</v>
      </c>
      <c r="H1840" t="s">
        <v>3054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X1840">
        <v>0</v>
      </c>
      <c r="Y1840" t="s">
        <v>3823</v>
      </c>
    </row>
    <row r="1841" spans="1:25" x14ac:dyDescent="0.25">
      <c r="H1841">
        <v>221</v>
      </c>
    </row>
    <row r="1842" spans="1:25" x14ac:dyDescent="0.25">
      <c r="A1842">
        <v>918</v>
      </c>
      <c r="B1842">
        <v>2418</v>
      </c>
      <c r="C1842" t="s">
        <v>3824</v>
      </c>
      <c r="D1842" t="s">
        <v>199</v>
      </c>
      <c r="E1842" t="s">
        <v>66</v>
      </c>
      <c r="F1842" t="s">
        <v>3825</v>
      </c>
      <c r="G1842" t="str">
        <f>"201409004187"</f>
        <v>201409004187</v>
      </c>
      <c r="H1842" t="s">
        <v>1220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X1842">
        <v>1</v>
      </c>
      <c r="Y1842" t="s">
        <v>3826</v>
      </c>
    </row>
    <row r="1843" spans="1:25" x14ac:dyDescent="0.25">
      <c r="H1843" t="s">
        <v>3827</v>
      </c>
    </row>
    <row r="1844" spans="1:25" x14ac:dyDescent="0.25">
      <c r="A1844">
        <v>919</v>
      </c>
      <c r="B1844">
        <v>1311</v>
      </c>
      <c r="C1844" t="s">
        <v>3828</v>
      </c>
      <c r="D1844" t="s">
        <v>3829</v>
      </c>
      <c r="E1844" t="s">
        <v>2422</v>
      </c>
      <c r="F1844" t="s">
        <v>3830</v>
      </c>
      <c r="G1844" t="str">
        <f>"00014314"</f>
        <v>00014314</v>
      </c>
      <c r="H1844" t="s">
        <v>3831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30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X1844">
        <v>0</v>
      </c>
      <c r="Y1844" t="s">
        <v>3832</v>
      </c>
    </row>
    <row r="1845" spans="1:25" x14ac:dyDescent="0.25">
      <c r="H1845" t="s">
        <v>3833</v>
      </c>
    </row>
    <row r="1846" spans="1:25" x14ac:dyDescent="0.25">
      <c r="A1846">
        <v>920</v>
      </c>
      <c r="B1846">
        <v>827</v>
      </c>
      <c r="C1846" t="s">
        <v>3834</v>
      </c>
      <c r="D1846" t="s">
        <v>278</v>
      </c>
      <c r="E1846" t="s">
        <v>21</v>
      </c>
      <c r="F1846" t="s">
        <v>3835</v>
      </c>
      <c r="G1846" t="str">
        <f>"200902000186"</f>
        <v>200902000186</v>
      </c>
      <c r="H1846" t="s">
        <v>3836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X1846">
        <v>0</v>
      </c>
      <c r="Y1846" t="s">
        <v>3837</v>
      </c>
    </row>
    <row r="1847" spans="1:25" x14ac:dyDescent="0.25">
      <c r="H1847" t="s">
        <v>3838</v>
      </c>
    </row>
    <row r="1848" spans="1:25" x14ac:dyDescent="0.25">
      <c r="A1848">
        <v>921</v>
      </c>
      <c r="B1848">
        <v>3357</v>
      </c>
      <c r="C1848" t="s">
        <v>1316</v>
      </c>
      <c r="D1848" t="s">
        <v>526</v>
      </c>
      <c r="E1848" t="s">
        <v>1555</v>
      </c>
      <c r="F1848" t="s">
        <v>3839</v>
      </c>
      <c r="G1848" t="str">
        <f>"00012918"</f>
        <v>00012918</v>
      </c>
      <c r="H1848" t="s">
        <v>3840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X1848">
        <v>0</v>
      </c>
      <c r="Y1848" t="s">
        <v>3841</v>
      </c>
    </row>
    <row r="1849" spans="1:25" x14ac:dyDescent="0.25">
      <c r="H1849" t="s">
        <v>3842</v>
      </c>
    </row>
    <row r="1850" spans="1:25" x14ac:dyDescent="0.25">
      <c r="A1850">
        <v>922</v>
      </c>
      <c r="B1850">
        <v>2510</v>
      </c>
      <c r="C1850" t="s">
        <v>1813</v>
      </c>
      <c r="D1850" t="s">
        <v>3843</v>
      </c>
      <c r="E1850" t="s">
        <v>22</v>
      </c>
      <c r="F1850" t="s">
        <v>3844</v>
      </c>
      <c r="G1850" t="str">
        <f>"00012723"</f>
        <v>00012723</v>
      </c>
      <c r="H1850" t="s">
        <v>3286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X1850">
        <v>0</v>
      </c>
      <c r="Y1850" t="s">
        <v>3845</v>
      </c>
    </row>
    <row r="1851" spans="1:25" x14ac:dyDescent="0.25">
      <c r="H1851" t="s">
        <v>3846</v>
      </c>
    </row>
    <row r="1852" spans="1:25" x14ac:dyDescent="0.25">
      <c r="A1852">
        <v>923</v>
      </c>
      <c r="B1852">
        <v>1823</v>
      </c>
      <c r="C1852" t="s">
        <v>3847</v>
      </c>
      <c r="D1852" t="s">
        <v>1189</v>
      </c>
      <c r="E1852" t="s">
        <v>48</v>
      </c>
      <c r="F1852" t="s">
        <v>3848</v>
      </c>
      <c r="G1852" t="str">
        <f>"201412003365"</f>
        <v>201412003365</v>
      </c>
      <c r="H1852" t="s">
        <v>3738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X1852">
        <v>0</v>
      </c>
      <c r="Y1852" t="s">
        <v>3849</v>
      </c>
    </row>
    <row r="1853" spans="1:25" x14ac:dyDescent="0.25">
      <c r="H1853" t="s">
        <v>3850</v>
      </c>
    </row>
    <row r="1854" spans="1:25" x14ac:dyDescent="0.25">
      <c r="A1854">
        <v>924</v>
      </c>
      <c r="B1854">
        <v>2773</v>
      </c>
      <c r="C1854" t="s">
        <v>3851</v>
      </c>
      <c r="D1854" t="s">
        <v>21</v>
      </c>
      <c r="E1854" t="s">
        <v>48</v>
      </c>
      <c r="F1854" t="s">
        <v>3852</v>
      </c>
      <c r="G1854" t="str">
        <f>"200807000760"</f>
        <v>200807000760</v>
      </c>
      <c r="H1854" t="s">
        <v>3853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X1854">
        <v>0</v>
      </c>
      <c r="Y1854" t="s">
        <v>3854</v>
      </c>
    </row>
    <row r="1855" spans="1:25" x14ac:dyDescent="0.25">
      <c r="H1855" t="s">
        <v>3855</v>
      </c>
    </row>
    <row r="1856" spans="1:25" x14ac:dyDescent="0.25">
      <c r="A1856">
        <v>925</v>
      </c>
      <c r="B1856">
        <v>1333</v>
      </c>
      <c r="C1856" t="s">
        <v>3856</v>
      </c>
      <c r="D1856" t="s">
        <v>211</v>
      </c>
      <c r="E1856" t="s">
        <v>22</v>
      </c>
      <c r="F1856" t="s">
        <v>3857</v>
      </c>
      <c r="G1856" t="str">
        <f>"200802009839"</f>
        <v>200802009839</v>
      </c>
      <c r="H1856" t="s">
        <v>3148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30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X1856">
        <v>0</v>
      </c>
      <c r="Y1856" t="s">
        <v>3858</v>
      </c>
    </row>
    <row r="1857" spans="1:25" x14ac:dyDescent="0.25">
      <c r="H1857" t="s">
        <v>3859</v>
      </c>
    </row>
    <row r="1858" spans="1:25" x14ac:dyDescent="0.25">
      <c r="A1858">
        <v>926</v>
      </c>
      <c r="B1858">
        <v>1954</v>
      </c>
      <c r="C1858" t="s">
        <v>965</v>
      </c>
      <c r="D1858" t="s">
        <v>842</v>
      </c>
      <c r="E1858" t="s">
        <v>966</v>
      </c>
      <c r="F1858" t="s">
        <v>3860</v>
      </c>
      <c r="G1858" t="str">
        <f>"00014655"</f>
        <v>00014655</v>
      </c>
      <c r="H1858" t="s">
        <v>3861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X1858">
        <v>0</v>
      </c>
      <c r="Y1858" t="s">
        <v>3862</v>
      </c>
    </row>
    <row r="1859" spans="1:25" x14ac:dyDescent="0.25">
      <c r="H1859" t="s">
        <v>3014</v>
      </c>
    </row>
    <row r="1860" spans="1:25" x14ac:dyDescent="0.25">
      <c r="A1860">
        <v>927</v>
      </c>
      <c r="B1860">
        <v>884</v>
      </c>
      <c r="C1860" t="s">
        <v>3863</v>
      </c>
      <c r="D1860" t="s">
        <v>22</v>
      </c>
      <c r="E1860" t="s">
        <v>41</v>
      </c>
      <c r="F1860" t="s">
        <v>3864</v>
      </c>
      <c r="G1860" t="str">
        <f>"00015039"</f>
        <v>00015039</v>
      </c>
      <c r="H1860">
        <v>616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X1860">
        <v>0</v>
      </c>
      <c r="Y1860">
        <v>646</v>
      </c>
    </row>
    <row r="1861" spans="1:25" x14ac:dyDescent="0.25">
      <c r="H1861" t="s">
        <v>52</v>
      </c>
    </row>
    <row r="1863" spans="1:25" x14ac:dyDescent="0.25">
      <c r="A1863" t="s">
        <v>3865</v>
      </c>
    </row>
    <row r="1864" spans="1:25" x14ac:dyDescent="0.25">
      <c r="A1864" t="s">
        <v>3866</v>
      </c>
    </row>
    <row r="1865" spans="1:25" x14ac:dyDescent="0.25">
      <c r="A1865" t="s">
        <v>3867</v>
      </c>
    </row>
    <row r="1866" spans="1:25" x14ac:dyDescent="0.25">
      <c r="A1866" t="s">
        <v>3868</v>
      </c>
    </row>
    <row r="1867" spans="1:25" x14ac:dyDescent="0.25">
      <c r="A1867" t="s">
        <v>3869</v>
      </c>
    </row>
    <row r="1868" spans="1:25" x14ac:dyDescent="0.25">
      <c r="A1868" t="s">
        <v>3870</v>
      </c>
    </row>
    <row r="1869" spans="1:25" x14ac:dyDescent="0.25">
      <c r="A1869" t="s">
        <v>3871</v>
      </c>
    </row>
    <row r="1870" spans="1:25" x14ac:dyDescent="0.25">
      <c r="A1870" t="s">
        <v>3872</v>
      </c>
    </row>
    <row r="1871" spans="1:25" x14ac:dyDescent="0.25">
      <c r="A1871" t="s">
        <v>3873</v>
      </c>
    </row>
    <row r="1872" spans="1:25" x14ac:dyDescent="0.25">
      <c r="A1872" t="s">
        <v>3874</v>
      </c>
    </row>
    <row r="1873" spans="1:1" x14ac:dyDescent="0.25">
      <c r="A1873" t="s">
        <v>3875</v>
      </c>
    </row>
    <row r="1874" spans="1:1" x14ac:dyDescent="0.25">
      <c r="A1874" t="s">
        <v>3876</v>
      </c>
    </row>
    <row r="1875" spans="1:1" x14ac:dyDescent="0.25">
      <c r="A1875" t="s">
        <v>3877</v>
      </c>
    </row>
    <row r="1876" spans="1:1" x14ac:dyDescent="0.25">
      <c r="A1876" t="s">
        <v>3878</v>
      </c>
    </row>
    <row r="1877" spans="1:1" x14ac:dyDescent="0.25">
      <c r="A1877" t="s">
        <v>3879</v>
      </c>
    </row>
    <row r="1878" spans="1:1" x14ac:dyDescent="0.25">
      <c r="A1878" t="s">
        <v>3880</v>
      </c>
    </row>
    <row r="1879" spans="1:1" x14ac:dyDescent="0.25">
      <c r="A1879" t="s">
        <v>3881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2017-07-11T10:08:43Z</dcterms:created>
  <dcterms:modified xsi:type="dcterms:W3CDTF">2017-07-11T10:08:49Z</dcterms:modified>
</cp:coreProperties>
</file>