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386" i="1" l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<sst xmlns="http://schemas.openxmlformats.org/spreadsheetml/2006/main" count="7723" uniqueCount="3939">
  <si>
    <t>ΠΛΗΡΩΣΗ ΘΕΣΕΩΝ ΜΕ ΣΕΙΡΑ ΠΡΟΤΕΡΑΙΟΤΗΤΑΣ (ΑΡΘΡΟ 18/Ν. 2190/1994) ΠΡΟΚΗΡΥΞΗ : 4Κ/2016</t>
  </si>
  <si>
    <t>ΣΕΙΡΑ ΚΑΤΑΤΑΞΗΣ (ΚΥΡΙΟΣ)</t>
  </si>
  <si>
    <t>ΠΑΝΕΠΙΣΤΗΜΙΑΚΗΣ ΕΚΠΑΙΔΕΥΣΗΣ (ΠΕ)</t>
  </si>
  <si>
    <t>ΓΕΝΙΚΕΣ ΘΕΣΕΙΣ ΜΕ ΕΜΠΕΙΡΙΑ</t>
  </si>
  <si>
    <t>ΠΕ ΔΙΟΙΚΗΤΙΚΟΥ ΟΙΚΟΝΟΜΙΚΟΥ(ΟΙΚΟΝΟΜΙΚΟΥ)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</si>
  <si>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</si>
  <si>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</si>
  <si>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</si>
  <si>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</si>
  <si>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</si>
  <si>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</si>
  <si>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</si>
  <si>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</si>
  <si>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ΜΟΣΧΟΒΑΚΗΣ</t>
  </si>
  <si>
    <t>ΧΡΗΣΤΟΣ</t>
  </si>
  <si>
    <t>ΑΝΤΩΝΙΟΣ</t>
  </si>
  <si>
    <t>ΑΕ093836</t>
  </si>
  <si>
    <t>1005,4</t>
  </si>
  <si>
    <t>2263,4</t>
  </si>
  <si>
    <t>215-214</t>
  </si>
  <si>
    <t>ΦΩΤΕΙΝΟΠΟΥΛΟΣ</t>
  </si>
  <si>
    <t>ΑΝΑΣΤΑΣΙΟΣ-ΜΙΧΑΗΛ</t>
  </si>
  <si>
    <t>ΑΕ231992</t>
  </si>
  <si>
    <t>960,3</t>
  </si>
  <si>
    <t>2087,3</t>
  </si>
  <si>
    <t>213-215-216</t>
  </si>
  <si>
    <t>ΛΙΒΑΣ</t>
  </si>
  <si>
    <t>ΠΕΤΡΟΣ</t>
  </si>
  <si>
    <t>Τ504034</t>
  </si>
  <si>
    <t>938,3</t>
  </si>
  <si>
    <t>2084,3</t>
  </si>
  <si>
    <t>214-215-213-216</t>
  </si>
  <si>
    <t>ΠΑΠΟΥΤΣΗ</t>
  </si>
  <si>
    <t>ΓΕΩΡΓΙΑ</t>
  </si>
  <si>
    <t>ΣΑΒΒΑΣ</t>
  </si>
  <si>
    <t>ΑΕ259606</t>
  </si>
  <si>
    <t>797,5</t>
  </si>
  <si>
    <t>2077,5</t>
  </si>
  <si>
    <t>214-215</t>
  </si>
  <si>
    <t>ΠΕΙΤΖΙΚΑ</t>
  </si>
  <si>
    <t>ΕΙΡΗΝΗ</t>
  </si>
  <si>
    <t>ΓΕΩΡΓΙΟΣ</t>
  </si>
  <si>
    <t>789,8</t>
  </si>
  <si>
    <t>2047,8</t>
  </si>
  <si>
    <t>ΠΕΡΣΑΚΗΣ</t>
  </si>
  <si>
    <t>ΔΙΟΝΥΣΙΟΣ</t>
  </si>
  <si>
    <t>ΑΝ032884</t>
  </si>
  <si>
    <t>757,9</t>
  </si>
  <si>
    <t>2015,9</t>
  </si>
  <si>
    <t>216-214-215-213</t>
  </si>
  <si>
    <t>ΑΘΑΝΑΣΙΟΥ</t>
  </si>
  <si>
    <t>ΑΝΝΑ</t>
  </si>
  <si>
    <t>ΔΗΜΟΣΘΕΝΗΣ</t>
  </si>
  <si>
    <t>Χ616832</t>
  </si>
  <si>
    <t>1026,3</t>
  </si>
  <si>
    <t>1994,3</t>
  </si>
  <si>
    <t>215-214-205-206-207-209-210</t>
  </si>
  <si>
    <t>ΕΛΕΥΘΕΡΙΟΥ</t>
  </si>
  <si>
    <t>ΑΝΑΣΤΑΣΙΑ</t>
  </si>
  <si>
    <t>ΗΡΑΚΛΗΣ</t>
  </si>
  <si>
    <t>ΑΙ549083</t>
  </si>
  <si>
    <t>943,8</t>
  </si>
  <si>
    <t>1981,8</t>
  </si>
  <si>
    <t>ΑΝΔΡΙΑΚΟΠΟΥΛΟΣ</t>
  </si>
  <si>
    <t>ΚΩΝΣΤΑΝΤΙΝΟΣ</t>
  </si>
  <si>
    <t>ΑΝΔΡΕΑΣ</t>
  </si>
  <si>
    <t>Φ244025</t>
  </si>
  <si>
    <t>723,8</t>
  </si>
  <si>
    <t>213-215-214-216</t>
  </si>
  <si>
    <t>ΣΤΡΙΚΛΑΝΤ</t>
  </si>
  <si>
    <t>ΣΤΕΦΑΝΟΣ</t>
  </si>
  <si>
    <t>ΑΒ563863</t>
  </si>
  <si>
    <t>929,5</t>
  </si>
  <si>
    <t>1973,5</t>
  </si>
  <si>
    <t>ΑΝΑΣΤΟΠΟΥΛΟΣ</t>
  </si>
  <si>
    <t>ΑΑ116140</t>
  </si>
  <si>
    <t>676,5</t>
  </si>
  <si>
    <t>1964,5</t>
  </si>
  <si>
    <t>215-213-216</t>
  </si>
  <si>
    <t>ΚΩΝΣΤΑΝΤΑΚΟΠΟΥΛΟΥ</t>
  </si>
  <si>
    <t>ΔΗΜΗΤΡΑ</t>
  </si>
  <si>
    <t>ΑΕ244183</t>
  </si>
  <si>
    <t>675,4</t>
  </si>
  <si>
    <t>1963,4</t>
  </si>
  <si>
    <t>ΠΕΠΠΑΣ</t>
  </si>
  <si>
    <t>ΔΗΜΗΤΡΙΟΣ</t>
  </si>
  <si>
    <t>ΑΙ756694</t>
  </si>
  <si>
    <t>700,7</t>
  </si>
  <si>
    <t>1958,7</t>
  </si>
  <si>
    <t>213-214-215</t>
  </si>
  <si>
    <t>1957,5</t>
  </si>
  <si>
    <t>ΚΟΜΙΣΟΠΟΥΛΟΣ</t>
  </si>
  <si>
    <t>ΦΑΙΔΩΝ</t>
  </si>
  <si>
    <t>ΦΙΚΛΟΚΤΗΜΩΝ</t>
  </si>
  <si>
    <t>ΑΗ639343</t>
  </si>
  <si>
    <t>ΒΑΣΙΛΕΙΟΥ</t>
  </si>
  <si>
    <t>ΑΡΙΣΤΕΑ</t>
  </si>
  <si>
    <t>ΑΜ372981</t>
  </si>
  <si>
    <t>1006,5</t>
  </si>
  <si>
    <t>1944,5</t>
  </si>
  <si>
    <t>ΓΚΟΥΜΑ</t>
  </si>
  <si>
    <t>ΟΛΥΜΠΙΑ</t>
  </si>
  <si>
    <t>Χ543901</t>
  </si>
  <si>
    <t>ΛΙΘΑΡΗ</t>
  </si>
  <si>
    <t>ΒΑΡΒΑΡΑ</t>
  </si>
  <si>
    <t>ΑΗ698780</t>
  </si>
  <si>
    <t>215-216-213</t>
  </si>
  <si>
    <t>ΜΠΑΛΑΜΑΤΣΗΣ</t>
  </si>
  <si>
    <t>ΑΘΑΝΑΣΙΟΣ</t>
  </si>
  <si>
    <t>ΑΚ712481</t>
  </si>
  <si>
    <t>656,7</t>
  </si>
  <si>
    <t>1914,7</t>
  </si>
  <si>
    <t>214-215-213</t>
  </si>
  <si>
    <t>ΑΝΤΩΝΙΑΔΗΣ</t>
  </si>
  <si>
    <t>ΗΛΙΑΣ</t>
  </si>
  <si>
    <t>Χ506321</t>
  </si>
  <si>
    <t>970,2</t>
  </si>
  <si>
    <t>1908,2</t>
  </si>
  <si>
    <t>ΙΩΑΝΝΙΔΗΣ</t>
  </si>
  <si>
    <t>ΑΕ053846</t>
  </si>
  <si>
    <t>746,9</t>
  </si>
  <si>
    <t>1904,9</t>
  </si>
  <si>
    <t>ΛΙΑΚΟΣ</t>
  </si>
  <si>
    <t>ΕΥΑΓΓΕΛΟΣ</t>
  </si>
  <si>
    <t>ΑΜ209216</t>
  </si>
  <si>
    <t>1016,4</t>
  </si>
  <si>
    <t>1904,4</t>
  </si>
  <si>
    <t>ΠΑΠΑΘΑΝΑΣΙΟΥ</t>
  </si>
  <si>
    <t>ΣΠΥΡΙΔΩΝ</t>
  </si>
  <si>
    <t>ΣΩΤΗΡΙΟΣ</t>
  </si>
  <si>
    <t>ΑΒ657436</t>
  </si>
  <si>
    <t>678,7</t>
  </si>
  <si>
    <t>1896,7</t>
  </si>
  <si>
    <t>ΤΒΙΣΣ</t>
  </si>
  <si>
    <t>ΣΑΜΠΡΙΝΑ ΜΑΡΙΝΑ ΧΟΥΑ</t>
  </si>
  <si>
    <t>ΓΚΕΡΡΙΤ</t>
  </si>
  <si>
    <t>ΑΚ226980</t>
  </si>
  <si>
    <t>1888,3</t>
  </si>
  <si>
    <t>ΑΠΑΖΙΔΗΣ</t>
  </si>
  <si>
    <t>ΑΜ904255</t>
  </si>
  <si>
    <t>1020,8</t>
  </si>
  <si>
    <t>1878,8</t>
  </si>
  <si>
    <t>ΒΟΥΛΓΑΡΙΔΟΥ</t>
  </si>
  <si>
    <t>ΕΛΕΟΝΩΡΑ</t>
  </si>
  <si>
    <t>Π332781</t>
  </si>
  <si>
    <t>918,5</t>
  </si>
  <si>
    <t>1876,5</t>
  </si>
  <si>
    <t>ΛΕΦΑ</t>
  </si>
  <si>
    <t>ΣΤΑΥΡΟΥΛΑ</t>
  </si>
  <si>
    <t>ΑΕ685351</t>
  </si>
  <si>
    <t>ΤΖΙΦΑ</t>
  </si>
  <si>
    <t>ΜΑΡΙΑ</t>
  </si>
  <si>
    <t>ΣΠΗΛΙΟΣ</t>
  </si>
  <si>
    <t>ΑΗ708078</t>
  </si>
  <si>
    <t>904,2</t>
  </si>
  <si>
    <t>1872,2</t>
  </si>
  <si>
    <t>213-215-214</t>
  </si>
  <si>
    <t>ΜΑΡΗΣ</t>
  </si>
  <si>
    <t>ΙΩΑΝΝΗΣ</t>
  </si>
  <si>
    <t>ΑΒ017544</t>
  </si>
  <si>
    <t>893,2</t>
  </si>
  <si>
    <t>1871,2</t>
  </si>
  <si>
    <t>ΜΑΛΛΙΝΗ</t>
  </si>
  <si>
    <t>ΔΕΣΠΟΙΝΑ</t>
  </si>
  <si>
    <t>ΑΙ721580</t>
  </si>
  <si>
    <t>949,3</t>
  </si>
  <si>
    <t>1867,3</t>
  </si>
  <si>
    <t>ΓΕΩΡΓΑΚΟΠΟΥΛΟΥ</t>
  </si>
  <si>
    <t>ΕΛΕΝΗ</t>
  </si>
  <si>
    <t>ΑΓΓΕΛΟΣ</t>
  </si>
  <si>
    <t>ΑΗ205318</t>
  </si>
  <si>
    <t>844,8</t>
  </si>
  <si>
    <t>1852,8</t>
  </si>
  <si>
    <t>ΓΚΛΑΚΑΣ</t>
  </si>
  <si>
    <t>ΑΖ346039</t>
  </si>
  <si>
    <t>870,1</t>
  </si>
  <si>
    <t>1838,1</t>
  </si>
  <si>
    <t>ΒΥΤΕΡΟΥΛΗ</t>
  </si>
  <si>
    <t>ΑΕ485884</t>
  </si>
  <si>
    <t>817,3</t>
  </si>
  <si>
    <t>1825,3</t>
  </si>
  <si>
    <t>ΤΣΟΜΠΑΝΟΓΛΟΥ</t>
  </si>
  <si>
    <t>ΣΤΥΛΙΑΝΟΣ</t>
  </si>
  <si>
    <t>ΔΗΜΗΤΡΗΣ</t>
  </si>
  <si>
    <t>Π257048</t>
  </si>
  <si>
    <t>895,4</t>
  </si>
  <si>
    <t>1813,4</t>
  </si>
  <si>
    <t>ΧΑΤΖΗΠΑΥΛΙΔΗΣ</t>
  </si>
  <si>
    <t>ΘΕΟΔΩΡΟΣ</t>
  </si>
  <si>
    <t>ΛΕΩΝΙΔΑΣ</t>
  </si>
  <si>
    <t>Ρ430192</t>
  </si>
  <si>
    <t>823,9</t>
  </si>
  <si>
    <t>1811,9</t>
  </si>
  <si>
    <t>ΕΥΘΥΜΙΑΔΟΥ</t>
  </si>
  <si>
    <t>ΕΥΑΓΓΕΛΙΑ</t>
  </si>
  <si>
    <t>ΙΣΑΑΚ</t>
  </si>
  <si>
    <t>ΑΒ869187</t>
  </si>
  <si>
    <t>717,2</t>
  </si>
  <si>
    <t>1805,2</t>
  </si>
  <si>
    <t>ΣΑΡΡΑΣ</t>
  </si>
  <si>
    <t>ΜΙΧΑΗΛ</t>
  </si>
  <si>
    <t>ΠΕΤΡΟΣ-ΠΑΥΛΟΣ</t>
  </si>
  <si>
    <t>ΑΕ278281</t>
  </si>
  <si>
    <t>ΙΩΑΝΝΟΥ</t>
  </si>
  <si>
    <t>ΕΥΣΤΑΘΙΑ</t>
  </si>
  <si>
    <t>ΑΚ679509</t>
  </si>
  <si>
    <t>839,3</t>
  </si>
  <si>
    <t>1797,3</t>
  </si>
  <si>
    <t>ΧΑΛΙΚΙΑ</t>
  </si>
  <si>
    <t>ΑΚ012367</t>
  </si>
  <si>
    <t>906,4</t>
  </si>
  <si>
    <t>1794,4</t>
  </si>
  <si>
    <t>ΓΙΑΜΑΣ</t>
  </si>
  <si>
    <t>ΓΙΩΡΓΟΣ</t>
  </si>
  <si>
    <t>ΑΚ647425</t>
  </si>
  <si>
    <t>773,3</t>
  </si>
  <si>
    <t>1791,3</t>
  </si>
  <si>
    <t>214-215-218-224-219-217-228-216-226-221-222</t>
  </si>
  <si>
    <t>ΦΛΩΡΗ</t>
  </si>
  <si>
    <t>ΑΙΚΑΤΕΡΙΝΗ</t>
  </si>
  <si>
    <t>ΓΕΑ85129</t>
  </si>
  <si>
    <t>872,3</t>
  </si>
  <si>
    <t>1790,3</t>
  </si>
  <si>
    <t>213-214-215-216</t>
  </si>
  <si>
    <t>ΠΑΧΗΣ</t>
  </si>
  <si>
    <t>ΝΙΚΟΛΑΟΣ</t>
  </si>
  <si>
    <t>ΑΙ753958</t>
  </si>
  <si>
    <t>867,9</t>
  </si>
  <si>
    <t>1789,9</t>
  </si>
  <si>
    <t>ΔΑΜΙΑΝΙΔΟΥ</t>
  </si>
  <si>
    <t>ΑΙΚΑΤΕΡΙΝΗ-ΕΙΡΗΝΗ</t>
  </si>
  <si>
    <t>Ρ526650</t>
  </si>
  <si>
    <t>871,2</t>
  </si>
  <si>
    <t>1789,2</t>
  </si>
  <si>
    <t>ΦΩΤΕΙΝΗ</t>
  </si>
  <si>
    <t>ΒΑΣΙΛΕΙΟΣ</t>
  </si>
  <si>
    <t>Σ728786</t>
  </si>
  <si>
    <t>215-214-216-213</t>
  </si>
  <si>
    <t>ΓΚΙΖΑ</t>
  </si>
  <si>
    <t>ΑΖ607092</t>
  </si>
  <si>
    <t>928,4</t>
  </si>
  <si>
    <t>1786,4</t>
  </si>
  <si>
    <t>ΚΑΤΣΙΑΟΥΝΟΥ</t>
  </si>
  <si>
    <t>ΑΚ970406</t>
  </si>
  <si>
    <t>ΜΠΙΛΛΙΟΣ</t>
  </si>
  <si>
    <t>ΑΜ252051</t>
  </si>
  <si>
    <t>833,8</t>
  </si>
  <si>
    <t>1781,8</t>
  </si>
  <si>
    <t>214-215-216-213</t>
  </si>
  <si>
    <t>ΛΕΒΕΝΤΗ</t>
  </si>
  <si>
    <t>ΧΡΥΣΟΥΛΑ</t>
  </si>
  <si>
    <t>ΑΙ001318</t>
  </si>
  <si>
    <t>930,6</t>
  </si>
  <si>
    <t>1776,6</t>
  </si>
  <si>
    <t>ΑΝΤΩΝΟΠΟΥΛΟΥ</t>
  </si>
  <si>
    <t>ΑΗ206534</t>
  </si>
  <si>
    <t>ΚΟΚΟΛΑΚΗ</t>
  </si>
  <si>
    <t>ΧΑΡΙΚΛΕΙΑ</t>
  </si>
  <si>
    <t>ΑΕ962100</t>
  </si>
  <si>
    <t>914,1</t>
  </si>
  <si>
    <t>1772,1</t>
  </si>
  <si>
    <t>ΡΗΓΟΠΟΥΛΟΣ</t>
  </si>
  <si>
    <t>ΑΙ399383</t>
  </si>
  <si>
    <t>878,9</t>
  </si>
  <si>
    <t>1766,9</t>
  </si>
  <si>
    <t>214-215-216</t>
  </si>
  <si>
    <t>ΜΑΜΑΗ</t>
  </si>
  <si>
    <t>ΕΛΙΣΑΒΕΤ</t>
  </si>
  <si>
    <t>ΑΕ636778</t>
  </si>
  <si>
    <t>753,5</t>
  </si>
  <si>
    <t>1761,5</t>
  </si>
  <si>
    <t>ΛΥΡΑ</t>
  </si>
  <si>
    <t>ΑΚ532713</t>
  </si>
  <si>
    <t>852,5</t>
  </si>
  <si>
    <t>1760,5</t>
  </si>
  <si>
    <t>ΜΠΡΑΧΟΥ</t>
  </si>
  <si>
    <t>ΒΑΣΙΛΙΚΗ</t>
  </si>
  <si>
    <t>ΑΕ278063</t>
  </si>
  <si>
    <t>851,4</t>
  </si>
  <si>
    <t>1759,4</t>
  </si>
  <si>
    <t>216-213-215-214</t>
  </si>
  <si>
    <t>ΤΣΙΑΜΠΑΡΛΗ</t>
  </si>
  <si>
    <t>ΑΗ697817</t>
  </si>
  <si>
    <t>ΑΡΤΙΚΗΣ</t>
  </si>
  <si>
    <t>ΠΑΝΑΓΙΩΤΗΣ</t>
  </si>
  <si>
    <t>ΑΚ804874</t>
  </si>
  <si>
    <t>806,3</t>
  </si>
  <si>
    <t>1756,3</t>
  </si>
  <si>
    <t>ΚΟΥΤΣΟΠΟΥΛΟΥ</t>
  </si>
  <si>
    <t>ΑΘΑΝΑΣΙΑ</t>
  </si>
  <si>
    <t>ΑΖ032998</t>
  </si>
  <si>
    <t>897,6</t>
  </si>
  <si>
    <t>1755,6</t>
  </si>
  <si>
    <t>215-214-213-216</t>
  </si>
  <si>
    <t>ΓΕΡΟΓΙΑΝΝΗ</t>
  </si>
  <si>
    <t>ΔΟΜΗΝΙΚΗ</t>
  </si>
  <si>
    <t>ΑΚ420253</t>
  </si>
  <si>
    <t>1755,3</t>
  </si>
  <si>
    <t>216-215-213</t>
  </si>
  <si>
    <t>ΑΝΤΩΝΑΚΟΠΟΥΛΟΥ</t>
  </si>
  <si>
    <t>ΑΕ562454</t>
  </si>
  <si>
    <t>796,4</t>
  </si>
  <si>
    <t>1754,4</t>
  </si>
  <si>
    <t>ΠΕΤΡΟΠΟΥΛΟΥ</t>
  </si>
  <si>
    <t>ΑΠΟΣΤΟΛΟΣ</t>
  </si>
  <si>
    <t>Χ271159</t>
  </si>
  <si>
    <t>855,8</t>
  </si>
  <si>
    <t>1753,8</t>
  </si>
  <si>
    <t>ΚΟΤΩΡΟΥ</t>
  </si>
  <si>
    <t>ΣΕΡΑΦΕΙΜ</t>
  </si>
  <si>
    <t>ΑΒ066970</t>
  </si>
  <si>
    <t>865,7</t>
  </si>
  <si>
    <t>1753,7</t>
  </si>
  <si>
    <t>ΚΑΡΑΓΙΑΝΝΗ</t>
  </si>
  <si>
    <t>ΑΚ967275</t>
  </si>
  <si>
    <t>742,5</t>
  </si>
  <si>
    <t>1750,5</t>
  </si>
  <si>
    <t>216-214-215</t>
  </si>
  <si>
    <t>ΣΠΥΡΙΔΟΠΟΥΛΟΥ</t>
  </si>
  <si>
    <t>ΣΟΦΙΑ</t>
  </si>
  <si>
    <t>ΠΕΡΙΚΛΗΣ</t>
  </si>
  <si>
    <t>Ξ206799</t>
  </si>
  <si>
    <t>821,7</t>
  </si>
  <si>
    <t>1749,7</t>
  </si>
  <si>
    <t>ΤΡΙΑΝΤΑΦΥΛΛΟΥ</t>
  </si>
  <si>
    <t>ΑΖ768301</t>
  </si>
  <si>
    <t>886,6</t>
  </si>
  <si>
    <t>1744,6</t>
  </si>
  <si>
    <t>ΑΓΓΕΛΙΔΟΥ</t>
  </si>
  <si>
    <t>ΧΡΥΣΗ</t>
  </si>
  <si>
    <t>ΑΔΑΜ</t>
  </si>
  <si>
    <t>Τ141913</t>
  </si>
  <si>
    <t>853,6</t>
  </si>
  <si>
    <t>1741,6</t>
  </si>
  <si>
    <t>ΠΑΠΑΝΑΓΙΩΤΟΥ</t>
  </si>
  <si>
    <t>ΒΛΑΣΙΟΣ</t>
  </si>
  <si>
    <t>ΑΗ206271</t>
  </si>
  <si>
    <t>837,1</t>
  </si>
  <si>
    <t>1741,1</t>
  </si>
  <si>
    <t>ΡΑΠΤΗ</t>
  </si>
  <si>
    <t>ΦΙΛΟΘΕΗ</t>
  </si>
  <si>
    <t>ΑΖ314469</t>
  </si>
  <si>
    <t>772,2</t>
  </si>
  <si>
    <t>1740,2</t>
  </si>
  <si>
    <t>ΒΡΥΣΑΓΩΤΗΣ</t>
  </si>
  <si>
    <t>ΑΗ567495</t>
  </si>
  <si>
    <t>ΚΟΥΡΑΣΑΝΗ</t>
  </si>
  <si>
    <t>ΑΡΓΥΡΩ</t>
  </si>
  <si>
    <t>ΕΥΣΤΡΑΤΙΟΣ</t>
  </si>
  <si>
    <t>ΑΜ933188</t>
  </si>
  <si>
    <t>819,5</t>
  </si>
  <si>
    <t>1737,5</t>
  </si>
  <si>
    <t>ΚΥΡΙΑΚΟΥ</t>
  </si>
  <si>
    <t>ΑΦΡΟΔΙΤΗ</t>
  </si>
  <si>
    <t>ΑΛΕΞΙΟΣ</t>
  </si>
  <si>
    <t>ΑΜ852293</t>
  </si>
  <si>
    <t>1732,7</t>
  </si>
  <si>
    <t>216-215-214-213</t>
  </si>
  <si>
    <t>ΓΑΒΡΑ</t>
  </si>
  <si>
    <t>ΑΙ622999</t>
  </si>
  <si>
    <t>1729,7</t>
  </si>
  <si>
    <t>ΠΕΤΑΛΑ</t>
  </si>
  <si>
    <t>ΠΑΝΑΓΙΩΤΑ</t>
  </si>
  <si>
    <t>ΑΖ064237</t>
  </si>
  <si>
    <t>841,5</t>
  </si>
  <si>
    <t>1729,5</t>
  </si>
  <si>
    <t>ΠΑΝΑΓΟΠΟΥΛΟΣ</t>
  </si>
  <si>
    <t>ΑΖ046736</t>
  </si>
  <si>
    <t>ΑΡΒΑΝΙΤΟΓΙΑΝΝΗΣ</t>
  </si>
  <si>
    <t>ΠΑΥΛΟΣ</t>
  </si>
  <si>
    <t>ΑΙ193617</t>
  </si>
  <si>
    <t>808,5</t>
  </si>
  <si>
    <t>1726,5</t>
  </si>
  <si>
    <t>ΚΟΛΛΙΑ</t>
  </si>
  <si>
    <t>ΑΕ713966</t>
  </si>
  <si>
    <t>807,4</t>
  </si>
  <si>
    <t>1725,4</t>
  </si>
  <si>
    <t>214-213-215-216</t>
  </si>
  <si>
    <t>ΖΑΡΠΑΛΑ</t>
  </si>
  <si>
    <t>ΛΑΜΠΡΙΝΗ</t>
  </si>
  <si>
    <t>ΑΙ805480</t>
  </si>
  <si>
    <t>1725,3</t>
  </si>
  <si>
    <t>ΚΩΤΣΙΔΟΥ</t>
  </si>
  <si>
    <t>ΑΒΡΑΑΜ</t>
  </si>
  <si>
    <t>ΑΙ168234</t>
  </si>
  <si>
    <t>1721,8</t>
  </si>
  <si>
    <t>ΚΑΣΤΕΛΙΑΝΟΣ</t>
  </si>
  <si>
    <t>ΕΜΜΑΝΟΥΗΛ</t>
  </si>
  <si>
    <t>ΑΗ459169</t>
  </si>
  <si>
    <t>ΣΑΦΑΡΙΚΑ</t>
  </si>
  <si>
    <t>ΑΘΗΝΑ</t>
  </si>
  <si>
    <t>ΑΖ741511</t>
  </si>
  <si>
    <t>ΣΙΑΝΟΥ</t>
  </si>
  <si>
    <t>Φ009121</t>
  </si>
  <si>
    <t>812,9</t>
  </si>
  <si>
    <t>1720,9</t>
  </si>
  <si>
    <t>ΠΙΚΟΥ</t>
  </si>
  <si>
    <t>ΑΗ737569</t>
  </si>
  <si>
    <t>832,7</t>
  </si>
  <si>
    <t>1720,7</t>
  </si>
  <si>
    <t>ΠΑΠΠΑΣ</t>
  </si>
  <si>
    <t>ΑΛΕΞΑΝΔΡΟΣ</t>
  </si>
  <si>
    <t>ΑΗ105370</t>
  </si>
  <si>
    <t>ΠΕΤΡΙΚΙΟΖΟΓΛΟΥ</t>
  </si>
  <si>
    <t>ΣΤΕΡΓΙΟΣ</t>
  </si>
  <si>
    <t>Ρ122708</t>
  </si>
  <si>
    <t>861,3</t>
  </si>
  <si>
    <t>1719,3</t>
  </si>
  <si>
    <t>ΚΑΝΕΛΛΟΣ</t>
  </si>
  <si>
    <t>Φ002445</t>
  </si>
  <si>
    <t>782,1</t>
  </si>
  <si>
    <t>1716,1</t>
  </si>
  <si>
    <t>ΓΚΟΓΚΑ</t>
  </si>
  <si>
    <t>ΜΑΤΙΝΑ</t>
  </si>
  <si>
    <t>ΑΚ536747</t>
  </si>
  <si>
    <t>756,8</t>
  </si>
  <si>
    <t>1714,8</t>
  </si>
  <si>
    <t>ΦΑΡΜΑΚΟΥΛΑ</t>
  </si>
  <si>
    <t>Χ777300</t>
  </si>
  <si>
    <t>766,7</t>
  </si>
  <si>
    <t>1714,7</t>
  </si>
  <si>
    <t>ΔΙΑΜΑΝΤΟΠΟΥΛΟΣ</t>
  </si>
  <si>
    <t>ΑΙ615112</t>
  </si>
  <si>
    <t>Σ700704</t>
  </si>
  <si>
    <t>603,9</t>
  </si>
  <si>
    <t>1708,9</t>
  </si>
  <si>
    <t>ΠΑΠΑΔΟΠΟΥΛΟΥ</t>
  </si>
  <si>
    <t>ΜΑΡΙΑΝΝΑ</t>
  </si>
  <si>
    <t>ΑΖ135428</t>
  </si>
  <si>
    <t>820,6</t>
  </si>
  <si>
    <t>1708,6</t>
  </si>
  <si>
    <t>ΓΡΑΜΜΑΤΙΚΟΠΟΥΛΟΥ</t>
  </si>
  <si>
    <t>ΠΕΤΡΟΥΛΑ</t>
  </si>
  <si>
    <t>ΑΙ393803</t>
  </si>
  <si>
    <t>799,7</t>
  </si>
  <si>
    <t>1707,7</t>
  </si>
  <si>
    <t>ΣΑΜΑΡΑΣ</t>
  </si>
  <si>
    <t>ΜΑΡΓΑΡΙΤΗΣ</t>
  </si>
  <si>
    <t>Π419028</t>
  </si>
  <si>
    <t>ΚΟΥΡΟΓΙΩΡΓΑΣ</t>
  </si>
  <si>
    <t>ΑΕ251807</t>
  </si>
  <si>
    <t>745,8</t>
  </si>
  <si>
    <t>1706,8</t>
  </si>
  <si>
    <t>ΓΙΑΝΝΑΡΟΥ</t>
  </si>
  <si>
    <t>ΛΕΥΚΟΘΕΑ</t>
  </si>
  <si>
    <t>Χ088271</t>
  </si>
  <si>
    <t>801,9</t>
  </si>
  <si>
    <t>1704,9</t>
  </si>
  <si>
    <t>ΓΚΕΚΑ</t>
  </si>
  <si>
    <t>ΑΚ712438</t>
  </si>
  <si>
    <t>ΠΑΠΑΠΡΙΛΗΣ</t>
  </si>
  <si>
    <t>ΛΑΖΑΡΟΣ</t>
  </si>
  <si>
    <t>ΑΜ707574</t>
  </si>
  <si>
    <t>735,9</t>
  </si>
  <si>
    <t>1703,9</t>
  </si>
  <si>
    <t>ΠΑΠΑΝΙΚΟΛΑΟΥ</t>
  </si>
  <si>
    <t>ΠΑΓΩΝΑ</t>
  </si>
  <si>
    <t>Χ164293</t>
  </si>
  <si>
    <t>795,3</t>
  </si>
  <si>
    <t>1703,3</t>
  </si>
  <si>
    <t>ΔΟΥΜΚΟΥ</t>
  </si>
  <si>
    <t>ΜΑΡΙΑΝΘΗ</t>
  </si>
  <si>
    <t>ΑΖ800265</t>
  </si>
  <si>
    <t>794,2</t>
  </si>
  <si>
    <t>1702,2</t>
  </si>
  <si>
    <t>ΤΡΙΑΝΤΑΦΥΛΛΙΔΟΥ</t>
  </si>
  <si>
    <t>ΜΑΡΙΝΑ</t>
  </si>
  <si>
    <t>ΑΚ115565</t>
  </si>
  <si>
    <t>ΑΠΟΣΤΟΛΟΥ</t>
  </si>
  <si>
    <t>ΤΑΜΑΡΑ</t>
  </si>
  <si>
    <t>Χ542336</t>
  </si>
  <si>
    <t>980,1</t>
  </si>
  <si>
    <t>1699,1</t>
  </si>
  <si>
    <t>ΔΙΑΜΑΝΤΗ</t>
  </si>
  <si>
    <t>ΕΥΑΝΘΙΑ</t>
  </si>
  <si>
    <t>ΘΕΟΦΙΛΟΣ</t>
  </si>
  <si>
    <t>Χ406831</t>
  </si>
  <si>
    <t>881,1</t>
  </si>
  <si>
    <t>ΔΕΡΒΕΝΗΣ</t>
  </si>
  <si>
    <t>ΑΒ421081</t>
  </si>
  <si>
    <t>ΛΙΑΚΟΠΟΥΛΟΥ</t>
  </si>
  <si>
    <t>ΑΙ286229</t>
  </si>
  <si>
    <t>214-216-213-215</t>
  </si>
  <si>
    <t>ΤΟΓΙΑ</t>
  </si>
  <si>
    <t>ΑΜ738584</t>
  </si>
  <si>
    <t>1695,4</t>
  </si>
  <si>
    <t>ΚΛΕΜΠΕΤΣΑΝΗ</t>
  </si>
  <si>
    <t>ΑΔΑΜΑΝΤΙΑ</t>
  </si>
  <si>
    <t>ΑΜ760659</t>
  </si>
  <si>
    <t>ΤΖΑΒΕΛΛΑ</t>
  </si>
  <si>
    <t>ΚΩΝΣΤΑΝΤΙΝΑ</t>
  </si>
  <si>
    <t>Σ916301</t>
  </si>
  <si>
    <t>1691,8</t>
  </si>
  <si>
    <t>ΠΑΟΥΛΙΝΟΥ</t>
  </si>
  <si>
    <t>ΑΡΤΕΜΙΣ</t>
  </si>
  <si>
    <t>ΑΜ309802</t>
  </si>
  <si>
    <t>862,4</t>
  </si>
  <si>
    <t>1690,4</t>
  </si>
  <si>
    <t>ΠΑΝΤΑΖΟΠΟΥΛΟΥ</t>
  </si>
  <si>
    <t>ΣΤΑΥΡΟΣ</t>
  </si>
  <si>
    <t>Φ126097</t>
  </si>
  <si>
    <t>1688,9</t>
  </si>
  <si>
    <t>ΑΒ778990</t>
  </si>
  <si>
    <t>1687,7</t>
  </si>
  <si>
    <t>ΚΑΤΣΙΟΥΛΗΣ</t>
  </si>
  <si>
    <t>ΤΙΜΟΛΕΩΝ</t>
  </si>
  <si>
    <t>ΑΒ555287</t>
  </si>
  <si>
    <t>1687,5</t>
  </si>
  <si>
    <t>ΣΤΡΑΤΟΓΙΑΝΝΗ</t>
  </si>
  <si>
    <t>Σ810376</t>
  </si>
  <si>
    <t>877,8</t>
  </si>
  <si>
    <t>1686,8</t>
  </si>
  <si>
    <t>ΚΑΡΑΝΙΚΟΛΑΣ</t>
  </si>
  <si>
    <t>ΑΖ529070</t>
  </si>
  <si>
    <t>ΚΟΚΚΩΝΗ</t>
  </si>
  <si>
    <t>ΑΚ013551</t>
  </si>
  <si>
    <t>826,1</t>
  </si>
  <si>
    <t>1684,1</t>
  </si>
  <si>
    <t>ΖΑΓΟΡΙΣΙΟΥ</t>
  </si>
  <si>
    <t>ΑΓΓΕΛΙΚΗ</t>
  </si>
  <si>
    <t>ΔΙΑΜΑΝΤΗΣ</t>
  </si>
  <si>
    <t>Χ362037</t>
  </si>
  <si>
    <t>1682,4</t>
  </si>
  <si>
    <t>201-202-203-204-205-206-207-208-209-210-211-212-213-214-215-216</t>
  </si>
  <si>
    <t>ΨΥΧΑ</t>
  </si>
  <si>
    <t>ΑΙ305877</t>
  </si>
  <si>
    <t>894,3</t>
  </si>
  <si>
    <t>1682,3</t>
  </si>
  <si>
    <t>ΚΩΣΤΟΥΛΑ</t>
  </si>
  <si>
    <t>ΑΛΚΙΣ ΝΙΚΟΛΑΟΣ</t>
  </si>
  <si>
    <t>Σ241261</t>
  </si>
  <si>
    <t>694,1</t>
  </si>
  <si>
    <t>1682,1</t>
  </si>
  <si>
    <t>ΕΛΕΥΘΕΡΙΟΣ</t>
  </si>
  <si>
    <t>Φ195061</t>
  </si>
  <si>
    <t>830,5</t>
  </si>
  <si>
    <t>1681,5</t>
  </si>
  <si>
    <t>ΝΑΤΣΗ</t>
  </si>
  <si>
    <t>ΘΕΟΔΩΡΑ</t>
  </si>
  <si>
    <t>ΑΗ075896</t>
  </si>
  <si>
    <t>1680,5</t>
  </si>
  <si>
    <t>ΗΛΙΟΠΟΥΛΟΥ</t>
  </si>
  <si>
    <t>ΕΥΤΥΧΙΑ</t>
  </si>
  <si>
    <t>Ρ101988</t>
  </si>
  <si>
    <t>1680,2</t>
  </si>
  <si>
    <t>ΚΥΡΙΤΣΗ</t>
  </si>
  <si>
    <t>ΑΗ360895</t>
  </si>
  <si>
    <t>ΓΚΑΝΑ</t>
  </si>
  <si>
    <t>ΑΝΔΡΟΜΑΧΗ</t>
  </si>
  <si>
    <t>ΑΚ411506</t>
  </si>
  <si>
    <t>790,9</t>
  </si>
  <si>
    <t>1678,9</t>
  </si>
  <si>
    <t>ΜΑΚΙΟΥ</t>
  </si>
  <si>
    <t>ΑΒ591423</t>
  </si>
  <si>
    <t>1677,5</t>
  </si>
  <si>
    <t>ΚΙΤΟΥ</t>
  </si>
  <si>
    <t>ΑΙΝΤΑ</t>
  </si>
  <si>
    <t>ΑΚ637070</t>
  </si>
  <si>
    <t>749,1</t>
  </si>
  <si>
    <t>1677,1</t>
  </si>
  <si>
    <t>ΣΤΥΛΙΑΔΗ</t>
  </si>
  <si>
    <t>ΣΤΥΛΙΑΝΗ</t>
  </si>
  <si>
    <t>ΑΗ708770</t>
  </si>
  <si>
    <t>845,9</t>
  </si>
  <si>
    <t>1676,9</t>
  </si>
  <si>
    <t>ΚΟΥΤΣΟΓΙΑΝΝΟΠΟΥΛΟΥ</t>
  </si>
  <si>
    <t>ΝΙΚΟΛΙΤΣΑ</t>
  </si>
  <si>
    <t>Χ302929</t>
  </si>
  <si>
    <t>ΣΩΠΑΣΗ</t>
  </si>
  <si>
    <t>ΑΕ967777</t>
  </si>
  <si>
    <t>767,8</t>
  </si>
  <si>
    <t>1675,8</t>
  </si>
  <si>
    <t>ΜΟΥΤΣΟΠΟΥΛΟΥ</t>
  </si>
  <si>
    <t>ΕΥΓΕΝΙΑ</t>
  </si>
  <si>
    <t>ΠΑΝΤΕΛΗΣ</t>
  </si>
  <si>
    <t>Φ355065</t>
  </si>
  <si>
    <t>787,6</t>
  </si>
  <si>
    <t>1675,6</t>
  </si>
  <si>
    <t>ΦΟΥΤΡΗΣ</t>
  </si>
  <si>
    <t>ΑΚ835114</t>
  </si>
  <si>
    <t>1674,5</t>
  </si>
  <si>
    <t>213-216-215-214</t>
  </si>
  <si>
    <t>ΣΕΙΝΤΗ</t>
  </si>
  <si>
    <t>ΦΙΛΙΠΠΟΣ</t>
  </si>
  <si>
    <t>ΑΖ538313</t>
  </si>
  <si>
    <t>1673,9</t>
  </si>
  <si>
    <t>ΛΑΧΑΝΑ</t>
  </si>
  <si>
    <t>Χ064089</t>
  </si>
  <si>
    <t>785,4</t>
  </si>
  <si>
    <t>1673,4</t>
  </si>
  <si>
    <t>ΒΟΥΤΣΗ</t>
  </si>
  <si>
    <t>ΑΕ070661</t>
  </si>
  <si>
    <t>804,1</t>
  </si>
  <si>
    <t>1672,1</t>
  </si>
  <si>
    <t>ΤΣΑΛΟΥΧΙΔΗΣ</t>
  </si>
  <si>
    <t>ΑΝΕΣΤΗΣ</t>
  </si>
  <si>
    <t>ΑΗ711667</t>
  </si>
  <si>
    <t>712,8</t>
  </si>
  <si>
    <t>1670,8</t>
  </si>
  <si>
    <t>ΧΑΣΙΚΙΔΗ</t>
  </si>
  <si>
    <t>ΕΙΡΗΝΗ - ΦΩΤΕΙΝΗ</t>
  </si>
  <si>
    <t>Τ383916</t>
  </si>
  <si>
    <t>ΠΡΟΥΤΖΟΣ</t>
  </si>
  <si>
    <t>Ρ780855</t>
  </si>
  <si>
    <t>811,8</t>
  </si>
  <si>
    <t>1669,8</t>
  </si>
  <si>
    <t>ΜΥΤΑΥΤΣΗ</t>
  </si>
  <si>
    <t>ΔΗΜΗΤΡΑ ΟΛΥΜΠΙΑ</t>
  </si>
  <si>
    <t>ΑΚ136632</t>
  </si>
  <si>
    <t>711,7</t>
  </si>
  <si>
    <t>1669,7</t>
  </si>
  <si>
    <t>ΡΙΖΟΥ</t>
  </si>
  <si>
    <t>ΜΑΤΘΙΛΔΗ</t>
  </si>
  <si>
    <t>ΑΙ874233</t>
  </si>
  <si>
    <t>731,5</t>
  </si>
  <si>
    <t>1669,5</t>
  </si>
  <si>
    <t>203-209-211-210-206-205-207-208-202-214-215</t>
  </si>
  <si>
    <t>ΠΑΝΤΕΛΙΔΗΣ</t>
  </si>
  <si>
    <t>ΑΕ828909</t>
  </si>
  <si>
    <t>1669,3</t>
  </si>
  <si>
    <t>ΚΟΘΑΛΗ</t>
  </si>
  <si>
    <t>ΜΑΡΚΕΛΛΑ</t>
  </si>
  <si>
    <t>ΑΕ765481</t>
  </si>
  <si>
    <t>761,2</t>
  </si>
  <si>
    <t>1669,2</t>
  </si>
  <si>
    <t>ΔΕΧΟΥΝΙΩΤΗ</t>
  </si>
  <si>
    <t>ΑΚ100960</t>
  </si>
  <si>
    <t>1666,5</t>
  </si>
  <si>
    <t>ΒΕΛΗ</t>
  </si>
  <si>
    <t>ΑΚ235911</t>
  </si>
  <si>
    <t>859,1</t>
  </si>
  <si>
    <t>1666,1</t>
  </si>
  <si>
    <t>Τ350806</t>
  </si>
  <si>
    <t>1663,8</t>
  </si>
  <si>
    <t>ΣΠΑΝΑΚΗΣ</t>
  </si>
  <si>
    <t>ΑΒ201567</t>
  </si>
  <si>
    <t>776,6</t>
  </si>
  <si>
    <t>1663,6</t>
  </si>
  <si>
    <t>ΚΑΡΑΚΙΤΣΟΣ</t>
  </si>
  <si>
    <t>ΑΜ547147</t>
  </si>
  <si>
    <t>1660,2</t>
  </si>
  <si>
    <t>ΠΑΠΑΤΣΙΜΠΑΣ</t>
  </si>
  <si>
    <t>ΑΑ380542</t>
  </si>
  <si>
    <t>892,1</t>
  </si>
  <si>
    <t>1660,1</t>
  </si>
  <si>
    <t>215-213-216-214</t>
  </si>
  <si>
    <t>ΤΑΤΣΗ</t>
  </si>
  <si>
    <t>ΙΩΑΝΝΑ</t>
  </si>
  <si>
    <t>ΑΚ022510</t>
  </si>
  <si>
    <t>800,8</t>
  </si>
  <si>
    <t>1658,8</t>
  </si>
  <si>
    <t>ΔΡΙΒΑ</t>
  </si>
  <si>
    <t>ΒΑΙΑ</t>
  </si>
  <si>
    <t>ΑΜ302793</t>
  </si>
  <si>
    <t>213-214-216-215</t>
  </si>
  <si>
    <t>ΚΕΣΣΟΠΟΥΛΟΥ</t>
  </si>
  <si>
    <t>ΑΖ682390</t>
  </si>
  <si>
    <t>752,4</t>
  </si>
  <si>
    <t>1658,4</t>
  </si>
  <si>
    <t>216-213-215</t>
  </si>
  <si>
    <t>ΜΟΣΧΟΠΟΥΛΟΣ</t>
  </si>
  <si>
    <t>ΑΚ028360</t>
  </si>
  <si>
    <t>650,1</t>
  </si>
  <si>
    <t>1658,1</t>
  </si>
  <si>
    <t>ΔΡΑΓΩΤΑ</t>
  </si>
  <si>
    <t>ΑΝΔΡΟΝΙΚΗ</t>
  </si>
  <si>
    <t>ΑΗ542863</t>
  </si>
  <si>
    <t>ΑΝΔΡΙΟΠΟΥΛΟΥ</t>
  </si>
  <si>
    <t>919,6</t>
  </si>
  <si>
    <t>1657,6</t>
  </si>
  <si>
    <t>ΚΟΝΤΟΠΟΥΛΟΥ</t>
  </si>
  <si>
    <t>ΦΑΝΗ</t>
  </si>
  <si>
    <t>ΑΙ152852</t>
  </si>
  <si>
    <t>ΣΚΑΛΚΩΤΟΥ</t>
  </si>
  <si>
    <t>ΑΜ010382</t>
  </si>
  <si>
    <t>788,7</t>
  </si>
  <si>
    <t>1656,7</t>
  </si>
  <si>
    <t>ΔΕΛΑΤΟΛΑ</t>
  </si>
  <si>
    <t>ΕΛΙΣΣΑΒΕΤ</t>
  </si>
  <si>
    <t>ΜΑΡΙΟΣ</t>
  </si>
  <si>
    <t>ΑΝ034077</t>
  </si>
  <si>
    <t>818,4</t>
  </si>
  <si>
    <t>1656,4</t>
  </si>
  <si>
    <t>ΤΣΙΟΥΤΡΑ</t>
  </si>
  <si>
    <t>ΑΜ369577</t>
  </si>
  <si>
    <t>1655,8</t>
  </si>
  <si>
    <t>ΛΟΥΛΟΥΔΗ</t>
  </si>
  <si>
    <t>ΑΗ464971</t>
  </si>
  <si>
    <t>1654,4</t>
  </si>
  <si>
    <t>ΚΟΝΣΟΛΑΚΗ</t>
  </si>
  <si>
    <t>ΑΗ960916</t>
  </si>
  <si>
    <t>ΕΥΣΤΡΑΤΙΟΥ</t>
  </si>
  <si>
    <t>ΑΖ401997</t>
  </si>
  <si>
    <t>ΜΑΣΤΡΟΓΙΑΝΝΗΣ</t>
  </si>
  <si>
    <t>ΦΩΤΙΟΣ</t>
  </si>
  <si>
    <t>ΑΖ600603</t>
  </si>
  <si>
    <t>1653,3</t>
  </si>
  <si>
    <t>ΚΑΡΦΑΚΗ</t>
  </si>
  <si>
    <t>ΚΟΣΜΑΣ</t>
  </si>
  <si>
    <t>ΑΜ731149</t>
  </si>
  <si>
    <t>827,2</t>
  </si>
  <si>
    <t>1653,2</t>
  </si>
  <si>
    <t>ΦΟΥΝΤΑ</t>
  </si>
  <si>
    <t>ΗΛΙΑΝΑ</t>
  </si>
  <si>
    <t>ΑΕ989562</t>
  </si>
  <si>
    <t>734,8</t>
  </si>
  <si>
    <t>1652,8</t>
  </si>
  <si>
    <t>ΑΚ513356</t>
  </si>
  <si>
    <t>1652,2</t>
  </si>
  <si>
    <t>ΚΑΛΜΑΝΙΔΟΥ</t>
  </si>
  <si>
    <t>ΑΛΕΞΑΝΔΡΑ</t>
  </si>
  <si>
    <t>ΡΗΓΑΣ</t>
  </si>
  <si>
    <t>Π682598</t>
  </si>
  <si>
    <t>ΒΕΡΓΑ</t>
  </si>
  <si>
    <t>Χ425177</t>
  </si>
  <si>
    <t>ΝΙΚΟΛΑΙΔΟΥ</t>
  </si>
  <si>
    <t>ΑΚ657925</t>
  </si>
  <si>
    <t>1651,8</t>
  </si>
  <si>
    <t>ΘΩΜΑΚΗΣ</t>
  </si>
  <si>
    <t>ΖΑΦΕΙΡΙΟΣ</t>
  </si>
  <si>
    <t>Σ495933</t>
  </si>
  <si>
    <t>ΣΚΛΑΠΑΝΗΣ</t>
  </si>
  <si>
    <t>ΛΑΜΠΡΟΣ</t>
  </si>
  <si>
    <t>Π602882</t>
  </si>
  <si>
    <t>ΒΛΑΧΟΥ</t>
  </si>
  <si>
    <t>ΝΙΚΟΛΕΤΑ</t>
  </si>
  <si>
    <t>Χ096616</t>
  </si>
  <si>
    <t>730,4</t>
  </si>
  <si>
    <t>1648,4</t>
  </si>
  <si>
    <t>216-213-214-215</t>
  </si>
  <si>
    <t>ΚΟΡΡΕΣ</t>
  </si>
  <si>
    <t>ΑΒ008399</t>
  </si>
  <si>
    <t>ΚΟΠΑΝΑΚΗ</t>
  </si>
  <si>
    <t>ΑΕ966951</t>
  </si>
  <si>
    <t>1647,8</t>
  </si>
  <si>
    <t xml:space="preserve">Κανελλοπουλου </t>
  </si>
  <si>
    <t>Ιωαννα</t>
  </si>
  <si>
    <t xml:space="preserve">θεοδωρος </t>
  </si>
  <si>
    <t>ΑΕ225330</t>
  </si>
  <si>
    <t>778,8</t>
  </si>
  <si>
    <t>1646,8</t>
  </si>
  <si>
    <t>ΤΡΙΑΝΤΟΥ</t>
  </si>
  <si>
    <t>ΑΙ007789</t>
  </si>
  <si>
    <t>1645,9</t>
  </si>
  <si>
    <t>ΧΑΤΖΗ</t>
  </si>
  <si>
    <t>ΑΛΚΙΒΙΑΔΗΣ</t>
  </si>
  <si>
    <t>ΑΙ034718</t>
  </si>
  <si>
    <t>786,5</t>
  </si>
  <si>
    <t>1644,5</t>
  </si>
  <si>
    <t>ΤΣΑΚΑΛΟΣ</t>
  </si>
  <si>
    <t>Μ039420</t>
  </si>
  <si>
    <t>1644,3</t>
  </si>
  <si>
    <t>ΠΑΠΑΔΟΠΟΥΛΟΣ</t>
  </si>
  <si>
    <t>ΕΥΘΥΜΙΟΣ</t>
  </si>
  <si>
    <t>ΑΗ556875</t>
  </si>
  <si>
    <t>ΚΑΤΣΑΟΥΝΟΥ</t>
  </si>
  <si>
    <t>ΛΑΜΠΡΑΚΗΣ</t>
  </si>
  <si>
    <t>Μ808096</t>
  </si>
  <si>
    <t>981,2</t>
  </si>
  <si>
    <t>1643,2</t>
  </si>
  <si>
    <t>213-215-216-214</t>
  </si>
  <si>
    <t>ΓΚΕΖΕΡΛΗ</t>
  </si>
  <si>
    <t>ΑΒ785500</t>
  </si>
  <si>
    <t>724,9</t>
  </si>
  <si>
    <t>1642,9</t>
  </si>
  <si>
    <t>ΛΑΛΟΥΔΑΚΗΣ</t>
  </si>
  <si>
    <t>ΚΛΕΑΝΘΗΣ</t>
  </si>
  <si>
    <t>ΑΗ587143</t>
  </si>
  <si>
    <t>783,2</t>
  </si>
  <si>
    <t>1641,2</t>
  </si>
  <si>
    <t>ΦΕΡΕΝΤΙΝΟΣ</t>
  </si>
  <si>
    <t>ΠΑΡΜΕΝΙΩΝ</t>
  </si>
  <si>
    <t>ΑΚ591637</t>
  </si>
  <si>
    <t>779,9</t>
  </si>
  <si>
    <t>1637,9</t>
  </si>
  <si>
    <t>ΠΑΤΣΙΟΥ</t>
  </si>
  <si>
    <t>ΑΚ025798</t>
  </si>
  <si>
    <t>ΤΑΡΝΑΡΗΣ</t>
  </si>
  <si>
    <t>ΑΚ341354</t>
  </si>
  <si>
    <t>ΑΝΑΣΤΑΣΙΟΥ</t>
  </si>
  <si>
    <t>ΑΚ974711</t>
  </si>
  <si>
    <t>1636,8</t>
  </si>
  <si>
    <t>ΜΠΟΤΗ</t>
  </si>
  <si>
    <t>ΑΗ189552</t>
  </si>
  <si>
    <t>ΓΕΩΡΓΙΑΔΟΥ</t>
  </si>
  <si>
    <t>Ρ971345</t>
  </si>
  <si>
    <t>910,8</t>
  </si>
  <si>
    <t>1635,8</t>
  </si>
  <si>
    <t>ΞΥΝΟΣ</t>
  </si>
  <si>
    <t>ΑΕ083349</t>
  </si>
  <si>
    <t>1635,2</t>
  </si>
  <si>
    <t>ΣΥΡΙΑΝΟΓΛΟΥ</t>
  </si>
  <si>
    <t>ΑΙ472631</t>
  </si>
  <si>
    <t>816,2</t>
  </si>
  <si>
    <t>1634,2</t>
  </si>
  <si>
    <t>ΖΟΥΛΙΑ</t>
  </si>
  <si>
    <t>ΚΑΛΛΙΟΠΗ</t>
  </si>
  <si>
    <t>ΑΖ127826</t>
  </si>
  <si>
    <t>1633,9</t>
  </si>
  <si>
    <t>ΤΣΙΑΝΤΗ</t>
  </si>
  <si>
    <t>ΑΗ520576</t>
  </si>
  <si>
    <t>1633,8</t>
  </si>
  <si>
    <t>ΔΙΟΝΥΣΟΠΟΥΛΟΥ</t>
  </si>
  <si>
    <t>Χ006367</t>
  </si>
  <si>
    <t>1633,3</t>
  </si>
  <si>
    <t>ΜΗΤΣΑΚΟΥ</t>
  </si>
  <si>
    <t>ΑΙ329417</t>
  </si>
  <si>
    <t>744,7</t>
  </si>
  <si>
    <t>1632,7</t>
  </si>
  <si>
    <t>ΤΖΕΒΕΛΕΚΑ</t>
  </si>
  <si>
    <t>ΑΙ210942</t>
  </si>
  <si>
    <t>774,4</t>
  </si>
  <si>
    <t>1632,4</t>
  </si>
  <si>
    <t>ΦΥΤΟΠΟΥΛΟΥ</t>
  </si>
  <si>
    <t>ΑΖ821289</t>
  </si>
  <si>
    <t>ΚΟΝΤΟΣ</t>
  </si>
  <si>
    <t>ΓΕΡΑΣΙΜΟΣ</t>
  </si>
  <si>
    <t>ΑΖ963231</t>
  </si>
  <si>
    <t>1631,4</t>
  </si>
  <si>
    <t>ΚΟΤΣΑΜΑΝΙΔΟΥ</t>
  </si>
  <si>
    <t>Χ422077</t>
  </si>
  <si>
    <t>1631,1</t>
  </si>
  <si>
    <t>ΑΝΔΡΙΤΣΟΥ</t>
  </si>
  <si>
    <t>ΑΖ536919</t>
  </si>
  <si>
    <t>763,4</t>
  </si>
  <si>
    <t>1630,4</t>
  </si>
  <si>
    <t>ΚΙΤΣΟΠΟΥΛΟΥ</t>
  </si>
  <si>
    <t>Σ503428</t>
  </si>
  <si>
    <t>ΠΟΛΙΤΗΣ</t>
  </si>
  <si>
    <t>ΑΜ118879</t>
  </si>
  <si>
    <t>Μαυρουδή</t>
  </si>
  <si>
    <t>Πασχαλίνα</t>
  </si>
  <si>
    <t>ΑΚ870746</t>
  </si>
  <si>
    <t>ΖΕΥΛΗ</t>
  </si>
  <si>
    <t>ΑΙ634177</t>
  </si>
  <si>
    <t>Ρ348067</t>
  </si>
  <si>
    <t>809,6</t>
  </si>
  <si>
    <t>1627,6</t>
  </si>
  <si>
    <t>ΚΑΥΚΟΥΛΑ</t>
  </si>
  <si>
    <t>ΑΕ017062</t>
  </si>
  <si>
    <t>719,4</t>
  </si>
  <si>
    <t>1627,4</t>
  </si>
  <si>
    <t>ΣΟΛΩΜΟΣ</t>
  </si>
  <si>
    <t>ΑΚ967345</t>
  </si>
  <si>
    <t>713,9</t>
  </si>
  <si>
    <t>1625,9</t>
  </si>
  <si>
    <t>Τσονόπουλος</t>
  </si>
  <si>
    <t>Παναγιώτης</t>
  </si>
  <si>
    <t>Νικόλαος</t>
  </si>
  <si>
    <t>ΑΚ553286</t>
  </si>
  <si>
    <t>1624,7</t>
  </si>
  <si>
    <t>ΔΑΠΗ</t>
  </si>
  <si>
    <t>Χ472809</t>
  </si>
  <si>
    <t>1624,6</t>
  </si>
  <si>
    <t>216-215-214</t>
  </si>
  <si>
    <t>ΚΟΛΛΥΡΟΠΟΥΛΟΥ</t>
  </si>
  <si>
    <t>ΑΕ709223</t>
  </si>
  <si>
    <t>1623,9</t>
  </si>
  <si>
    <t>213-201</t>
  </si>
  <si>
    <t>ΧΑΤΖΟΠΟΥΛΟΥ</t>
  </si>
  <si>
    <t>ΑΗ778719</t>
  </si>
  <si>
    <t>765,6</t>
  </si>
  <si>
    <t>1623,6</t>
  </si>
  <si>
    <t>ΣΙΑΚΚΑ</t>
  </si>
  <si>
    <t>ΑΖ557397</t>
  </si>
  <si>
    <t>ΛΟΞΟΥ</t>
  </si>
  <si>
    <t>ΙΩΑΝΝΑ-ΦΩΤΕΙΝΗ</t>
  </si>
  <si>
    <t>Φ116192</t>
  </si>
  <si>
    <t>1622,9</t>
  </si>
  <si>
    <t>ΣΠΙΝΘΑΚΗΣ</t>
  </si>
  <si>
    <t>ΕΥΑΓΓΕΛΟΣ - ΕΥΤΥΧΙΟΣ</t>
  </si>
  <si>
    <t>ΑΙ954130</t>
  </si>
  <si>
    <t>733,7</t>
  </si>
  <si>
    <t>1621,7</t>
  </si>
  <si>
    <t>ΚΥΦΩΝΙΔΟΥ</t>
  </si>
  <si>
    <t>ΧΑΡΑΛΑΜΠΟΣ</t>
  </si>
  <si>
    <t>ΑΕ613871</t>
  </si>
  <si>
    <t>1621,4</t>
  </si>
  <si>
    <t>ΧΙΩΛΟΣ</t>
  </si>
  <si>
    <t>ΘΩΜΑΣ</t>
  </si>
  <si>
    <t>ΑΖ132289</t>
  </si>
  <si>
    <t>ΑΓΓΕΛΗ</t>
  </si>
  <si>
    <t>ΕΥΑΓΓΕΛΟΥ</t>
  </si>
  <si>
    <t>Χ537961</t>
  </si>
  <si>
    <t>1619,9</t>
  </si>
  <si>
    <t>215-214-216</t>
  </si>
  <si>
    <t>ΖΟΥΖΟΥΛΗΣ</t>
  </si>
  <si>
    <t>Σ247441</t>
  </si>
  <si>
    <t>1619,3</t>
  </si>
  <si>
    <t>215-214-213</t>
  </si>
  <si>
    <t>ΑΡΒΑΝΙΤΗ</t>
  </si>
  <si>
    <t>ΒΑΣΙΛΕΙΑ</t>
  </si>
  <si>
    <t>ΑΜ293014</t>
  </si>
  <si>
    <t>815,1</t>
  </si>
  <si>
    <t>1618,1</t>
  </si>
  <si>
    <t>ΑΠΟΣΤΟΛΟΠΟΥΛΟΥ</t>
  </si>
  <si>
    <t>ΑΙ208080</t>
  </si>
  <si>
    <t>760,1</t>
  </si>
  <si>
    <t>213-216-214-215</t>
  </si>
  <si>
    <t>ΑΡΑΒΟΣΙΤΑΣ</t>
  </si>
  <si>
    <t>ΑΗ628041</t>
  </si>
  <si>
    <t>ΓΑΒΡΙΗΛ</t>
  </si>
  <si>
    <t>Τ394525</t>
  </si>
  <si>
    <t>1617,7</t>
  </si>
  <si>
    <t>216-215</t>
  </si>
  <si>
    <t>ΑΔΑΜΟΥ</t>
  </si>
  <si>
    <t>Φ469376</t>
  </si>
  <si>
    <t>1616,4</t>
  </si>
  <si>
    <t>ΣΟΥΓΛΑ</t>
  </si>
  <si>
    <t>ΑΝΤΩΝΙΑ</t>
  </si>
  <si>
    <t>Φ209536</t>
  </si>
  <si>
    <t>1615,9</t>
  </si>
  <si>
    <t>ΦΡΑΓΚΟΥ</t>
  </si>
  <si>
    <t>ΒΑΣΙΛΙΚΗ  ΕΛΕΥΘΕΡΙΑ</t>
  </si>
  <si>
    <t>Χ937369</t>
  </si>
  <si>
    <t>721,6</t>
  </si>
  <si>
    <t>1615,6</t>
  </si>
  <si>
    <t>ΛΑΖΟΣ</t>
  </si>
  <si>
    <t>ΑΜ182472</t>
  </si>
  <si>
    <t>1615,2</t>
  </si>
  <si>
    <t>ΣΤΟΥΚΑΣ</t>
  </si>
  <si>
    <t>Ρ686669</t>
  </si>
  <si>
    <t>1614,6</t>
  </si>
  <si>
    <t>ΖΑΧΟΥ</t>
  </si>
  <si>
    <t>ΑΖ767690</t>
  </si>
  <si>
    <t>1614,4</t>
  </si>
  <si>
    <t>214-216-215-213</t>
  </si>
  <si>
    <t>ΣΤΕΡΓΙΟΥ</t>
  </si>
  <si>
    <t>ΑΧΙΛΛΕΑΣ</t>
  </si>
  <si>
    <t>ΑΙ333494</t>
  </si>
  <si>
    <t>696,3</t>
  </si>
  <si>
    <t>1614,3</t>
  </si>
  <si>
    <t>ΙΣΙΔΩΡΟΥ</t>
  </si>
  <si>
    <t>ΑΚ136708</t>
  </si>
  <si>
    <t>1611,5</t>
  </si>
  <si>
    <t>ΣΑΛΑΤΑΣ</t>
  </si>
  <si>
    <t>ΑΕ257225</t>
  </si>
  <si>
    <t>1611,3</t>
  </si>
  <si>
    <t>213-214</t>
  </si>
  <si>
    <t>ΤΖΙΚΑΣ</t>
  </si>
  <si>
    <t>ΑΕ795070</t>
  </si>
  <si>
    <t>ΖΑΡΚΑΛΗ</t>
  </si>
  <si>
    <t>ΑΗ242794</t>
  </si>
  <si>
    <t>ΚΑΜΑΓΙΑΝΝΗ</t>
  </si>
  <si>
    <t>ΔΡΟΣΙΑ</t>
  </si>
  <si>
    <t>ΑΚ437682</t>
  </si>
  <si>
    <t>701,8</t>
  </si>
  <si>
    <t>1607,8</t>
  </si>
  <si>
    <t>ΒΕΝΙΖΕΛΟΣ</t>
  </si>
  <si>
    <t>ΑΖ763085</t>
  </si>
  <si>
    <t>718,3</t>
  </si>
  <si>
    <t>1606,3</t>
  </si>
  <si>
    <t>ΛΑΖΑΡΙΔΗ</t>
  </si>
  <si>
    <t>ΑΑ314165</t>
  </si>
  <si>
    <t>1605,9</t>
  </si>
  <si>
    <t>ΜΠΑΤΡΑΚΟΥΛΗ</t>
  </si>
  <si>
    <t>ΑΜ370203</t>
  </si>
  <si>
    <t>768,9</t>
  </si>
  <si>
    <t>ΑΓΚΟΤΗ</t>
  </si>
  <si>
    <t>ΣΤΑΜΑΤΙΚΗ</t>
  </si>
  <si>
    <t>ΑΒ756365</t>
  </si>
  <si>
    <t>1603,8</t>
  </si>
  <si>
    <t>ΝΤΟΥΦΑ</t>
  </si>
  <si>
    <t>ΑΗ765109</t>
  </si>
  <si>
    <t>ΜΑΛΑΝΔΡΑΚΗΣ</t>
  </si>
  <si>
    <t>ΑΗ470745</t>
  </si>
  <si>
    <t>ΓΙΤΣΑ</t>
  </si>
  <si>
    <t>ΣΠΥΡΙΔΟΥΛΑ</t>
  </si>
  <si>
    <t>Π751878</t>
  </si>
  <si>
    <t>1601,7</t>
  </si>
  <si>
    <t>ΑΝΤΩΝΑΚΑΚΗΣ</t>
  </si>
  <si>
    <t>ΜΑΝΩΛΗΣ</t>
  </si>
  <si>
    <t>ΑΜ374252</t>
  </si>
  <si>
    <t>1600,8</t>
  </si>
  <si>
    <t>ΛΕΒΕΝΤΗΣ</t>
  </si>
  <si>
    <t>ΑΕ791046</t>
  </si>
  <si>
    <t>740,3</t>
  </si>
  <si>
    <t>1598,3</t>
  </si>
  <si>
    <t>ΚΩΣΤΑ</t>
  </si>
  <si>
    <t>ΜΙΡΕΛΑ</t>
  </si>
  <si>
    <t>ΑΛΕΞΗΣ</t>
  </si>
  <si>
    <t>ΑΙ039186</t>
  </si>
  <si>
    <t>ΓΡΗΓΟΡΙΑΔΗ</t>
  </si>
  <si>
    <t>ΚΟΝΤΗ</t>
  </si>
  <si>
    <t>Φ233028</t>
  </si>
  <si>
    <t>831,6</t>
  </si>
  <si>
    <t>1597,6</t>
  </si>
  <si>
    <t>ΠΑΠΠΑ</t>
  </si>
  <si>
    <t>ΑΚ005545</t>
  </si>
  <si>
    <t>1597,5</t>
  </si>
  <si>
    <t>ΜΠΕΚΡΗ</t>
  </si>
  <si>
    <t>ΤΑΣΙΑ</t>
  </si>
  <si>
    <t>Χ154479</t>
  </si>
  <si>
    <t>ΑΛΕΞΑΝΔΡΟΥ</t>
  </si>
  <si>
    <t>ΑΜ811399</t>
  </si>
  <si>
    <t>1596,8</t>
  </si>
  <si>
    <t>ΤΖΙΑΛΛΑ</t>
  </si>
  <si>
    <t>ΑΙ808110</t>
  </si>
  <si>
    <t>977,9</t>
  </si>
  <si>
    <t>1595,9</t>
  </si>
  <si>
    <t>213-216-215</t>
  </si>
  <si>
    <t>ΖΑΡΧΑΝΗ</t>
  </si>
  <si>
    <t>ΕΥΑΓΓΕΛΙΑ  ΜΑΡΙΑ</t>
  </si>
  <si>
    <t>ΑΙ581830</t>
  </si>
  <si>
    <t>751,3</t>
  </si>
  <si>
    <t>1595,3</t>
  </si>
  <si>
    <t>ΙΩΑΝΝΙΔΗ</t>
  </si>
  <si>
    <t>ΦΙΛΙΑ</t>
  </si>
  <si>
    <t>ΦΡΙΞΟΣ</t>
  </si>
  <si>
    <t>ΑΕ956544</t>
  </si>
  <si>
    <t>1594,4</t>
  </si>
  <si>
    <t>ΕΥΑΓΓΕΛΟΠΟΥΛΟΣ</t>
  </si>
  <si>
    <t>ΠΟΛΥΧΡΟΝΗΣ</t>
  </si>
  <si>
    <t>ΑΙ318395</t>
  </si>
  <si>
    <t>754,6</t>
  </si>
  <si>
    <t>1593,6</t>
  </si>
  <si>
    <t>ΤΣΕΧΕΛΙΔΗΣ</t>
  </si>
  <si>
    <t>ΑΚ995977</t>
  </si>
  <si>
    <t>ΔΑΜΟΥ</t>
  </si>
  <si>
    <t>ΠΟΛΥΞΕΝΗ</t>
  </si>
  <si>
    <t>ΑΙ003748</t>
  </si>
  <si>
    <t>1591,9</t>
  </si>
  <si>
    <t>ΦΕΡΤΗΣ</t>
  </si>
  <si>
    <t>Π387772</t>
  </si>
  <si>
    <t>1589,5</t>
  </si>
  <si>
    <t>ΤΣΑΧΟΥΡΙΔΟΥ</t>
  </si>
  <si>
    <t>ΑΚ945538</t>
  </si>
  <si>
    <t>1588,2</t>
  </si>
  <si>
    <t>ΜΥΛΩΝΑ</t>
  </si>
  <si>
    <t>Ξ101138</t>
  </si>
  <si>
    <t>727,1</t>
  </si>
  <si>
    <t>1585,1</t>
  </si>
  <si>
    <t>ΑΜΑΛΙΑ</t>
  </si>
  <si>
    <t>ΟΔΥΣΣΕΑΣ</t>
  </si>
  <si>
    <t>Φ218975</t>
  </si>
  <si>
    <t>ΓΚΑΝΙΔΟΥ</t>
  </si>
  <si>
    <t>ΑΗ576050</t>
  </si>
  <si>
    <t>722,7</t>
  </si>
  <si>
    <t>1583,7</t>
  </si>
  <si>
    <t>ΒΑΡΟΥΤΑΚΗ</t>
  </si>
  <si>
    <t>ΒΕΝΕΤΙΑ</t>
  </si>
  <si>
    <t>ΑΙ648148</t>
  </si>
  <si>
    <t>665,5</t>
  </si>
  <si>
    <t>1583,5</t>
  </si>
  <si>
    <t>215-213</t>
  </si>
  <si>
    <t>ΔΕΛΗΠΑΛΛΑ</t>
  </si>
  <si>
    <t>ΔΩΡΟΘΕΑ</t>
  </si>
  <si>
    <t>Φ188416</t>
  </si>
  <si>
    <t>1582,7</t>
  </si>
  <si>
    <t>ΜΑΚΡΙΔΟΥ</t>
  </si>
  <si>
    <t>Φ288064</t>
  </si>
  <si>
    <t>1580,7</t>
  </si>
  <si>
    <t>ΠΡΑΣΣΑΚΗΣ</t>
  </si>
  <si>
    <t>ΑΜ178480</t>
  </si>
  <si>
    <t>762,3</t>
  </si>
  <si>
    <t>1580,3</t>
  </si>
  <si>
    <t>ΠΑΠΑΖΑΧΑΡΟΠΟΥΛΟΣ</t>
  </si>
  <si>
    <t>ΑΗ042616</t>
  </si>
  <si>
    <t>1579,6</t>
  </si>
  <si>
    <t>ΑΚ092761</t>
  </si>
  <si>
    <t>ΠΑΠΑΓΕΩΡΓΙΟΥ</t>
  </si>
  <si>
    <t>ΑΚ091284</t>
  </si>
  <si>
    <t>690,8</t>
  </si>
  <si>
    <t>1578,8</t>
  </si>
  <si>
    <t>ΝΤΟΚΑΣ</t>
  </si>
  <si>
    <t>ΑΕ727574</t>
  </si>
  <si>
    <t>720,5</t>
  </si>
  <si>
    <t>1578,5</t>
  </si>
  <si>
    <t>ΠΟΥΛΗΜΕΝΟΥ</t>
  </si>
  <si>
    <t>ΑΜ500548</t>
  </si>
  <si>
    <t>1578,3</t>
  </si>
  <si>
    <t>ΜΟΥΛΑ</t>
  </si>
  <si>
    <t>ΘΕΟΦΑΝΗΣ</t>
  </si>
  <si>
    <t>ΑΚ736659</t>
  </si>
  <si>
    <t>1577,7</t>
  </si>
  <si>
    <t>ΜΑΡΓΑΡΙΤΗ</t>
  </si>
  <si>
    <t>ΠΑΡΑΣΚΕΥΗ</t>
  </si>
  <si>
    <t>Σ462313</t>
  </si>
  <si>
    <t>739,2</t>
  </si>
  <si>
    <t>1577,2</t>
  </si>
  <si>
    <t>ΜΗΛΙΤΣΟΠΟΥΛΟΥ</t>
  </si>
  <si>
    <t>ΑΕ222271</t>
  </si>
  <si>
    <t>668,8</t>
  </si>
  <si>
    <t>1576,8</t>
  </si>
  <si>
    <t>ΒΑΣΙΛΑΔΙΩΤΗΣ</t>
  </si>
  <si>
    <t>ΑΝΑΣΤΑΣΙΟΣ</t>
  </si>
  <si>
    <t>ΑΕ102181</t>
  </si>
  <si>
    <t>1576,3</t>
  </si>
  <si>
    <t>ΚΑΡΑΟΥΛΗΣ</t>
  </si>
  <si>
    <t>ΝΑΠΟΛΕΩΝ</t>
  </si>
  <si>
    <t>ΑΚ768775</t>
  </si>
  <si>
    <t>ΣΑΡΙΚΕΝΑΣ</t>
  </si>
  <si>
    <t>ΑΚ938202</t>
  </si>
  <si>
    <t>1575,9</t>
  </si>
  <si>
    <t>ΑΛΕΞΑΝΔΡΗ</t>
  </si>
  <si>
    <t>AM372296</t>
  </si>
  <si>
    <t>686,4</t>
  </si>
  <si>
    <t>1574,4</t>
  </si>
  <si>
    <t>216-214-213-215</t>
  </si>
  <si>
    <t>ΜΠΑΡΔΑ</t>
  </si>
  <si>
    <t>ΑΗ769642</t>
  </si>
  <si>
    <t>685,3</t>
  </si>
  <si>
    <t>1573,3</t>
  </si>
  <si>
    <t>215-216-213-214</t>
  </si>
  <si>
    <t>ΕΛΕΥΘΕΡΙΑ</t>
  </si>
  <si>
    <t>ΑΕ579011</t>
  </si>
  <si>
    <t>ΑΝΑΓΝΩΣΤΟΥ</t>
  </si>
  <si>
    <t>ΑΚ143856</t>
  </si>
  <si>
    <t>ΛΙΓΙΝΑΚΗ</t>
  </si>
  <si>
    <t>ΚΩΝΣΤΑΝΤΙΝΙΑ</t>
  </si>
  <si>
    <t>ΑΕ183339</t>
  </si>
  <si>
    <t>954,8</t>
  </si>
  <si>
    <t>1572,8</t>
  </si>
  <si>
    <t>ΡΑΜΟΥΤΣΑΚΗ</t>
  </si>
  <si>
    <t>ΚΡΟΥΣΤΑΛΕΝΙΑ</t>
  </si>
  <si>
    <t>ΑΕ456594</t>
  </si>
  <si>
    <t>1572,6</t>
  </si>
  <si>
    <t>ΖΕΒΟΛΗ</t>
  </si>
  <si>
    <t>ΑΖ606168</t>
  </si>
  <si>
    <t>ΜΠΑΙΖΑΝΟΣ</t>
  </si>
  <si>
    <t>ΑΚ495933</t>
  </si>
  <si>
    <t>1571,9</t>
  </si>
  <si>
    <t>Χ389750</t>
  </si>
  <si>
    <t>683,1</t>
  </si>
  <si>
    <t>1571,1</t>
  </si>
  <si>
    <t>ΤΣΟΤΡΑΣ</t>
  </si>
  <si>
    <t>ΑΡΙΣΤΟΤΕΛΗΣ</t>
  </si>
  <si>
    <t>ΑΗ623462</t>
  </si>
  <si>
    <t>1567,1</t>
  </si>
  <si>
    <t>ΟΙΚΟΝΟΜΟΥ</t>
  </si>
  <si>
    <t>Ρ853420</t>
  </si>
  <si>
    <t>ΒΑΙΟΥ</t>
  </si>
  <si>
    <t>ΑΒ421777</t>
  </si>
  <si>
    <t>1564,3</t>
  </si>
  <si>
    <t>ΞΕΝΟΥ</t>
  </si>
  <si>
    <t>Τ105404</t>
  </si>
  <si>
    <t>1563,8</t>
  </si>
  <si>
    <t>ΜΑΡΚΟΜΙΧΕΛΑΚΗ</t>
  </si>
  <si>
    <t>ΧΡΙΣΤΙΝΑ</t>
  </si>
  <si>
    <t>Χ004209</t>
  </si>
  <si>
    <t>1562,3</t>
  </si>
  <si>
    <t>206-210-205-207-209-208-215-212-203-202-204-201-211-213-216</t>
  </si>
  <si>
    <t>ΣΑΡΗΚΩΣΤΑΣ</t>
  </si>
  <si>
    <t>Φ325546</t>
  </si>
  <si>
    <t>674,3</t>
  </si>
  <si>
    <t>ΧΡΙΣΤΟΔΟΥΛΙΔΟΥ</t>
  </si>
  <si>
    <t>ΑΖ106972</t>
  </si>
  <si>
    <t>805,2</t>
  </si>
  <si>
    <t>1562,2</t>
  </si>
  <si>
    <t>ΣΕΙΜΕΝΗ</t>
  </si>
  <si>
    <t>ΑΒ623746</t>
  </si>
  <si>
    <t>702,9</t>
  </si>
  <si>
    <t>1560,9</t>
  </si>
  <si>
    <t>ΓΑΛΑΝΟΥ</t>
  </si>
  <si>
    <t>ΝΙΚΟΛΕΤΤΑ</t>
  </si>
  <si>
    <t>ΕΥΣΤΑΘΙΟΣ</t>
  </si>
  <si>
    <t>Σ674761</t>
  </si>
  <si>
    <t>1560,5</t>
  </si>
  <si>
    <t>ΒΟΥΚΑΛΗΣ</t>
  </si>
  <si>
    <t>Σ408702</t>
  </si>
  <si>
    <t>1559,8</t>
  </si>
  <si>
    <t>ΧΑΡΟΥΛΑ</t>
  </si>
  <si>
    <t>ΑΒ960098</t>
  </si>
  <si>
    <t>ΚΑΡΑΒΑ</t>
  </si>
  <si>
    <t>Ν867168</t>
  </si>
  <si>
    <t>ΓΑΝΩΤΗ</t>
  </si>
  <si>
    <t>ΑΖ028666</t>
  </si>
  <si>
    <t>849,2</t>
  </si>
  <si>
    <t>1557,2</t>
  </si>
  <si>
    <t>ΚΟΥΓΙΑ</t>
  </si>
  <si>
    <t>ΑΒ750588</t>
  </si>
  <si>
    <t>1554,9</t>
  </si>
  <si>
    <t>ΒΑΡΔΑΚΑ</t>
  </si>
  <si>
    <t>ΑΗ497982</t>
  </si>
  <si>
    <t>936,1</t>
  </si>
  <si>
    <t>1554,1</t>
  </si>
  <si>
    <t>ΓΕΡΟΠΟΥΛΟΥ</t>
  </si>
  <si>
    <t>ΣΟΦΙΑ-ΕΙΡΗΝΗ</t>
  </si>
  <si>
    <t>ΑΧΙΛΛΕΥΣ</t>
  </si>
  <si>
    <t>Χ907498</t>
  </si>
  <si>
    <t>931,7</t>
  </si>
  <si>
    <t>1553,7</t>
  </si>
  <si>
    <t>ΓΕΩΡΓΟΥΛΗ</t>
  </si>
  <si>
    <t>ΑΒ420189</t>
  </si>
  <si>
    <t>884,4</t>
  </si>
  <si>
    <t>1552,4</t>
  </si>
  <si>
    <t>ΑΝΔΡΗ</t>
  </si>
  <si>
    <t>ΓΡΗΓΟΡΙΟΣ</t>
  </si>
  <si>
    <t>ΑΖ071883</t>
  </si>
  <si>
    <t>1550,7</t>
  </si>
  <si>
    <t>ΓΕΡΟΝΤΗ</t>
  </si>
  <si>
    <t>Χ417765</t>
  </si>
  <si>
    <t>755,7</t>
  </si>
  <si>
    <t>ΣΚΟΥΛΑΤΟΣ</t>
  </si>
  <si>
    <t>ΜΑΡΚΟΣ</t>
  </si>
  <si>
    <t>ΑΕ505182</t>
  </si>
  <si>
    <t>863,5</t>
  </si>
  <si>
    <t>1550,5</t>
  </si>
  <si>
    <t>ΝΤΟΥΣΟΒΑ</t>
  </si>
  <si>
    <t>ΜΟΝΙΚΑ</t>
  </si>
  <si>
    <t>ΛΑΝΤΙΣΛΑΒ</t>
  </si>
  <si>
    <t>ΕΒ709576</t>
  </si>
  <si>
    <t>ΓΑΤΗ</t>
  </si>
  <si>
    <t>ΟΛΓΑ</t>
  </si>
  <si>
    <t>Χ023936</t>
  </si>
  <si>
    <t>1548,9</t>
  </si>
  <si>
    <t>ΤΡΑΧΙΛΗ</t>
  </si>
  <si>
    <t>ΜΑΡΙΑΓΕΩΡΓΙΑ</t>
  </si>
  <si>
    <t>Χ427816</t>
  </si>
  <si>
    <t>1546,4</t>
  </si>
  <si>
    <t>ΑΕ726514</t>
  </si>
  <si>
    <t>708,4</t>
  </si>
  <si>
    <t>ΜΥΡΓΙΩΤΗ</t>
  </si>
  <si>
    <t>ΑΙ318734</t>
  </si>
  <si>
    <t>657,8</t>
  </si>
  <si>
    <t>1545,8</t>
  </si>
  <si>
    <t>ΤΟΛΗΣ</t>
  </si>
  <si>
    <t>ΑΙ669392</t>
  </si>
  <si>
    <t>1545,1</t>
  </si>
  <si>
    <t>ΜΑΝΤΑΓΑΡΗΣ</t>
  </si>
  <si>
    <t>ΑΜ022177</t>
  </si>
  <si>
    <t>ΚΑΡΑΓΕΩΡΓΟΣ</t>
  </si>
  <si>
    <t>Σ586965</t>
  </si>
  <si>
    <t>840,4</t>
  </si>
  <si>
    <t>1542,4</t>
  </si>
  <si>
    <t>ΜΠΕΣΚΑ</t>
  </si>
  <si>
    <t>ΑΕ714450</t>
  </si>
  <si>
    <t>1542,3</t>
  </si>
  <si>
    <t>ΚΑΡΑΠΑΝΑΓΙΩΤΟΥ</t>
  </si>
  <si>
    <t>ΑΖ926728</t>
  </si>
  <si>
    <t>ΜΠΑΜΠΑΤΣΙΚΟΥ</t>
  </si>
  <si>
    <t>ΠΛΑΤΩΝ</t>
  </si>
  <si>
    <t>ΑΑ402189</t>
  </si>
  <si>
    <t>ΑΝ314839</t>
  </si>
  <si>
    <t>1539,8</t>
  </si>
  <si>
    <t>ΣΤΡΑΤΗ</t>
  </si>
  <si>
    <t>ΟΘΩΝ</t>
  </si>
  <si>
    <t>Χ186797</t>
  </si>
  <si>
    <t>1539,6</t>
  </si>
  <si>
    <t>ΜΑΚΡΗΣ</t>
  </si>
  <si>
    <t>Τ309278</t>
  </si>
  <si>
    <t>ΚΑΡΑΒΒΙΑ</t>
  </si>
  <si>
    <t>ΜΕΛΠΟΜΕΝΗ</t>
  </si>
  <si>
    <t>ΑΙ643444</t>
  </si>
  <si>
    <t>1537,1</t>
  </si>
  <si>
    <t>ΠΙΤΡΟΠΑΚΗΣ</t>
  </si>
  <si>
    <t>ΑΙ625831</t>
  </si>
  <si>
    <t>1536,7</t>
  </si>
  <si>
    <t>ΤΖΗΜΑ</t>
  </si>
  <si>
    <t>ΑΒ158087</t>
  </si>
  <si>
    <t>1536,4</t>
  </si>
  <si>
    <t>ΛΟΥΚΑΣ</t>
  </si>
  <si>
    <t>Φ064538</t>
  </si>
  <si>
    <t>1534,7</t>
  </si>
  <si>
    <t>ΠΑΠΑΡΣΕΝΙΟΥ</t>
  </si>
  <si>
    <t>Χ909280</t>
  </si>
  <si>
    <t>822,8</t>
  </si>
  <si>
    <t>1533,8</t>
  </si>
  <si>
    <t>ΚΟΥΓΙΟΥΜΤΖΗ</t>
  </si>
  <si>
    <t>ΡΑΛΛΙΩ</t>
  </si>
  <si>
    <t>Τ092068</t>
  </si>
  <si>
    <t>741,4</t>
  </si>
  <si>
    <t>1533,4</t>
  </si>
  <si>
    <t>ΚΟΥΤΡΟΥΦΙΝΗ</t>
  </si>
  <si>
    <t>Χ001970</t>
  </si>
  <si>
    <t>1531,4</t>
  </si>
  <si>
    <t>ΤΣΑΚΟΣ</t>
  </si>
  <si>
    <t>ΑΜ361081</t>
  </si>
  <si>
    <t>1529,1</t>
  </si>
  <si>
    <t>Ρ707424</t>
  </si>
  <si>
    <t>843,7</t>
  </si>
  <si>
    <t>1528,7</t>
  </si>
  <si>
    <t>ΒΛΑΧΟΝΙΚΟΛΕΑ</t>
  </si>
  <si>
    <t>Χ640098</t>
  </si>
  <si>
    <t>1528,1</t>
  </si>
  <si>
    <t>ΑΙ610619</t>
  </si>
  <si>
    <t>1527,9</t>
  </si>
  <si>
    <t>ΓΙΑΝΝΟΥΛΑ</t>
  </si>
  <si>
    <t>ΑΜ831526</t>
  </si>
  <si>
    <t>1526,1</t>
  </si>
  <si>
    <t>ΤΡΙΓΩΝΗΣ</t>
  </si>
  <si>
    <t>ΑΚ035891</t>
  </si>
  <si>
    <t>866,8</t>
  </si>
  <si>
    <t>1524,8</t>
  </si>
  <si>
    <t>ΒΟΥΛΓΑΡΗ</t>
  </si>
  <si>
    <t>ΘΕΟΔΩΡΑ ΑΝΝΑ</t>
  </si>
  <si>
    <t>Χ814235</t>
  </si>
  <si>
    <t>ΠΑΝΤΕΛΑΚΗ</t>
  </si>
  <si>
    <t>ΜΑΝΟΥΣΟΣ</t>
  </si>
  <si>
    <t>ΗΛΙΟΠΟΥΛΟΣ</t>
  </si>
  <si>
    <t>Χ801556</t>
  </si>
  <si>
    <t>1522,7</t>
  </si>
  <si>
    <t>ΧΑΡΔΑΛΟΥΠΑΣ</t>
  </si>
  <si>
    <t>Ξ733988</t>
  </si>
  <si>
    <t>1522,2</t>
  </si>
  <si>
    <t>ΠΕΡΠΕΡΙΔΟΥ</t>
  </si>
  <si>
    <t>ΑΙ702452</t>
  </si>
  <si>
    <t>1522,1</t>
  </si>
  <si>
    <t>ΚΑΡΑΧΑΛΙΟΥ</t>
  </si>
  <si>
    <t>Τ048213</t>
  </si>
  <si>
    <t>793,1</t>
  </si>
  <si>
    <t>1521,1</t>
  </si>
  <si>
    <t>ΚΟΥΤΣΟΥΚΟΥ</t>
  </si>
  <si>
    <t>ΝΑΥΣΙΚΑ</t>
  </si>
  <si>
    <t>ΑΖ046447</t>
  </si>
  <si>
    <t>ΑΖ742742</t>
  </si>
  <si>
    <t>777,7</t>
  </si>
  <si>
    <t>1519,7</t>
  </si>
  <si>
    <t>ΤΣΙΜΙΚΟΥ</t>
  </si>
  <si>
    <t>ΑΕ990930</t>
  </si>
  <si>
    <t>ΚΩΝΣΤΑΝΤΙΝΟΥ</t>
  </si>
  <si>
    <t>ΠΑΡΑΣΚΕΥΑΣ</t>
  </si>
  <si>
    <t>ΑΖ612889</t>
  </si>
  <si>
    <t>ΚΩΤΣΟΛΗ</t>
  </si>
  <si>
    <t>ΑΙ134869</t>
  </si>
  <si>
    <t>ΑΔΑΜΟΠΟΥΛΟΣ</t>
  </si>
  <si>
    <t>Π096983</t>
  </si>
  <si>
    <t>1517,4</t>
  </si>
  <si>
    <t>ΤΑΜΠΟΥΚΑΣ</t>
  </si>
  <si>
    <t>ΑΔΑΜΟΣ</t>
  </si>
  <si>
    <t>Π981422</t>
  </si>
  <si>
    <t>ΣΤΡΑΤΗΓΟΠΟΥΛΟΥ</t>
  </si>
  <si>
    <t>Ρ342701</t>
  </si>
  <si>
    <t>1514,7</t>
  </si>
  <si>
    <t>ΠΑΡΑΣΧΑΚΗ</t>
  </si>
  <si>
    <t>ΑΙ976595</t>
  </si>
  <si>
    <t>655,6</t>
  </si>
  <si>
    <t>1513,6</t>
  </si>
  <si>
    <t>ΦΑΛΑΡΑ</t>
  </si>
  <si>
    <t>ΑΓΛΑΙΑ</t>
  </si>
  <si>
    <t>Χ374309</t>
  </si>
  <si>
    <t>729,3</t>
  </si>
  <si>
    <t>1513,3</t>
  </si>
  <si>
    <t>ΑΖ791498</t>
  </si>
  <si>
    <t>1511,9</t>
  </si>
  <si>
    <t>ΔΑΜΙΑΝΑΚΗ</t>
  </si>
  <si>
    <t>ΖΑΧΑΡΙΑΣ</t>
  </si>
  <si>
    <t>ΑΖ825705</t>
  </si>
  <si>
    <t>1511,5</t>
  </si>
  <si>
    <t>ΓΚΙΖΙΜΗΣ</t>
  </si>
  <si>
    <t>ΑΒ496280</t>
  </si>
  <si>
    <t>ΑΛΑΦΟΓΙΑΝΝΗ</t>
  </si>
  <si>
    <t>ΠΑΝΑΓΙΩΤΑ-ΙΟΛΗ</t>
  </si>
  <si>
    <t>ΑΗ082748</t>
  </si>
  <si>
    <t>1510,8</t>
  </si>
  <si>
    <t>ΝΕΦΕΛΗ</t>
  </si>
  <si>
    <t>ΑΑ090221</t>
  </si>
  <si>
    <t>1509,3</t>
  </si>
  <si>
    <t>ΑΒ802265</t>
  </si>
  <si>
    <t>ΑΖ347976</t>
  </si>
  <si>
    <t>647,9</t>
  </si>
  <si>
    <t>1505,9</t>
  </si>
  <si>
    <t>ΠΑΠΑΧΡΗΣΤΟΥ</t>
  </si>
  <si>
    <t>ΣΤΑΜΑΤΙΟΣ</t>
  </si>
  <si>
    <t>ΑΖ023432</t>
  </si>
  <si>
    <t>716,1</t>
  </si>
  <si>
    <t>1504,1</t>
  </si>
  <si>
    <t>ΜΗΤΣΙΟΣ</t>
  </si>
  <si>
    <t>Χ778694</t>
  </si>
  <si>
    <t>ΕΥΣΤΑΘΙΟΥ</t>
  </si>
  <si>
    <t>ΕΥΡΥΔΙΚΗ</t>
  </si>
  <si>
    <t>ΑΙ295077</t>
  </si>
  <si>
    <t>1499,7</t>
  </si>
  <si>
    <t>ΑΛΕΞΟΠΟΥΛΟΣ</t>
  </si>
  <si>
    <t>ΑΖ503328</t>
  </si>
  <si>
    <t>ΜΙΧΑΛΟΠΟΥΛΟΥ</t>
  </si>
  <si>
    <t>ΑΖ554288</t>
  </si>
  <si>
    <t>838,2</t>
  </si>
  <si>
    <t>1496,2</t>
  </si>
  <si>
    <t>ΜΑΡΟΥΔΙΑ</t>
  </si>
  <si>
    <t>ΑΗ436417</t>
  </si>
  <si>
    <t>738,1</t>
  </si>
  <si>
    <t>1496,1</t>
  </si>
  <si>
    <t>ΜΑΡΚΟΥΛΑΤΟΥ</t>
  </si>
  <si>
    <t>ΔΑΝΑΗ ΔΗΜΗΤΡΑ</t>
  </si>
  <si>
    <t>Φ065307</t>
  </si>
  <si>
    <t>1495,4</t>
  </si>
  <si>
    <t>ΠΗΒΟΥΛΟΣ</t>
  </si>
  <si>
    <t>ΑΔΑΜΑΝΤΙΟΣ</t>
  </si>
  <si>
    <t>Π982820</t>
  </si>
  <si>
    <t>1493,4</t>
  </si>
  <si>
    <t>ΠΟΔΗΜΑΤΑΣ</t>
  </si>
  <si>
    <t>ΒΑΙΟΣ</t>
  </si>
  <si>
    <t>ΑΖ285120</t>
  </si>
  <si>
    <t>ΠΑΤΡΑΣΚΑΚΗ</t>
  </si>
  <si>
    <t>ΑΗ788048</t>
  </si>
  <si>
    <t>834,9</t>
  </si>
  <si>
    <t>1492,9</t>
  </si>
  <si>
    <t>ΜΑΚΟΥ</t>
  </si>
  <si>
    <t>ΙΦΙΓΕΝΕΙΑ</t>
  </si>
  <si>
    <t>ΑΒ100312</t>
  </si>
  <si>
    <t>743,6</t>
  </si>
  <si>
    <t>1491,6</t>
  </si>
  <si>
    <t>ΠΥΛΑΡΙΝΟΥ</t>
  </si>
  <si>
    <t>Σ245399</t>
  </si>
  <si>
    <t>939,4</t>
  </si>
  <si>
    <t>1491,4</t>
  </si>
  <si>
    <t>ΦΟΥΝΤΗΣ</t>
  </si>
  <si>
    <t>Χ534333</t>
  </si>
  <si>
    <t>1490,6</t>
  </si>
  <si>
    <t>ΧΑΙΡΕΤΗ</t>
  </si>
  <si>
    <t>ΑΗ148033</t>
  </si>
  <si>
    <t>632,5</t>
  </si>
  <si>
    <t>1490,5</t>
  </si>
  <si>
    <t>ΜΕΝΑΓΙΑ</t>
  </si>
  <si>
    <t>ΧΡΙΣΤΙΝΑ-ΑΛΘΑΙΑ</t>
  </si>
  <si>
    <t>ΑΖ630630</t>
  </si>
  <si>
    <t>1489,2</t>
  </si>
  <si>
    <t>ΜΠΟΥΣΜΠΟΥΡΑ</t>
  </si>
  <si>
    <t>Φ049958</t>
  </si>
  <si>
    <t>698,5</t>
  </si>
  <si>
    <t>1487,5</t>
  </si>
  <si>
    <t>ΖΩΓΡΑΦΟΣ</t>
  </si>
  <si>
    <t>ΑΑ076154</t>
  </si>
  <si>
    <t>1486,3</t>
  </si>
  <si>
    <t>ΛΥΚΟΓΕΩΡΓΟΣ</t>
  </si>
  <si>
    <t>ΑΚ378755</t>
  </si>
  <si>
    <t>1485,9</t>
  </si>
  <si>
    <t>ΔΕΣΠΟΤΙΔΗ</t>
  </si>
  <si>
    <t>ΑΒ065663</t>
  </si>
  <si>
    <t>1483,3</t>
  </si>
  <si>
    <t>ΧΑΤΖΗΣΩΚΡΑΤΗΣ</t>
  </si>
  <si>
    <t>ΣΟΦΟΚΛΗΣ</t>
  </si>
  <si>
    <t>ΑΖ086258</t>
  </si>
  <si>
    <t>1482,9</t>
  </si>
  <si>
    <t>ΘΕΜΕΛΗΣ</t>
  </si>
  <si>
    <t>ΑΗ562349</t>
  </si>
  <si>
    <t>1482,2</t>
  </si>
  <si>
    <t>ΚΑΛΗΜΕΡΗΣ</t>
  </si>
  <si>
    <t>ΝΙΚΗΤΑΣ</t>
  </si>
  <si>
    <t>ΑΚ137306</t>
  </si>
  <si>
    <t>663,3</t>
  </si>
  <si>
    <t>1481,3</t>
  </si>
  <si>
    <t>ΚΟΣΚΙΝΙΩΤΗ</t>
  </si>
  <si>
    <t>ΑΓΓΕΛΑ</t>
  </si>
  <si>
    <t>Ρ345008</t>
  </si>
  <si>
    <t>642,4</t>
  </si>
  <si>
    <t>1480,4</t>
  </si>
  <si>
    <t>ΣΤΕΦΑΝΟΥΔΑΚΗ</t>
  </si>
  <si>
    <t>Σ089700</t>
  </si>
  <si>
    <t>1479,7</t>
  </si>
  <si>
    <t>1478,8</t>
  </si>
  <si>
    <t>ΜΠΕΡΜΠΕΡΙΔΟΥ</t>
  </si>
  <si>
    <t>ΑΒ439232</t>
  </si>
  <si>
    <t>1478,4</t>
  </si>
  <si>
    <t>ΚΑΤΣΙΜΠΡΑ</t>
  </si>
  <si>
    <t>ΑΒ198107</t>
  </si>
  <si>
    <t>1478,3</t>
  </si>
  <si>
    <t>ΨΟΦΟΓΙΩΡΓΟΣ</t>
  </si>
  <si>
    <t>ΝΙΚΟΛΑΟΣ ΑΛΕΞΑΝΔΡΟΣ</t>
  </si>
  <si>
    <t>ΑΑ442823</t>
  </si>
  <si>
    <t>1477,8</t>
  </si>
  <si>
    <t>ΜΠΟΥΣΗΣ</t>
  </si>
  <si>
    <t>ΑΜ526866</t>
  </si>
  <si>
    <t>1477,4</t>
  </si>
  <si>
    <t>ΜΠΟΥΖΙΩΤΗ</t>
  </si>
  <si>
    <t>ΑΡΕΤΗ</t>
  </si>
  <si>
    <t>Φ058673</t>
  </si>
  <si>
    <t>1476,6</t>
  </si>
  <si>
    <t>ΚΑΤΣΑ</t>
  </si>
  <si>
    <t>ΓΑΡΥΦΑΛΙΑ</t>
  </si>
  <si>
    <t>ΑΚ790568</t>
  </si>
  <si>
    <t>1476,3</t>
  </si>
  <si>
    <t>ΤΕΣΣΑΣ</t>
  </si>
  <si>
    <t>ΑΧΙΛΛΕΥΣ-ΠΑΝΤΕΛΗΣ</t>
  </si>
  <si>
    <t>ΑΕ620721</t>
  </si>
  <si>
    <t>646,8</t>
  </si>
  <si>
    <t>1474,8</t>
  </si>
  <si>
    <t>ΤΣΙΜΕΚΗΣ</t>
  </si>
  <si>
    <t>ΑΒ664948</t>
  </si>
  <si>
    <t>1474,2</t>
  </si>
  <si>
    <t>ΣΚΑΡΛΟΥ</t>
  </si>
  <si>
    <t>ΑΗ596090</t>
  </si>
  <si>
    <t>828,3</t>
  </si>
  <si>
    <t>1471,3</t>
  </si>
  <si>
    <t>ΣΤΑΥΡΟΠΟΥΛΟΥ</t>
  </si>
  <si>
    <t>ΜΑΓΔΑΛΙΝΗ</t>
  </si>
  <si>
    <t>Χ436325</t>
  </si>
  <si>
    <t>1470,4</t>
  </si>
  <si>
    <t>1469,9</t>
  </si>
  <si>
    <t>ΤΣΙΜΟΥΡΤΟΥ</t>
  </si>
  <si>
    <t>ΜΑΝΘΕΑΣ</t>
  </si>
  <si>
    <t>Χ925161</t>
  </si>
  <si>
    <t>1469,4</t>
  </si>
  <si>
    <t>ΔΑΛΒΑΔΑΝΗ</t>
  </si>
  <si>
    <t>ΕΥΣΤΡΑΤΙΑ</t>
  </si>
  <si>
    <t>ΚΥΡΙΑΚΟΣ</t>
  </si>
  <si>
    <t>ΑΖ433039</t>
  </si>
  <si>
    <t>677,6</t>
  </si>
  <si>
    <t>1468,6</t>
  </si>
  <si>
    <t>ΣΚΟΥΡΑΣ</t>
  </si>
  <si>
    <t>ΑΙ481242</t>
  </si>
  <si>
    <t>1468,1</t>
  </si>
  <si>
    <t>ΦΕΚΑ</t>
  </si>
  <si>
    <t>ΑΗ478205</t>
  </si>
  <si>
    <t>941,6</t>
  </si>
  <si>
    <t>1463,6</t>
  </si>
  <si>
    <t>214-216-215</t>
  </si>
  <si>
    <t>ΠΑΝΤΑΖΗΣ</t>
  </si>
  <si>
    <t>Χ594498</t>
  </si>
  <si>
    <t>1462,5</t>
  </si>
  <si>
    <t>1462,3</t>
  </si>
  <si>
    <t>ΡΑΥΤΟΠΟΥΛΟΣ</t>
  </si>
  <si>
    <t>ΑΕ982275</t>
  </si>
  <si>
    <t>ΦΩΣΚΟΛΟΥ</t>
  </si>
  <si>
    <t>ΑΒ945158</t>
  </si>
  <si>
    <t>653,4</t>
  </si>
  <si>
    <t>1461,4</t>
  </si>
  <si>
    <t>ΠΑΠΑΔΗΜΗΤΡΙΟΥ</t>
  </si>
  <si>
    <t>ΑΕ798723</t>
  </si>
  <si>
    <t>728,2</t>
  </si>
  <si>
    <t>1461,2</t>
  </si>
  <si>
    <t>ΡΕΜΠΕΛΟΣ</t>
  </si>
  <si>
    <t>Π552273</t>
  </si>
  <si>
    <t>1459,5</t>
  </si>
  <si>
    <t>ΠΑΓΟΥΝΗ</t>
  </si>
  <si>
    <t>ΑΖ300930</t>
  </si>
  <si>
    <t>ΓΕΡΑΣΟΠΟΥΛΟΥ</t>
  </si>
  <si>
    <t>ΕΥΘΥΜΙΑ</t>
  </si>
  <si>
    <t>ΑΑ430897</t>
  </si>
  <si>
    <t>1458,6</t>
  </si>
  <si>
    <t>ΒΟΥΛΟΥΤΑΚΗ</t>
  </si>
  <si>
    <t>ΑΖ924693</t>
  </si>
  <si>
    <t>1458,4</t>
  </si>
  <si>
    <t>ΜΠΑΚΙΡΤΖΗ</t>
  </si>
  <si>
    <t>ΠΑΝΤΕΛΙΑ</t>
  </si>
  <si>
    <t>ΑΗ937220</t>
  </si>
  <si>
    <t>1456,8</t>
  </si>
  <si>
    <t>214-216-201-213</t>
  </si>
  <si>
    <t>ΤΑΝΑΚΙΔΟΥ</t>
  </si>
  <si>
    <t>ΑΓΓΕΛΙΚΗ ΜΑΡΙΑ</t>
  </si>
  <si>
    <t>ΑΙ720523</t>
  </si>
  <si>
    <t>1456,7</t>
  </si>
  <si>
    <t>ΚΛΑΥΔΙΑΝΟΥ</t>
  </si>
  <si>
    <t>ΑΜ713068</t>
  </si>
  <si>
    <t>1456,6</t>
  </si>
  <si>
    <t>ΜΙΧΑΛΙΑ</t>
  </si>
  <si>
    <t>ΕΥΘΑΛΙΑ</t>
  </si>
  <si>
    <t>ΑΑ822199</t>
  </si>
  <si>
    <t>1456,4</t>
  </si>
  <si>
    <t>ΝΤΑΦΟΥΛΗΣ</t>
  </si>
  <si>
    <t>Ρ893619</t>
  </si>
  <si>
    <t>1453,9</t>
  </si>
  <si>
    <t>216-213</t>
  </si>
  <si>
    <t>ΣΥΜΕΩΝΟΓΛΟΥ</t>
  </si>
  <si>
    <t>ΑΒ577881</t>
  </si>
  <si>
    <t>1451,2</t>
  </si>
  <si>
    <t>ΚΑΚΟΥ</t>
  </si>
  <si>
    <t>Χ278423</t>
  </si>
  <si>
    <t>1450,5</t>
  </si>
  <si>
    <t>ΤΣΙΑΦΗ</t>
  </si>
  <si>
    <t>ΑΙ839353</t>
  </si>
  <si>
    <t>662,2</t>
  </si>
  <si>
    <t>1450,2</t>
  </si>
  <si>
    <t>ΜΠΑΡΤΖΟΠΟΥΛΟΥ</t>
  </si>
  <si>
    <t>ΕΛΕΥΘΕΡΙ</t>
  </si>
  <si>
    <t>ΑΡΜΕΝΙΑΚΟΥ</t>
  </si>
  <si>
    <t>ΑΖ045853</t>
  </si>
  <si>
    <t>ΒΑΡΔΑΚΑΡΗ</t>
  </si>
  <si>
    <t>Σ461709</t>
  </si>
  <si>
    <t>ΠΟΡΙΩΤΗΣ</t>
  </si>
  <si>
    <t>ΑΙ663114</t>
  </si>
  <si>
    <t>691,9</t>
  </si>
  <si>
    <t>1449,9</t>
  </si>
  <si>
    <t>ΖΑΒΕΡΔΑ</t>
  </si>
  <si>
    <t>ΑΚ337213</t>
  </si>
  <si>
    <t>1449,1</t>
  </si>
  <si>
    <t>ΣΙΔΗΡΟΠΟΥΛΟΥ</t>
  </si>
  <si>
    <t>ΜΑΡΙΑ ΕΛΕΝΗ</t>
  </si>
  <si>
    <t>ΑΖ676611</t>
  </si>
  <si>
    <t>203-205-206-207-208-209-210-212-215</t>
  </si>
  <si>
    <t>ΑΛΕΞΙΟΥ</t>
  </si>
  <si>
    <t>ΑΕ322553</t>
  </si>
  <si>
    <t>1444,7</t>
  </si>
  <si>
    <t>ΤΣΙΛΙΚΗ</t>
  </si>
  <si>
    <t>ΚΥΡΙΑΚΗ</t>
  </si>
  <si>
    <t>Χ272637</t>
  </si>
  <si>
    <t>ΕΛΛΗ</t>
  </si>
  <si>
    <t>Χ908015</t>
  </si>
  <si>
    <t>1442,4</t>
  </si>
  <si>
    <t>ΕΥΘΥΜΙΟΠΟΥΛΟΥ</t>
  </si>
  <si>
    <t>ΑΖ637530</t>
  </si>
  <si>
    <t>1441,8</t>
  </si>
  <si>
    <t>ΒΑΓΕΝΑ</t>
  </si>
  <si>
    <t>ΑΕ278925</t>
  </si>
  <si>
    <t>672,1</t>
  </si>
  <si>
    <t>1441,1</t>
  </si>
  <si>
    <t>ΚΡΕΜΥΔΑ</t>
  </si>
  <si>
    <t>ΑΚ065699</t>
  </si>
  <si>
    <t>1439,6</t>
  </si>
  <si>
    <t>ΣΤΑΘΟΠΟΥΛΟΥ</t>
  </si>
  <si>
    <t>ΑΕ502687</t>
  </si>
  <si>
    <t>620,4</t>
  </si>
  <si>
    <t>1438,4</t>
  </si>
  <si>
    <t>ΜΟΥΛΙΝΟΣ</t>
  </si>
  <si>
    <t>ΑΚ711627</t>
  </si>
  <si>
    <t>ΚΩΣΤΟΓΛΟΥ</t>
  </si>
  <si>
    <t>Χ475498</t>
  </si>
  <si>
    <t>ΜΠΟΖΗ</t>
  </si>
  <si>
    <t>ΑΚ1495306</t>
  </si>
  <si>
    <t>1435,7</t>
  </si>
  <si>
    <t>ΘΩΔΗΣ</t>
  </si>
  <si>
    <t>ΑΙ397561</t>
  </si>
  <si>
    <t>932,8</t>
  </si>
  <si>
    <t>1433,8</t>
  </si>
  <si>
    <t>ΑΝΔΡΙΚΟΠΟΥΛΟΣ</t>
  </si>
  <si>
    <t>213-215</t>
  </si>
  <si>
    <t>ΚΑΝΤΟΥΡΗΣ</t>
  </si>
  <si>
    <t>Ρ180526</t>
  </si>
  <si>
    <t>1433,5</t>
  </si>
  <si>
    <t>ΜΑΧΑΙΡΟΠΟΥΛΟΣ</t>
  </si>
  <si>
    <t>ΑΜ075565</t>
  </si>
  <si>
    <t>1432,9</t>
  </si>
  <si>
    <t>ΛΙΖΑΡΔΟΥ</t>
  </si>
  <si>
    <t>ΣΩΚΡΑΤΗΣ</t>
  </si>
  <si>
    <t>ΑΜ178112</t>
  </si>
  <si>
    <t>1431,1</t>
  </si>
  <si>
    <t>ΜΠΑΛΟΣ</t>
  </si>
  <si>
    <t>ΑΕ718399</t>
  </si>
  <si>
    <t>1430,2</t>
  </si>
  <si>
    <t>ΧΡΥΣΑΝΘΗ</t>
  </si>
  <si>
    <t>ΑΙ210474</t>
  </si>
  <si>
    <t>848,1</t>
  </si>
  <si>
    <t>1430,1</t>
  </si>
  <si>
    <t>214-213-216-215</t>
  </si>
  <si>
    <t>ΓΚΟΥΜΑΣ</t>
  </si>
  <si>
    <t>ΡΗΓΙΝΟΣ</t>
  </si>
  <si>
    <t>Χ157680</t>
  </si>
  <si>
    <t>705,1</t>
  </si>
  <si>
    <t>ΤΣΙΑΝΑΚΑ</t>
  </si>
  <si>
    <t>Ρ346143</t>
  </si>
  <si>
    <t>810,7</t>
  </si>
  <si>
    <t>1428,7</t>
  </si>
  <si>
    <t>ΑΗ680215</t>
  </si>
  <si>
    <t>1427,9</t>
  </si>
  <si>
    <t>ΚΑΤΣΟΥΛΙΕΡΗ</t>
  </si>
  <si>
    <t>ΑΕ221052</t>
  </si>
  <si>
    <t>1426,5</t>
  </si>
  <si>
    <t>ΛΑΣΠΟΝΙΚΟΣ</t>
  </si>
  <si>
    <t>ΧΡΙΣΤΟΦΟΡΟΣ</t>
  </si>
  <si>
    <t>Τ483370</t>
  </si>
  <si>
    <t>1424,6</t>
  </si>
  <si>
    <t>ΤΣΟΜΠΟΥ</t>
  </si>
  <si>
    <t>ΕΛΠΙΝΙΚΗ</t>
  </si>
  <si>
    <t>ΑΙΜΙΛΙΟΣ</t>
  </si>
  <si>
    <t>ΑΒ390833</t>
  </si>
  <si>
    <t>1423,2</t>
  </si>
  <si>
    <t>ΑΕ265521</t>
  </si>
  <si>
    <t>709,5</t>
  </si>
  <si>
    <t>1422,5</t>
  </si>
  <si>
    <t>ΨΑΡΟΥΛΗΣ</t>
  </si>
  <si>
    <t>1421,8</t>
  </si>
  <si>
    <t>ΠΑΠΑΔΟΔΗΜΑ</t>
  </si>
  <si>
    <t>Χ190291</t>
  </si>
  <si>
    <t>1420,1</t>
  </si>
  <si>
    <t>ΛΙΟΛΙΟΥ</t>
  </si>
  <si>
    <t>Χ409644</t>
  </si>
  <si>
    <t>1419,1</t>
  </si>
  <si>
    <t>ΜΑΡΙΝΙΔΗΣ</t>
  </si>
  <si>
    <t>ΑΙ190615</t>
  </si>
  <si>
    <t>1418,7</t>
  </si>
  <si>
    <t>ΜΑΝΘΕΛΑΣ</t>
  </si>
  <si>
    <t>ΑΕ601542</t>
  </si>
  <si>
    <t>ΚΑΡΑΝΤΑΚΟΣ</t>
  </si>
  <si>
    <t>ΑΗ288451</t>
  </si>
  <si>
    <t>1417,5</t>
  </si>
  <si>
    <t>ΝΙΚΟΛΟΠΟΥΛΟΥ</t>
  </si>
  <si>
    <t>Ρ493675</t>
  </si>
  <si>
    <t>1416,8</t>
  </si>
  <si>
    <t>ΤΑΣΟΥΛΑΣ</t>
  </si>
  <si>
    <t>Χ576850</t>
  </si>
  <si>
    <t>1416,2</t>
  </si>
  <si>
    <t>ΠΑΠΑΙΩΑΝΝΟΥ</t>
  </si>
  <si>
    <t>ΑΗ741297</t>
  </si>
  <si>
    <t>1414,4</t>
  </si>
  <si>
    <t>ΣΑΛΑΒΑΤΗ</t>
  </si>
  <si>
    <t>Χ228919</t>
  </si>
  <si>
    <t>1411,8</t>
  </si>
  <si>
    <t>ΓΕΩΡΓΙΟΥ</t>
  </si>
  <si>
    <t>ΑΜ829816</t>
  </si>
  <si>
    <t>1411,6</t>
  </si>
  <si>
    <t>ΚΑΒΑΔΑΤΟΥ</t>
  </si>
  <si>
    <t>ΧΡΥΣΑΥΓΗ</t>
  </si>
  <si>
    <t>ΑΙ846438</t>
  </si>
  <si>
    <t>1411,3</t>
  </si>
  <si>
    <t>ΠΡΙΝΤΣΙΠΑΣ</t>
  </si>
  <si>
    <t>ΑΕ508748</t>
  </si>
  <si>
    <t>1410,7</t>
  </si>
  <si>
    <t>ΠΟΖΑΤΖΙΔΗΣ</t>
  </si>
  <si>
    <t>ΑΚ903915</t>
  </si>
  <si>
    <t>ΔΕΛΗΘΑΝΑΣΗ</t>
  </si>
  <si>
    <t>Χ221755</t>
  </si>
  <si>
    <t>ΑΝΑΣΤΑΣΑΤΟΥ</t>
  </si>
  <si>
    <t>ΣΠΥΡΟΑΝΔΡΕΑΣ</t>
  </si>
  <si>
    <t>ΑΜ023141</t>
  </si>
  <si>
    <t>1407,4</t>
  </si>
  <si>
    <t>ΜΥΛΩΝΑΔΗ</t>
  </si>
  <si>
    <t>ΓΕΩΡΓΙΑ-ΕΡΙΕΤΤΑ</t>
  </si>
  <si>
    <t>ΑΗ429783</t>
  </si>
  <si>
    <t>658,9</t>
  </si>
  <si>
    <t>1406,9</t>
  </si>
  <si>
    <t>ΛΙΑΠΗ</t>
  </si>
  <si>
    <t>Χ374926</t>
  </si>
  <si>
    <t>1406,3</t>
  </si>
  <si>
    <t>ΝΙΚΟΣ</t>
  </si>
  <si>
    <t>Σ799618</t>
  </si>
  <si>
    <t>1404,5</t>
  </si>
  <si>
    <t>ΡΕΤΣΟΣ</t>
  </si>
  <si>
    <t>ΜΙΧΑΗΛ-ΕΜΜΑΝΟΥΗΛ</t>
  </si>
  <si>
    <t>ΑΙ087530</t>
  </si>
  <si>
    <t>641,3</t>
  </si>
  <si>
    <t>1399,3</t>
  </si>
  <si>
    <t>ΤΖΑΜΑΚΟΣ</t>
  </si>
  <si>
    <t>ΑΑ321463</t>
  </si>
  <si>
    <t>1396,8</t>
  </si>
  <si>
    <t>ΚΑΡΑΜΟΥΖΗ</t>
  </si>
  <si>
    <t>ΑΗ772641</t>
  </si>
  <si>
    <t>1396,4</t>
  </si>
  <si>
    <t>ΘΑΝΗΣ</t>
  </si>
  <si>
    <t>Χ247662</t>
  </si>
  <si>
    <t>1395,8</t>
  </si>
  <si>
    <t>ΓΚΟΥΛΙΑΜΑΚΗΣ</t>
  </si>
  <si>
    <t>ΑΒ715866</t>
  </si>
  <si>
    <t>1394,9</t>
  </si>
  <si>
    <t>ΓΑΛΑΝΑΚΗΣ</t>
  </si>
  <si>
    <t>ΑΙ517530</t>
  </si>
  <si>
    <t>1394,6</t>
  </si>
  <si>
    <t>ΜΑΡΑΓΚΟΥ</t>
  </si>
  <si>
    <t>Τ110436</t>
  </si>
  <si>
    <t>1393,3</t>
  </si>
  <si>
    <t>ΣΕΦΕΡΛΗ</t>
  </si>
  <si>
    <t>ΑΜ142529</t>
  </si>
  <si>
    <t>1391,7</t>
  </si>
  <si>
    <t>ΤΣΙΩΤΑ</t>
  </si>
  <si>
    <t>ΑΕ809553</t>
  </si>
  <si>
    <t>1391,4</t>
  </si>
  <si>
    <t>ΚΑΠΠΟΥ</t>
  </si>
  <si>
    <t>ΧΑΡΙΛΑΟΣ</t>
  </si>
  <si>
    <t>Σ210363</t>
  </si>
  <si>
    <t>1390,1</t>
  </si>
  <si>
    <t>ΣΕΓΚΟΥ</t>
  </si>
  <si>
    <t>ΑΙ045883</t>
  </si>
  <si>
    <t>ΚΛΟΥΡΑΣ</t>
  </si>
  <si>
    <t>Τ864975</t>
  </si>
  <si>
    <t>ΠΑΠΑΓΙΑΝΝΗ</t>
  </si>
  <si>
    <t>ΑΗ610599</t>
  </si>
  <si>
    <t>ΧΑΤΖΗΚΩΝΣΤΑΝΤΙΝΟΥ</t>
  </si>
  <si>
    <t>Φ340360</t>
  </si>
  <si>
    <t>1387,8</t>
  </si>
  <si>
    <t>ΡΟΥΣΚΟΠΟΥΛΟΥ</t>
  </si>
  <si>
    <t>ΑΜ856276</t>
  </si>
  <si>
    <t>1387,2</t>
  </si>
  <si>
    <t>Χ362416</t>
  </si>
  <si>
    <t>1385,9</t>
  </si>
  <si>
    <t>ΠΑΠΑΔΑΡΗ</t>
  </si>
  <si>
    <t>ΕΥΡΙΠΙΔΗΣ</t>
  </si>
  <si>
    <t>ΑΗ177620</t>
  </si>
  <si>
    <t>1380,7</t>
  </si>
  <si>
    <t>ΠΑΝΤΕΛΕΩΝ</t>
  </si>
  <si>
    <t>Ρ371502</t>
  </si>
  <si>
    <t>1380,3</t>
  </si>
  <si>
    <t>ΧΑΡΑΛΑΜΠΙΔΟΥ</t>
  </si>
  <si>
    <t>Χ965466</t>
  </si>
  <si>
    <t>1379,6</t>
  </si>
  <si>
    <t>ΕΥΘΥΜΙΑΔΗΣ</t>
  </si>
  <si>
    <t>ΑΗ877449</t>
  </si>
  <si>
    <t>1379,3</t>
  </si>
  <si>
    <t>ΚΥΔΩΝΙΑΤΗ</t>
  </si>
  <si>
    <t>Ρ268434</t>
  </si>
  <si>
    <t>1379,2</t>
  </si>
  <si>
    <t>ΓΙΑΝΝΟΥΣΑ</t>
  </si>
  <si>
    <t>Χ377148</t>
  </si>
  <si>
    <t>1378,3</t>
  </si>
  <si>
    <t>ΚΑΨΑΛΗ</t>
  </si>
  <si>
    <t>ΑΙ288598</t>
  </si>
  <si>
    <t>1376,6</t>
  </si>
  <si>
    <t>ΜΕΤΑΞΑ</t>
  </si>
  <si>
    <t>Σ222605</t>
  </si>
  <si>
    <t>1374,5</t>
  </si>
  <si>
    <t>ΠΑΝΑΓΟΥ</t>
  </si>
  <si>
    <t>Χ172803</t>
  </si>
  <si>
    <t>1371,6</t>
  </si>
  <si>
    <t>ΜΠΑΤΣΙΛΑ</t>
  </si>
  <si>
    <t>ΑΗ766379</t>
  </si>
  <si>
    <t>1371,5</t>
  </si>
  <si>
    <t>ΣΤΑΣΙΝΟΥ</t>
  </si>
  <si>
    <t>ΧΑΡΙΚΛΕΙΑ-ΑΝΑΣΤΑΣΙΑ</t>
  </si>
  <si>
    <t>ΑΗ710316</t>
  </si>
  <si>
    <t>ΚΟΝΤΟΘΟΔΩΡΟΥ</t>
  </si>
  <si>
    <t>ΑΜ368838</t>
  </si>
  <si>
    <t>1370,4</t>
  </si>
  <si>
    <t>ΓΙΑΝΝΙΚΕΛΛΗ</t>
  </si>
  <si>
    <t>Π754837</t>
  </si>
  <si>
    <t>1369,8</t>
  </si>
  <si>
    <t>ΓΚΑΤΖΟΥΛΗ</t>
  </si>
  <si>
    <t>ΑΑ468260</t>
  </si>
  <si>
    <t>1369,2</t>
  </si>
  <si>
    <t>ΠΑΣΤΡΑ</t>
  </si>
  <si>
    <t>ΔΙΟΝΥΣΙΑ</t>
  </si>
  <si>
    <t>Φ076985</t>
  </si>
  <si>
    <t>1367,8</t>
  </si>
  <si>
    <t>ΞΑΝΘΟΠΟΥΛΟΥ</t>
  </si>
  <si>
    <t>ΑΑ361010</t>
  </si>
  <si>
    <t>1367,1</t>
  </si>
  <si>
    <t>Χ759399</t>
  </si>
  <si>
    <t>1365,5</t>
  </si>
  <si>
    <t>ΚΟΥΒΕΛΗ</t>
  </si>
  <si>
    <t>ΑΒ129214</t>
  </si>
  <si>
    <t>896,5</t>
  </si>
  <si>
    <t>1364,5</t>
  </si>
  <si>
    <t>ΜΙΣΥΡΗ</t>
  </si>
  <si>
    <t>Χ835483</t>
  </si>
  <si>
    <t>944,9</t>
  </si>
  <si>
    <t>1363,9</t>
  </si>
  <si>
    <t>ΠΑΠΑΚΩΣΤΑΣ</t>
  </si>
  <si>
    <t>Ξ711429</t>
  </si>
  <si>
    <t>645,7</t>
  </si>
  <si>
    <t>1363,7</t>
  </si>
  <si>
    <t>1362,2</t>
  </si>
  <si>
    <t>ΚΑΡΟΥΝΤΖΟΥ</t>
  </si>
  <si>
    <t>ΑΕ514298</t>
  </si>
  <si>
    <t>1361,9</t>
  </si>
  <si>
    <t>ΜΠΡΟΤΣΗ</t>
  </si>
  <si>
    <t>ΣΤΕΛΛΑ</t>
  </si>
  <si>
    <t>ΑΜ816922</t>
  </si>
  <si>
    <t>1360,5</t>
  </si>
  <si>
    <t>ΤΣΟΥΡΟΥΚΙΔΟΥ</t>
  </si>
  <si>
    <t>ΓΕΣΘΗΜΑΝΗ</t>
  </si>
  <si>
    <t>ΑΚ448084</t>
  </si>
  <si>
    <t>1360,2</t>
  </si>
  <si>
    <t>ΦΡΑΓΚΙΣΚΑΤΟΣ</t>
  </si>
  <si>
    <t>ΑΝΤΩΝΗΣ</t>
  </si>
  <si>
    <t>ΣΠΥΡΟΓΙΑΝΝΗΣ</t>
  </si>
  <si>
    <t>ΑΖ510155</t>
  </si>
  <si>
    <t>1359,3</t>
  </si>
  <si>
    <t>ΚΟΚΚΑ</t>
  </si>
  <si>
    <t>Χ414297</t>
  </si>
  <si>
    <t>1358,7</t>
  </si>
  <si>
    <t>ΤΟΥΜΠΟΥΛΗ</t>
  </si>
  <si>
    <t>Χ769717</t>
  </si>
  <si>
    <t>ΣΕΙΝΤΗΣ</t>
  </si>
  <si>
    <t>ΑΒ794428</t>
  </si>
  <si>
    <t>1356,4</t>
  </si>
  <si>
    <t>ΚΑΤΧΙΩΤΟΥΔΗ</t>
  </si>
  <si>
    <t>ΛΑΜΠΡΙΝΗ ΠΑΣΧΑΛΙΑ</t>
  </si>
  <si>
    <t>ΑΙ081494</t>
  </si>
  <si>
    <t>1355,7</t>
  </si>
  <si>
    <t>ΣΥΜΕΩΝΙΔΟΥ</t>
  </si>
  <si>
    <t>ΑΙ355432</t>
  </si>
  <si>
    <t>ΜΕΛΙΣΣΑΡΗ</t>
  </si>
  <si>
    <t>ΜΕΛΕΤΙΟΣ</t>
  </si>
  <si>
    <t>ΑΝ003952</t>
  </si>
  <si>
    <t>1354,3</t>
  </si>
  <si>
    <t>ΔΗΜΗΤΡΟΠΟΥΛΟΥ</t>
  </si>
  <si>
    <t>ΑΒ752363</t>
  </si>
  <si>
    <t>1353,9</t>
  </si>
  <si>
    <t>ΝΙΚΟΥΛΗ</t>
  </si>
  <si>
    <t>ΑΕ310136</t>
  </si>
  <si>
    <t>856,9</t>
  </si>
  <si>
    <t>1351,9</t>
  </si>
  <si>
    <t>ΑΖ979339</t>
  </si>
  <si>
    <t>687,5</t>
  </si>
  <si>
    <t>1351,5</t>
  </si>
  <si>
    <t>ΜΑΡΤΙΚΑ</t>
  </si>
  <si>
    <t>ΑΗ826705</t>
  </si>
  <si>
    <t>ΜΑΝΟΥΣΕΛΗ</t>
  </si>
  <si>
    <t>ΙΩΣΗΦ</t>
  </si>
  <si>
    <t>ΑΙ964555</t>
  </si>
  <si>
    <t>1348,4</t>
  </si>
  <si>
    <t>ΣΠΥΡΙΔΑΚΗ</t>
  </si>
  <si>
    <t>Χ858885</t>
  </si>
  <si>
    <t>ΓΚΙΛΛΑΣ</t>
  </si>
  <si>
    <t>Χ395480</t>
  </si>
  <si>
    <t>ΣΥΝΤΗΛΑΣ</t>
  </si>
  <si>
    <t>Ξ744952</t>
  </si>
  <si>
    <t>ΒΑΓΙΑΝΝΗΣ</t>
  </si>
  <si>
    <t>Χ919389</t>
  </si>
  <si>
    <t>1346,6</t>
  </si>
  <si>
    <t>ΜΗΤΣΕΛΟΥ</t>
  </si>
  <si>
    <t>ΜΑΡΘΑ ΔΗΜΗΤΡΑ</t>
  </si>
  <si>
    <t>Σ871805</t>
  </si>
  <si>
    <t>688,6</t>
  </si>
  <si>
    <t>ΣΙΒΙΛΙΑ</t>
  </si>
  <si>
    <t>ΑΒ583381</t>
  </si>
  <si>
    <t>1346,2</t>
  </si>
  <si>
    <t>ΑΚ629879</t>
  </si>
  <si>
    <t>1345,4</t>
  </si>
  <si>
    <t>ΜΠΟΙΤΣΗΣ</t>
  </si>
  <si>
    <t>ΙΕΡΕΜΙΑΣ</t>
  </si>
  <si>
    <t>Χ947779</t>
  </si>
  <si>
    <t>666,6</t>
  </si>
  <si>
    <t>1344,6</t>
  </si>
  <si>
    <t>ΓΚΟΥΤΝΑΣ</t>
  </si>
  <si>
    <t>ΑΣΤΕΡΙΟΣ</t>
  </si>
  <si>
    <t>ΑΕ172997</t>
  </si>
  <si>
    <t>707,3</t>
  </si>
  <si>
    <t>1344,3</t>
  </si>
  <si>
    <t>ΜΗΤΡΟΥ</t>
  </si>
  <si>
    <t>ΜΑΡΙΝΑ ΙΩΑΝΝΑ</t>
  </si>
  <si>
    <t>Χ896404</t>
  </si>
  <si>
    <t>1344,1</t>
  </si>
  <si>
    <t>ΜΑΡΟΥΛΗ</t>
  </si>
  <si>
    <t>ΑΚ130588</t>
  </si>
  <si>
    <t>699,6</t>
  </si>
  <si>
    <t>1343,6</t>
  </si>
  <si>
    <t>ΝΑΣΤΟΥΛΗ</t>
  </si>
  <si>
    <t>ΔΕΣΠΟΙΝΑ ΧΡΙΣΤΙΝΑ</t>
  </si>
  <si>
    <t>Χ712471</t>
  </si>
  <si>
    <t>1343,1</t>
  </si>
  <si>
    <t>ΙΟΡΔΑΝΙΔΗΣ</t>
  </si>
  <si>
    <t>ΑΗ154647</t>
  </si>
  <si>
    <t>1342,9</t>
  </si>
  <si>
    <t>ΠΑΤΟΥΚΑ</t>
  </si>
  <si>
    <t>ΖΩΗ</t>
  </si>
  <si>
    <t>ΑΕ320729</t>
  </si>
  <si>
    <t>216-214</t>
  </si>
  <si>
    <t>ΧΡΙΣΤΙΝΑ ΕΡΜΙΟΝΗ</t>
  </si>
  <si>
    <t>ΑΗ947781</t>
  </si>
  <si>
    <t>1340,2</t>
  </si>
  <si>
    <t>ΚΥΠΡΙΑΝΙΔΟΥ</t>
  </si>
  <si>
    <t>ΑΖ371704</t>
  </si>
  <si>
    <t>ΚΑΛΛΙΤΣΗΣ</t>
  </si>
  <si>
    <t>Χ379081</t>
  </si>
  <si>
    <t>1339,7</t>
  </si>
  <si>
    <t>ΔΑΦΝΗ</t>
  </si>
  <si>
    <t>Χ257472</t>
  </si>
  <si>
    <t>1339,2</t>
  </si>
  <si>
    <t>ΤΣΑΠΑΤΣΑΡΗΣ</t>
  </si>
  <si>
    <t>ΑΕ789737</t>
  </si>
  <si>
    <t>679,8</t>
  </si>
  <si>
    <t>1337,8</t>
  </si>
  <si>
    <t>ΓΟΥΣΙΑ</t>
  </si>
  <si>
    <t>Φ091806</t>
  </si>
  <si>
    <t>ΑΡΣΕΝΙΟΥ</t>
  </si>
  <si>
    <t>ΑΕ326832</t>
  </si>
  <si>
    <t>1337,5</t>
  </si>
  <si>
    <t>ΝΙΚΟΠΟΥΛΟΣ</t>
  </si>
  <si>
    <t>ΑΚ996635</t>
  </si>
  <si>
    <t>775,5</t>
  </si>
  <si>
    <t>ΚΟΥΤΡΟΛΙΚΟΥ</t>
  </si>
  <si>
    <t>ΑΚ238380</t>
  </si>
  <si>
    <t>1337,2</t>
  </si>
  <si>
    <t>ΚΑΡΑΒΑΣΙΛΗ</t>
  </si>
  <si>
    <t>ΑΗ697327</t>
  </si>
  <si>
    <t>ΑΜ412860</t>
  </si>
  <si>
    <t>1333,6</t>
  </si>
  <si>
    <t>ΚΕΡΑΜΙΔΑΣ</t>
  </si>
  <si>
    <t>ΑΕ978276</t>
  </si>
  <si>
    <t>1332,3</t>
  </si>
  <si>
    <t>ΣΥΝΤΟΥΔΗ</t>
  </si>
  <si>
    <t>ΑΙ740425</t>
  </si>
  <si>
    <t>1332,1</t>
  </si>
  <si>
    <t>ΑΙ427174</t>
  </si>
  <si>
    <t>ΜΠΟΥΜΠΟΥΝΑ</t>
  </si>
  <si>
    <t>ΑΖ192247</t>
  </si>
  <si>
    <t>1331,9</t>
  </si>
  <si>
    <t>ΣΑΚΕΛΛΑΡΗ</t>
  </si>
  <si>
    <t>ΝΙΚΗ</t>
  </si>
  <si>
    <t>ΑΒ428454</t>
  </si>
  <si>
    <t>1330,2</t>
  </si>
  <si>
    <t>ΣΑΚΑΤΟΣ</t>
  </si>
  <si>
    <t>ΑΒ049702</t>
  </si>
  <si>
    <t>1330,1</t>
  </si>
  <si>
    <t>ΝΤΑΛΟΥ</t>
  </si>
  <si>
    <t>ΑΙ833945</t>
  </si>
  <si>
    <t>1329,7</t>
  </si>
  <si>
    <t>Ρ991551</t>
  </si>
  <si>
    <t>1326,4</t>
  </si>
  <si>
    <t>ΑΚ767222</t>
  </si>
  <si>
    <t>ΑΝΔΡΙΩΤΗ</t>
  </si>
  <si>
    <t>ΜΕΝΕΛΑΟΣ</t>
  </si>
  <si>
    <t>Χ232426</t>
  </si>
  <si>
    <t>1324,4</t>
  </si>
  <si>
    <t>216-215-213-214</t>
  </si>
  <si>
    <t>ΚΩΝΣΤΑΝΤΟΠΟΥΛΟΥ</t>
  </si>
  <si>
    <t>ΑΖ026393</t>
  </si>
  <si>
    <t>706,2</t>
  </si>
  <si>
    <t>1324,2</t>
  </si>
  <si>
    <t>ΚΛΟΥΚΙΝΙΩΤΗ</t>
  </si>
  <si>
    <t>ΜΥΡΣΙΝΗ</t>
  </si>
  <si>
    <t>Χ803961</t>
  </si>
  <si>
    <t>1323,8</t>
  </si>
  <si>
    <t>ΨΥΡΡΑΣ</t>
  </si>
  <si>
    <t>ΑΙ697686</t>
  </si>
  <si>
    <t>1322,6</t>
  </si>
  <si>
    <t>ΛΑΙΟΥ</t>
  </si>
  <si>
    <t>Χ913719</t>
  </si>
  <si>
    <t>1322,1</t>
  </si>
  <si>
    <t>ΑΝΥΦΑΝΤΗ</t>
  </si>
  <si>
    <t>ΑΗ505450</t>
  </si>
  <si>
    <t>ΣΑΡΑΦΗΣ</t>
  </si>
  <si>
    <t>Χ559923</t>
  </si>
  <si>
    <t>1321,1</t>
  </si>
  <si>
    <t>ΣΟΥΕΝΤΙΕ</t>
  </si>
  <si>
    <t>ΝΙΖΑΡ-ΑΝΤΩΝΙΟΣ</t>
  </si>
  <si>
    <t>Χ294970</t>
  </si>
  <si>
    <t>684,2</t>
  </si>
  <si>
    <t>1320,2</t>
  </si>
  <si>
    <t>ΡΟΥΚΗ</t>
  </si>
  <si>
    <t>ΑΜ766501</t>
  </si>
  <si>
    <t>ΣΙΜΟΣ</t>
  </si>
  <si>
    <t>ΑΖ929804</t>
  </si>
  <si>
    <t>1319,7</t>
  </si>
  <si>
    <t>ΑΝΑΓΝΩΣΤΟΠΟΥΛΟΥ</t>
  </si>
  <si>
    <t>ΑΑ323692</t>
  </si>
  <si>
    <t>ΤΣΙΩΛΗΣ</t>
  </si>
  <si>
    <t>ΑΒ018606</t>
  </si>
  <si>
    <t>1317,3</t>
  </si>
  <si>
    <t>ΣΑΡΔΕΛΗΣ</t>
  </si>
  <si>
    <t>ΑΖ038216</t>
  </si>
  <si>
    <t>1316,5</t>
  </si>
  <si>
    <t>ΓΡΙΒΑ</t>
  </si>
  <si>
    <t>ΑΝΔΡΙΑΝΗ</t>
  </si>
  <si>
    <t>Χ713363</t>
  </si>
  <si>
    <t>ΒΑΣΙΛΕΙΑΔΟΥ</t>
  </si>
  <si>
    <t>ΑΙ389733</t>
  </si>
  <si>
    <t>1316,3</t>
  </si>
  <si>
    <t>ΔΕΣΥΠΡΗΣ</t>
  </si>
  <si>
    <t>ΑΕ048164</t>
  </si>
  <si>
    <t>ΠΑΝΑΓΑΚΟΥ</t>
  </si>
  <si>
    <t>ΕΥΦΡΟΣΥΝΗ</t>
  </si>
  <si>
    <t>ΑΒ249383</t>
  </si>
  <si>
    <t>985,6</t>
  </si>
  <si>
    <t>1314,6</t>
  </si>
  <si>
    <t>ΚΑΒΟΥΡΙΔΟΥ</t>
  </si>
  <si>
    <t>ΑΗ791223</t>
  </si>
  <si>
    <t>1314,2</t>
  </si>
  <si>
    <t>ΚΕΚΟΥ</t>
  </si>
  <si>
    <t>Χ181935</t>
  </si>
  <si>
    <t>ΘΕΟΔΟΣΑΚΗ</t>
  </si>
  <si>
    <t>ΜΑΡΓΑΡΙΤΑ</t>
  </si>
  <si>
    <t>Χ070092</t>
  </si>
  <si>
    <t>1314,1</t>
  </si>
  <si>
    <t>ΠΙΓΚΑ ΜΠΑΛΑΝΙΚΑ</t>
  </si>
  <si>
    <t>Χ801400</t>
  </si>
  <si>
    <t>ΠΑΠΑΒΑΣΙΛΕΙΟΥ</t>
  </si>
  <si>
    <t>Χ389010</t>
  </si>
  <si>
    <t>1312,8</t>
  </si>
  <si>
    <t>ΚΡΟΥΠΑΣ</t>
  </si>
  <si>
    <t>ΑΖ666340</t>
  </si>
  <si>
    <t>664,4</t>
  </si>
  <si>
    <t>1312,4</t>
  </si>
  <si>
    <t>ΚΟΥΤΣΙΑΡΗ</t>
  </si>
  <si>
    <t>ΑΙ314664</t>
  </si>
  <si>
    <t>1312,3</t>
  </si>
  <si>
    <t>215-216</t>
  </si>
  <si>
    <t>ΧΡΙΣΤΟΔΟΥΛΟΠΟΥΛΟΣ</t>
  </si>
  <si>
    <t>Χ591251</t>
  </si>
  <si>
    <t>1311,7</t>
  </si>
  <si>
    <t>ΠΑΠΑΗΛΙΟΠΟΥΛΟΥ</t>
  </si>
  <si>
    <t>Χ655405</t>
  </si>
  <si>
    <t>1311,5</t>
  </si>
  <si>
    <t>ΑΙ797061</t>
  </si>
  <si>
    <t>ΖΑΡΚΑΔΟΥΛΑΣ</t>
  </si>
  <si>
    <t>Χ009858</t>
  </si>
  <si>
    <t>1310,4</t>
  </si>
  <si>
    <t>ΑΗ978040</t>
  </si>
  <si>
    <t>1309,3</t>
  </si>
  <si>
    <t>ΤΣΕΡΚΕΖΟΣ</t>
  </si>
  <si>
    <t>ΔΙΚΑΙΟΣ</t>
  </si>
  <si>
    <t>Χ114818</t>
  </si>
  <si>
    <t>908,6</t>
  </si>
  <si>
    <t>1306,6</t>
  </si>
  <si>
    <t>ΒΙΚΤΩΡΙΑ</t>
  </si>
  <si>
    <t>ΑΙ867789</t>
  </si>
  <si>
    <t>ΓΑΛΑΝΗΣ</t>
  </si>
  <si>
    <t>Χ271022</t>
  </si>
  <si>
    <t>1306,4</t>
  </si>
  <si>
    <t>ΑΖ647900</t>
  </si>
  <si>
    <t>1304,8</t>
  </si>
  <si>
    <t>ΚΑΔΟΓΛΟΥ</t>
  </si>
  <si>
    <t>ΑΕ791332</t>
  </si>
  <si>
    <t>1304,4</t>
  </si>
  <si>
    <t>ΑΓΓΕΛΗΣ</t>
  </si>
  <si>
    <t>ΑΒ832350</t>
  </si>
  <si>
    <t>ΤΣΙΑΣΤΑ</t>
  </si>
  <si>
    <t>ΑΑ851441</t>
  </si>
  <si>
    <t>1301,9</t>
  </si>
  <si>
    <t>ΔΟΥΓΑΝΙΩΤΗ</t>
  </si>
  <si>
    <t>ΣΤΕΦΑΝΙΑ</t>
  </si>
  <si>
    <t>ΑΑ278739</t>
  </si>
  <si>
    <t>875,6</t>
  </si>
  <si>
    <t>1301,6</t>
  </si>
  <si>
    <t>ΜΩΡΑΙΤΟΥ</t>
  </si>
  <si>
    <t>ΒΑΣΙΛEIA</t>
  </si>
  <si>
    <t>ΑΑ234800</t>
  </si>
  <si>
    <t>1300,8</t>
  </si>
  <si>
    <t>ΣΤΑΜΚΟΣ</t>
  </si>
  <si>
    <t>Χ389594</t>
  </si>
  <si>
    <t>1300,4</t>
  </si>
  <si>
    <t>ΚΑΡΑΚΩΣΤΑ</t>
  </si>
  <si>
    <t>Φ225092</t>
  </si>
  <si>
    <t>1299,7</t>
  </si>
  <si>
    <t>ΑΝ021400</t>
  </si>
  <si>
    <t>1299,5</t>
  </si>
  <si>
    <t>ΑΝ318070</t>
  </si>
  <si>
    <t>651,2</t>
  </si>
  <si>
    <t>1299,2</t>
  </si>
  <si>
    <t>ΣΙΟΥΤΗΣ</t>
  </si>
  <si>
    <t>Χ586374</t>
  </si>
  <si>
    <t>1298,9</t>
  </si>
  <si>
    <t>ΤΣΙΑΛΜΑ</t>
  </si>
  <si>
    <t>Ρ858554</t>
  </si>
  <si>
    <t>1297,9</t>
  </si>
  <si>
    <t>ΜΥΛΩΝΑΣ</t>
  </si>
  <si>
    <t>Σ956511</t>
  </si>
  <si>
    <t>784,3</t>
  </si>
  <si>
    <t>1297,3</t>
  </si>
  <si>
    <t>ΜΠΟΥΖΟΥΚΗ</t>
  </si>
  <si>
    <t>ΑΜ820073</t>
  </si>
  <si>
    <t>1296,8</t>
  </si>
  <si>
    <t>ΜΕΣΙΑΡΗ</t>
  </si>
  <si>
    <t>ΙΟΥΛΙΑ</t>
  </si>
  <si>
    <t>ΜΟΣΧΟΣ</t>
  </si>
  <si>
    <t>Χ233980</t>
  </si>
  <si>
    <t>1296,6</t>
  </si>
  <si>
    <t>ΘΩΜΑ</t>
  </si>
  <si>
    <t>ΦΩΤΕΙΝΗ ΑΝΝΑ</t>
  </si>
  <si>
    <t>Φ282251</t>
  </si>
  <si>
    <t>1296,4</t>
  </si>
  <si>
    <t>ΚΑΡΑΣΤΑΤΗΡΗΣ</t>
  </si>
  <si>
    <t>ΑΕ604953</t>
  </si>
  <si>
    <t>Τ351184</t>
  </si>
  <si>
    <t>1295,6</t>
  </si>
  <si>
    <t>ΝΤΡΙΒΑΛΑ</t>
  </si>
  <si>
    <t>Π991735</t>
  </si>
  <si>
    <t>771,1</t>
  </si>
  <si>
    <t>1295,1</t>
  </si>
  <si>
    <t>ΜΠΑΣΔΕΚΗ</t>
  </si>
  <si>
    <t>ΜΑΡΙΑ ΑΝΝΑ</t>
  </si>
  <si>
    <t>Χ923091</t>
  </si>
  <si>
    <t>1294,7</t>
  </si>
  <si>
    <t>ΜΠΙΘΙΚΟΥΚΗ</t>
  </si>
  <si>
    <t>ΕΥΔΟΚΙΑ</t>
  </si>
  <si>
    <t>ΑΖ489285</t>
  </si>
  <si>
    <t>ΦΙΛΙΝΗΣ</t>
  </si>
  <si>
    <t>ΑΝΔΡΙΑΝΟΣ</t>
  </si>
  <si>
    <t>ΑΙ059469</t>
  </si>
  <si>
    <t>1293,1</t>
  </si>
  <si>
    <t>ΔΟΣΧΟΡΗ</t>
  </si>
  <si>
    <t>Ρ371671</t>
  </si>
  <si>
    <t>1292,3</t>
  </si>
  <si>
    <t>ΣΠΑΣΟΥ</t>
  </si>
  <si>
    <t>Χ821242</t>
  </si>
  <si>
    <t>1289,8</t>
  </si>
  <si>
    <t>ΧΑΤΖΗΜΑΝΩΛΗ</t>
  </si>
  <si>
    <t>Ν890250</t>
  </si>
  <si>
    <t>1288,7</t>
  </si>
  <si>
    <t>ΓΩΤΗ</t>
  </si>
  <si>
    <t>ΑΒ389962</t>
  </si>
  <si>
    <t>1288,4</t>
  </si>
  <si>
    <t>ΣΤΑΜΟΥΛΟΥ</t>
  </si>
  <si>
    <t>ΒΙΡΓΙΝΙΑ</t>
  </si>
  <si>
    <t>ΑΒ472225</t>
  </si>
  <si>
    <t>1288,1</t>
  </si>
  <si>
    <t>ΓΙΑΝΝΕΛΟΥ</t>
  </si>
  <si>
    <t>ΑΖ904275</t>
  </si>
  <si>
    <t>1287,6</t>
  </si>
  <si>
    <t>ΧΑΡΑΛΑΜΠΟΠΟΥΛΟΥ</t>
  </si>
  <si>
    <t>ΑΣΗΜΟΥΛΑ</t>
  </si>
  <si>
    <t>ΑΙ514060</t>
  </si>
  <si>
    <t>ΕΥΘΑΛΙΤΣΙΔΟΥ</t>
  </si>
  <si>
    <t>Φ275339</t>
  </si>
  <si>
    <t>1286,3</t>
  </si>
  <si>
    <t>ΠΑΤΣΙΑΒΟΥΔΗ</t>
  </si>
  <si>
    <t>ΑΕ833669</t>
  </si>
  <si>
    <t>ΜΠΕΤΑ</t>
  </si>
  <si>
    <t>ΑΙ867851</t>
  </si>
  <si>
    <t>1285,8</t>
  </si>
  <si>
    <t>ΞΑΝΘΗ</t>
  </si>
  <si>
    <t>Ρ948895</t>
  </si>
  <si>
    <t>697,4</t>
  </si>
  <si>
    <t>1285,4</t>
  </si>
  <si>
    <t>ΚΑΡΛΗ</t>
  </si>
  <si>
    <t>Χ215364</t>
  </si>
  <si>
    <t>1284,9</t>
  </si>
  <si>
    <t>ΣΕΒΔΑΛΗ</t>
  </si>
  <si>
    <t>Σ453030</t>
  </si>
  <si>
    <t>1284,3</t>
  </si>
  <si>
    <t>ΠΟΛΥΖΩΙΔΟΥ</t>
  </si>
  <si>
    <t>Χ771771</t>
  </si>
  <si>
    <t>1282,5</t>
  </si>
  <si>
    <t>ΧΑΝΤΖΙΑΡΑ</t>
  </si>
  <si>
    <t>Τ910050</t>
  </si>
  <si>
    <t>1282,1</t>
  </si>
  <si>
    <t>ΛΑΜΠΡΙΝΟΥ</t>
  </si>
  <si>
    <t>ΕΛΕΝΗ-ΜΑΡΙΑ</t>
  </si>
  <si>
    <t>ΑΙ638619</t>
  </si>
  <si>
    <t>ΔΙΑΜΑΝΤΑ</t>
  </si>
  <si>
    <t>ΣΤΑΜΟΣ</t>
  </si>
  <si>
    <t>ΑΒ100399</t>
  </si>
  <si>
    <t>1281,1</t>
  </si>
  <si>
    <t>ΜΟΥΡΜΟΥΡΗ</t>
  </si>
  <si>
    <t>ΑΙ551869</t>
  </si>
  <si>
    <t>1276,7</t>
  </si>
  <si>
    <t>ΚΥΡΙΤΣΟΠΟΥΛΟΣ</t>
  </si>
  <si>
    <t>ΑΚ966646</t>
  </si>
  <si>
    <t>1275,8</t>
  </si>
  <si>
    <t>ΗΛΙΟΚΑΥΤΟΣ</t>
  </si>
  <si>
    <t>ΑΖ012784</t>
  </si>
  <si>
    <t>1275,5</t>
  </si>
  <si>
    <t>ΜΠΟΥΚΟΥΡΑΚΗΣ</t>
  </si>
  <si>
    <t>Χ978100</t>
  </si>
  <si>
    <t>1274,8</t>
  </si>
  <si>
    <t>205-206-207-208-209-210-211-212-214-215-216-201-203-202-204</t>
  </si>
  <si>
    <t>ΛΙΑΜΠΟΥ</t>
  </si>
  <si>
    <t>Π499874</t>
  </si>
  <si>
    <t>1274,7</t>
  </si>
  <si>
    <t>ΤΖΙΜΟΥΡΤΟΥ</t>
  </si>
  <si>
    <t>ΑΙ355968</t>
  </si>
  <si>
    <t>1274,4</t>
  </si>
  <si>
    <t>ΠΑΠΑΝΔΡΕΟΥ</t>
  </si>
  <si>
    <t>Χ298914</t>
  </si>
  <si>
    <t>680,9</t>
  </si>
  <si>
    <t>1272,9</t>
  </si>
  <si>
    <t>ΠΛΗΓΙΑΡΗ</t>
  </si>
  <si>
    <t>ΣΩΤΗΡΙΑ</t>
  </si>
  <si>
    <t>ΑΒ836545</t>
  </si>
  <si>
    <t>888,8</t>
  </si>
  <si>
    <t>1270,8</t>
  </si>
  <si>
    <t>ΒΑΣΙΛΑΚΟΠΟΥΛΟΥ</t>
  </si>
  <si>
    <t>Χ510776</t>
  </si>
  <si>
    <t>1270,1</t>
  </si>
  <si>
    <t>ΧΡΙΣΤΟΔΟΥΛΙΔΗΣ</t>
  </si>
  <si>
    <t>ΑΑ014385</t>
  </si>
  <si>
    <t>611,6</t>
  </si>
  <si>
    <t>1269,6</t>
  </si>
  <si>
    <t>ΚΩΣΤΑΡΕΛΛΗ</t>
  </si>
  <si>
    <t>Σ385081</t>
  </si>
  <si>
    <t>1269,1</t>
  </si>
  <si>
    <t>ΤΣΟΡΑΓΛΟΥ</t>
  </si>
  <si>
    <t>ΓΙΑΣΕΜΗ ΕΙΡΗΝΗ</t>
  </si>
  <si>
    <t>ΑΑ369735</t>
  </si>
  <si>
    <t>ΚΟΛΑΙΤΗ</t>
  </si>
  <si>
    <t>ΑΒ521958</t>
  </si>
  <si>
    <t>1268,7</t>
  </si>
  <si>
    <t>215-214-212</t>
  </si>
  <si>
    <t>ΧΗΤΑ</t>
  </si>
  <si>
    <t>Χ414221</t>
  </si>
  <si>
    <t>798,6</t>
  </si>
  <si>
    <t>1267,6</t>
  </si>
  <si>
    <t>ΛΕΛΛΗ</t>
  </si>
  <si>
    <t>ΜΑΡΙΑ - ΗΛΙΑ</t>
  </si>
  <si>
    <t>ΑΖ262257</t>
  </si>
  <si>
    <t>ΑΝΔΡΙΤΣΑΚΗ</t>
  </si>
  <si>
    <t>ΕΛΕΝΗ ΑΝΝΑ</t>
  </si>
  <si>
    <t>ΑΑ048135</t>
  </si>
  <si>
    <t>1265,8</t>
  </si>
  <si>
    <t>ΒΡΕΝΤΖΟΥ</t>
  </si>
  <si>
    <t>ΑΕ970247</t>
  </si>
  <si>
    <t>1263,7</t>
  </si>
  <si>
    <t>ΠΑΓΑΝΟΥ</t>
  </si>
  <si>
    <t>ΣΑΒΒΙΝΑ</t>
  </si>
  <si>
    <t>ΑΗ303673</t>
  </si>
  <si>
    <t>ΒΑΡΔΙΑΜΠΑΣΗ</t>
  </si>
  <si>
    <t>Σ957313</t>
  </si>
  <si>
    <t>1260,4</t>
  </si>
  <si>
    <t>ΣΠΙΝΤΙΟΥ</t>
  </si>
  <si>
    <t>ΑΗ349731</t>
  </si>
  <si>
    <t>Χ883169</t>
  </si>
  <si>
    <t>ΙΑΚΩΒΑΚΗ</t>
  </si>
  <si>
    <t>ΚΑΣΣΙΑΝΗ</t>
  </si>
  <si>
    <t>ΑΖ767595</t>
  </si>
  <si>
    <t>988,9</t>
  </si>
  <si>
    <t>1258,9</t>
  </si>
  <si>
    <t>ΛΟΓΙΩΤΑΤΟΥ</t>
  </si>
  <si>
    <t>ΑΒ424813</t>
  </si>
  <si>
    <t>1255,1</t>
  </si>
  <si>
    <t>ΚΕΣΑΠΙΔΟΥ</t>
  </si>
  <si>
    <t>ΑΑ239664</t>
  </si>
  <si>
    <t>1254,6</t>
  </si>
  <si>
    <t>ΛΙΑΔΑΚΗΣ</t>
  </si>
  <si>
    <t>ΑΙ500561</t>
  </si>
  <si>
    <t>1253,9</t>
  </si>
  <si>
    <t>ΜΠΑΜΠΑΓΕΝΕ</t>
  </si>
  <si>
    <t>Χ084870</t>
  </si>
  <si>
    <t>1251,9</t>
  </si>
  <si>
    <t>ΔΑΔΙΩΤΗ</t>
  </si>
  <si>
    <t>Χ077124</t>
  </si>
  <si>
    <t>ΚΩΝΣΤΑΝΤΙΝΙΔΟΥ</t>
  </si>
  <si>
    <t>ΣΜΑΡΩ</t>
  </si>
  <si>
    <t>ΑΚ926598</t>
  </si>
  <si>
    <t>1250,5</t>
  </si>
  <si>
    <t>ΜΑΚΡΟΠΟΥΛΟΥ</t>
  </si>
  <si>
    <t>ΧΑΡΙΤΩΜΕΝΗ</t>
  </si>
  <si>
    <t>Π038993</t>
  </si>
  <si>
    <t>1250,1</t>
  </si>
  <si>
    <t>ΒΙΕΝΝΑΣ</t>
  </si>
  <si>
    <t>Σ238105</t>
  </si>
  <si>
    <t>1248,6</t>
  </si>
  <si>
    <t>ΓΙΑΝΝΟΓΛΟΥ</t>
  </si>
  <si>
    <t>ΕΥΤΥΧΙΟΣ</t>
  </si>
  <si>
    <t>Χ419894</t>
  </si>
  <si>
    <t>1247,8</t>
  </si>
  <si>
    <t>ΜΑΡΤΗ</t>
  </si>
  <si>
    <t>ΑΒ158526</t>
  </si>
  <si>
    <t>1246,8</t>
  </si>
  <si>
    <t>ΠΝΕΥΜΑΤΙΚΟΥΔΗ</t>
  </si>
  <si>
    <t>Χ499569</t>
  </si>
  <si>
    <t>926,2</t>
  </si>
  <si>
    <t>1246,2</t>
  </si>
  <si>
    <t>ΚΡΑΝΑΣ</t>
  </si>
  <si>
    <t>Μ856539</t>
  </si>
  <si>
    <t>1244,7</t>
  </si>
  <si>
    <t>ΚΟΝΤΟΓΕΩΡΓΟΣ</t>
  </si>
  <si>
    <t>ΞΕΝΟΦΩΝ</t>
  </si>
  <si>
    <t>ΑΕ613192</t>
  </si>
  <si>
    <t>ΛΙΩΛΗ</t>
  </si>
  <si>
    <t>Χ173933</t>
  </si>
  <si>
    <t>1242,1</t>
  </si>
  <si>
    <t>ΜΑΚΡΥΓΙΩΡΓΟΣ</t>
  </si>
  <si>
    <t>ΒΑΣΙΛΗΣ</t>
  </si>
  <si>
    <t>ΑΖ709223</t>
  </si>
  <si>
    <t>623,7</t>
  </si>
  <si>
    <t>1241,7</t>
  </si>
  <si>
    <t>ΑΖ514430</t>
  </si>
  <si>
    <t>ΒΑΡΒΕΡΑΚΗ</t>
  </si>
  <si>
    <t>ΠΑΡΑΣΚΕΥΗ ΜΑΡΙΝΑ</t>
  </si>
  <si>
    <t>Φ016998</t>
  </si>
  <si>
    <t>ΣΩΚΟΥ</t>
  </si>
  <si>
    <t>ΜΑΡΘΑ</t>
  </si>
  <si>
    <t>ΑΖ219361</t>
  </si>
  <si>
    <t>1238,3</t>
  </si>
  <si>
    <t>ΣΙΣΜΑΝΙΔΗΣ</t>
  </si>
  <si>
    <t>ΚΛΕΑΝΘΗΣ ΝΙΚΟΛΑΟΣ</t>
  </si>
  <si>
    <t>ΔΗΜΗΤΡΙΟΣ ΑΡΓΥΡΙΟΣ</t>
  </si>
  <si>
    <t>ΑΕ542550</t>
  </si>
  <si>
    <t>619,3</t>
  </si>
  <si>
    <t>1237,3</t>
  </si>
  <si>
    <t>ΚΩΝΣΤΑΝΤΙΝΑ ΕΙΡΗΝΗ</t>
  </si>
  <si>
    <t>Χ299132</t>
  </si>
  <si>
    <t>1237,1</t>
  </si>
  <si>
    <t>ΔΡΑΚΩΝΑΚΗ</t>
  </si>
  <si>
    <t>ΑΒ185659</t>
  </si>
  <si>
    <t>1234,8</t>
  </si>
  <si>
    <t>ΤΕΜΠΟΝΕΡΑΣ</t>
  </si>
  <si>
    <t>Χ681274</t>
  </si>
  <si>
    <t>1233,2</t>
  </si>
  <si>
    <t>ΓΕΩΡΓΑΚΛΗΣ</t>
  </si>
  <si>
    <t>ΑΜ031194</t>
  </si>
  <si>
    <t>1232,6</t>
  </si>
  <si>
    <t>ΑΗ460896</t>
  </si>
  <si>
    <t>1231,4</t>
  </si>
  <si>
    <t>ΜΑΡΑΚΗ</t>
  </si>
  <si>
    <t>ΖΗΝΟΒΙΑ</t>
  </si>
  <si>
    <t>ΑΥΓΟΥΣΤΙΝΟΣ</t>
  </si>
  <si>
    <t>Χ200358</t>
  </si>
  <si>
    <t>1230,5</t>
  </si>
  <si>
    <t>ΒΑΣΑΛΑΚΗΣ</t>
  </si>
  <si>
    <t>Χ107196</t>
  </si>
  <si>
    <t>925,1</t>
  </si>
  <si>
    <t>1230,1</t>
  </si>
  <si>
    <t>ΧΡΙΣΤΙΝΑ-ΙΩΑΝΝΑ</t>
  </si>
  <si>
    <t>ΘΕΟΧΑΡΗΣ</t>
  </si>
  <si>
    <t>ΑΚ978870</t>
  </si>
  <si>
    <t>ΜΑΥΡΙΔΗΣ</t>
  </si>
  <si>
    <t>ΜΑΥΡΟΥΔΗΣ</t>
  </si>
  <si>
    <t>Χ974510</t>
  </si>
  <si>
    <t>ΖΑΤΑ</t>
  </si>
  <si>
    <t>ΜΑΤΘΑΙΟΣ</t>
  </si>
  <si>
    <t>Τ352491</t>
  </si>
  <si>
    <t>1229,5</t>
  </si>
  <si>
    <t>ΣΚΑΡΠΟΥ</t>
  </si>
  <si>
    <t>ΑΜ363962</t>
  </si>
  <si>
    <t>1226,9</t>
  </si>
  <si>
    <t>ΠΑΠΙΚΑ</t>
  </si>
  <si>
    <t>ΑΘΗΝΑ-ΜΑΡΙΑ</t>
  </si>
  <si>
    <t>Π978641</t>
  </si>
  <si>
    <t>608,3</t>
  </si>
  <si>
    <t>1226,3</t>
  </si>
  <si>
    <t>ΤΡΟΜΠΟΥΚΗΣ</t>
  </si>
  <si>
    <t>ΑΕ282622</t>
  </si>
  <si>
    <t>1225,2</t>
  </si>
  <si>
    <t>ΓΚΟΡΟΣ</t>
  </si>
  <si>
    <t>ΑΙ592488</t>
  </si>
  <si>
    <t>882,2</t>
  </si>
  <si>
    <t>1224,2</t>
  </si>
  <si>
    <t>ΜΑΚΑΤΣΙΑΝΟΥ</t>
  </si>
  <si>
    <t>ΑΙ307900</t>
  </si>
  <si>
    <t>ΚΟΚΚΑΛΗΣ</t>
  </si>
  <si>
    <t>ΑΖ772743</t>
  </si>
  <si>
    <t>1223,3</t>
  </si>
  <si>
    <t>ΤΖΟΥΜΑΝΗΣ</t>
  </si>
  <si>
    <t>ΑΗ563645</t>
  </si>
  <si>
    <t>1222,5</t>
  </si>
  <si>
    <t>ΑΙ663371</t>
  </si>
  <si>
    <t>602,8</t>
  </si>
  <si>
    <t>1220,8</t>
  </si>
  <si>
    <t>ΓΚΙΡΚΙΖΑΣ</t>
  </si>
  <si>
    <t>Ρ021231</t>
  </si>
  <si>
    <t>1220,7</t>
  </si>
  <si>
    <t>ΑΖ069451</t>
  </si>
  <si>
    <t>1218,7</t>
  </si>
  <si>
    <t>ΒΙΟΛΑΝΘΗ</t>
  </si>
  <si>
    <t>Τ881927</t>
  </si>
  <si>
    <t>1218,2</t>
  </si>
  <si>
    <t>ΑΘΑΝΑΣΙΑΔΗΣ</t>
  </si>
  <si>
    <t>ΑΗ046617</t>
  </si>
  <si>
    <t>ΝΤΟΥΣΙΚΟΥ</t>
  </si>
  <si>
    <t>ΑΖ499450</t>
  </si>
  <si>
    <t>1217,1</t>
  </si>
  <si>
    <t>ΚΑΡΑΜΑΝΩΛΗ</t>
  </si>
  <si>
    <t>ΑΑ440623</t>
  </si>
  <si>
    <t>ΤΣΙΜΠΛΗΣ</t>
  </si>
  <si>
    <t>ΑΗ608182</t>
  </si>
  <si>
    <t>1215,2</t>
  </si>
  <si>
    <t>ΣΤΑΜΑΤΙΟΥ</t>
  </si>
  <si>
    <t>ΑΚ759164</t>
  </si>
  <si>
    <t>1214,2</t>
  </si>
  <si>
    <t>ΜΑΡΚΑΚΗ</t>
  </si>
  <si>
    <t>ΑΑ373658</t>
  </si>
  <si>
    <t>1212,3</t>
  </si>
  <si>
    <t>ΦΡΑΓΚΑΚΗ</t>
  </si>
  <si>
    <t>ΑΗ160983</t>
  </si>
  <si>
    <t>1212,2</t>
  </si>
  <si>
    <t>ΣΤΡΑΒΟΣΝΙΧΗΣ</t>
  </si>
  <si>
    <t>ΑΚ134425</t>
  </si>
  <si>
    <t>1211,7</t>
  </si>
  <si>
    <t>ΛΑΖΑΡΙΔΗΣ</t>
  </si>
  <si>
    <t>Σ035946</t>
  </si>
  <si>
    <t>ΜΥΛΩΝΑΚΟΣ</t>
  </si>
  <si>
    <t>ΑΑ315453</t>
  </si>
  <si>
    <t>1209,7</t>
  </si>
  <si>
    <t>ΧΟΝΔΡΟΓΙΑΝΝΗΣ</t>
  </si>
  <si>
    <t>ΑΙ691529</t>
  </si>
  <si>
    <t>ΧΑΤΖΗΒΑΣΙΛΕΙΟΥ</t>
  </si>
  <si>
    <t>ΣΤΕΡΓΙΑΝΗ</t>
  </si>
  <si>
    <t>ΑΜ875559</t>
  </si>
  <si>
    <t>1207,1</t>
  </si>
  <si>
    <t>ΜΕΛΕΤΗ</t>
  </si>
  <si>
    <t>Χ187984</t>
  </si>
  <si>
    <t>1206,8</t>
  </si>
  <si>
    <t>ΒΑΙΟΥΛΗΣ</t>
  </si>
  <si>
    <t>Φ474513</t>
  </si>
  <si>
    <t>ΣΤΥΛΙΑΔΟΥ</t>
  </si>
  <si>
    <t>Χ879846</t>
  </si>
  <si>
    <t>1203,5</t>
  </si>
  <si>
    <t>ΛΙΟΝΤΟΥ</t>
  </si>
  <si>
    <t>ΑΖ242041</t>
  </si>
  <si>
    <t>1203,3</t>
  </si>
  <si>
    <t>ΑΓΟΡΑΣΤΟΣ</t>
  </si>
  <si>
    <t>ΑΖ761964</t>
  </si>
  <si>
    <t>1200,6</t>
  </si>
  <si>
    <t>ΝΕΟΦΥΤΟΣ</t>
  </si>
  <si>
    <t>Χ415380</t>
  </si>
  <si>
    <t>610,5</t>
  </si>
  <si>
    <t>1198,5</t>
  </si>
  <si>
    <t>ΔΗΜΗΤΡΟΥΛΑ</t>
  </si>
  <si>
    <t>ΑΖ251251</t>
  </si>
  <si>
    <t>750,2</t>
  </si>
  <si>
    <t>1198,2</t>
  </si>
  <si>
    <t>ΝΟΤΑΡΑ</t>
  </si>
  <si>
    <t>ΚΑΤΕΡΙΝΑ-ΜΥΡΤΩ</t>
  </si>
  <si>
    <t>Χ335682</t>
  </si>
  <si>
    <t>1196,9</t>
  </si>
  <si>
    <t>ΖΙΟΥΠΟΥ</t>
  </si>
  <si>
    <t>ΑΕ092358</t>
  </si>
  <si>
    <t>1196,2</t>
  </si>
  <si>
    <t>Χ079791</t>
  </si>
  <si>
    <t>1193,7</t>
  </si>
  <si>
    <t>ΖΑΡΡΑ</t>
  </si>
  <si>
    <t>ΒΑΝΕΣΣΑ-ΒΑΙΑ</t>
  </si>
  <si>
    <t>Χ365770</t>
  </si>
  <si>
    <t>915,2</t>
  </si>
  <si>
    <t>1192,2</t>
  </si>
  <si>
    <t>ΣΤΑΜΛΑΚΟΥ</t>
  </si>
  <si>
    <t>ΑΣΠΑΣΙΑ</t>
  </si>
  <si>
    <t>ΑΑ390280</t>
  </si>
  <si>
    <t>ΜΑΛΑΠΕΤΣΑ</t>
  </si>
  <si>
    <t>ΓΕΩΡΓΙΑ-ΔΙΟΝΥΣΙΑ</t>
  </si>
  <si>
    <t>ΑΒ419194</t>
  </si>
  <si>
    <t>850,3</t>
  </si>
  <si>
    <t>1191,3</t>
  </si>
  <si>
    <t>ΠΛΟΥΤΙΝΑΚΗΣ</t>
  </si>
  <si>
    <t>Ρ024404</t>
  </si>
  <si>
    <t>1191,1</t>
  </si>
  <si>
    <t>Χ466850</t>
  </si>
  <si>
    <t>1190,5</t>
  </si>
  <si>
    <t>ΤΡΑΚΑ</t>
  </si>
  <si>
    <t>ΚΕΡΑΣΙΑ</t>
  </si>
  <si>
    <t>ΑΙ279077</t>
  </si>
  <si>
    <t>1190,3</t>
  </si>
  <si>
    <t>ΔΑΚΤΥΛΙΔΗ</t>
  </si>
  <si>
    <t>ΠΡΟΔΡΟΜΟΣ</t>
  </si>
  <si>
    <t>ΑΕ041366</t>
  </si>
  <si>
    <t>Κρητικου</t>
  </si>
  <si>
    <t>Μαρια Ιωαννα</t>
  </si>
  <si>
    <t>Ελευθεριος</t>
  </si>
  <si>
    <t>ΑΖ929445</t>
  </si>
  <si>
    <t>ΚΟΡΔΕΡΑ</t>
  </si>
  <si>
    <t>ΠΡΟΚΟΠΙΟΣ</t>
  </si>
  <si>
    <t>Χ918178</t>
  </si>
  <si>
    <t>922,9</t>
  </si>
  <si>
    <t>1187,9</t>
  </si>
  <si>
    <t>ΤΕΡΖΗ</t>
  </si>
  <si>
    <t>ΣΤΑΜΑΤΙΑ</t>
  </si>
  <si>
    <t>ΑΒ833482</t>
  </si>
  <si>
    <t>942,7</t>
  </si>
  <si>
    <t>1186,7</t>
  </si>
  <si>
    <t>ΨΑΛΤΗ</t>
  </si>
  <si>
    <t>Χ149954</t>
  </si>
  <si>
    <t>1186,6</t>
  </si>
  <si>
    <t>ΛΙΒΑΝΟΣ</t>
  </si>
  <si>
    <t>Χ998508</t>
  </si>
  <si>
    <t>ΚΑΡΑΜΠΙΝΗΣ</t>
  </si>
  <si>
    <t>ΑΕ277443</t>
  </si>
  <si>
    <t>1183,7</t>
  </si>
  <si>
    <t>ΜΑΥΡΟΚΟΥΚΟΥΛΑΚΗΣ</t>
  </si>
  <si>
    <t>ΑΑ464859</t>
  </si>
  <si>
    <t>1182,8</t>
  </si>
  <si>
    <t>ΔΟΛΑΠΤΣΗ</t>
  </si>
  <si>
    <t>ΑΕ131631</t>
  </si>
  <si>
    <t>1178,1</t>
  </si>
  <si>
    <t>ΝΤΕΛΕΔΗΜΟΥ</t>
  </si>
  <si>
    <t>ΑΙ308292</t>
  </si>
  <si>
    <t>695,2</t>
  </si>
  <si>
    <t>1177,2</t>
  </si>
  <si>
    <t>ΜΑΓΚΑΝΙΩΤΗ</t>
  </si>
  <si>
    <t>ΚΑΛΟΜΟΙΡΑ</t>
  </si>
  <si>
    <t>Χ501515</t>
  </si>
  <si>
    <t>1177,1</t>
  </si>
  <si>
    <t>ΠΑΠΑΤΣΑΚΩΝΑΣ</t>
  </si>
  <si>
    <t>ΑΡΙΣΤΕΙΔΗΣ</t>
  </si>
  <si>
    <t>ΑΑ029623</t>
  </si>
  <si>
    <t>ΠΕΘΑΙΝΟΣ</t>
  </si>
  <si>
    <t>ΑΚ535577</t>
  </si>
  <si>
    <t>1176,5</t>
  </si>
  <si>
    <t>ΡΟΣΣΟ ΑΘΑΝΑΣΙΟΥ</t>
  </si>
  <si>
    <t>ΜΙΣΕΛ ΠΩΛ</t>
  </si>
  <si>
    <t>Χ285724</t>
  </si>
  <si>
    <t>1175,1</t>
  </si>
  <si>
    <t>213-216</t>
  </si>
  <si>
    <t>ΕΛΙΣΑΒΕΤ ΕΛΒΙΡΑ</t>
  </si>
  <si>
    <t>ΑΚ325167</t>
  </si>
  <si>
    <t>1174,3</t>
  </si>
  <si>
    <t>ΛΑΓΟΠΑΤΗ</t>
  </si>
  <si>
    <t>ΑΚ511912</t>
  </si>
  <si>
    <t>1172,5</t>
  </si>
  <si>
    <t>ΚΑΡΔΑΡΑ</t>
  </si>
  <si>
    <t>Χ096393</t>
  </si>
  <si>
    <t>1172,4</t>
  </si>
  <si>
    <t>205-206-207-208-209-210-212-214-215</t>
  </si>
  <si>
    <t>ΑΑ286026</t>
  </si>
  <si>
    <t>ΣΑΜΟΥΗΛ</t>
  </si>
  <si>
    <t>ΑΑ232540</t>
  </si>
  <si>
    <t>1171,3</t>
  </si>
  <si>
    <t>ΚΑΦΕΤΖΗ</t>
  </si>
  <si>
    <t>Χ991568</t>
  </si>
  <si>
    <t>1170,9</t>
  </si>
  <si>
    <t>ΓΡΗΓΟΡΙΟΥ</t>
  </si>
  <si>
    <t>Χ000621</t>
  </si>
  <si>
    <t>1169,9</t>
  </si>
  <si>
    <t>ΠΑΠΑΠΕΤΡΟΥ</t>
  </si>
  <si>
    <t>ΑΚ101265</t>
  </si>
  <si>
    <t>581,9</t>
  </si>
  <si>
    <t>ΤΟΣΟΥΝΙΔΗΣ</t>
  </si>
  <si>
    <t>Χ251829</t>
  </si>
  <si>
    <t>ΦΡΕΣΚΟΣ</t>
  </si>
  <si>
    <t>ΑΖ959695</t>
  </si>
  <si>
    <t>ΧΡΙΣΤΟΦΗ</t>
  </si>
  <si>
    <t>ΑΙ185700</t>
  </si>
  <si>
    <t>1166,8</t>
  </si>
  <si>
    <t>ΚΟΛΕΤΣΗΣ</t>
  </si>
  <si>
    <t>Χ136860</t>
  </si>
  <si>
    <t>1165,9</t>
  </si>
  <si>
    <t>ΤΣΟΥΤΣΑ</t>
  </si>
  <si>
    <t>ΑΗ764627</t>
  </si>
  <si>
    <t>ΜΠΑΚΟΥΤΙΝΑ</t>
  </si>
  <si>
    <t>ΤΑΤΙΑΝΑ</t>
  </si>
  <si>
    <t>ΑΛΜΠΕΡΤ</t>
  </si>
  <si>
    <t>Χ087616</t>
  </si>
  <si>
    <t>1030,7</t>
  </si>
  <si>
    <t>1165,7</t>
  </si>
  <si>
    <t>ΤΟΥΛΟΥΜΤΖΟΓΛΟΥ</t>
  </si>
  <si>
    <t>ΜΙΛΤΙΑΔΗΣ</t>
  </si>
  <si>
    <t>Φ263346</t>
  </si>
  <si>
    <t>ΜΥΣΤΑΚΙΔΗΣ</t>
  </si>
  <si>
    <t>Χ611684</t>
  </si>
  <si>
    <t>1164,6</t>
  </si>
  <si>
    <t>ΜΠΑΤΙΚΑΣ</t>
  </si>
  <si>
    <t>ΑΒ419046</t>
  </si>
  <si>
    <t>993,3</t>
  </si>
  <si>
    <t>1163,3</t>
  </si>
  <si>
    <t>ΜΠΟΥΚΟΥ</t>
  </si>
  <si>
    <t>Σ778917</t>
  </si>
  <si>
    <t>ΔΟΥΡΑΜΑΝΗ</t>
  </si>
  <si>
    <t>ΑΖ629197</t>
  </si>
  <si>
    <t>1160,2</t>
  </si>
  <si>
    <t>ΜΑΝΩΛΑΚΗΣ</t>
  </si>
  <si>
    <t>Χ642220</t>
  </si>
  <si>
    <t>1158,4</t>
  </si>
  <si>
    <t>ΣΤΑΥΡΑΚΑΡΑ</t>
  </si>
  <si>
    <t>ΑΗ908619</t>
  </si>
  <si>
    <t>1157,5</t>
  </si>
  <si>
    <t>ΑΓΟΡΑΣΤΗΣ</t>
  </si>
  <si>
    <t>ΖΗΣΗΣ</t>
  </si>
  <si>
    <t>ΑΜ597628</t>
  </si>
  <si>
    <t>1156,6</t>
  </si>
  <si>
    <t>ΑΛΙΜΠΕΡΤΗ</t>
  </si>
  <si>
    <t>ΑΕ583503</t>
  </si>
  <si>
    <t>1156,3</t>
  </si>
  <si>
    <t>ΒΕΛΕΤΖΑ</t>
  </si>
  <si>
    <t>ΚΩΝΣΤΑΝΤΙΑ</t>
  </si>
  <si>
    <t>ΑΗ775484</t>
  </si>
  <si>
    <t>ΧΑΤΖΗΠΑΝΑΓΙΩΤΟΥ</t>
  </si>
  <si>
    <t>ΑΒ314988</t>
  </si>
  <si>
    <t>1155,3</t>
  </si>
  <si>
    <t>ΘΕΟΔΩΡΙΔΗΣ</t>
  </si>
  <si>
    <t>ΑΗ167424</t>
  </si>
  <si>
    <t>1155,2</t>
  </si>
  <si>
    <t>ΝΙΚΗΤΟΠΟΥΛΟΣ</t>
  </si>
  <si>
    <t>Σ218638</t>
  </si>
  <si>
    <t>1154,4</t>
  </si>
  <si>
    <t>ΠΟΘΗΤΑΚΗΣ</t>
  </si>
  <si>
    <t>ΔΑΜΙΑΝΟΣ</t>
  </si>
  <si>
    <t>Χ024046</t>
  </si>
  <si>
    <t>205-206-207-208-209-210-214-215</t>
  </si>
  <si>
    <t>ΠΑΤΑ</t>
  </si>
  <si>
    <t>ΑΜ812043</t>
  </si>
  <si>
    <t>1153,8</t>
  </si>
  <si>
    <t>ΣΙΟΥΤΚΟΥ</t>
  </si>
  <si>
    <t>ΑΙ334596</t>
  </si>
  <si>
    <t>1152,4</t>
  </si>
  <si>
    <t>ΜΠΑΛΙΚΟΥ</t>
  </si>
  <si>
    <t>ΜΑΡΙΝΟΣ</t>
  </si>
  <si>
    <t>ΑΒ778491</t>
  </si>
  <si>
    <t>ΚΡΑΒΒΑΡΗ</t>
  </si>
  <si>
    <t>ΠΑΡΗΣΙΑ</t>
  </si>
  <si>
    <t>ΑΙ856726</t>
  </si>
  <si>
    <t>842,6</t>
  </si>
  <si>
    <t>1149,6</t>
  </si>
  <si>
    <t>ΚΕΦΑΛΑΣ</t>
  </si>
  <si>
    <t>Χ178642</t>
  </si>
  <si>
    <t>1148,1</t>
  </si>
  <si>
    <t>ΚΥΡΙΑΚΑΚΗΣ</t>
  </si>
  <si>
    <t>ΑΑ369754</t>
  </si>
  <si>
    <t>ΗΛΙΟΥ ΜΑΝΟΜΕΝΙΔΗ</t>
  </si>
  <si>
    <t>ΚΛΕΟΠΑΤΡΑ</t>
  </si>
  <si>
    <t>ΑΗ162917</t>
  </si>
  <si>
    <t>1146,1</t>
  </si>
  <si>
    <t>ΑΡΑΠΗ</t>
  </si>
  <si>
    <t>ΑΑ314340</t>
  </si>
  <si>
    <t>1145,9</t>
  </si>
  <si>
    <t>ΜΑΥΡΟΜΜΑΤΗΣ</t>
  </si>
  <si>
    <t>Χ913167</t>
  </si>
  <si>
    <t>587,4</t>
  </si>
  <si>
    <t>1142,4</t>
  </si>
  <si>
    <t>ΜΠΑΡΝΙΑΣ</t>
  </si>
  <si>
    <t>ΑΕ620726</t>
  </si>
  <si>
    <t>ΜΠΟΖΙΑΡΗ</t>
  </si>
  <si>
    <t>ΑΒ437270</t>
  </si>
  <si>
    <t>ΨΑΡΟΣ</t>
  </si>
  <si>
    <t>ΑΜ366244</t>
  </si>
  <si>
    <t>ΚΙΝΤΗ</t>
  </si>
  <si>
    <t>ΦΩΤΕΙΝΗ-ΗΡΩ</t>
  </si>
  <si>
    <t>Χ791814</t>
  </si>
  <si>
    <t>1141,5</t>
  </si>
  <si>
    <t>ΜΠΑΚΑΛΑΚΟΣ</t>
  </si>
  <si>
    <t>Χ377314</t>
  </si>
  <si>
    <t>1141,1</t>
  </si>
  <si>
    <t>ΤΣΙΟΥΜΛΕΚΗΣ</t>
  </si>
  <si>
    <t>ΑΕ678918</t>
  </si>
  <si>
    <t>ΚΑΤΣΑΒΟΥ</t>
  </si>
  <si>
    <t>Χ406765</t>
  </si>
  <si>
    <t>1140,8</t>
  </si>
  <si>
    <t>ΑΑ427950</t>
  </si>
  <si>
    <t>1140,5</t>
  </si>
  <si>
    <t>ΜΑΝΕΛΑΣ</t>
  </si>
  <si>
    <t>ΑΕ478127</t>
  </si>
  <si>
    <t>1136,7</t>
  </si>
  <si>
    <t>ΠΟΛΑΤΣΙΔΗΣ</t>
  </si>
  <si>
    <t>Χ951725</t>
  </si>
  <si>
    <t>ΚΥΡΙΑΚΙΔΟΥ</t>
  </si>
  <si>
    <t>ΑΙ066181</t>
  </si>
  <si>
    <t>1134,3</t>
  </si>
  <si>
    <t>ΚΑΡΑΠΑΝΟΥ</t>
  </si>
  <si>
    <t>ΑΒ579954</t>
  </si>
  <si>
    <t>ΧΡΙΣΤΟΠΟΥΛΟΥ</t>
  </si>
  <si>
    <t>ΘΕΟΔΟΣΙΟΣ</t>
  </si>
  <si>
    <t>ΑΜ312637</t>
  </si>
  <si>
    <t>1132,8</t>
  </si>
  <si>
    <t>ΣΩΦΡΟΝΑΣ</t>
  </si>
  <si>
    <t>Χ756206</t>
  </si>
  <si>
    <t>1130,3</t>
  </si>
  <si>
    <t>ΑΝΔΡΙΑΚΟΠΟΥΛΟΥ</t>
  </si>
  <si>
    <t>ΑΖ205691</t>
  </si>
  <si>
    <t>652,3</t>
  </si>
  <si>
    <t>ΛΙΚΑΙ</t>
  </si>
  <si>
    <t>ΕΝΤΒΙΝΑ</t>
  </si>
  <si>
    <t>ΑΓΚΡΟΝ</t>
  </si>
  <si>
    <t>ΑΙ673127</t>
  </si>
  <si>
    <t>1129,9</t>
  </si>
  <si>
    <t>209-206-210-205-207-212-215-203</t>
  </si>
  <si>
    <t>ΒΑΡΥΤΗ</t>
  </si>
  <si>
    <t>Χ191573</t>
  </si>
  <si>
    <t>ΒΑΣΙΛΙΚΟΥ</t>
  </si>
  <si>
    <t>ΘΕΟΦΑΝΩ</t>
  </si>
  <si>
    <t>ΑΗ935100</t>
  </si>
  <si>
    <t>1126,6</t>
  </si>
  <si>
    <t>ΜΠΙΛΙΡΗ</t>
  </si>
  <si>
    <t>Φ242327</t>
  </si>
  <si>
    <t>854,7</t>
  </si>
  <si>
    <t>1124,7</t>
  </si>
  <si>
    <t>ΠΑΠΑΣΤΑΥΡΟΥ</t>
  </si>
  <si>
    <t>Φ331235</t>
  </si>
  <si>
    <t>864,6</t>
  </si>
  <si>
    <t>1124,6</t>
  </si>
  <si>
    <t>ΚΟΚΚΑΛΑΣ</t>
  </si>
  <si>
    <t>ΑΙ992204</t>
  </si>
  <si>
    <t>1123,2</t>
  </si>
  <si>
    <t>ΥΦΑΝΤΗ</t>
  </si>
  <si>
    <t>ΑΗ475942</t>
  </si>
  <si>
    <t>ΜΠΟΝΟΡΑΣ</t>
  </si>
  <si>
    <t>ΑΚ216223</t>
  </si>
  <si>
    <t>1119,9</t>
  </si>
  <si>
    <t>ΖΑΡΟΥΧΑΣ</t>
  </si>
  <si>
    <t>Χ389711</t>
  </si>
  <si>
    <t>1119,5</t>
  </si>
  <si>
    <t>ΓΑΥΡΟΣ</t>
  </si>
  <si>
    <t>ΑΙ353541</t>
  </si>
  <si>
    <t>1119,4</t>
  </si>
  <si>
    <t>ΠΕΤΚΟΥ</t>
  </si>
  <si>
    <t>ΑΕ130390</t>
  </si>
  <si>
    <t>1119,2</t>
  </si>
  <si>
    <t>ΑΥΓΟΥΛΕΑΣ</t>
  </si>
  <si>
    <t>ΦΩΤΕΙΝΟΣ</t>
  </si>
  <si>
    <t>ΑΚ652888</t>
  </si>
  <si>
    <t>ΑΥΓΕΑ</t>
  </si>
  <si>
    <t>Χ027395</t>
  </si>
  <si>
    <t>ΧΑΡΑΜΠΑΤΗ</t>
  </si>
  <si>
    <t>ΑΖ288598</t>
  </si>
  <si>
    <t>ΜΗΤΡΟΥΛΗΣ</t>
  </si>
  <si>
    <t>ΑΑ232541</t>
  </si>
  <si>
    <t>1114,2</t>
  </si>
  <si>
    <t>ΣΚΛΙΒΑΝΙΤΗΣ</t>
  </si>
  <si>
    <t>Σ221470</t>
  </si>
  <si>
    <t>1113,4</t>
  </si>
  <si>
    <t>ΠΟΥΡΝΑΡΑ</t>
  </si>
  <si>
    <t>ΑΑ086015</t>
  </si>
  <si>
    <t>1111,9</t>
  </si>
  <si>
    <t>ΒΛΑΧΟΣ</t>
  </si>
  <si>
    <t>ΑΒ007009</t>
  </si>
  <si>
    <t>1107,9</t>
  </si>
  <si>
    <t>ΚΟΝΤΑΚΗ</t>
  </si>
  <si>
    <t>ΧΑΡΑΛΑΜΠΙΑ</t>
  </si>
  <si>
    <t>ΑΖ456963</t>
  </si>
  <si>
    <t>1104,1</t>
  </si>
  <si>
    <t>ΣΕΝΤΙΝΙ</t>
  </si>
  <si>
    <t>ΣΚΕΝΤΕΡ</t>
  </si>
  <si>
    <t>ΑΚ146386</t>
  </si>
  <si>
    <t>ΓΟΥΡΝΙΑΣ</t>
  </si>
  <si>
    <t>Χ592624</t>
  </si>
  <si>
    <t>1102,8</t>
  </si>
  <si>
    <t>ΚΑΡΥΩΤΟΥ</t>
  </si>
  <si>
    <t>ΑΒ375876</t>
  </si>
  <si>
    <t>1102,6</t>
  </si>
  <si>
    <t>ΣΒΙΡΟΥ</t>
  </si>
  <si>
    <t>ΑΒ868456</t>
  </si>
  <si>
    <t>1102,5</t>
  </si>
  <si>
    <t>ΧΡΗΣΤΑΡΑ</t>
  </si>
  <si>
    <t>ΑΜ621990</t>
  </si>
  <si>
    <t>1100,7</t>
  </si>
  <si>
    <t>ΚΑΔΗΣ</t>
  </si>
  <si>
    <t>ΑΕ 470687</t>
  </si>
  <si>
    <t>1100,5</t>
  </si>
  <si>
    <t>ΡΑΠΤΗΣ</t>
  </si>
  <si>
    <t>Σ917088</t>
  </si>
  <si>
    <t>1100,3</t>
  </si>
  <si>
    <t>ΑΜ278353</t>
  </si>
  <si>
    <t>1098,8</t>
  </si>
  <si>
    <t>ΜΑΝΙΑΤΗ</t>
  </si>
  <si>
    <t>ΑΗ736096</t>
  </si>
  <si>
    <t>1098,6</t>
  </si>
  <si>
    <t>206-205-207-210-209-212-201-203-211-204-202-215-213-216</t>
  </si>
  <si>
    <t>ΤΖΙΩΡΑ</t>
  </si>
  <si>
    <t>Χ480961</t>
  </si>
  <si>
    <t>ΝΤΑΛΙΑΚΟΥΡΑΣ</t>
  </si>
  <si>
    <t>Χ287750</t>
  </si>
  <si>
    <t>1097,8</t>
  </si>
  <si>
    <t>ΜΠΥΖΥΚΑ</t>
  </si>
  <si>
    <t>ΓΡΗΓΟΡΗΣ</t>
  </si>
  <si>
    <t>ΑΚ413508</t>
  </si>
  <si>
    <t>1096,4</t>
  </si>
  <si>
    <t>ΣΥΡΟΥ</t>
  </si>
  <si>
    <t>ΑΚ009995</t>
  </si>
  <si>
    <t>1093,5</t>
  </si>
  <si>
    <t>ΡΗΓΑ</t>
  </si>
  <si>
    <t>Χ989284</t>
  </si>
  <si>
    <t>1092,6</t>
  </si>
  <si>
    <t>ΚΟΠΑΝΕΛΗ</t>
  </si>
  <si>
    <t>ΑΑ316849</t>
  </si>
  <si>
    <t>1092,3</t>
  </si>
  <si>
    <t>ΑΕ495471</t>
  </si>
  <si>
    <t>ΧΑΤΖΗΜΙΧΑΛΑΚΗΣ</t>
  </si>
  <si>
    <t>Χ999288</t>
  </si>
  <si>
    <t>1090,4</t>
  </si>
  <si>
    <t>ΠΟΛΥΧΡΟΝΙΔΟΥ</t>
  </si>
  <si>
    <t>ΑΒ864256</t>
  </si>
  <si>
    <t>ΔΗΜΗΤΡΑΚΟΠΟΥΛΟΥ</t>
  </si>
  <si>
    <t>Χ909374</t>
  </si>
  <si>
    <t>ΚΟΝΤΑΡΑΚΗ</t>
  </si>
  <si>
    <t>ΑΜ173756</t>
  </si>
  <si>
    <t>ΣΑΛΤΑΓΙΑΝΝΗΣ</t>
  </si>
  <si>
    <t>ΑΙ049909</t>
  </si>
  <si>
    <t>1085,4</t>
  </si>
  <si>
    <t>ΣΚΟΥΡΑ</t>
  </si>
  <si>
    <t>ΑΖ283336</t>
  </si>
  <si>
    <t>1084,6</t>
  </si>
  <si>
    <t>Χ266000</t>
  </si>
  <si>
    <t>1084,1</t>
  </si>
  <si>
    <t>ΠΕΤΡΟΠΟΥΛΟΣ</t>
  </si>
  <si>
    <t>ΑΒ317360</t>
  </si>
  <si>
    <t>1083,8</t>
  </si>
  <si>
    <t>ΚΑΡΡΑΣ</t>
  </si>
  <si>
    <t>ΑΙ571333</t>
  </si>
  <si>
    <t>640,2</t>
  </si>
  <si>
    <t>1083,2</t>
  </si>
  <si>
    <t>ΤΖΕΝΑΚΗ</t>
  </si>
  <si>
    <t>ΑΕ107654</t>
  </si>
  <si>
    <t>629,2</t>
  </si>
  <si>
    <t>ΚΟΥΜΟΥΤΣΑΚΟΥ</t>
  </si>
  <si>
    <t>Χ180272</t>
  </si>
  <si>
    <t>1081,4</t>
  </si>
  <si>
    <t>ΜΠΟΗΣ</t>
  </si>
  <si>
    <t>ΑΑ499936</t>
  </si>
  <si>
    <t>1080,5</t>
  </si>
  <si>
    <t>ΜΑΜΑΚΟΥ</t>
  </si>
  <si>
    <t>ΣΕΡΑΦΕΙΑ</t>
  </si>
  <si>
    <t>ΑΖ711601</t>
  </si>
  <si>
    <t>1080,4</t>
  </si>
  <si>
    <t>ΤΣΕΓΓΕΝΕΣ</t>
  </si>
  <si>
    <t>Χ296521</t>
  </si>
  <si>
    <t>1079,4</t>
  </si>
  <si>
    <t>ΚΟΥΡΚΟΥΤΑΣ</t>
  </si>
  <si>
    <t>Ρ823693</t>
  </si>
  <si>
    <t>1013,1</t>
  </si>
  <si>
    <t>1078,1</t>
  </si>
  <si>
    <t>ΤΣΑΜΗ</t>
  </si>
  <si>
    <t>ΤΡΥΦΩΝΑΣ</t>
  </si>
  <si>
    <t>ΑΑ059108</t>
  </si>
  <si>
    <t>1076,9</t>
  </si>
  <si>
    <t>ΣΑΝΤΗΣ</t>
  </si>
  <si>
    <t>ΝΙΚΟΛΑΟΣ ΜΑΤΘΑΙΟΣ</t>
  </si>
  <si>
    <t>ΑΕ777051</t>
  </si>
  <si>
    <t>1076,3</t>
  </si>
  <si>
    <t>ΚΕΡΜΕΛΙΩΤΗΣ</t>
  </si>
  <si>
    <t>ΑΝ003953</t>
  </si>
  <si>
    <t>1075,9</t>
  </si>
  <si>
    <t>ΤΣΑΟΥΣΙΔΟΥ</t>
  </si>
  <si>
    <t>Χ955502</t>
  </si>
  <si>
    <t>1075,6</t>
  </si>
  <si>
    <t>ΠΑΠΑΤΖΕΛΟΣ</t>
  </si>
  <si>
    <t>ΑΑ431159</t>
  </si>
  <si>
    <t>1074,4</t>
  </si>
  <si>
    <t>ΑΙ291267</t>
  </si>
  <si>
    <t>ΙΟΡΔΑΝΗΣ</t>
  </si>
  <si>
    <t>Χ315841</t>
  </si>
  <si>
    <t>1074,1</t>
  </si>
  <si>
    <t>ΚΡΕΤΣΗ</t>
  </si>
  <si>
    <t>Χ782136</t>
  </si>
  <si>
    <t>ΚΟΥΤΣΟΥΠΙΑ</t>
  </si>
  <si>
    <t>Χ343102</t>
  </si>
  <si>
    <t>1073,8</t>
  </si>
  <si>
    <t>ΤΑΣΙΟΣ</t>
  </si>
  <si>
    <t>ΑΒ947809</t>
  </si>
  <si>
    <t>1073,1</t>
  </si>
  <si>
    <t>ΔΟΞΑΡΑ</t>
  </si>
  <si>
    <t>ΑΕ312636</t>
  </si>
  <si>
    <t>1069,3</t>
  </si>
  <si>
    <t>ΑΑ427642</t>
  </si>
  <si>
    <t>1067,4</t>
  </si>
  <si>
    <t>ΝΙΚΗΤΑΚΗΣ</t>
  </si>
  <si>
    <t>ΑΕ527903</t>
  </si>
  <si>
    <t>1066,7</t>
  </si>
  <si>
    <t>ΜΑΥΡΟΓΙΑΝΝΗΣ</t>
  </si>
  <si>
    <t>ΑΒ100342</t>
  </si>
  <si>
    <t>1066,4</t>
  </si>
  <si>
    <t>ΒΙΔΡΑ</t>
  </si>
  <si>
    <t>ΑΙΜΙΛΙΑΝΟΣ</t>
  </si>
  <si>
    <t>ΑΖ764552</t>
  </si>
  <si>
    <t>ΑΜ082512</t>
  </si>
  <si>
    <t>1065,8</t>
  </si>
  <si>
    <t>ΑΒ170302</t>
  </si>
  <si>
    <t>1064,8</t>
  </si>
  <si>
    <t>ΚΕΤΕΛΝΗ</t>
  </si>
  <si>
    <t>ΑΗ925203</t>
  </si>
  <si>
    <t>1062,9</t>
  </si>
  <si>
    <t>ΘΕΟΔΩΡΟΥ</t>
  </si>
  <si>
    <t>Χ780126</t>
  </si>
  <si>
    <t>1061,3</t>
  </si>
  <si>
    <t>ΛΑΓΟΥΔΑΚΟΥ</t>
  </si>
  <si>
    <t>ΚΩΝΣΤΑΝΤΙΝΑ-ΚΑΜΕΛΙΑ</t>
  </si>
  <si>
    <t>ΑΚ127128</t>
  </si>
  <si>
    <t>1060,1</t>
  </si>
  <si>
    <t>ΑΒ071813</t>
  </si>
  <si>
    <t>1059,8</t>
  </si>
  <si>
    <t>ΑΚ523667</t>
  </si>
  <si>
    <t>1059,6</t>
  </si>
  <si>
    <t>ΜΠΙΤΟΠΟΥΛΟΥ</t>
  </si>
  <si>
    <t>ΑΗ317879</t>
  </si>
  <si>
    <t>ΠΑΝΟΥ</t>
  </si>
  <si>
    <t>Τ379285</t>
  </si>
  <si>
    <t>1058,7</t>
  </si>
  <si>
    <t>Χ767444</t>
  </si>
  <si>
    <t>732,6</t>
  </si>
  <si>
    <t>1058,6</t>
  </si>
  <si>
    <t>ΒΟΥΛΙΩΤΗ</t>
  </si>
  <si>
    <t>ΒΑΙΑ-ΕΥΑΓΓΕΛΙΑ</t>
  </si>
  <si>
    <t>Ρ550869</t>
  </si>
  <si>
    <t>1057,6</t>
  </si>
  <si>
    <t>1056,3</t>
  </si>
  <si>
    <t>ΜΠΑΝΙΟΥ</t>
  </si>
  <si>
    <t>ΑΛΙΚΗ</t>
  </si>
  <si>
    <t>ΑΕ330394</t>
  </si>
  <si>
    <t>ΤΟΜΠΟΥΔΗΣ</t>
  </si>
  <si>
    <t>ΣΓΟΥΡΑΔΗΣ</t>
  </si>
  <si>
    <t>ΑΑ385701</t>
  </si>
  <si>
    <t>1054,4</t>
  </si>
  <si>
    <t>ΣΤΑΘΟΥΛΙΑ</t>
  </si>
  <si>
    <t>Χ804772</t>
  </si>
  <si>
    <t>1053,8</t>
  </si>
  <si>
    <t>ΑΝΤΑΡΑΣ</t>
  </si>
  <si>
    <t>ΑΗ271908</t>
  </si>
  <si>
    <t>614,9</t>
  </si>
  <si>
    <t>1052,9</t>
  </si>
  <si>
    <t>ΚΟΝΤΖΙΑΣ</t>
  </si>
  <si>
    <t>ΑΜ152244</t>
  </si>
  <si>
    <t>1051,7</t>
  </si>
  <si>
    <t>ΑΒ604856</t>
  </si>
  <si>
    <t>1051,4</t>
  </si>
  <si>
    <t>ΠΛΟΥΜΗ</t>
  </si>
  <si>
    <t>ΑΕ244958</t>
  </si>
  <si>
    <t>1045,4</t>
  </si>
  <si>
    <t>ΤΣΙΠΗ</t>
  </si>
  <si>
    <t>ΕΥΑ ΜΑΡΙΑ</t>
  </si>
  <si>
    <t>ΑΕ285259</t>
  </si>
  <si>
    <t>1045,3</t>
  </si>
  <si>
    <t>ΠΑΠΟΥΤΣΟΓΛΟΥ</t>
  </si>
  <si>
    <t>ΑΒ885645</t>
  </si>
  <si>
    <t>1044,4</t>
  </si>
  <si>
    <t>ΑΑ324628</t>
  </si>
  <si>
    <t>ΜΟΥΡΤΖΙΝΟΣ</t>
  </si>
  <si>
    <t>ΑΒ850565</t>
  </si>
  <si>
    <t>1043,4</t>
  </si>
  <si>
    <t>ΚΑΝΕΛΛΗ</t>
  </si>
  <si>
    <t>ΑΖ191031</t>
  </si>
  <si>
    <t>1040,8</t>
  </si>
  <si>
    <t>ΠΟΤΑΜΙΑ</t>
  </si>
  <si>
    <t>Χ684367</t>
  </si>
  <si>
    <t>ΕΚΛΕΜΕΣ</t>
  </si>
  <si>
    <t>ΑΖ687362</t>
  </si>
  <si>
    <t>1039,6</t>
  </si>
  <si>
    <t>ΔΗΜΗΤΡΙΟΥ</t>
  </si>
  <si>
    <t>Φ321941</t>
  </si>
  <si>
    <t>1038,9</t>
  </si>
  <si>
    <t>ΘΕΟΠΛΑΣΤΗ</t>
  </si>
  <si>
    <t>ΑΑ400075</t>
  </si>
  <si>
    <t>1037,2</t>
  </si>
  <si>
    <t>ΙΟΡΔΑΝΙΔΟΥ</t>
  </si>
  <si>
    <t>ΕΛΕΝΗ - ΓΕΩΡΓΙΑ</t>
  </si>
  <si>
    <t>Χ777624</t>
  </si>
  <si>
    <t>1036,6</t>
  </si>
  <si>
    <t>ΧΑΡΑΤΣΙΔΗ</t>
  </si>
  <si>
    <t>ΑΗ511657</t>
  </si>
  <si>
    <t>916,3</t>
  </si>
  <si>
    <t>1036,3</t>
  </si>
  <si>
    <t>ΖΑΜΠΑΡΑ</t>
  </si>
  <si>
    <t>ΑΒ040246</t>
  </si>
  <si>
    <t>1034,9</t>
  </si>
  <si>
    <t>ΠΑΠΑΣΤΕΦΑΝΑΚΗΣ</t>
  </si>
  <si>
    <t>ΑΑ368637</t>
  </si>
  <si>
    <t>1032,3</t>
  </si>
  <si>
    <t>ΑΥΓΕΡΙΝΟΥ</t>
  </si>
  <si>
    <t>Χ153350</t>
  </si>
  <si>
    <t>ΤΖΙΜΑ</t>
  </si>
  <si>
    <t>ΧΑΡΑ</t>
  </si>
  <si>
    <t>ΑΕ288385</t>
  </si>
  <si>
    <t>1030,1</t>
  </si>
  <si>
    <t>ΝΙΡΓΙΑΝΑΚΗΣ</t>
  </si>
  <si>
    <t>ΑΜ460240</t>
  </si>
  <si>
    <t>ΝΙΚΟΛΑΟΥ</t>
  </si>
  <si>
    <t>ΑΒ267440</t>
  </si>
  <si>
    <t>999,9</t>
  </si>
  <si>
    <t>1029,9</t>
  </si>
  <si>
    <t>ΛΕΝΤΑ</t>
  </si>
  <si>
    <t>Χ483700</t>
  </si>
  <si>
    <t>ΚΟΥΤΛΗΣ</t>
  </si>
  <si>
    <t>ΠΑΝΟΣ</t>
  </si>
  <si>
    <t>Φ151437</t>
  </si>
  <si>
    <t>1029,5</t>
  </si>
  <si>
    <t>ΝΤΑΙΛΙΑΝΗΣ</t>
  </si>
  <si>
    <t>Σ979436</t>
  </si>
  <si>
    <t>1029,1</t>
  </si>
  <si>
    <t>ΑΝΑΣΤΑΣΙΑΔΗΣ</t>
  </si>
  <si>
    <t>ΑΒ697497</t>
  </si>
  <si>
    <t>1027,1</t>
  </si>
  <si>
    <t>ΛΕΓΟΣ</t>
  </si>
  <si>
    <t>Τ394522</t>
  </si>
  <si>
    <t>1026,9</t>
  </si>
  <si>
    <t>ΣΠΗΛΙΟΠΟΥΛΟΥ</t>
  </si>
  <si>
    <t>ΑΕ064732</t>
  </si>
  <si>
    <t>1025,5</t>
  </si>
  <si>
    <t>ΜΠΑΡΜΠΑ</t>
  </si>
  <si>
    <t>ΑΜ787653</t>
  </si>
  <si>
    <t>1025,4</t>
  </si>
  <si>
    <t>ΠΡΕΚΕΤΕ</t>
  </si>
  <si>
    <t>ΑΒ618106</t>
  </si>
  <si>
    <t>1022,2</t>
  </si>
  <si>
    <t>ΖΑΦΕΙΡΙΟΥ</t>
  </si>
  <si>
    <t>ΑΗ039946</t>
  </si>
  <si>
    <t>1021,8</t>
  </si>
  <si>
    <t>ΤΣΙΑΚΑΛΟΣ</t>
  </si>
  <si>
    <t>Χ007215</t>
  </si>
  <si>
    <t>1021,3</t>
  </si>
  <si>
    <t>ΠΑΡΙΑΝΟΥ</t>
  </si>
  <si>
    <t>Χ789780</t>
  </si>
  <si>
    <t>ΠΑΡΣΕΛΙΑ</t>
  </si>
  <si>
    <t>ΜΑΡΙΑ ΧΡΙΣΤΙΝΑ</t>
  </si>
  <si>
    <t>ΑΗ068086</t>
  </si>
  <si>
    <t>1020,4</t>
  </si>
  <si>
    <t>205-207-206-209-210-212-215</t>
  </si>
  <si>
    <t>ΠΑΠΑΠΑΝΟΥ</t>
  </si>
  <si>
    <t>ΛΟΥΚΙΑ ΜΑΡΙΑ</t>
  </si>
  <si>
    <t>ΘΕΜΙΣΤΟΚΛΗΣ</t>
  </si>
  <si>
    <t>Χ258216</t>
  </si>
  <si>
    <t>1019,5</t>
  </si>
  <si>
    <t>ΔΡΑΧΜΑΝΗΣ</t>
  </si>
  <si>
    <t>Χ912575</t>
  </si>
  <si>
    <t>1019,4</t>
  </si>
  <si>
    <t>ΔΟΥΡΟΣ</t>
  </si>
  <si>
    <t>Χ398427</t>
  </si>
  <si>
    <t>1018,9</t>
  </si>
  <si>
    <t>ΜΑΡΓΑΡΙΤΟΠΟΥΛΟΥ</t>
  </si>
  <si>
    <t>ΑΑ432181</t>
  </si>
  <si>
    <t>1018,1</t>
  </si>
  <si>
    <t>ΠΑΠΑΚΩΝΣΤΑΝΤΙΝΟΥ</t>
  </si>
  <si>
    <t>ΑΕ331684</t>
  </si>
  <si>
    <t>ΚΑΠΑΚΑΣ</t>
  </si>
  <si>
    <t>ΑΚ661104</t>
  </si>
  <si>
    <t>ΧΟΝΔΡΟΜΑΤΙΔΟΥ</t>
  </si>
  <si>
    <t>ΑΕ336751</t>
  </si>
  <si>
    <t>1016,7</t>
  </si>
  <si>
    <t>ΝΑΚΟΣ</t>
  </si>
  <si>
    <t>Φ292037</t>
  </si>
  <si>
    <t>ΜΠΑΖΟΥΚΗΣ</t>
  </si>
  <si>
    <t>ΑΖ589790</t>
  </si>
  <si>
    <t>1015,9</t>
  </si>
  <si>
    <t>ΛΑΦΑΡΑ</t>
  </si>
  <si>
    <t>Χ845403</t>
  </si>
  <si>
    <t>1012,8</t>
  </si>
  <si>
    <t>ΑΖ272319</t>
  </si>
  <si>
    <t>1011,3</t>
  </si>
  <si>
    <t>ΜΠΑΛΤΑ</t>
  </si>
  <si>
    <t>ΑΙΚΑΤΕΡΙΝΗ-ΜΑΡΙΑ</t>
  </si>
  <si>
    <t>ΑΕ810703</t>
  </si>
  <si>
    <t>633,6</t>
  </si>
  <si>
    <t>1010,6</t>
  </si>
  <si>
    <t>ΑΜ497339</t>
  </si>
  <si>
    <t>1010,2</t>
  </si>
  <si>
    <t>ΑΒΡΑΜΑΚΗ</t>
  </si>
  <si>
    <t>ΙΔΟΜΕΝΕΑΣ</t>
  </si>
  <si>
    <t>ΑΑ368987</t>
  </si>
  <si>
    <t>ΤΣΕΜΠΟΓΛΟΥ</t>
  </si>
  <si>
    <t>ΠΟΛΥΚΑΡΠΟΣ</t>
  </si>
  <si>
    <t>ΣΥΜΕΩΝ</t>
  </si>
  <si>
    <t>Χ699851</t>
  </si>
  <si>
    <t>ΜΑΤΖΙΑΡΗ</t>
  </si>
  <si>
    <t>ΑΖ847901</t>
  </si>
  <si>
    <t>860,2</t>
  </si>
  <si>
    <t>1009,2</t>
  </si>
  <si>
    <t>ΚΟΣΜΑΔΑΚΗΣ</t>
  </si>
  <si>
    <t>ΑΙ687473</t>
  </si>
  <si>
    <t>ΣΟΦΟΥ</t>
  </si>
  <si>
    <t>ΤΡΙΑΝΤΑΦΥΛΛΙΑ</t>
  </si>
  <si>
    <t>Χ909592</t>
  </si>
  <si>
    <t>ΚΑΡΑΚΑΣΗΣ</t>
  </si>
  <si>
    <t>ΑΒ105271</t>
  </si>
  <si>
    <t>1006,1</t>
  </si>
  <si>
    <t>ΚΟΝΤΟΓΙΑΝΝΗΣ</t>
  </si>
  <si>
    <t>ΑΖ090344</t>
  </si>
  <si>
    <t>1005,9</t>
  </si>
  <si>
    <t>ΣΠΥΡΟΥ</t>
  </si>
  <si>
    <t>Χ699003</t>
  </si>
  <si>
    <t>1003,5</t>
  </si>
  <si>
    <t>ΑΚ941216</t>
  </si>
  <si>
    <t>1002,9</t>
  </si>
  <si>
    <t>ΜΠΕΛΗΓΙΑΝΝΗΣ</t>
  </si>
  <si>
    <t>ΑΕ179830</t>
  </si>
  <si>
    <t>1002,1</t>
  </si>
  <si>
    <t>ΟΥΡΑΝΟΥ</t>
  </si>
  <si>
    <t>ΑΚ020104</t>
  </si>
  <si>
    <t>1000,4</t>
  </si>
  <si>
    <t>ΞΕΠΑΠΑΔΑΚΟΥ</t>
  </si>
  <si>
    <t>ΑΚ513542</t>
  </si>
  <si>
    <t>ΣΟΦΙΛΛΑΣ</t>
  </si>
  <si>
    <t>ΑΝ016620</t>
  </si>
  <si>
    <t>999,8</t>
  </si>
  <si>
    <t>ΤΣΟΥΚΑΛΑ</t>
  </si>
  <si>
    <t>Ρ293764</t>
  </si>
  <si>
    <t>995,6</t>
  </si>
  <si>
    <t>ΚΟΝΤΟΠΟΥΛΟΣ</t>
  </si>
  <si>
    <t>Χ655527</t>
  </si>
  <si>
    <t>995,4</t>
  </si>
  <si>
    <t>ΣΟΦΙΛΛΑ</t>
  </si>
  <si>
    <t>ΑΚ463115</t>
  </si>
  <si>
    <t>994,9</t>
  </si>
  <si>
    <t>ΣΠΑΝΟΣ</t>
  </si>
  <si>
    <t>ΑΒ091650</t>
  </si>
  <si>
    <t>993,8</t>
  </si>
  <si>
    <t>ΤΣΑΛΙΚΙΔΗΣ</t>
  </si>
  <si>
    <t>ΑΑ402446</t>
  </si>
  <si>
    <t>993,6</t>
  </si>
  <si>
    <t>ΣΤΑΣΙΝΟΠΟΥΛΟΣ</t>
  </si>
  <si>
    <t>ΑΒ312053</t>
  </si>
  <si>
    <t>992,1</t>
  </si>
  <si>
    <t>ΣΤΑΘΟΠΟΥΛΟΣ</t>
  </si>
  <si>
    <t>ΑΒ790693</t>
  </si>
  <si>
    <t>991,6</t>
  </si>
  <si>
    <t>ΝΤΟΡΤΑΣ</t>
  </si>
  <si>
    <t>Χ598252</t>
  </si>
  <si>
    <t>990,8</t>
  </si>
  <si>
    <t>ΜΟΥΧΤΗ</t>
  </si>
  <si>
    <t>ΑΚ315324</t>
  </si>
  <si>
    <t>990,5</t>
  </si>
  <si>
    <t>ΜΠΙΣΤΙΝΤΖΑΝΟΥ</t>
  </si>
  <si>
    <t>Χ780289</t>
  </si>
  <si>
    <t>990,3</t>
  </si>
  <si>
    <t>ΑΣΗΜΑΚΟΠΟΥΛΟΥ</t>
  </si>
  <si>
    <t>Φ218994</t>
  </si>
  <si>
    <t>989,3</t>
  </si>
  <si>
    <t>ΚΑΡΑΜΠΟΤΣΟΥ</t>
  </si>
  <si>
    <t>ΚΩΝΣΤΑΝΤΙΝΑ-ΘΕΟΔΩΡΑ</t>
  </si>
  <si>
    <t>ΑΜ515867</t>
  </si>
  <si>
    <t>987,2</t>
  </si>
  <si>
    <t>ΜΙΧΑΛΗΣ</t>
  </si>
  <si>
    <t>ΑΕ940386</t>
  </si>
  <si>
    <t>ΝΤΕΚΑΣ</t>
  </si>
  <si>
    <t>Χ274269</t>
  </si>
  <si>
    <t>ΑΚ627345</t>
  </si>
  <si>
    <t>982,9</t>
  </si>
  <si>
    <t>ΛΑΣΚΑΡΙΔΟΥ</t>
  </si>
  <si>
    <t>ΑΒ153660</t>
  </si>
  <si>
    <t>980,9</t>
  </si>
  <si>
    <t>ΤΑΒΟΥΛΑΡΗ</t>
  </si>
  <si>
    <t>ΑΜ210928</t>
  </si>
  <si>
    <t>980,8</t>
  </si>
  <si>
    <t>ΜΑΥΡΙΔΟΥ</t>
  </si>
  <si>
    <t>ΑΖ306513</t>
  </si>
  <si>
    <t>980,5</t>
  </si>
  <si>
    <t>ΧΑΡΟΝΤΖΑ</t>
  </si>
  <si>
    <t>ΑΠΟΣΤΟΛΙΑ</t>
  </si>
  <si>
    <t>ΑΕ165512</t>
  </si>
  <si>
    <t>978,2</t>
  </si>
  <si>
    <t>ΜΙΧΑΛΑΚΗ</t>
  </si>
  <si>
    <t>ΧΡΙΣΤΟΔΟΥΛΟΣ</t>
  </si>
  <si>
    <t>ΑΑ388674</t>
  </si>
  <si>
    <t>976,6</t>
  </si>
  <si>
    <t>ΚΥΡΙΤΣΑΚΑ</t>
  </si>
  <si>
    <t>Χ909920</t>
  </si>
  <si>
    <t>976,2</t>
  </si>
  <si>
    <t>ΚΟΛΤΣΑΡΑΣ</t>
  </si>
  <si>
    <t>ΑΚ416371</t>
  </si>
  <si>
    <t>975,6</t>
  </si>
  <si>
    <t>ΠΑΣΙΑΣ</t>
  </si>
  <si>
    <t>ΑΗ036601</t>
  </si>
  <si>
    <t>975,3</t>
  </si>
  <si>
    <t>ΝΤΑΛΚΑΡΑΝΙΔΟΥ</t>
  </si>
  <si>
    <t>Χ466613</t>
  </si>
  <si>
    <t>973,2</t>
  </si>
  <si>
    <t>ΧΡΗΣΤΟΥ</t>
  </si>
  <si>
    <t>ΠΗΝΕΛΟΠΗ</t>
  </si>
  <si>
    <t>ΑΒ421144</t>
  </si>
  <si>
    <t>ΦΟΥΣΕΚΗΣ</t>
  </si>
  <si>
    <t>AΘΑΝΑΣΙΟΣ</t>
  </si>
  <si>
    <t>ΑΑ483278</t>
  </si>
  <si>
    <t>970,7</t>
  </si>
  <si>
    <t>ΘΕΟΔΩΡΟΠΟΥΛΟΥ</t>
  </si>
  <si>
    <t>Χ806644</t>
  </si>
  <si>
    <t>ΝΤΑΟΥΤΗ</t>
  </si>
  <si>
    <t>ΑΗ904006</t>
  </si>
  <si>
    <t>962,7</t>
  </si>
  <si>
    <t>ΝΤΑΙΒΙΣ</t>
  </si>
  <si>
    <t>ΒΑΛΕΝΤΙΝΗ</t>
  </si>
  <si>
    <t>ΑΗ729053</t>
  </si>
  <si>
    <t>960,2</t>
  </si>
  <si>
    <t>ΣΚΟΥΜΠΕΡΔΗΣ</t>
  </si>
  <si>
    <t>Τ827793</t>
  </si>
  <si>
    <t>959,5</t>
  </si>
  <si>
    <t>ΣΑΡΡΗΣ</t>
  </si>
  <si>
    <t>ΠΟΛΥΔΩΡΟΣ</t>
  </si>
  <si>
    <t>ΑΗ526987</t>
  </si>
  <si>
    <t>654,5</t>
  </si>
  <si>
    <t xml:space="preserve">Σαμουλαδά </t>
  </si>
  <si>
    <t xml:space="preserve">Αντιγόνη </t>
  </si>
  <si>
    <t xml:space="preserve">Γεώργιος </t>
  </si>
  <si>
    <t>ΑΒ365447</t>
  </si>
  <si>
    <t>958,4</t>
  </si>
  <si>
    <t>ΣΟΦΙΟΣ</t>
  </si>
  <si>
    <t>ΠΑΝΑΓΙΩΤΗΣ-ΚΩΝΣΤΑΝΤΙΝΟΣ</t>
  </si>
  <si>
    <t>ΑΑ318636</t>
  </si>
  <si>
    <t>956,7</t>
  </si>
  <si>
    <t>ΣΑΛΤΣΙΔΗΣ</t>
  </si>
  <si>
    <t>ΑΕ870215</t>
  </si>
  <si>
    <t>955,5</t>
  </si>
  <si>
    <t>ΓΑΤΣΟΥΝΙΑ</t>
  </si>
  <si>
    <t>ΑΙ279574</t>
  </si>
  <si>
    <t>954,2</t>
  </si>
  <si>
    <t>ΑΒ083875</t>
  </si>
  <si>
    <t>954,1</t>
  </si>
  <si>
    <t>ΑΚ426745</t>
  </si>
  <si>
    <t>953,4</t>
  </si>
  <si>
    <t>ΚΥΡΑΤΖΗ</t>
  </si>
  <si>
    <t>ΑΒ243333</t>
  </si>
  <si>
    <t>617,1</t>
  </si>
  <si>
    <t>953,1</t>
  </si>
  <si>
    <t>ΤΣΑΜΠΟΥΝΑΡΗ</t>
  </si>
  <si>
    <t>ΑΗ588693</t>
  </si>
  <si>
    <t>ΓΕΩΕΡΓΙΟΣ</t>
  </si>
  <si>
    <t>ΑΕ692294</t>
  </si>
  <si>
    <t>Χ630860</t>
  </si>
  <si>
    <t>951,4</t>
  </si>
  <si>
    <t>ΟΙΚΟΝΟΜΕΑΣ</t>
  </si>
  <si>
    <t>Χ081435</t>
  </si>
  <si>
    <t>950,1</t>
  </si>
  <si>
    <t>ΤΟΥΣΙΑΣ</t>
  </si>
  <si>
    <t>ΑΑ272229</t>
  </si>
  <si>
    <t>949,7</t>
  </si>
  <si>
    <t>ΒΡΟΥΤΣΗΣ</t>
  </si>
  <si>
    <t>Χ667885</t>
  </si>
  <si>
    <t>949,4</t>
  </si>
  <si>
    <t>ΚΟΥΤΕΛΙΔΑ</t>
  </si>
  <si>
    <t>ΑΘΑΝΑΣΙΑ-ΑΝΝΗ</t>
  </si>
  <si>
    <t>ΑΕ319334</t>
  </si>
  <si>
    <t>947,8</t>
  </si>
  <si>
    <t>216-214-213</t>
  </si>
  <si>
    <t>ΤΣΟΥΛΟΣ</t>
  </si>
  <si>
    <t>ΚΑΡΟΛΟΣ</t>
  </si>
  <si>
    <t>ΑΑ379205</t>
  </si>
  <si>
    <t>947,6</t>
  </si>
  <si>
    <t>ΣΤΑΘΟΥΣΗΣ</t>
  </si>
  <si>
    <t>ΑΙ510046</t>
  </si>
  <si>
    <t>945,4</t>
  </si>
  <si>
    <t>ΒΛΑΧΟΘΑΝΑΣΗ</t>
  </si>
  <si>
    <t>ΑΒ620341</t>
  </si>
  <si>
    <t>644,6</t>
  </si>
  <si>
    <t>944,6</t>
  </si>
  <si>
    <t>ΒΕΛΕΝΤΖΑΣ</t>
  </si>
  <si>
    <t>Φ320526</t>
  </si>
  <si>
    <t>630,3</t>
  </si>
  <si>
    <t>942,3</t>
  </si>
  <si>
    <t>ΤΖΙΤΖΙΡΗΣ</t>
  </si>
  <si>
    <t>ΧΡΥΣΟΣΤΟΜΟΣ</t>
  </si>
  <si>
    <t>Χ071779</t>
  </si>
  <si>
    <t>942,1</t>
  </si>
  <si>
    <t>Χ423731</t>
  </si>
  <si>
    <t>941,9</t>
  </si>
  <si>
    <t>ΕΡΙΦΥΛΗ</t>
  </si>
  <si>
    <t>ΑΖ265611</t>
  </si>
  <si>
    <t>940,1</t>
  </si>
  <si>
    <t>ΜΩΡΑΙΤΗΣ</t>
  </si>
  <si>
    <t>ΕΡΩΤΟΚΡΙΤΟΣ</t>
  </si>
  <si>
    <t>Τ363485</t>
  </si>
  <si>
    <t>935,7</t>
  </si>
  <si>
    <t>ΠΡΙΜΙΚΙΔΟΥ</t>
  </si>
  <si>
    <t>Χ550690</t>
  </si>
  <si>
    <t>935,3</t>
  </si>
  <si>
    <t>ΤΑΣΣΗ</t>
  </si>
  <si>
    <t>ΕΥΑΓΓΕΛΙΝΗ</t>
  </si>
  <si>
    <t>ΑΙ820853</t>
  </si>
  <si>
    <t>874,5</t>
  </si>
  <si>
    <t>934,5</t>
  </si>
  <si>
    <t>ΜΠΟΥΛΑ</t>
  </si>
  <si>
    <t>ΑΝΑΤΟΛΗ</t>
  </si>
  <si>
    <t>Τ321003</t>
  </si>
  <si>
    <t>934,2</t>
  </si>
  <si>
    <t>ΧΑΤΖΗΑΝΑΓΝΩΣΤΟΥ</t>
  </si>
  <si>
    <t>ΠΛΟΥΤΑΡΧΟΣ-ΔΗΜΗΤΡΙΟΣ</t>
  </si>
  <si>
    <t>ΑΜ235544</t>
  </si>
  <si>
    <t>933,4</t>
  </si>
  <si>
    <t>ΣΑΜΑΡΤΖΗ</t>
  </si>
  <si>
    <t>Χ289086</t>
  </si>
  <si>
    <t>ΔΗΜΑ</t>
  </si>
  <si>
    <t>ΑΑ768777</t>
  </si>
  <si>
    <t>932,3</t>
  </si>
  <si>
    <t>ΜΠΑΖΑΚΟΓΙΑΝΝΗΣ</t>
  </si>
  <si>
    <t>ΑΜ170569</t>
  </si>
  <si>
    <t>931,2</t>
  </si>
  <si>
    <t>ΜΕΤΤΑ</t>
  </si>
  <si>
    <t>ΓΑΡΥΦΑΛΛΙΑ</t>
  </si>
  <si>
    <t>Ρ279524</t>
  </si>
  <si>
    <t>930,1</t>
  </si>
  <si>
    <t>ΚΑΚΑΛΗ</t>
  </si>
  <si>
    <t>Χ338219</t>
  </si>
  <si>
    <t>929,6</t>
  </si>
  <si>
    <t>ΣΩΚΟΣ</t>
  </si>
  <si>
    <t>Ρ231687</t>
  </si>
  <si>
    <t>926,3</t>
  </si>
  <si>
    <t>ΛΕΟΝΤΑΡΑΚΗ</t>
  </si>
  <si>
    <t>ΦΑΝΟΥΡΙΟΣ</t>
  </si>
  <si>
    <t>Φ253697</t>
  </si>
  <si>
    <t>ΜΠΕΛΗΣ</t>
  </si>
  <si>
    <t>Χ912297</t>
  </si>
  <si>
    <t>ΝΟΚΕ</t>
  </si>
  <si>
    <t>ΓΙΩΡΓΟ</t>
  </si>
  <si>
    <t>ΑΙ994862</t>
  </si>
  <si>
    <t>922,3</t>
  </si>
  <si>
    <t>ΚΟΥΤΙΝΑ</t>
  </si>
  <si>
    <t>Χ911093</t>
  </si>
  <si>
    <t>921,2</t>
  </si>
  <si>
    <t>ΜΑΚΡΗ</t>
  </si>
  <si>
    <t>ΑΙ625879</t>
  </si>
  <si>
    <t>918,9</t>
  </si>
  <si>
    <t>ΜΠΟΤΣΗ</t>
  </si>
  <si>
    <t>ΑΜ587957</t>
  </si>
  <si>
    <t>917,6</t>
  </si>
  <si>
    <t>ΝΑΤΑΛΙΑ</t>
  </si>
  <si>
    <t>ΑΒ332624</t>
  </si>
  <si>
    <t>917,5</t>
  </si>
  <si>
    <t>ΣΤΑΘΗ</t>
  </si>
  <si>
    <t>ΛΑΥΡΙΑ</t>
  </si>
  <si>
    <t>ΑΝ297230</t>
  </si>
  <si>
    <t>917,1</t>
  </si>
  <si>
    <t>ΑΡΓΥΡΟΠΟΥΛΟΣ</t>
  </si>
  <si>
    <t>ΑΕ174953</t>
  </si>
  <si>
    <t>ΔΟΛΛΑ</t>
  </si>
  <si>
    <t>ΦΙΛΑΡΕΤΗ</t>
  </si>
  <si>
    <t>ΑΙ873153</t>
  </si>
  <si>
    <t>916,4</t>
  </si>
  <si>
    <t>ΛΩΛΗ</t>
  </si>
  <si>
    <t>ΜΠΛΕΡΙΝΑ</t>
  </si>
  <si>
    <t>ΓΙΩΡΓΗΣ</t>
  </si>
  <si>
    <t>ΑΜ106294</t>
  </si>
  <si>
    <t>609,4</t>
  </si>
  <si>
    <t>914,4</t>
  </si>
  <si>
    <t>ΑΘΑΝΑΣΙΑΔΟΥ</t>
  </si>
  <si>
    <t>ΑΙ683819</t>
  </si>
  <si>
    <t>913,8</t>
  </si>
  <si>
    <t>ΚΑΛΟΥΣΙΔΟΥ</t>
  </si>
  <si>
    <t>ΑΗ009494</t>
  </si>
  <si>
    <t>913,3</t>
  </si>
  <si>
    <t>Χ359753</t>
  </si>
  <si>
    <t>912,7</t>
  </si>
  <si>
    <t>ΑΜ566818</t>
  </si>
  <si>
    <t>911,5</t>
  </si>
  <si>
    <t>ΚΟΡΟΜΠΙΛΙΑ</t>
  </si>
  <si>
    <t>ΑΑ851105</t>
  </si>
  <si>
    <t>ΑΔΑΜΟΠΟΥΛΟΥ</t>
  </si>
  <si>
    <t>Χ139627</t>
  </si>
  <si>
    <t>ΜΟΥΤΖΑΛΙΑ</t>
  </si>
  <si>
    <t>Χ542549</t>
  </si>
  <si>
    <t>ΚΟΥΤΣΑΜΑΝΗ</t>
  </si>
  <si>
    <t>ΑΕ276428</t>
  </si>
  <si>
    <t>908,8</t>
  </si>
  <si>
    <t>ΤΣΑΝΤΙΛΗ</t>
  </si>
  <si>
    <t>Χ170936</t>
  </si>
  <si>
    <t>905,9</t>
  </si>
  <si>
    <t>ΛΑΓΟΥ</t>
  </si>
  <si>
    <t>ΑΒ039372</t>
  </si>
  <si>
    <t>873,4</t>
  </si>
  <si>
    <t>903,4</t>
  </si>
  <si>
    <t>ΧΑΡΑΛΑΜΠΟΥΣ</t>
  </si>
  <si>
    <t>ΑΕ949583</t>
  </si>
  <si>
    <t>899,7</t>
  </si>
  <si>
    <t>ΑΝΔΡΟΥΛΙΔΑΚΗ</t>
  </si>
  <si>
    <t>ΑΜ307369</t>
  </si>
  <si>
    <t>896,1</t>
  </si>
  <si>
    <t>201-202-203-204-205-206-207-208-209-210-212-213-214-215</t>
  </si>
  <si>
    <t>ΑΛΕΞΟΠΟΥΛΟΥ</t>
  </si>
  <si>
    <t>ΑΗ727334</t>
  </si>
  <si>
    <t>710,6</t>
  </si>
  <si>
    <t>892,6</t>
  </si>
  <si>
    <t>215-214-212-201-202-203-204-205-206-207-213-208-209-210</t>
  </si>
  <si>
    <t>ΤΣΑΚΑΛΙΔΗΣ</t>
  </si>
  <si>
    <t>ΑΒ733354</t>
  </si>
  <si>
    <t>891,8</t>
  </si>
  <si>
    <t>ΜΙΣΙΑ</t>
  </si>
  <si>
    <t>ΑΕ828062</t>
  </si>
  <si>
    <t>ΠΑΝΑΓΗ</t>
  </si>
  <si>
    <t>ΑΗ917136</t>
  </si>
  <si>
    <t>890,5</t>
  </si>
  <si>
    <t>ΤΖΙΛΙΡΑ</t>
  </si>
  <si>
    <t>ΑΑ392905</t>
  </si>
  <si>
    <t>ΤΣΑΓΚΑΡΑΚΗΣ</t>
  </si>
  <si>
    <t>Λ165778</t>
  </si>
  <si>
    <t>889,3</t>
  </si>
  <si>
    <t>ΒΙΤΑΛΙΩΤΗ</t>
  </si>
  <si>
    <t>ΖΑΧΑΡΟΥΛΑ</t>
  </si>
  <si>
    <t>Χ043770</t>
  </si>
  <si>
    <t>887,8</t>
  </si>
  <si>
    <t>ΣΠΕΓΚΑΣ</t>
  </si>
  <si>
    <t>Χ359084</t>
  </si>
  <si>
    <t>887,2</t>
  </si>
  <si>
    <t>ΖΑΧΑΡΟΠΟΥΛΟΥ</t>
  </si>
  <si>
    <t>ΑΕ230402</t>
  </si>
  <si>
    <t>882,8</t>
  </si>
  <si>
    <t>ΣΚΡΙΜΠΑ</t>
  </si>
  <si>
    <t>Χ932090</t>
  </si>
  <si>
    <t>ΣΕΔΙΚΟΥ</t>
  </si>
  <si>
    <t>ΑΒ425046</t>
  </si>
  <si>
    <t>878,5</t>
  </si>
  <si>
    <t>ΓΑΛΑΝΟΠΟΥΛΟΥ</t>
  </si>
  <si>
    <t>ΓΕΩΓΡΙΑ</t>
  </si>
  <si>
    <t>Χ938477</t>
  </si>
  <si>
    <t>877,6</t>
  </si>
  <si>
    <t>ΣΑΛΠΑΔΗΜΟΣ</t>
  </si>
  <si>
    <t>ΑΙ311054</t>
  </si>
  <si>
    <t>875,3</t>
  </si>
  <si>
    <t>ΤΑΣΟΛΑΜΠΡΟΥ</t>
  </si>
  <si>
    <t>ΑΕ250146</t>
  </si>
  <si>
    <t>ΜΑΛΛΙΟΥ</t>
  </si>
  <si>
    <t>ΑΖ285564</t>
  </si>
  <si>
    <t>ΑΣΠΙΩΤΗΣ</t>
  </si>
  <si>
    <t>Τ361419</t>
  </si>
  <si>
    <t>870,2</t>
  </si>
  <si>
    <t>ΣΤΑΓΑΚΗ</t>
  </si>
  <si>
    <t>ΑΕ469829</t>
  </si>
  <si>
    <t>ΨΙΩΤΑ</t>
  </si>
  <si>
    <t>Χ924870</t>
  </si>
  <si>
    <t>ΚΙΒΡΑΚΙΔΟΥ</t>
  </si>
  <si>
    <t>ΑΗ293238</t>
  </si>
  <si>
    <t>ΑΑ231161</t>
  </si>
  <si>
    <t>869,6</t>
  </si>
  <si>
    <t>ΔΟΚΑ</t>
  </si>
  <si>
    <t>ΑΖ304403</t>
  </si>
  <si>
    <t>866,4</t>
  </si>
  <si>
    <t>ΤΖΙΝΑΣ</t>
  </si>
  <si>
    <t>ΑΜ751388</t>
  </si>
  <si>
    <t>635,8</t>
  </si>
  <si>
    <t>865,8</t>
  </si>
  <si>
    <t>ΓΙΑΛΠΑ</t>
  </si>
  <si>
    <t>ΑΒ018919</t>
  </si>
  <si>
    <t>864,1</t>
  </si>
  <si>
    <t>ΜΠΑΦΑΣ</t>
  </si>
  <si>
    <t>ΑΒ512725</t>
  </si>
  <si>
    <t>862,3</t>
  </si>
  <si>
    <t>ΜΠΕΛΛΟΥ</t>
  </si>
  <si>
    <t>Μ793345</t>
  </si>
  <si>
    <t>ΓΙΑΛΙΤΑΚΗΣ</t>
  </si>
  <si>
    <t>ΑΒ180017</t>
  </si>
  <si>
    <t>ΨΕΜΜΑΤΑΣ</t>
  </si>
  <si>
    <t>ΑΒ135749</t>
  </si>
  <si>
    <t>859,3</t>
  </si>
  <si>
    <t>ΒΕΝΤΟΥΡΗ</t>
  </si>
  <si>
    <t>ΖΑΜΠΕΤΑ</t>
  </si>
  <si>
    <t>ΑΑ041354</t>
  </si>
  <si>
    <t>ΑΕ008188</t>
  </si>
  <si>
    <t>ΑΕ028145</t>
  </si>
  <si>
    <t>855,4</t>
  </si>
  <si>
    <t>Σ486628</t>
  </si>
  <si>
    <t>854,2</t>
  </si>
  <si>
    <t>ΔΗΜΟΣ</t>
  </si>
  <si>
    <t>ΑΙ505715</t>
  </si>
  <si>
    <t>854,1</t>
  </si>
  <si>
    <t>ΦΥΤΑΜΠΑΝΗ</t>
  </si>
  <si>
    <t>ΜΑΡΙΓΩ</t>
  </si>
  <si>
    <t>ΑΑ414631</t>
  </si>
  <si>
    <t>ΜΑΡΚΑΚΗΣ</t>
  </si>
  <si>
    <t>ΑΒ212154</t>
  </si>
  <si>
    <t>ΑΗ622280</t>
  </si>
  <si>
    <t>850,9</t>
  </si>
  <si>
    <t>ΕΥΓΕΝΙΟΥ</t>
  </si>
  <si>
    <t>Χ664254</t>
  </si>
  <si>
    <t>850,8</t>
  </si>
  <si>
    <t>ΒΡΕΤΤΑΚΟΥ</t>
  </si>
  <si>
    <t>ΑΑ084152</t>
  </si>
  <si>
    <t>849,9</t>
  </si>
  <si>
    <t>ΑΝΔΡΟΝΗΣ</t>
  </si>
  <si>
    <t>ΑΒ324903</t>
  </si>
  <si>
    <t>ΑΕ293877</t>
  </si>
  <si>
    <t>ΛΙΑΝΟΣ</t>
  </si>
  <si>
    <t>ΕΠΑΜΕΙΝΩΝΔΑΣ</t>
  </si>
  <si>
    <t>ΑΒ220277</t>
  </si>
  <si>
    <t>848,8</t>
  </si>
  <si>
    <t>ΑΜ330187</t>
  </si>
  <si>
    <t>848,4</t>
  </si>
  <si>
    <t>ΑΙ686140</t>
  </si>
  <si>
    <t>846,9</t>
  </si>
  <si>
    <t>Χ911247</t>
  </si>
  <si>
    <t>846,6</t>
  </si>
  <si>
    <t>ΚΩΣΤΑΚΗ</t>
  </si>
  <si>
    <t>Χ346443</t>
  </si>
  <si>
    <t>845,5</t>
  </si>
  <si>
    <t>ΚΑΒΑΛΑΡΗΣ</t>
  </si>
  <si>
    <t>ΑΚ223221</t>
  </si>
  <si>
    <t>844,4</t>
  </si>
  <si>
    <t>ΚΑΡΑΚΟΒΟΥΝΗ</t>
  </si>
  <si>
    <t>ΜΑΡΙΑ-ΘΕΟΔΩΡΑ</t>
  </si>
  <si>
    <t>ΑΑ306895</t>
  </si>
  <si>
    <t>841,8</t>
  </si>
  <si>
    <t>ΜΑΛΩΤΙΔΗ</t>
  </si>
  <si>
    <t>Χ516405</t>
  </si>
  <si>
    <t>841,1</t>
  </si>
  <si>
    <t>ΖΑΜΠΟΥΝΗΣ</t>
  </si>
  <si>
    <t>Χ988516</t>
  </si>
  <si>
    <t>840,7</t>
  </si>
  <si>
    <t>ΣΥΡΙΓΓΑΣ</t>
  </si>
  <si>
    <t>ΑΙ531822</t>
  </si>
  <si>
    <t>ΠΑΡΑΣΚΕΥΑΙΔΗΣ</t>
  </si>
  <si>
    <t>ΑΙ893045</t>
  </si>
  <si>
    <t>839,2</t>
  </si>
  <si>
    <t>ΜΑΡΟΥ</t>
  </si>
  <si>
    <t>ΑΙ659083</t>
  </si>
  <si>
    <t>838,8</t>
  </si>
  <si>
    <t>ΚΙΤΣΙΟΔΗΜΟΥ ΜΑΤΣΑΡΙΔΟΥ</t>
  </si>
  <si>
    <t>ΧΑΡΟΥΛΑ ΝΙΚΗ</t>
  </si>
  <si>
    <t>ΑΗ237590</t>
  </si>
  <si>
    <t>834,4</t>
  </si>
  <si>
    <t>ΜΑΡΤΙΝΑ ΜΠΙΑΝΚΑ</t>
  </si>
  <si>
    <t>ΑΗ880282</t>
  </si>
  <si>
    <t>ΚΙΑΚΟΣ</t>
  </si>
  <si>
    <t>ΑΕ404730</t>
  </si>
  <si>
    <t>ΜΑΛΛΙΑΡΙΔΟΥ</t>
  </si>
  <si>
    <t>ΑΑ232813</t>
  </si>
  <si>
    <t>829,4</t>
  </si>
  <si>
    <t>ΣΑΒΒΙΔΟΥ</t>
  </si>
  <si>
    <t>ΘΕΟΦΥΛΑΚΤΟΣ</t>
  </si>
  <si>
    <t>Χ950570</t>
  </si>
  <si>
    <t>829,3</t>
  </si>
  <si>
    <t>ΓΙΑΝΝΟΠΟΥΛΟΣ</t>
  </si>
  <si>
    <t>ΑΜ326554</t>
  </si>
  <si>
    <t>ΤΣΕΛΛΟΥ</t>
  </si>
  <si>
    <t>ΑΕ994188</t>
  </si>
  <si>
    <t>826,6</t>
  </si>
  <si>
    <t>ΚΑΖΙΡΙΔΟΥ</t>
  </si>
  <si>
    <t>ΝΤΙΑΝΑ</t>
  </si>
  <si>
    <t>Χ602166</t>
  </si>
  <si>
    <t>826,4</t>
  </si>
  <si>
    <t>ΡΕΝΤΟΥΜΗΣ</t>
  </si>
  <si>
    <t>ΑΚ071864</t>
  </si>
  <si>
    <t>825,9</t>
  </si>
  <si>
    <t>ΒΟΥΚΕΛΑΤΟΣ</t>
  </si>
  <si>
    <t>ΑΒ015204</t>
  </si>
  <si>
    <t>823,5</t>
  </si>
  <si>
    <t>ΠΑΡΘΕΝΟΠΗ</t>
  </si>
  <si>
    <t>ΑΕ383876</t>
  </si>
  <si>
    <t>823,1</t>
  </si>
  <si>
    <t>ΜΑΜΑΚΗ</t>
  </si>
  <si>
    <t>ΜΕΡΟΠΗ</t>
  </si>
  <si>
    <t>ΑΑ799380</t>
  </si>
  <si>
    <t>822,3</t>
  </si>
  <si>
    <t>ΓΚΟΥΤΖΑΜΑΝΗΣ</t>
  </si>
  <si>
    <t>ΒΗΣΣΑΡΙΩΝ</t>
  </si>
  <si>
    <t>Χ977811</t>
  </si>
  <si>
    <t>821,6</t>
  </si>
  <si>
    <t>ΛΥΚΟΤΟΜΑΡΟΥ</t>
  </si>
  <si>
    <t>Χ044343</t>
  </si>
  <si>
    <t>820,8</t>
  </si>
  <si>
    <t>ΑΙ264989</t>
  </si>
  <si>
    <t>820,2</t>
  </si>
  <si>
    <t>ΣΕΡΙΑΤΟΣ</t>
  </si>
  <si>
    <t>Χ616591</t>
  </si>
  <si>
    <t>818,3</t>
  </si>
  <si>
    <t>ΑΝΤΩΝΙΟΥ</t>
  </si>
  <si>
    <t>ΑΕ274652</t>
  </si>
  <si>
    <t>817,6</t>
  </si>
  <si>
    <t>ΚΑΝΑΤΑ</t>
  </si>
  <si>
    <t>ΑΜ380772</t>
  </si>
  <si>
    <t>816,7</t>
  </si>
  <si>
    <t>Πλατσούκα</t>
  </si>
  <si>
    <t xml:space="preserve">Ελένη </t>
  </si>
  <si>
    <t>Γεώργιος</t>
  </si>
  <si>
    <t>ΑΕ284580</t>
  </si>
  <si>
    <t>815,4</t>
  </si>
  <si>
    <t>ΟΜΠΑΣΗΣ</t>
  </si>
  <si>
    <t>ΑΑ337572</t>
  </si>
  <si>
    <t>813,6</t>
  </si>
  <si>
    <t>ΚΟΤΡΩΤΣΙΟΥ</t>
  </si>
  <si>
    <t>ΑΖ763666</t>
  </si>
  <si>
    <t>812,5</t>
  </si>
  <si>
    <t>ΘΕΟΧΑΡΗ</t>
  </si>
  <si>
    <t>Ρ390914</t>
  </si>
  <si>
    <t>812,1</t>
  </si>
  <si>
    <t>ΜΠΑΖΙΑΝΟΥ</t>
  </si>
  <si>
    <t>Σ070317</t>
  </si>
  <si>
    <t>811,4</t>
  </si>
  <si>
    <t>ΜΙΧΟΥ</t>
  </si>
  <si>
    <t>ΑΗ288181</t>
  </si>
  <si>
    <t>ΚΟΛΟΒΟΥ</t>
  </si>
  <si>
    <t>ΔΑΝΑΗ</t>
  </si>
  <si>
    <t>ΑΕ772722</t>
  </si>
  <si>
    <t>808,8</t>
  </si>
  <si>
    <t>ΤΣΑΝΤΑΛΗ</t>
  </si>
  <si>
    <t>ΑΙ066399</t>
  </si>
  <si>
    <t>ΛΕΜΟΝΑΚΟΥ</t>
  </si>
  <si>
    <t>ΑΓΗΣΙΛΑΟΣ</t>
  </si>
  <si>
    <t>ΑΜ106655</t>
  </si>
  <si>
    <t>805,9</t>
  </si>
  <si>
    <t>ΒΟΜΒΟΛΑΚΗ</t>
  </si>
  <si>
    <t>ΑΒ218308</t>
  </si>
  <si>
    <t>805,8</t>
  </si>
  <si>
    <t>ΝΤΕΤΣΙΚΑ</t>
  </si>
  <si>
    <t>ΑΝΝΑ ΜΑΡΙΑ</t>
  </si>
  <si>
    <t>ΑΕ286079</t>
  </si>
  <si>
    <t>804,4</t>
  </si>
  <si>
    <t>ΜΑΜΑΛΗ</t>
  </si>
  <si>
    <t>ΑΒ496462</t>
  </si>
  <si>
    <t>804,2</t>
  </si>
  <si>
    <t>Τσαμπίρα</t>
  </si>
  <si>
    <t xml:space="preserve">Γεωργία </t>
  </si>
  <si>
    <t>Χ644259</t>
  </si>
  <si>
    <t>ΠΑΝΟΠΟΥΛΟΥ</t>
  </si>
  <si>
    <t>ΑΑ360002</t>
  </si>
  <si>
    <t>801,5</t>
  </si>
  <si>
    <t>ΣΟΡΛΟΓΛΟΥ</t>
  </si>
  <si>
    <t>ΑΗ386242</t>
  </si>
  <si>
    <t>ΚΑΡΑΚΩΝΣΤΑΝΤΗ</t>
  </si>
  <si>
    <t>ΑΕ229207</t>
  </si>
  <si>
    <t>800,9</t>
  </si>
  <si>
    <t>ΣΙΓΑΛΑΣ</t>
  </si>
  <si>
    <t>ΑΜ561564</t>
  </si>
  <si>
    <t>799,3</t>
  </si>
  <si>
    <t>ΧΗΡΑ</t>
  </si>
  <si>
    <t>ΑΝ242917</t>
  </si>
  <si>
    <t>ΓΙΩΤΑΣ</t>
  </si>
  <si>
    <t>ΑΒ425226</t>
  </si>
  <si>
    <t>798,8</t>
  </si>
  <si>
    <t>ΜΠΑΚΟΘΑΝΑΣΗ</t>
  </si>
  <si>
    <t>ΠΟΛΥΤΙΜΗ</t>
  </si>
  <si>
    <t>ΑΚ696865</t>
  </si>
  <si>
    <t>798,7</t>
  </si>
  <si>
    <t>ΣΟΥΛΤΑΝΙΑ</t>
  </si>
  <si>
    <t>Σ689603</t>
  </si>
  <si>
    <t>798,5</t>
  </si>
  <si>
    <t>ΜΠΑΒΕΛΑ</t>
  </si>
  <si>
    <t>ΑΒ405451</t>
  </si>
  <si>
    <t>ΔΗΜΟΠΟΥΛΟΥ</t>
  </si>
  <si>
    <t>ΑΝΝΑ ΕΙΡΗΝΗ</t>
  </si>
  <si>
    <t>ΑΚ538058</t>
  </si>
  <si>
    <t>798,3</t>
  </si>
  <si>
    <t>ΚΑΡΑΓΙΑΝΝΗΣ</t>
  </si>
  <si>
    <t>ΑΕ430870</t>
  </si>
  <si>
    <t>796,3</t>
  </si>
  <si>
    <t>ΣΠΥΡΟΠΟΥΛΟΥ</t>
  </si>
  <si>
    <t>ΒΑΝΙΑ</t>
  </si>
  <si>
    <t>ΝΑΟΥΜ</t>
  </si>
  <si>
    <t>Π573739</t>
  </si>
  <si>
    <t>ΣΕΡΕΤΗ</t>
  </si>
  <si>
    <t>ΑΒ086493</t>
  </si>
  <si>
    <t>791,5</t>
  </si>
  <si>
    <t>ΓΑΒΡΙΗΛΙΔΗΣ</t>
  </si>
  <si>
    <t>ΓΕΏΡΓΙΟΣ</t>
  </si>
  <si>
    <t>Χ952975</t>
  </si>
  <si>
    <t>791,2</t>
  </si>
  <si>
    <t>790,5</t>
  </si>
  <si>
    <t>ΒΑΣΣΟΥ</t>
  </si>
  <si>
    <t>ΜΑΡΙΑ-ΡΟΖΑ</t>
  </si>
  <si>
    <t>ΑΑ440160</t>
  </si>
  <si>
    <t>789,4</t>
  </si>
  <si>
    <t>ΜΟΥΣΚΑ</t>
  </si>
  <si>
    <t>ΑΑ326764</t>
  </si>
  <si>
    <t>ΚΑΠΟΛΟΣ</t>
  </si>
  <si>
    <t>ΑΚ566596</t>
  </si>
  <si>
    <t>786,8</t>
  </si>
  <si>
    <t>ΓΕΩΡΓΟΜΑΝΩΛΗΣ</t>
  </si>
  <si>
    <t>Χ176810</t>
  </si>
  <si>
    <t>786,4</t>
  </si>
  <si>
    <t>ΜΑΣΤΟΡΟΓΙΑΝΝΗ</t>
  </si>
  <si>
    <t>ΜΥΡΤΩ-ΕΥΑΓΓΕΛΙΑ</t>
  </si>
  <si>
    <t>ΑΗ762950</t>
  </si>
  <si>
    <t>786,1</t>
  </si>
  <si>
    <t>ΑΔΑΜΑΝΤΙΔΟΥ</t>
  </si>
  <si>
    <t>Σ659069</t>
  </si>
  <si>
    <t>785,9</t>
  </si>
  <si>
    <t>ΣΓΟΥΡΙΝΑΚΗΣ</t>
  </si>
  <si>
    <t>Χ521024</t>
  </si>
  <si>
    <t>784,2</t>
  </si>
  <si>
    <t>ΚΟΝΤΟΓΕΩΡΓΑΚΗ</t>
  </si>
  <si>
    <t>Φ301774</t>
  </si>
  <si>
    <t>782,4</t>
  </si>
  <si>
    <t>ΑΒ353333</t>
  </si>
  <si>
    <t>781,7</t>
  </si>
  <si>
    <t>ΝΑΣΗΣ</t>
  </si>
  <si>
    <t>Τ060938</t>
  </si>
  <si>
    <t>780,9</t>
  </si>
  <si>
    <t>ΦΟΡΤΑΤΟΥ</t>
  </si>
  <si>
    <t>Χ017979</t>
  </si>
  <si>
    <t>778,6</t>
  </si>
  <si>
    <t>ΚΑΡΥΟΦΥΛΛΗΣ</t>
  </si>
  <si>
    <t>ΑΙ803292</t>
  </si>
  <si>
    <t>ΚΟΥΡΜΑΔΙΑ</t>
  </si>
  <si>
    <t>ΑΚ559219</t>
  </si>
  <si>
    <t>777,6</t>
  </si>
  <si>
    <t>ΑΖ 410565</t>
  </si>
  <si>
    <t>777,2</t>
  </si>
  <si>
    <t>ΓΙΑΝΝΟΥΛΗ</t>
  </si>
  <si>
    <t>ΕΛΕΥΘΕΡΙΑ ΛΥΔΙΑ</t>
  </si>
  <si>
    <t>ΑΑ948143</t>
  </si>
  <si>
    <t>776,2</t>
  </si>
  <si>
    <t>ΑΕ643449</t>
  </si>
  <si>
    <t>Σπαθάρα</t>
  </si>
  <si>
    <t>Μαρία</t>
  </si>
  <si>
    <t>ΑΙ204556</t>
  </si>
  <si>
    <t>775,8</t>
  </si>
  <si>
    <t>ΓΑΒΡΙΗΛΙΔΟΥ</t>
  </si>
  <si>
    <t>ΑΙ666871</t>
  </si>
  <si>
    <t>773,9</t>
  </si>
  <si>
    <t>ΖΩΓΡΑΦΑΚΗ</t>
  </si>
  <si>
    <t>ΑΒ191226</t>
  </si>
  <si>
    <t>ΗΣΑΙΛΙΔΟΥ</t>
  </si>
  <si>
    <t>ΑΒ455906</t>
  </si>
  <si>
    <t>770,7</t>
  </si>
  <si>
    <t>ΤΣΑΚΑΛΗ</t>
  </si>
  <si>
    <t>ΑΕ783725</t>
  </si>
  <si>
    <t>770,3</t>
  </si>
  <si>
    <t>Μ797387</t>
  </si>
  <si>
    <t>634,7</t>
  </si>
  <si>
    <t>769,7</t>
  </si>
  <si>
    <t>ΚΑΡΑΔΗΜΑΣ</t>
  </si>
  <si>
    <t>ΑΙ773618</t>
  </si>
  <si>
    <t>667,7</t>
  </si>
  <si>
    <t>767,7</t>
  </si>
  <si>
    <t>ΓΙΑΝΝΟΥΛΟΣ</t>
  </si>
  <si>
    <t>ΣΕΡΓΙΟΣ</t>
  </si>
  <si>
    <t>ΑΒ146889</t>
  </si>
  <si>
    <t>767,2</t>
  </si>
  <si>
    <t>ΝΤΑΤΣΟΥ</t>
  </si>
  <si>
    <t>ΑΒ169142</t>
  </si>
  <si>
    <t>763,9</t>
  </si>
  <si>
    <t>ΛΙΒΑ</t>
  </si>
  <si>
    <t>ΑΚ355109</t>
  </si>
  <si>
    <t>762,6</t>
  </si>
  <si>
    <t>ΑΒ628384</t>
  </si>
  <si>
    <t>759,7</t>
  </si>
  <si>
    <t>ΑΓΓΕΛΙΔΕΛΛΗΣ</t>
  </si>
  <si>
    <t>Χ528034</t>
  </si>
  <si>
    <t>754,3</t>
  </si>
  <si>
    <t>Χ142064</t>
  </si>
  <si>
    <t>753,8</t>
  </si>
  <si>
    <t>ΚΩΤΣΟΠΟΥΛΟΥ</t>
  </si>
  <si>
    <t>ΑΖ701087</t>
  </si>
  <si>
    <t xml:space="preserve">ΜΠΑΜΠΗ </t>
  </si>
  <si>
    <t>ΜΠΛΕΡΤΑ</t>
  </si>
  <si>
    <t>ΓΙΑΝΝΗΣ</t>
  </si>
  <si>
    <t>ΑΙ057742</t>
  </si>
  <si>
    <t>753,4</t>
  </si>
  <si>
    <t>ΚΑΚΑΓΙΑΣ</t>
  </si>
  <si>
    <t>Χ876590</t>
  </si>
  <si>
    <t>673,2</t>
  </si>
  <si>
    <t>753,2</t>
  </si>
  <si>
    <t>ΜΠΟΥΚΙΟΥ</t>
  </si>
  <si>
    <t>ΑΒ009395</t>
  </si>
  <si>
    <t>752,7</t>
  </si>
  <si>
    <t>ΣΚΑΡΟΣ</t>
  </si>
  <si>
    <t>ΑΕ648583</t>
  </si>
  <si>
    <t>ΠΑΠΑΧΑΡΑΛΑΜΠΟΥΣ</t>
  </si>
  <si>
    <t>Τ854184</t>
  </si>
  <si>
    <t>ΠΑΛΑΣΚΩΝΗ</t>
  </si>
  <si>
    <t>ΑΒ752614</t>
  </si>
  <si>
    <t>748,7</t>
  </si>
  <si>
    <t>ΑΒ191118</t>
  </si>
  <si>
    <t>ΚΟΥΜΑΝΤΟΣ</t>
  </si>
  <si>
    <t>ΑΚ019131</t>
  </si>
  <si>
    <t>745,2</t>
  </si>
  <si>
    <t>ΤΣΙΝΑΛΙΔΗΣ</t>
  </si>
  <si>
    <t>ΑΚ422828</t>
  </si>
  <si>
    <t>ΑΕ244985</t>
  </si>
  <si>
    <t>743,9</t>
  </si>
  <si>
    <t>ΓΙΑΝΝΑΚΟΥ</t>
  </si>
  <si>
    <t>Χ176514</t>
  </si>
  <si>
    <t>ΜΠΗΛΙΔΑ</t>
  </si>
  <si>
    <t>ΑΚ571519</t>
  </si>
  <si>
    <t>ΔΟΝΑΤΟΣ</t>
  </si>
  <si>
    <t>ΑΑ382152</t>
  </si>
  <si>
    <t>ΚΕΛΑΔΗΣ</t>
  </si>
  <si>
    <t>ΑΒ064559</t>
  </si>
  <si>
    <t>ΙΩΑΝΝΑ ΧΡΥΣΑ</t>
  </si>
  <si>
    <t>ΑΒ544686</t>
  </si>
  <si>
    <t>739,5</t>
  </si>
  <si>
    <t>ΑΝΔΡΙΑΝΑ</t>
  </si>
  <si>
    <t>ΑΖ210828</t>
  </si>
  <si>
    <t>737,7</t>
  </si>
  <si>
    <t>ΒΡΥΩΝΗ</t>
  </si>
  <si>
    <t>ΑΡΙΣΤΟΦΑΝΗΣ</t>
  </si>
  <si>
    <t>Χ087432</t>
  </si>
  <si>
    <t>736,6</t>
  </si>
  <si>
    <t>ΓΟΥΔΕΛΗ</t>
  </si>
  <si>
    <t>Χ078614</t>
  </si>
  <si>
    <t>736,2</t>
  </si>
  <si>
    <t>ΣΕΙΤΑΝΙΔΗΣ</t>
  </si>
  <si>
    <t>ΜΟΥΡΑΤΙΟΣ</t>
  </si>
  <si>
    <t>ΑΒ855866</t>
  </si>
  <si>
    <t>ΞΕΝΟΣ</t>
  </si>
  <si>
    <t>ΕΡΝΕΣΤΟΣ</t>
  </si>
  <si>
    <t>Χ801153</t>
  </si>
  <si>
    <t>733,3</t>
  </si>
  <si>
    <t>ΜΠΕΡΣΙΑΝΗ</t>
  </si>
  <si>
    <t>Χ411797</t>
  </si>
  <si>
    <t>732,2</t>
  </si>
  <si>
    <t>ΑΒ812247</t>
  </si>
  <si>
    <t>730,7</t>
  </si>
  <si>
    <t>ΑΕ126159</t>
  </si>
  <si>
    <t xml:space="preserve">ΓΕΩΡΓΟΠΟΥΛΟΣ </t>
  </si>
  <si>
    <t>ΑΒ074708</t>
  </si>
  <si>
    <t>ΝΟΜΙΚΟΣ</t>
  </si>
  <si>
    <t>Χ427630</t>
  </si>
  <si>
    <t>ΜΠΑΚΑΛΙΔΟΥ</t>
  </si>
  <si>
    <t>ΑΒ259516</t>
  </si>
  <si>
    <t>728,8</t>
  </si>
  <si>
    <t>ΚΡΟΜΠΑΣ</t>
  </si>
  <si>
    <t>ΑΒ402693</t>
  </si>
  <si>
    <t>728,7</t>
  </si>
  <si>
    <t>ΑΗ812591</t>
  </si>
  <si>
    <t>ΑΖ304529</t>
  </si>
  <si>
    <t>720,8</t>
  </si>
  <si>
    <t>ΧΡΙΣΤΟΠΟΥΛΟΣ</t>
  </si>
  <si>
    <t>Χ298402</t>
  </si>
  <si>
    <t>669,9</t>
  </si>
  <si>
    <t>719,9</t>
  </si>
  <si>
    <t>ΛΑΣΠΑ</t>
  </si>
  <si>
    <t>Φ071604</t>
  </si>
  <si>
    <t>ΒΡΕΤΤΗΣ</t>
  </si>
  <si>
    <t>Σ809673</t>
  </si>
  <si>
    <t>716,8</t>
  </si>
  <si>
    <t>ΤΣΟΥΛΟΥ</t>
  </si>
  <si>
    <t>ΑΚ518125</t>
  </si>
  <si>
    <t>715,8</t>
  </si>
  <si>
    <t>ΚΑΚΚΑΒΑ</t>
  </si>
  <si>
    <t>ΑΒ083324</t>
  </si>
  <si>
    <t>ΛΑΡΙΣΗΣ</t>
  </si>
  <si>
    <t>ΑΑ433715</t>
  </si>
  <si>
    <t>708,7</t>
  </si>
  <si>
    <t>ΜΗΤΡΟΓΙΩΡΓΟΥ</t>
  </si>
  <si>
    <t>ΑΗ24519393</t>
  </si>
  <si>
    <t>ΒΑΡΒΑΡΙΓΟΣ</t>
  </si>
  <si>
    <t>ΑΒ830738</t>
  </si>
  <si>
    <t>705,4</t>
  </si>
  <si>
    <t>ΔΡΙΜΑ</t>
  </si>
  <si>
    <t>ΜΑΡΙΝΑ-ΣΩΤΗΡΙΑ</t>
  </si>
  <si>
    <t>ΑΒ082147</t>
  </si>
  <si>
    <t>703,2</t>
  </si>
  <si>
    <t>ΚΑΛΟΣΤΥΠΗΣ</t>
  </si>
  <si>
    <t>Σ887177</t>
  </si>
  <si>
    <t>702,5</t>
  </si>
  <si>
    <t>ΚΟΥΛΟΥΡΑ</t>
  </si>
  <si>
    <t>AΘΗΝΑ</t>
  </si>
  <si>
    <t>ΑΕ253121</t>
  </si>
  <si>
    <t>701,2</t>
  </si>
  <si>
    <t>ΔΗΜΗΤΡΙΟΣ ΧΡΗΣΤΟΣ</t>
  </si>
  <si>
    <t>ΑΗ280937</t>
  </si>
  <si>
    <t>ΑΖ722611</t>
  </si>
  <si>
    <t>694,4</t>
  </si>
  <si>
    <t>ΧΡΟΝΑΡΑΚΗΣ</t>
  </si>
  <si>
    <t>ΑΑ358723</t>
  </si>
  <si>
    <t>Ν039368</t>
  </si>
  <si>
    <t>693,7</t>
  </si>
  <si>
    <t>ΠΕΤΣΑΣ</t>
  </si>
  <si>
    <t>Φ474211</t>
  </si>
  <si>
    <t>691,6</t>
  </si>
  <si>
    <t>ΤΣΕΤΟΓΛΟΥ</t>
  </si>
  <si>
    <t>ΑΖ875621</t>
  </si>
  <si>
    <t>ΘΕΟΦΑΝΕΙΑ</t>
  </si>
  <si>
    <t>ΑΒ499769</t>
  </si>
  <si>
    <t>686,7</t>
  </si>
  <si>
    <t>ΜΑΓΓΟΝΑΣ</t>
  </si>
  <si>
    <t>Χ987148</t>
  </si>
  <si>
    <t>ΛΥΣΣΟΒΑΣ</t>
  </si>
  <si>
    <t>ΑΙ868517</t>
  </si>
  <si>
    <t>ΛΑΜΠΡΟΥ</t>
  </si>
  <si>
    <t>ΑΕ490295</t>
  </si>
  <si>
    <t>ΠΕΤΣΕΝΙΚ</t>
  </si>
  <si>
    <t>ΑΙΧΑΝ</t>
  </si>
  <si>
    <t>ΧΟΥΣΕΙΝ</t>
  </si>
  <si>
    <t>ΑΖ908683</t>
  </si>
  <si>
    <t>ΚΟΛΩΝΙΑΣ</t>
  </si>
  <si>
    <t>Ρ233989</t>
  </si>
  <si>
    <t>680,1</t>
  </si>
  <si>
    <t>ΔΗΜΟΥΛΑΣ</t>
  </si>
  <si>
    <t>ΦΩΤΙΟΣ  ΣΩΤΗΡΙΟΣ</t>
  </si>
  <si>
    <t>ΑΙ633547</t>
  </si>
  <si>
    <t>ΑΒΡΑΜΠΟΥ</t>
  </si>
  <si>
    <t>ΘΕΟΦΑΝΙΑ</t>
  </si>
  <si>
    <t>Χ308033</t>
  </si>
  <si>
    <t>677,3</t>
  </si>
  <si>
    <t>ΦΑΝΑΡΑΣ</t>
  </si>
  <si>
    <t>Χ345342</t>
  </si>
  <si>
    <t>622,6</t>
  </si>
  <si>
    <t>672,6</t>
  </si>
  <si>
    <t>ΓΙΑΝΝΟΥ</t>
  </si>
  <si>
    <t>Χ131271</t>
  </si>
  <si>
    <t>672,4</t>
  </si>
  <si>
    <t>ΤΖΑΓΚΑΡΑΚΗ</t>
  </si>
  <si>
    <t>ΑΒ954906</t>
  </si>
  <si>
    <t>ΚΑΡΑΓΕΩΡΓΟΥ</t>
  </si>
  <si>
    <t>Σ539017</t>
  </si>
  <si>
    <t>215-205-206-207-209-210-212</t>
  </si>
  <si>
    <t>ΡΟΔΟΥΣΗ</t>
  </si>
  <si>
    <t>ΑΒ662090</t>
  </si>
  <si>
    <t>ΜΟΥΣΟΥΛΗ</t>
  </si>
  <si>
    <t>Ξ700329</t>
  </si>
  <si>
    <t>590,7</t>
  </si>
  <si>
    <t>660,7</t>
  </si>
  <si>
    <t>ΤΟΜΠΡΑΣ</t>
  </si>
  <si>
    <t>Χ282844</t>
  </si>
  <si>
    <t>600,6</t>
  </si>
  <si>
    <t>660,6</t>
  </si>
  <si>
    <t>ΤΖΑΝΙΔΗ</t>
  </si>
  <si>
    <t>ΑΖ696923</t>
  </si>
  <si>
    <t>203-205-206-207-209-210-212-215-216-211-204-201-213-202</t>
  </si>
  <si>
    <t>ΛΙΑΠΠΑ</t>
  </si>
  <si>
    <t>ΕΛΕΝΗ-ΠΑΡΑΣΚΕΥΗ</t>
  </si>
  <si>
    <t>ΛΑΖΑΡΟΣ-ΕΛΕΥΘΕΡΙΟΣ</t>
  </si>
  <si>
    <t>Σ258783</t>
  </si>
  <si>
    <t>631,4</t>
  </si>
  <si>
    <t>ΠΑΡΔΑΛΗ</t>
  </si>
  <si>
    <t>ΑΙ299936</t>
  </si>
  <si>
    <t>ΜΠΟΖΟΓΛΟΥ</t>
  </si>
  <si>
    <t>ΑΑ458433</t>
  </si>
  <si>
    <t>ΚΑΣΙΝΤΗΣ</t>
  </si>
  <si>
    <t>ΑΙ784321</t>
  </si>
  <si>
    <t>ΑΜ786977</t>
  </si>
  <si>
    <t>613,8</t>
  </si>
  <si>
    <t>ΡΙΖΟΓΙΑΝΝΗΣ</t>
  </si>
  <si>
    <t>ΑΙ844557</t>
  </si>
  <si>
    <t>606,1</t>
  </si>
  <si>
    <t>ΚΟΣΜΕΤΑΤΟΥ</t>
  </si>
  <si>
    <t>ΗΛΙΑ</t>
  </si>
  <si>
    <t>Ρ600990</t>
  </si>
  <si>
    <t>598,4</t>
  </si>
  <si>
    <t>ΦΑΡΜΑΚΗΣ</t>
  </si>
  <si>
    <t>ΑΖ696922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</si>
  <si>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</si>
  <si>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</si>
  <si>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</si>
  <si>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</si>
  <si>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</si>
  <si>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</si>
  <si>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</si>
  <si>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</si>
  <si>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</si>
  <si>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</si>
  <si>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</si>
  <si>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</si>
  <si>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2</t>
  </si>
  <si>
    <t>14:ΑΛΛΗ ΓΛΩΣΣΑ 1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</si>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</sst>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0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1727</v>
      </c>
      <c r="C8" t="s">
        <v>13</v>
      </c>
      <c r="D8" t="s">
        <v>14</v>
      </c>
      <c r="E8" t="s">
        <v>15</v>
      </c>
      <c r="F8" t="s">
        <v>16</v>
      </c>
      <c r="G8" t="str">
        <f>"200712005590"</f>
        <v>200712005590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145</v>
      </c>
      <c r="W8">
        <v>588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2269</v>
      </c>
      <c r="C10" t="s">
        <v>20</v>
      </c>
      <c r="D10" t="s">
        <v>21</v>
      </c>
      <c r="E10" t="s">
        <v>14</v>
      </c>
      <c r="F10" t="s">
        <v>22</v>
      </c>
      <c r="G10" t="str">
        <f>"201409000852"</f>
        <v>201409000852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71</v>
      </c>
      <c r="W10">
        <v>497</v>
      </c>
      <c r="Z10">
        <v>0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2126</v>
      </c>
      <c r="C12" t="s">
        <v>26</v>
      </c>
      <c r="D12" t="s">
        <v>14</v>
      </c>
      <c r="E12" t="s">
        <v>27</v>
      </c>
      <c r="F12" t="s">
        <v>28</v>
      </c>
      <c r="G12" t="str">
        <f>"201410004619"</f>
        <v>201410004619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68</v>
      </c>
      <c r="W12">
        <v>476</v>
      </c>
      <c r="Z12">
        <v>0</v>
      </c>
      <c r="AA12" t="s">
        <v>30</v>
      </c>
    </row>
    <row r="13" spans="1:27" x14ac:dyDescent="0.25">
      <c r="H13" t="s">
        <v>31</v>
      </c>
    </row>
    <row r="14" spans="1:27" x14ac:dyDescent="0.25">
      <c r="A14">
        <v>4</v>
      </c>
      <c r="B14">
        <v>1346</v>
      </c>
      <c r="C14" t="s">
        <v>32</v>
      </c>
      <c r="D14" t="s">
        <v>33</v>
      </c>
      <c r="E14" t="s">
        <v>34</v>
      </c>
      <c r="F14" t="s">
        <v>35</v>
      </c>
      <c r="G14" t="str">
        <f>"201406000164"</f>
        <v>201406000164</v>
      </c>
      <c r="H14" t="s">
        <v>36</v>
      </c>
      <c r="I14">
        <v>0</v>
      </c>
      <c r="J14">
        <v>520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70</v>
      </c>
      <c r="W14">
        <v>490</v>
      </c>
      <c r="Z14">
        <v>0</v>
      </c>
      <c r="AA14" t="s">
        <v>37</v>
      </c>
    </row>
    <row r="15" spans="1:27" x14ac:dyDescent="0.25">
      <c r="H15" t="s">
        <v>38</v>
      </c>
    </row>
    <row r="16" spans="1:27" x14ac:dyDescent="0.25">
      <c r="A16">
        <v>5</v>
      </c>
      <c r="B16">
        <v>510</v>
      </c>
      <c r="C16" t="s">
        <v>39</v>
      </c>
      <c r="D16" t="s">
        <v>40</v>
      </c>
      <c r="E16" t="s">
        <v>41</v>
      </c>
      <c r="F16">
        <v>1471</v>
      </c>
      <c r="G16" t="str">
        <f>"201406014085"</f>
        <v>201406014085</v>
      </c>
      <c r="H16" t="s">
        <v>42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135</v>
      </c>
      <c r="W16">
        <v>588</v>
      </c>
      <c r="Z16">
        <v>0</v>
      </c>
      <c r="AA16" t="s">
        <v>43</v>
      </c>
    </row>
    <row r="17" spans="1:27" x14ac:dyDescent="0.25">
      <c r="H17" t="s">
        <v>38</v>
      </c>
    </row>
    <row r="18" spans="1:27" x14ac:dyDescent="0.25">
      <c r="A18">
        <v>6</v>
      </c>
      <c r="B18">
        <v>1624</v>
      </c>
      <c r="C18" t="s">
        <v>44</v>
      </c>
      <c r="D18" t="s">
        <v>15</v>
      </c>
      <c r="E18" t="s">
        <v>45</v>
      </c>
      <c r="F18" t="s">
        <v>46</v>
      </c>
      <c r="G18" t="str">
        <f>"201304003160"</f>
        <v>201304003160</v>
      </c>
      <c r="H18" t="s">
        <v>47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115</v>
      </c>
      <c r="W18">
        <v>588</v>
      </c>
      <c r="Z18">
        <v>0</v>
      </c>
      <c r="AA18" t="s">
        <v>48</v>
      </c>
    </row>
    <row r="19" spans="1:27" x14ac:dyDescent="0.25">
      <c r="H19" t="s">
        <v>49</v>
      </c>
    </row>
    <row r="20" spans="1:27" x14ac:dyDescent="0.25">
      <c r="A20">
        <v>7</v>
      </c>
      <c r="B20">
        <v>1108</v>
      </c>
      <c r="C20" t="s">
        <v>50</v>
      </c>
      <c r="D20" t="s">
        <v>51</v>
      </c>
      <c r="E20" t="s">
        <v>52</v>
      </c>
      <c r="F20" t="s">
        <v>53</v>
      </c>
      <c r="G20" t="str">
        <f>"201410003383"</f>
        <v>201410003383</v>
      </c>
      <c r="H20" t="s">
        <v>54</v>
      </c>
      <c r="I20">
        <v>150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280</v>
      </c>
      <c r="W20">
        <v>588</v>
      </c>
      <c r="Z20">
        <v>0</v>
      </c>
      <c r="AA20" t="s">
        <v>55</v>
      </c>
    </row>
    <row r="21" spans="1:27" x14ac:dyDescent="0.25">
      <c r="H21" t="s">
        <v>56</v>
      </c>
    </row>
    <row r="22" spans="1:27" x14ac:dyDescent="0.25">
      <c r="A22">
        <v>8</v>
      </c>
      <c r="B22">
        <v>1417</v>
      </c>
      <c r="C22" t="s">
        <v>57</v>
      </c>
      <c r="D22" t="s">
        <v>58</v>
      </c>
      <c r="E22" t="s">
        <v>59</v>
      </c>
      <c r="F22" t="s">
        <v>60</v>
      </c>
      <c r="G22" t="str">
        <f>"00014887"</f>
        <v>00014887</v>
      </c>
      <c r="H22" t="s">
        <v>61</v>
      </c>
      <c r="I22">
        <v>150</v>
      </c>
      <c r="J22">
        <v>0</v>
      </c>
      <c r="K22">
        <v>0</v>
      </c>
      <c r="L22">
        <v>200</v>
      </c>
      <c r="M22">
        <v>30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262</v>
      </c>
      <c r="W22">
        <v>588</v>
      </c>
      <c r="Z22">
        <v>0</v>
      </c>
      <c r="AA22" t="s">
        <v>62</v>
      </c>
    </row>
    <row r="23" spans="1:27" x14ac:dyDescent="0.25">
      <c r="H23" t="s">
        <v>38</v>
      </c>
    </row>
    <row r="24" spans="1:27" x14ac:dyDescent="0.25">
      <c r="A24">
        <v>9</v>
      </c>
      <c r="B24">
        <v>2852</v>
      </c>
      <c r="C24" t="s">
        <v>63</v>
      </c>
      <c r="D24" t="s">
        <v>64</v>
      </c>
      <c r="E24" t="s">
        <v>65</v>
      </c>
      <c r="F24" t="s">
        <v>66</v>
      </c>
      <c r="G24" t="str">
        <f>"201304003468"</f>
        <v>201304003468</v>
      </c>
      <c r="H24" t="s">
        <v>67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91</v>
      </c>
      <c r="W24">
        <v>588</v>
      </c>
      <c r="Z24">
        <v>0</v>
      </c>
      <c r="AA24" t="s">
        <v>62</v>
      </c>
    </row>
    <row r="25" spans="1:27" x14ac:dyDescent="0.25">
      <c r="H25" t="s">
        <v>68</v>
      </c>
    </row>
    <row r="26" spans="1:27" x14ac:dyDescent="0.25">
      <c r="A26">
        <v>10</v>
      </c>
      <c r="B26">
        <v>1367</v>
      </c>
      <c r="C26" t="s">
        <v>69</v>
      </c>
      <c r="D26" t="s">
        <v>70</v>
      </c>
      <c r="E26" t="s">
        <v>65</v>
      </c>
      <c r="F26" t="s">
        <v>71</v>
      </c>
      <c r="G26" t="str">
        <f>"00010687"</f>
        <v>00010687</v>
      </c>
      <c r="H26" t="s">
        <v>72</v>
      </c>
      <c r="I26">
        <v>150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32</v>
      </c>
      <c r="W26">
        <v>224</v>
      </c>
      <c r="Z26">
        <v>0</v>
      </c>
      <c r="AA26" t="s">
        <v>73</v>
      </c>
    </row>
    <row r="27" spans="1:27" x14ac:dyDescent="0.25">
      <c r="H27">
        <v>213</v>
      </c>
    </row>
    <row r="28" spans="1:27" x14ac:dyDescent="0.25">
      <c r="A28">
        <v>11</v>
      </c>
      <c r="B28">
        <v>851</v>
      </c>
      <c r="C28" t="s">
        <v>74</v>
      </c>
      <c r="D28" t="s">
        <v>41</v>
      </c>
      <c r="E28" t="s">
        <v>64</v>
      </c>
      <c r="F28" t="s">
        <v>75</v>
      </c>
      <c r="G28" t="str">
        <f>"00012895"</f>
        <v>00012895</v>
      </c>
      <c r="H28" t="s">
        <v>76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110</v>
      </c>
      <c r="W28">
        <v>588</v>
      </c>
      <c r="Z28">
        <v>0</v>
      </c>
      <c r="AA28" t="s">
        <v>77</v>
      </c>
    </row>
    <row r="29" spans="1:27" x14ac:dyDescent="0.25">
      <c r="H29" t="s">
        <v>78</v>
      </c>
    </row>
    <row r="30" spans="1:27" x14ac:dyDescent="0.25">
      <c r="A30">
        <v>12</v>
      </c>
      <c r="B30">
        <v>3108</v>
      </c>
      <c r="C30" t="s">
        <v>79</v>
      </c>
      <c r="D30" t="s">
        <v>80</v>
      </c>
      <c r="E30" t="s">
        <v>27</v>
      </c>
      <c r="F30" t="s">
        <v>81</v>
      </c>
      <c r="G30" t="str">
        <f>"201412002413"</f>
        <v>201412002413</v>
      </c>
      <c r="H30" t="s">
        <v>82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189</v>
      </c>
      <c r="W30">
        <v>588</v>
      </c>
      <c r="Z30">
        <v>0</v>
      </c>
      <c r="AA30" t="s">
        <v>83</v>
      </c>
    </row>
    <row r="31" spans="1:27" x14ac:dyDescent="0.25">
      <c r="H31" t="s">
        <v>31</v>
      </c>
    </row>
    <row r="32" spans="1:27" x14ac:dyDescent="0.25">
      <c r="A32">
        <v>13</v>
      </c>
      <c r="B32">
        <v>969</v>
      </c>
      <c r="C32" t="s">
        <v>84</v>
      </c>
      <c r="D32" t="s">
        <v>41</v>
      </c>
      <c r="E32" t="s">
        <v>85</v>
      </c>
      <c r="F32" t="s">
        <v>86</v>
      </c>
      <c r="G32" t="str">
        <f>"200801008453"</f>
        <v>200801008453</v>
      </c>
      <c r="H32" t="s">
        <v>87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140</v>
      </c>
      <c r="W32">
        <v>588</v>
      </c>
      <c r="Z32">
        <v>0</v>
      </c>
      <c r="AA32" t="s">
        <v>88</v>
      </c>
    </row>
    <row r="33" spans="1:27" x14ac:dyDescent="0.25">
      <c r="H33" t="s">
        <v>89</v>
      </c>
    </row>
    <row r="34" spans="1:27" x14ac:dyDescent="0.25">
      <c r="A34">
        <v>14</v>
      </c>
      <c r="B34">
        <v>1346</v>
      </c>
      <c r="C34" t="s">
        <v>32</v>
      </c>
      <c r="D34" t="s">
        <v>33</v>
      </c>
      <c r="E34" t="s">
        <v>34</v>
      </c>
      <c r="F34" t="s">
        <v>35</v>
      </c>
      <c r="G34" t="str">
        <f>"201406000164"</f>
        <v>201406000164</v>
      </c>
      <c r="H34" t="s">
        <v>36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70</v>
      </c>
      <c r="W34">
        <v>490</v>
      </c>
      <c r="Z34">
        <v>0</v>
      </c>
      <c r="AA34" t="s">
        <v>90</v>
      </c>
    </row>
    <row r="35" spans="1:27" x14ac:dyDescent="0.25">
      <c r="H35" t="s">
        <v>38</v>
      </c>
    </row>
    <row r="36" spans="1:27" x14ac:dyDescent="0.25">
      <c r="A36">
        <v>15</v>
      </c>
      <c r="B36">
        <v>451</v>
      </c>
      <c r="C36" t="s">
        <v>91</v>
      </c>
      <c r="D36" t="s">
        <v>92</v>
      </c>
      <c r="E36" t="s">
        <v>93</v>
      </c>
      <c r="F36" t="s">
        <v>94</v>
      </c>
      <c r="G36" t="str">
        <f>"00013561"</f>
        <v>00013561</v>
      </c>
      <c r="H36">
        <v>737</v>
      </c>
      <c r="I36">
        <v>0</v>
      </c>
      <c r="J36">
        <v>400</v>
      </c>
      <c r="K36">
        <v>0</v>
      </c>
      <c r="L36">
        <v>200</v>
      </c>
      <c r="M36">
        <v>0</v>
      </c>
      <c r="N36">
        <v>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127</v>
      </c>
      <c r="W36">
        <v>588</v>
      </c>
      <c r="Z36">
        <v>0</v>
      </c>
      <c r="AA36">
        <v>1955</v>
      </c>
    </row>
    <row r="37" spans="1:27" x14ac:dyDescent="0.25">
      <c r="H37" t="s">
        <v>38</v>
      </c>
    </row>
    <row r="38" spans="1:27" x14ac:dyDescent="0.25">
      <c r="A38">
        <v>16</v>
      </c>
      <c r="B38">
        <v>2704</v>
      </c>
      <c r="C38" t="s">
        <v>95</v>
      </c>
      <c r="D38" t="s">
        <v>96</v>
      </c>
      <c r="E38" t="s">
        <v>64</v>
      </c>
      <c r="F38" t="s">
        <v>97</v>
      </c>
      <c r="G38" t="str">
        <f>"200802004424"</f>
        <v>200802004424</v>
      </c>
      <c r="H38" t="s">
        <v>98</v>
      </c>
      <c r="I38">
        <v>0</v>
      </c>
      <c r="J38">
        <v>0</v>
      </c>
      <c r="K38">
        <v>0</v>
      </c>
      <c r="L38">
        <v>200</v>
      </c>
      <c r="M38">
        <v>30</v>
      </c>
      <c r="N38">
        <v>70</v>
      </c>
      <c r="O38">
        <v>0</v>
      </c>
      <c r="P38">
        <v>50</v>
      </c>
      <c r="Q38">
        <v>0</v>
      </c>
      <c r="R38">
        <v>0</v>
      </c>
      <c r="S38">
        <v>0</v>
      </c>
      <c r="T38">
        <v>0</v>
      </c>
      <c r="U38">
        <v>0</v>
      </c>
      <c r="V38">
        <v>118</v>
      </c>
      <c r="W38">
        <v>588</v>
      </c>
      <c r="Z38">
        <v>0</v>
      </c>
      <c r="AA38" t="s">
        <v>99</v>
      </c>
    </row>
    <row r="39" spans="1:27" x14ac:dyDescent="0.25">
      <c r="H39">
        <v>216</v>
      </c>
    </row>
    <row r="40" spans="1:27" x14ac:dyDescent="0.25">
      <c r="A40">
        <v>17</v>
      </c>
      <c r="B40">
        <v>669</v>
      </c>
      <c r="C40" t="s">
        <v>100</v>
      </c>
      <c r="D40" t="s">
        <v>101</v>
      </c>
      <c r="E40" t="s">
        <v>41</v>
      </c>
      <c r="F40" t="s">
        <v>102</v>
      </c>
      <c r="G40" t="str">
        <f>"201405000145"</f>
        <v>201405000145</v>
      </c>
      <c r="H40">
        <v>858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59</v>
      </c>
      <c r="W40">
        <v>413</v>
      </c>
      <c r="Z40">
        <v>0</v>
      </c>
      <c r="AA40">
        <v>1941</v>
      </c>
    </row>
    <row r="41" spans="1:27" x14ac:dyDescent="0.25">
      <c r="H41" t="s">
        <v>19</v>
      </c>
    </row>
    <row r="42" spans="1:27" x14ac:dyDescent="0.25">
      <c r="A42">
        <v>18</v>
      </c>
      <c r="B42">
        <v>941</v>
      </c>
      <c r="C42" t="s">
        <v>103</v>
      </c>
      <c r="D42" t="s">
        <v>104</v>
      </c>
      <c r="E42" t="s">
        <v>85</v>
      </c>
      <c r="F42" t="s">
        <v>105</v>
      </c>
      <c r="G42" t="str">
        <f>"201406009107"</f>
        <v>201406009107</v>
      </c>
      <c r="H42">
        <v>1023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50</v>
      </c>
      <c r="R42">
        <v>0</v>
      </c>
      <c r="S42">
        <v>0</v>
      </c>
      <c r="T42">
        <v>0</v>
      </c>
      <c r="U42">
        <v>0</v>
      </c>
      <c r="V42">
        <v>82</v>
      </c>
      <c r="W42">
        <v>574</v>
      </c>
      <c r="Z42">
        <v>0</v>
      </c>
      <c r="AA42">
        <v>1917</v>
      </c>
    </row>
    <row r="43" spans="1:27" x14ac:dyDescent="0.25">
      <c r="H43" t="s">
        <v>106</v>
      </c>
    </row>
    <row r="44" spans="1:27" x14ac:dyDescent="0.25">
      <c r="A44">
        <v>19</v>
      </c>
      <c r="B44">
        <v>3292</v>
      </c>
      <c r="C44" t="s">
        <v>107</v>
      </c>
      <c r="D44" t="s">
        <v>41</v>
      </c>
      <c r="E44" t="s">
        <v>108</v>
      </c>
      <c r="F44" t="s">
        <v>109</v>
      </c>
      <c r="G44" t="str">
        <f>"201504001343"</f>
        <v>201504001343</v>
      </c>
      <c r="H44" t="s">
        <v>110</v>
      </c>
      <c r="I44">
        <v>0</v>
      </c>
      <c r="J44">
        <v>400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116</v>
      </c>
      <c r="W44">
        <v>588</v>
      </c>
      <c r="Z44">
        <v>0</v>
      </c>
      <c r="AA44" t="s">
        <v>111</v>
      </c>
    </row>
    <row r="45" spans="1:27" x14ac:dyDescent="0.25">
      <c r="H45" t="s">
        <v>112</v>
      </c>
    </row>
    <row r="46" spans="1:27" x14ac:dyDescent="0.25">
      <c r="A46">
        <v>20</v>
      </c>
      <c r="B46">
        <v>3045</v>
      </c>
      <c r="C46" t="s">
        <v>113</v>
      </c>
      <c r="D46" t="s">
        <v>114</v>
      </c>
      <c r="E46" t="s">
        <v>64</v>
      </c>
      <c r="F46" t="s">
        <v>115</v>
      </c>
      <c r="G46" t="str">
        <f>"201406000046"</f>
        <v>201406000046</v>
      </c>
      <c r="H46" t="s">
        <v>116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50</v>
      </c>
      <c r="Q46">
        <v>0</v>
      </c>
      <c r="R46">
        <v>30</v>
      </c>
      <c r="S46">
        <v>0</v>
      </c>
      <c r="T46">
        <v>0</v>
      </c>
      <c r="U46">
        <v>0</v>
      </c>
      <c r="V46">
        <v>108</v>
      </c>
      <c r="W46">
        <v>588</v>
      </c>
      <c r="Z46">
        <v>0</v>
      </c>
      <c r="AA46" t="s">
        <v>117</v>
      </c>
    </row>
    <row r="47" spans="1:27" x14ac:dyDescent="0.25">
      <c r="H47" t="s">
        <v>25</v>
      </c>
    </row>
    <row r="48" spans="1:27" x14ac:dyDescent="0.25">
      <c r="A48">
        <v>21</v>
      </c>
      <c r="B48">
        <v>1542</v>
      </c>
      <c r="C48" t="s">
        <v>118</v>
      </c>
      <c r="D48" t="s">
        <v>41</v>
      </c>
      <c r="E48" t="s">
        <v>45</v>
      </c>
      <c r="F48" t="s">
        <v>119</v>
      </c>
      <c r="G48" t="str">
        <f>"201406001085"</f>
        <v>201406001085</v>
      </c>
      <c r="H48" t="s">
        <v>120</v>
      </c>
      <c r="I48">
        <v>0</v>
      </c>
      <c r="J48">
        <v>400</v>
      </c>
      <c r="K48">
        <v>0</v>
      </c>
      <c r="L48">
        <v>0</v>
      </c>
      <c r="M48">
        <v>100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130</v>
      </c>
      <c r="W48">
        <v>588</v>
      </c>
      <c r="Z48">
        <v>0</v>
      </c>
      <c r="AA48" t="s">
        <v>121</v>
      </c>
    </row>
    <row r="49" spans="1:27" x14ac:dyDescent="0.25">
      <c r="H49" t="s">
        <v>89</v>
      </c>
    </row>
    <row r="50" spans="1:27" x14ac:dyDescent="0.25">
      <c r="A50">
        <v>22</v>
      </c>
      <c r="B50">
        <v>137</v>
      </c>
      <c r="C50" t="s">
        <v>122</v>
      </c>
      <c r="D50" t="s">
        <v>108</v>
      </c>
      <c r="E50" t="s">
        <v>123</v>
      </c>
      <c r="F50" t="s">
        <v>124</v>
      </c>
      <c r="G50" t="str">
        <f>"201511024043"</f>
        <v>201511024043</v>
      </c>
      <c r="H50" t="s">
        <v>125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Z50">
        <v>0</v>
      </c>
      <c r="AA50" t="s">
        <v>126</v>
      </c>
    </row>
    <row r="51" spans="1:27" x14ac:dyDescent="0.25">
      <c r="H51" t="s">
        <v>31</v>
      </c>
    </row>
    <row r="52" spans="1:27" x14ac:dyDescent="0.25">
      <c r="A52">
        <v>23</v>
      </c>
      <c r="B52">
        <v>3010</v>
      </c>
      <c r="C52" t="s">
        <v>127</v>
      </c>
      <c r="D52" t="s">
        <v>128</v>
      </c>
      <c r="E52" t="s">
        <v>129</v>
      </c>
      <c r="F52" t="s">
        <v>130</v>
      </c>
      <c r="G52" t="str">
        <f>"201412002496"</f>
        <v>201412002496</v>
      </c>
      <c r="H52" t="s">
        <v>131</v>
      </c>
      <c r="I52">
        <v>0</v>
      </c>
      <c r="J52">
        <v>400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258</v>
      </c>
      <c r="W52">
        <v>588</v>
      </c>
      <c r="Z52">
        <v>0</v>
      </c>
      <c r="AA52" t="s">
        <v>132</v>
      </c>
    </row>
    <row r="53" spans="1:27" x14ac:dyDescent="0.25">
      <c r="H53" t="s">
        <v>38</v>
      </c>
    </row>
    <row r="54" spans="1:27" x14ac:dyDescent="0.25">
      <c r="A54">
        <v>24</v>
      </c>
      <c r="B54">
        <v>1706</v>
      </c>
      <c r="C54" t="s">
        <v>133</v>
      </c>
      <c r="D54" t="s">
        <v>134</v>
      </c>
      <c r="E54" t="s">
        <v>135</v>
      </c>
      <c r="F54" t="s">
        <v>136</v>
      </c>
      <c r="G54" t="str">
        <f>"00002269"</f>
        <v>00002269</v>
      </c>
      <c r="H54" t="s">
        <v>23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70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213</v>
      </c>
      <c r="W54">
        <v>588</v>
      </c>
      <c r="Z54">
        <v>0</v>
      </c>
      <c r="AA54" t="s">
        <v>137</v>
      </c>
    </row>
    <row r="55" spans="1:27" x14ac:dyDescent="0.25">
      <c r="H55" t="s">
        <v>19</v>
      </c>
    </row>
    <row r="56" spans="1:27" x14ac:dyDescent="0.25">
      <c r="A56">
        <v>25</v>
      </c>
      <c r="B56">
        <v>391</v>
      </c>
      <c r="C56" t="s">
        <v>138</v>
      </c>
      <c r="D56" t="s">
        <v>64</v>
      </c>
      <c r="E56" t="s">
        <v>85</v>
      </c>
      <c r="F56" t="s">
        <v>139</v>
      </c>
      <c r="G56" t="str">
        <f>"00015069"</f>
        <v>00015069</v>
      </c>
      <c r="H56" t="s">
        <v>140</v>
      </c>
      <c r="I56">
        <v>150</v>
      </c>
      <c r="J56">
        <v>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70</v>
      </c>
      <c r="T56">
        <v>0</v>
      </c>
      <c r="U56">
        <v>0</v>
      </c>
      <c r="V56">
        <v>110</v>
      </c>
      <c r="W56">
        <v>588</v>
      </c>
      <c r="Z56">
        <v>0</v>
      </c>
      <c r="AA56" t="s">
        <v>141</v>
      </c>
    </row>
    <row r="57" spans="1:27" x14ac:dyDescent="0.25">
      <c r="H57">
        <v>215</v>
      </c>
    </row>
    <row r="58" spans="1:27" x14ac:dyDescent="0.25">
      <c r="A58">
        <v>26</v>
      </c>
      <c r="B58">
        <v>1894</v>
      </c>
      <c r="C58" t="s">
        <v>142</v>
      </c>
      <c r="D58" t="s">
        <v>143</v>
      </c>
      <c r="E58" t="s">
        <v>41</v>
      </c>
      <c r="F58" t="s">
        <v>144</v>
      </c>
      <c r="G58" t="str">
        <f>"200802010326"</f>
        <v>200802010326</v>
      </c>
      <c r="H58" t="s">
        <v>145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30</v>
      </c>
      <c r="P58">
        <v>0</v>
      </c>
      <c r="Q58">
        <v>0</v>
      </c>
      <c r="R58">
        <v>70</v>
      </c>
      <c r="S58">
        <v>0</v>
      </c>
      <c r="T58">
        <v>0</v>
      </c>
      <c r="U58">
        <v>0</v>
      </c>
      <c r="V58">
        <v>155</v>
      </c>
      <c r="W58">
        <v>588</v>
      </c>
      <c r="Z58">
        <v>0</v>
      </c>
      <c r="AA58" t="s">
        <v>146</v>
      </c>
    </row>
    <row r="59" spans="1:27" x14ac:dyDescent="0.25">
      <c r="H59" t="s">
        <v>38</v>
      </c>
    </row>
    <row r="60" spans="1:27" x14ac:dyDescent="0.25">
      <c r="A60">
        <v>27</v>
      </c>
      <c r="B60">
        <v>531</v>
      </c>
      <c r="C60" t="s">
        <v>147</v>
      </c>
      <c r="D60" t="s">
        <v>148</v>
      </c>
      <c r="E60" t="s">
        <v>64</v>
      </c>
      <c r="F60" t="s">
        <v>149</v>
      </c>
      <c r="G60" t="str">
        <f>"200805000099"</f>
        <v>200805000099</v>
      </c>
      <c r="H60">
        <v>836</v>
      </c>
      <c r="I60">
        <v>150</v>
      </c>
      <c r="J60">
        <v>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132</v>
      </c>
      <c r="W60">
        <v>588</v>
      </c>
      <c r="Z60">
        <v>0</v>
      </c>
      <c r="AA60">
        <v>1874</v>
      </c>
    </row>
    <row r="61" spans="1:27" x14ac:dyDescent="0.25">
      <c r="H61" t="s">
        <v>38</v>
      </c>
    </row>
    <row r="62" spans="1:27" x14ac:dyDescent="0.25">
      <c r="A62">
        <v>28</v>
      </c>
      <c r="B62">
        <v>1028</v>
      </c>
      <c r="C62" t="s">
        <v>150</v>
      </c>
      <c r="D62" t="s">
        <v>151</v>
      </c>
      <c r="E62" t="s">
        <v>152</v>
      </c>
      <c r="F62" t="s">
        <v>153</v>
      </c>
      <c r="G62" t="str">
        <f>"200801003351"</f>
        <v>200801003351</v>
      </c>
      <c r="H62" t="s">
        <v>154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30</v>
      </c>
      <c r="P62">
        <v>0</v>
      </c>
      <c r="Q62">
        <v>50</v>
      </c>
      <c r="R62">
        <v>30</v>
      </c>
      <c r="S62">
        <v>0</v>
      </c>
      <c r="T62">
        <v>0</v>
      </c>
      <c r="U62">
        <v>0</v>
      </c>
      <c r="V62">
        <v>84</v>
      </c>
      <c r="W62">
        <v>588</v>
      </c>
      <c r="Z62">
        <v>0</v>
      </c>
      <c r="AA62" t="s">
        <v>155</v>
      </c>
    </row>
    <row r="63" spans="1:27" x14ac:dyDescent="0.25">
      <c r="H63" t="s">
        <v>156</v>
      </c>
    </row>
    <row r="64" spans="1:27" x14ac:dyDescent="0.25">
      <c r="A64">
        <v>29</v>
      </c>
      <c r="B64">
        <v>1552</v>
      </c>
      <c r="C64" t="s">
        <v>157</v>
      </c>
      <c r="D64" t="s">
        <v>158</v>
      </c>
      <c r="E64" t="s">
        <v>41</v>
      </c>
      <c r="F64" t="s">
        <v>159</v>
      </c>
      <c r="G64" t="str">
        <f>"200801007032"</f>
        <v>200801007032</v>
      </c>
      <c r="H64" t="s">
        <v>160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70</v>
      </c>
      <c r="P64">
        <v>0</v>
      </c>
      <c r="Q64">
        <v>50</v>
      </c>
      <c r="R64">
        <v>0</v>
      </c>
      <c r="S64">
        <v>0</v>
      </c>
      <c r="T64">
        <v>0</v>
      </c>
      <c r="U64">
        <v>0</v>
      </c>
      <c r="V64">
        <v>94</v>
      </c>
      <c r="W64">
        <v>588</v>
      </c>
      <c r="Z64">
        <v>0</v>
      </c>
      <c r="AA64" t="s">
        <v>161</v>
      </c>
    </row>
    <row r="65" spans="1:27" x14ac:dyDescent="0.25">
      <c r="H65" t="s">
        <v>31</v>
      </c>
    </row>
    <row r="66" spans="1:27" x14ac:dyDescent="0.25">
      <c r="A66">
        <v>30</v>
      </c>
      <c r="B66">
        <v>381</v>
      </c>
      <c r="C66" t="s">
        <v>162</v>
      </c>
      <c r="D66" t="s">
        <v>163</v>
      </c>
      <c r="E66" t="s">
        <v>85</v>
      </c>
      <c r="F66" t="s">
        <v>164</v>
      </c>
      <c r="G66" t="str">
        <f>"201511020583"</f>
        <v>201511020583</v>
      </c>
      <c r="H66" t="s">
        <v>165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30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115</v>
      </c>
      <c r="W66">
        <v>588</v>
      </c>
      <c r="Z66">
        <v>0</v>
      </c>
      <c r="AA66" t="s">
        <v>166</v>
      </c>
    </row>
    <row r="67" spans="1:27" x14ac:dyDescent="0.25">
      <c r="H67" t="s">
        <v>49</v>
      </c>
    </row>
    <row r="68" spans="1:27" x14ac:dyDescent="0.25">
      <c r="A68">
        <v>31</v>
      </c>
      <c r="B68">
        <v>2554</v>
      </c>
      <c r="C68" t="s">
        <v>167</v>
      </c>
      <c r="D68" t="s">
        <v>168</v>
      </c>
      <c r="E68" t="s">
        <v>169</v>
      </c>
      <c r="F68" t="s">
        <v>170</v>
      </c>
      <c r="G68" t="str">
        <f>"200712004921"</f>
        <v>200712004921</v>
      </c>
      <c r="H68" t="s">
        <v>171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30</v>
      </c>
      <c r="P68">
        <v>0</v>
      </c>
      <c r="Q68">
        <v>30</v>
      </c>
      <c r="R68">
        <v>30</v>
      </c>
      <c r="S68">
        <v>0</v>
      </c>
      <c r="T68">
        <v>0</v>
      </c>
      <c r="U68">
        <v>0</v>
      </c>
      <c r="V68">
        <v>95</v>
      </c>
      <c r="W68">
        <v>588</v>
      </c>
      <c r="Z68">
        <v>0</v>
      </c>
      <c r="AA68" t="s">
        <v>172</v>
      </c>
    </row>
    <row r="69" spans="1:27" x14ac:dyDescent="0.25">
      <c r="H69" t="s">
        <v>89</v>
      </c>
    </row>
    <row r="70" spans="1:27" x14ac:dyDescent="0.25">
      <c r="A70">
        <v>32</v>
      </c>
      <c r="B70">
        <v>3343</v>
      </c>
      <c r="C70" t="s">
        <v>173</v>
      </c>
      <c r="D70" t="s">
        <v>123</v>
      </c>
      <c r="E70" t="s">
        <v>41</v>
      </c>
      <c r="F70" t="s">
        <v>174</v>
      </c>
      <c r="G70" t="str">
        <f>"200801002306"</f>
        <v>200801002306</v>
      </c>
      <c r="H70" t="s">
        <v>175</v>
      </c>
      <c r="I70">
        <v>150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112</v>
      </c>
      <c r="W70">
        <v>588</v>
      </c>
      <c r="Z70">
        <v>0</v>
      </c>
      <c r="AA70" t="s">
        <v>176</v>
      </c>
    </row>
    <row r="71" spans="1:27" x14ac:dyDescent="0.25">
      <c r="H71" t="s">
        <v>25</v>
      </c>
    </row>
    <row r="72" spans="1:27" x14ac:dyDescent="0.25">
      <c r="A72">
        <v>33</v>
      </c>
      <c r="B72">
        <v>1633</v>
      </c>
      <c r="C72" t="s">
        <v>177</v>
      </c>
      <c r="D72" t="s">
        <v>151</v>
      </c>
      <c r="E72" t="s">
        <v>85</v>
      </c>
      <c r="F72" t="s">
        <v>178</v>
      </c>
      <c r="G72" t="str">
        <f>"201406008308"</f>
        <v>201406008308</v>
      </c>
      <c r="H72" t="s">
        <v>179</v>
      </c>
      <c r="I72">
        <v>150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102</v>
      </c>
      <c r="W72">
        <v>588</v>
      </c>
      <c r="Z72">
        <v>0</v>
      </c>
      <c r="AA72" t="s">
        <v>180</v>
      </c>
    </row>
    <row r="73" spans="1:27" x14ac:dyDescent="0.25">
      <c r="H73" t="s">
        <v>38</v>
      </c>
    </row>
    <row r="74" spans="1:27" x14ac:dyDescent="0.25">
      <c r="A74">
        <v>34</v>
      </c>
      <c r="B74">
        <v>2849</v>
      </c>
      <c r="C74" t="s">
        <v>181</v>
      </c>
      <c r="D74" t="s">
        <v>182</v>
      </c>
      <c r="E74" t="s">
        <v>183</v>
      </c>
      <c r="F74" t="s">
        <v>184</v>
      </c>
      <c r="G74" t="str">
        <f>"201410012665"</f>
        <v>201410012665</v>
      </c>
      <c r="H74" t="s">
        <v>185</v>
      </c>
      <c r="I74">
        <v>0</v>
      </c>
      <c r="J74">
        <v>0</v>
      </c>
      <c r="K74">
        <v>200</v>
      </c>
      <c r="L74">
        <v>0</v>
      </c>
      <c r="M74">
        <v>100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100</v>
      </c>
      <c r="W74">
        <v>588</v>
      </c>
      <c r="Z74">
        <v>0</v>
      </c>
      <c r="AA74" t="s">
        <v>186</v>
      </c>
    </row>
    <row r="75" spans="1:27" x14ac:dyDescent="0.25">
      <c r="H75" t="s">
        <v>106</v>
      </c>
    </row>
    <row r="76" spans="1:27" x14ac:dyDescent="0.25">
      <c r="A76">
        <v>35</v>
      </c>
      <c r="B76">
        <v>2647</v>
      </c>
      <c r="C76" t="s">
        <v>187</v>
      </c>
      <c r="D76" t="s">
        <v>188</v>
      </c>
      <c r="E76" t="s">
        <v>189</v>
      </c>
      <c r="F76" t="s">
        <v>190</v>
      </c>
      <c r="G76" t="str">
        <f>"201304004591"</f>
        <v>201304004591</v>
      </c>
      <c r="H76" t="s">
        <v>191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0</v>
      </c>
      <c r="Q76">
        <v>0</v>
      </c>
      <c r="R76">
        <v>70</v>
      </c>
      <c r="S76">
        <v>0</v>
      </c>
      <c r="T76">
        <v>0</v>
      </c>
      <c r="U76">
        <v>0</v>
      </c>
      <c r="V76">
        <v>103</v>
      </c>
      <c r="W76">
        <v>588</v>
      </c>
      <c r="Z76">
        <v>0</v>
      </c>
      <c r="AA76" t="s">
        <v>192</v>
      </c>
    </row>
    <row r="77" spans="1:27" x14ac:dyDescent="0.25">
      <c r="H77" t="s">
        <v>38</v>
      </c>
    </row>
    <row r="78" spans="1:27" x14ac:dyDescent="0.25">
      <c r="A78">
        <v>36</v>
      </c>
      <c r="B78">
        <v>651</v>
      </c>
      <c r="C78" t="s">
        <v>193</v>
      </c>
      <c r="D78" t="s">
        <v>194</v>
      </c>
      <c r="E78" t="s">
        <v>195</v>
      </c>
      <c r="F78" t="s">
        <v>196</v>
      </c>
      <c r="G78" t="str">
        <f>"00014754"</f>
        <v>00014754</v>
      </c>
      <c r="H78" t="s">
        <v>197</v>
      </c>
      <c r="I78">
        <v>150</v>
      </c>
      <c r="J78">
        <v>0</v>
      </c>
      <c r="K78">
        <v>0</v>
      </c>
      <c r="L78">
        <v>200</v>
      </c>
      <c r="M78">
        <v>30</v>
      </c>
      <c r="N78">
        <v>70</v>
      </c>
      <c r="O78">
        <v>50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198</v>
      </c>
      <c r="W78">
        <v>588</v>
      </c>
      <c r="Z78">
        <v>0</v>
      </c>
      <c r="AA78" t="s">
        <v>198</v>
      </c>
    </row>
    <row r="79" spans="1:27" x14ac:dyDescent="0.25">
      <c r="H79" t="s">
        <v>112</v>
      </c>
    </row>
    <row r="80" spans="1:27" x14ac:dyDescent="0.25">
      <c r="A80">
        <v>37</v>
      </c>
      <c r="B80">
        <v>3359</v>
      </c>
      <c r="C80" t="s">
        <v>199</v>
      </c>
      <c r="D80" t="s">
        <v>200</v>
      </c>
      <c r="E80" t="s">
        <v>201</v>
      </c>
      <c r="F80" t="s">
        <v>202</v>
      </c>
      <c r="G80" t="str">
        <f>"201406010079"</f>
        <v>201406010079</v>
      </c>
      <c r="H80">
        <v>693</v>
      </c>
      <c r="I80">
        <v>0</v>
      </c>
      <c r="J80">
        <v>400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68</v>
      </c>
      <c r="W80">
        <v>476</v>
      </c>
      <c r="Z80">
        <v>0</v>
      </c>
      <c r="AA80">
        <v>1799</v>
      </c>
    </row>
    <row r="81" spans="1:27" x14ac:dyDescent="0.25">
      <c r="H81" t="s">
        <v>78</v>
      </c>
    </row>
    <row r="82" spans="1:27" x14ac:dyDescent="0.25">
      <c r="A82">
        <v>38</v>
      </c>
      <c r="B82">
        <v>854</v>
      </c>
      <c r="C82" t="s">
        <v>203</v>
      </c>
      <c r="D82" t="s">
        <v>204</v>
      </c>
      <c r="E82" t="s">
        <v>158</v>
      </c>
      <c r="F82" t="s">
        <v>205</v>
      </c>
      <c r="G82" t="str">
        <f>"200801005242"</f>
        <v>200801005242</v>
      </c>
      <c r="H82" t="s">
        <v>206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70</v>
      </c>
      <c r="P82">
        <v>0</v>
      </c>
      <c r="Q82">
        <v>0</v>
      </c>
      <c r="R82">
        <v>30</v>
      </c>
      <c r="S82">
        <v>0</v>
      </c>
      <c r="T82">
        <v>0</v>
      </c>
      <c r="U82">
        <v>0</v>
      </c>
      <c r="V82">
        <v>85</v>
      </c>
      <c r="W82">
        <v>588</v>
      </c>
      <c r="Z82">
        <v>0</v>
      </c>
      <c r="AA82" t="s">
        <v>207</v>
      </c>
    </row>
    <row r="83" spans="1:27" x14ac:dyDescent="0.25">
      <c r="H83" t="s">
        <v>38</v>
      </c>
    </row>
    <row r="84" spans="1:27" x14ac:dyDescent="0.25">
      <c r="A84">
        <v>39</v>
      </c>
      <c r="B84">
        <v>2201</v>
      </c>
      <c r="C84" t="s">
        <v>208</v>
      </c>
      <c r="D84" t="s">
        <v>96</v>
      </c>
      <c r="E84" t="s">
        <v>129</v>
      </c>
      <c r="F84" t="s">
        <v>209</v>
      </c>
      <c r="G84" t="str">
        <f>"201504002870"</f>
        <v>201504002870</v>
      </c>
      <c r="H84" t="s">
        <v>210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89</v>
      </c>
      <c r="W84">
        <v>588</v>
      </c>
      <c r="Z84">
        <v>0</v>
      </c>
      <c r="AA84" t="s">
        <v>211</v>
      </c>
    </row>
    <row r="85" spans="1:27" x14ac:dyDescent="0.25">
      <c r="H85" t="s">
        <v>19</v>
      </c>
    </row>
    <row r="86" spans="1:27" x14ac:dyDescent="0.25">
      <c r="A86">
        <v>40</v>
      </c>
      <c r="B86">
        <v>2106</v>
      </c>
      <c r="C86" t="s">
        <v>212</v>
      </c>
      <c r="D86" t="s">
        <v>213</v>
      </c>
      <c r="E86" t="s">
        <v>64</v>
      </c>
      <c r="F86" t="s">
        <v>214</v>
      </c>
      <c r="G86" t="str">
        <f>"00012437"</f>
        <v>00012437</v>
      </c>
      <c r="H86" t="s">
        <v>215</v>
      </c>
      <c r="I86">
        <v>150</v>
      </c>
      <c r="J86">
        <v>0</v>
      </c>
      <c r="K86">
        <v>0</v>
      </c>
      <c r="L86">
        <v>200</v>
      </c>
      <c r="M86">
        <v>30</v>
      </c>
      <c r="N86">
        <v>50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Z86">
        <v>0</v>
      </c>
      <c r="AA86" t="s">
        <v>216</v>
      </c>
    </row>
    <row r="87" spans="1:27" x14ac:dyDescent="0.25">
      <c r="H87" t="s">
        <v>217</v>
      </c>
    </row>
    <row r="88" spans="1:27" x14ac:dyDescent="0.25">
      <c r="A88">
        <v>41</v>
      </c>
      <c r="B88">
        <v>1843</v>
      </c>
      <c r="C88" t="s">
        <v>218</v>
      </c>
      <c r="D88" t="s">
        <v>219</v>
      </c>
      <c r="E88" t="s">
        <v>158</v>
      </c>
      <c r="F88" t="s">
        <v>220</v>
      </c>
      <c r="G88" t="str">
        <f>"200712004432"</f>
        <v>200712004432</v>
      </c>
      <c r="H88" t="s">
        <v>221</v>
      </c>
      <c r="I88">
        <v>0</v>
      </c>
      <c r="J88">
        <v>0</v>
      </c>
      <c r="K88">
        <v>0</v>
      </c>
      <c r="L88">
        <v>200</v>
      </c>
      <c r="M88">
        <v>30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118</v>
      </c>
      <c r="W88">
        <v>588</v>
      </c>
      <c r="Z88">
        <v>0</v>
      </c>
      <c r="AA88" t="s">
        <v>222</v>
      </c>
    </row>
    <row r="89" spans="1:27" x14ac:dyDescent="0.25">
      <c r="H89" t="s">
        <v>223</v>
      </c>
    </row>
    <row r="90" spans="1:27" x14ac:dyDescent="0.25">
      <c r="A90">
        <v>42</v>
      </c>
      <c r="B90">
        <v>1697</v>
      </c>
      <c r="C90" t="s">
        <v>224</v>
      </c>
      <c r="D90" t="s">
        <v>85</v>
      </c>
      <c r="E90" t="s">
        <v>225</v>
      </c>
      <c r="F90" t="s">
        <v>226</v>
      </c>
      <c r="G90" t="str">
        <f>"201504003736"</f>
        <v>201504003736</v>
      </c>
      <c r="H90" t="s">
        <v>227</v>
      </c>
      <c r="I90">
        <v>0</v>
      </c>
      <c r="J90">
        <v>400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36</v>
      </c>
      <c r="W90">
        <v>252</v>
      </c>
      <c r="Z90">
        <v>0</v>
      </c>
      <c r="AA90" t="s">
        <v>228</v>
      </c>
    </row>
    <row r="91" spans="1:27" x14ac:dyDescent="0.25">
      <c r="H91" t="s">
        <v>223</v>
      </c>
    </row>
    <row r="92" spans="1:27" x14ac:dyDescent="0.25">
      <c r="A92">
        <v>43</v>
      </c>
      <c r="B92">
        <v>1895</v>
      </c>
      <c r="C92" t="s">
        <v>229</v>
      </c>
      <c r="D92" t="s">
        <v>230</v>
      </c>
      <c r="E92" t="s">
        <v>85</v>
      </c>
      <c r="F92" t="s">
        <v>231</v>
      </c>
      <c r="G92" t="str">
        <f>"201504005227"</f>
        <v>201504005227</v>
      </c>
      <c r="H92" t="s">
        <v>232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30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118</v>
      </c>
      <c r="W92">
        <v>588</v>
      </c>
      <c r="Z92">
        <v>0</v>
      </c>
      <c r="AA92" t="s">
        <v>233</v>
      </c>
    </row>
    <row r="93" spans="1:27" x14ac:dyDescent="0.25">
      <c r="H93" t="s">
        <v>38</v>
      </c>
    </row>
    <row r="94" spans="1:27" x14ac:dyDescent="0.25">
      <c r="A94">
        <v>44</v>
      </c>
      <c r="B94">
        <v>2019</v>
      </c>
      <c r="C94" t="s">
        <v>79</v>
      </c>
      <c r="D94" t="s">
        <v>234</v>
      </c>
      <c r="E94" t="s">
        <v>235</v>
      </c>
      <c r="F94" t="s">
        <v>236</v>
      </c>
      <c r="G94" t="str">
        <f>"201504004069"</f>
        <v>201504004069</v>
      </c>
      <c r="H94">
        <v>880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50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121</v>
      </c>
      <c r="W94">
        <v>588</v>
      </c>
      <c r="Z94">
        <v>0</v>
      </c>
      <c r="AA94">
        <v>1788</v>
      </c>
    </row>
    <row r="95" spans="1:27" x14ac:dyDescent="0.25">
      <c r="H95" t="s">
        <v>237</v>
      </c>
    </row>
    <row r="96" spans="1:27" x14ac:dyDescent="0.25">
      <c r="A96">
        <v>45</v>
      </c>
      <c r="B96">
        <v>2390</v>
      </c>
      <c r="C96" t="s">
        <v>238</v>
      </c>
      <c r="D96" t="s">
        <v>40</v>
      </c>
      <c r="E96" t="s">
        <v>41</v>
      </c>
      <c r="F96" t="s">
        <v>239</v>
      </c>
      <c r="G96" t="str">
        <f>"00012028"</f>
        <v>00012028</v>
      </c>
      <c r="H96" t="s">
        <v>240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132</v>
      </c>
      <c r="W96">
        <v>588</v>
      </c>
      <c r="Z96">
        <v>0</v>
      </c>
      <c r="AA96" t="s">
        <v>241</v>
      </c>
    </row>
    <row r="97" spans="1:27" x14ac:dyDescent="0.25">
      <c r="H97">
        <v>213</v>
      </c>
    </row>
    <row r="98" spans="1:27" x14ac:dyDescent="0.25">
      <c r="A98">
        <v>46</v>
      </c>
      <c r="B98">
        <v>1602</v>
      </c>
      <c r="C98" t="s">
        <v>242</v>
      </c>
      <c r="D98" t="s">
        <v>194</v>
      </c>
      <c r="E98" t="s">
        <v>225</v>
      </c>
      <c r="F98" t="s">
        <v>243</v>
      </c>
      <c r="G98" t="str">
        <f>"00015320"</f>
        <v>00015320</v>
      </c>
      <c r="H98">
        <v>924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144</v>
      </c>
      <c r="W98">
        <v>588</v>
      </c>
      <c r="Z98">
        <v>0</v>
      </c>
      <c r="AA98">
        <v>1782</v>
      </c>
    </row>
    <row r="99" spans="1:27" x14ac:dyDescent="0.25">
      <c r="H99">
        <v>216</v>
      </c>
    </row>
    <row r="100" spans="1:27" x14ac:dyDescent="0.25">
      <c r="A100">
        <v>47</v>
      </c>
      <c r="B100">
        <v>875</v>
      </c>
      <c r="C100" t="s">
        <v>244</v>
      </c>
      <c r="D100" t="s">
        <v>85</v>
      </c>
      <c r="E100" t="s">
        <v>64</v>
      </c>
      <c r="F100" t="s">
        <v>245</v>
      </c>
      <c r="G100" t="str">
        <f>"201406015884"</f>
        <v>201406015884</v>
      </c>
      <c r="H100" t="s">
        <v>246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30</v>
      </c>
      <c r="S100">
        <v>0</v>
      </c>
      <c r="T100">
        <v>0</v>
      </c>
      <c r="U100">
        <v>0</v>
      </c>
      <c r="V100">
        <v>92</v>
      </c>
      <c r="W100">
        <v>588</v>
      </c>
      <c r="Z100">
        <v>0</v>
      </c>
      <c r="AA100" t="s">
        <v>247</v>
      </c>
    </row>
    <row r="101" spans="1:27" x14ac:dyDescent="0.25">
      <c r="H101" t="s">
        <v>248</v>
      </c>
    </row>
    <row r="102" spans="1:27" x14ac:dyDescent="0.25">
      <c r="A102">
        <v>48</v>
      </c>
      <c r="B102">
        <v>1891</v>
      </c>
      <c r="C102" t="s">
        <v>249</v>
      </c>
      <c r="D102" t="s">
        <v>250</v>
      </c>
      <c r="E102" t="s">
        <v>169</v>
      </c>
      <c r="F102" t="s">
        <v>251</v>
      </c>
      <c r="G102" t="str">
        <f>"00012388"</f>
        <v>00012388</v>
      </c>
      <c r="H102" t="s">
        <v>252</v>
      </c>
      <c r="I102">
        <v>0</v>
      </c>
      <c r="J102">
        <v>400</v>
      </c>
      <c r="K102">
        <v>0</v>
      </c>
      <c r="L102">
        <v>200</v>
      </c>
      <c r="M102">
        <v>0</v>
      </c>
      <c r="N102">
        <v>70</v>
      </c>
      <c r="O102">
        <v>70</v>
      </c>
      <c r="P102">
        <v>50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</v>
      </c>
      <c r="W102">
        <v>56</v>
      </c>
      <c r="Z102">
        <v>0</v>
      </c>
      <c r="AA102" t="s">
        <v>253</v>
      </c>
    </row>
    <row r="103" spans="1:27" x14ac:dyDescent="0.25">
      <c r="H103">
        <v>215</v>
      </c>
    </row>
    <row r="104" spans="1:27" x14ac:dyDescent="0.25">
      <c r="A104">
        <v>49</v>
      </c>
      <c r="B104">
        <v>572</v>
      </c>
      <c r="C104" t="s">
        <v>254</v>
      </c>
      <c r="D104" t="s">
        <v>219</v>
      </c>
      <c r="E104" t="s">
        <v>235</v>
      </c>
      <c r="F104" t="s">
        <v>255</v>
      </c>
      <c r="G104" t="str">
        <f>"201502001759"</f>
        <v>201502001759</v>
      </c>
      <c r="H104">
        <v>946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80</v>
      </c>
      <c r="W104">
        <v>560</v>
      </c>
      <c r="Z104">
        <v>0</v>
      </c>
      <c r="AA104">
        <v>1776</v>
      </c>
    </row>
    <row r="105" spans="1:27" x14ac:dyDescent="0.25">
      <c r="H105" t="s">
        <v>223</v>
      </c>
    </row>
    <row r="106" spans="1:27" x14ac:dyDescent="0.25">
      <c r="A106">
        <v>50</v>
      </c>
      <c r="B106">
        <v>3241</v>
      </c>
      <c r="C106" t="s">
        <v>256</v>
      </c>
      <c r="D106" t="s">
        <v>257</v>
      </c>
      <c r="E106" t="s">
        <v>158</v>
      </c>
      <c r="F106" t="s">
        <v>258</v>
      </c>
      <c r="G106" t="str">
        <f>"201304001304"</f>
        <v>201304001304</v>
      </c>
      <c r="H106" t="s">
        <v>259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158</v>
      </c>
      <c r="W106">
        <v>588</v>
      </c>
      <c r="Z106">
        <v>1</v>
      </c>
      <c r="AA106" t="s">
        <v>260</v>
      </c>
    </row>
    <row r="107" spans="1:27" x14ac:dyDescent="0.25">
      <c r="H107" t="s">
        <v>223</v>
      </c>
    </row>
    <row r="108" spans="1:27" x14ac:dyDescent="0.25">
      <c r="A108">
        <v>51</v>
      </c>
      <c r="B108">
        <v>393</v>
      </c>
      <c r="C108" t="s">
        <v>261</v>
      </c>
      <c r="D108" t="s">
        <v>64</v>
      </c>
      <c r="E108" t="s">
        <v>225</v>
      </c>
      <c r="F108" t="s">
        <v>262</v>
      </c>
      <c r="G108" t="str">
        <f>"201511031278"</f>
        <v>201511031278</v>
      </c>
      <c r="H108" t="s">
        <v>263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88</v>
      </c>
      <c r="W108">
        <v>588</v>
      </c>
      <c r="Z108">
        <v>0</v>
      </c>
      <c r="AA108" t="s">
        <v>264</v>
      </c>
    </row>
    <row r="109" spans="1:27" x14ac:dyDescent="0.25">
      <c r="H109" t="s">
        <v>265</v>
      </c>
    </row>
    <row r="110" spans="1:27" x14ac:dyDescent="0.25">
      <c r="A110">
        <v>52</v>
      </c>
      <c r="B110">
        <v>1963</v>
      </c>
      <c r="C110" t="s">
        <v>266</v>
      </c>
      <c r="D110" t="s">
        <v>267</v>
      </c>
      <c r="E110" t="s">
        <v>114</v>
      </c>
      <c r="F110" t="s">
        <v>268</v>
      </c>
      <c r="G110" t="str">
        <f>"00013443"</f>
        <v>00013443</v>
      </c>
      <c r="H110" t="s">
        <v>269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70</v>
      </c>
      <c r="P110">
        <v>0</v>
      </c>
      <c r="Q110">
        <v>50</v>
      </c>
      <c r="R110">
        <v>30</v>
      </c>
      <c r="S110">
        <v>0</v>
      </c>
      <c r="T110">
        <v>0</v>
      </c>
      <c r="U110">
        <v>0</v>
      </c>
      <c r="V110">
        <v>94</v>
      </c>
      <c r="W110">
        <v>588</v>
      </c>
      <c r="Z110">
        <v>0</v>
      </c>
      <c r="AA110" t="s">
        <v>270</v>
      </c>
    </row>
    <row r="111" spans="1:27" x14ac:dyDescent="0.25">
      <c r="H111" t="s">
        <v>38</v>
      </c>
    </row>
    <row r="112" spans="1:27" x14ac:dyDescent="0.25">
      <c r="A112">
        <v>53</v>
      </c>
      <c r="B112">
        <v>628</v>
      </c>
      <c r="C112" t="s">
        <v>271</v>
      </c>
      <c r="D112" t="s">
        <v>250</v>
      </c>
      <c r="E112" t="s">
        <v>225</v>
      </c>
      <c r="F112" t="s">
        <v>272</v>
      </c>
      <c r="G112" t="str">
        <f>"00010390"</f>
        <v>00010390</v>
      </c>
      <c r="H112" t="s">
        <v>273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50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125</v>
      </c>
      <c r="W112">
        <v>588</v>
      </c>
      <c r="Z112">
        <v>0</v>
      </c>
      <c r="AA112" t="s">
        <v>274</v>
      </c>
    </row>
    <row r="113" spans="1:27" x14ac:dyDescent="0.25">
      <c r="H113" t="s">
        <v>38</v>
      </c>
    </row>
    <row r="114" spans="1:27" x14ac:dyDescent="0.25">
      <c r="A114">
        <v>54</v>
      </c>
      <c r="B114">
        <v>3221</v>
      </c>
      <c r="C114" t="s">
        <v>275</v>
      </c>
      <c r="D114" t="s">
        <v>276</v>
      </c>
      <c r="E114" t="s">
        <v>235</v>
      </c>
      <c r="F114" t="s">
        <v>277</v>
      </c>
      <c r="G114" t="str">
        <f>"200712000672"</f>
        <v>200712000672</v>
      </c>
      <c r="H114" t="s">
        <v>278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50</v>
      </c>
      <c r="R114">
        <v>0</v>
      </c>
      <c r="S114">
        <v>0</v>
      </c>
      <c r="T114">
        <v>0</v>
      </c>
      <c r="U114">
        <v>0</v>
      </c>
      <c r="V114">
        <v>87</v>
      </c>
      <c r="W114">
        <v>588</v>
      </c>
      <c r="Z114">
        <v>0</v>
      </c>
      <c r="AA114" t="s">
        <v>279</v>
      </c>
    </row>
    <row r="115" spans="1:27" x14ac:dyDescent="0.25">
      <c r="H115" t="s">
        <v>280</v>
      </c>
    </row>
    <row r="116" spans="1:27" x14ac:dyDescent="0.25">
      <c r="A116">
        <v>55</v>
      </c>
      <c r="B116">
        <v>3092</v>
      </c>
      <c r="C116" t="s">
        <v>281</v>
      </c>
      <c r="D116" t="s">
        <v>267</v>
      </c>
      <c r="E116" t="s">
        <v>225</v>
      </c>
      <c r="F116" t="s">
        <v>282</v>
      </c>
      <c r="G116" t="str">
        <f>"201304001402"</f>
        <v>201304001402</v>
      </c>
      <c r="H116">
        <v>880</v>
      </c>
      <c r="I116">
        <v>0</v>
      </c>
      <c r="J116">
        <v>0</v>
      </c>
      <c r="K116">
        <v>200</v>
      </c>
      <c r="L116">
        <v>0</v>
      </c>
      <c r="M116">
        <v>100</v>
      </c>
      <c r="N116">
        <v>70</v>
      </c>
      <c r="O116">
        <v>30</v>
      </c>
      <c r="P116">
        <v>0</v>
      </c>
      <c r="Q116">
        <v>30</v>
      </c>
      <c r="R116">
        <v>0</v>
      </c>
      <c r="S116">
        <v>0</v>
      </c>
      <c r="T116">
        <v>0</v>
      </c>
      <c r="U116">
        <v>0</v>
      </c>
      <c r="V116">
        <v>64</v>
      </c>
      <c r="W116">
        <v>448</v>
      </c>
      <c r="Z116">
        <v>0</v>
      </c>
      <c r="AA116">
        <v>1758</v>
      </c>
    </row>
    <row r="117" spans="1:27" x14ac:dyDescent="0.25">
      <c r="H117" t="s">
        <v>237</v>
      </c>
    </row>
    <row r="118" spans="1:27" x14ac:dyDescent="0.25">
      <c r="A118">
        <v>56</v>
      </c>
      <c r="B118">
        <v>3</v>
      </c>
      <c r="C118" t="s">
        <v>283</v>
      </c>
      <c r="D118" t="s">
        <v>284</v>
      </c>
      <c r="E118" t="s">
        <v>188</v>
      </c>
      <c r="F118" t="s">
        <v>285</v>
      </c>
      <c r="G118" t="str">
        <f>"00012599"</f>
        <v>00012599</v>
      </c>
      <c r="H118" t="s">
        <v>286</v>
      </c>
      <c r="I118">
        <v>0</v>
      </c>
      <c r="J118">
        <v>0</v>
      </c>
      <c r="K118">
        <v>200</v>
      </c>
      <c r="L118">
        <v>260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Z118">
        <v>0</v>
      </c>
      <c r="AA118" t="s">
        <v>287</v>
      </c>
    </row>
    <row r="119" spans="1:27" x14ac:dyDescent="0.25">
      <c r="H119" t="s">
        <v>248</v>
      </c>
    </row>
    <row r="120" spans="1:27" x14ac:dyDescent="0.25">
      <c r="A120">
        <v>57</v>
      </c>
      <c r="B120">
        <v>559</v>
      </c>
      <c r="C120" t="s">
        <v>288</v>
      </c>
      <c r="D120" t="s">
        <v>289</v>
      </c>
      <c r="E120" t="s">
        <v>64</v>
      </c>
      <c r="F120" t="s">
        <v>290</v>
      </c>
      <c r="G120" t="str">
        <f>"201303001049"</f>
        <v>201303001049</v>
      </c>
      <c r="H120" t="s">
        <v>291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93</v>
      </c>
      <c r="W120">
        <v>588</v>
      </c>
      <c r="Z120">
        <v>0</v>
      </c>
      <c r="AA120" t="s">
        <v>292</v>
      </c>
    </row>
    <row r="121" spans="1:27" x14ac:dyDescent="0.25">
      <c r="H121" t="s">
        <v>293</v>
      </c>
    </row>
    <row r="122" spans="1:27" x14ac:dyDescent="0.25">
      <c r="A122">
        <v>58</v>
      </c>
      <c r="B122">
        <v>2072</v>
      </c>
      <c r="C122" t="s">
        <v>294</v>
      </c>
      <c r="D122" t="s">
        <v>295</v>
      </c>
      <c r="E122" t="s">
        <v>108</v>
      </c>
      <c r="F122" t="s">
        <v>296</v>
      </c>
      <c r="G122" t="str">
        <f>"201304000878"</f>
        <v>201304000878</v>
      </c>
      <c r="H122" t="s">
        <v>179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50</v>
      </c>
      <c r="Q122">
        <v>0</v>
      </c>
      <c r="R122">
        <v>30</v>
      </c>
      <c r="S122">
        <v>0</v>
      </c>
      <c r="T122">
        <v>0</v>
      </c>
      <c r="U122">
        <v>0</v>
      </c>
      <c r="V122">
        <v>103</v>
      </c>
      <c r="W122">
        <v>588</v>
      </c>
      <c r="Z122">
        <v>0</v>
      </c>
      <c r="AA122" t="s">
        <v>297</v>
      </c>
    </row>
    <row r="123" spans="1:27" x14ac:dyDescent="0.25">
      <c r="H123" t="s">
        <v>298</v>
      </c>
    </row>
    <row r="124" spans="1:27" x14ac:dyDescent="0.25">
      <c r="A124">
        <v>59</v>
      </c>
      <c r="B124">
        <v>3043</v>
      </c>
      <c r="C124" t="s">
        <v>299</v>
      </c>
      <c r="D124" t="s">
        <v>168</v>
      </c>
      <c r="E124" t="s">
        <v>41</v>
      </c>
      <c r="F124" t="s">
        <v>300</v>
      </c>
      <c r="G124" t="str">
        <f>"201304003970"</f>
        <v>201304003970</v>
      </c>
      <c r="H124" t="s">
        <v>301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70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120</v>
      </c>
      <c r="W124">
        <v>588</v>
      </c>
      <c r="Z124">
        <v>0</v>
      </c>
      <c r="AA124" t="s">
        <v>302</v>
      </c>
    </row>
    <row r="125" spans="1:27" x14ac:dyDescent="0.25">
      <c r="H125" t="s">
        <v>38</v>
      </c>
    </row>
    <row r="126" spans="1:27" x14ac:dyDescent="0.25">
      <c r="A126">
        <v>60</v>
      </c>
      <c r="B126">
        <v>2262</v>
      </c>
      <c r="C126" t="s">
        <v>303</v>
      </c>
      <c r="D126" t="s">
        <v>58</v>
      </c>
      <c r="E126" t="s">
        <v>304</v>
      </c>
      <c r="F126" t="s">
        <v>305</v>
      </c>
      <c r="G126" t="str">
        <f>"201304000473"</f>
        <v>201304000473</v>
      </c>
      <c r="H126" t="s">
        <v>306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70</v>
      </c>
      <c r="O126">
        <v>50</v>
      </c>
      <c r="P126">
        <v>0</v>
      </c>
      <c r="Q126">
        <v>0</v>
      </c>
      <c r="R126">
        <v>30</v>
      </c>
      <c r="S126">
        <v>0</v>
      </c>
      <c r="T126">
        <v>0</v>
      </c>
      <c r="U126">
        <v>0</v>
      </c>
      <c r="V126">
        <v>74</v>
      </c>
      <c r="W126">
        <v>518</v>
      </c>
      <c r="Z126">
        <v>0</v>
      </c>
      <c r="AA126" t="s">
        <v>307</v>
      </c>
    </row>
    <row r="127" spans="1:27" x14ac:dyDescent="0.25">
      <c r="H127" t="s">
        <v>223</v>
      </c>
    </row>
    <row r="128" spans="1:27" x14ac:dyDescent="0.25">
      <c r="A128">
        <v>61</v>
      </c>
      <c r="B128">
        <v>1942</v>
      </c>
      <c r="C128" t="s">
        <v>308</v>
      </c>
      <c r="D128" t="s">
        <v>80</v>
      </c>
      <c r="E128" t="s">
        <v>309</v>
      </c>
      <c r="F128" t="s">
        <v>310</v>
      </c>
      <c r="G128" t="str">
        <f>"201402007977"</f>
        <v>201402007977</v>
      </c>
      <c r="H128" t="s">
        <v>311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30</v>
      </c>
      <c r="S128">
        <v>0</v>
      </c>
      <c r="T128">
        <v>0</v>
      </c>
      <c r="U128">
        <v>0</v>
      </c>
      <c r="V128">
        <v>92</v>
      </c>
      <c r="W128">
        <v>588</v>
      </c>
      <c r="Z128">
        <v>0</v>
      </c>
      <c r="AA128" t="s">
        <v>312</v>
      </c>
    </row>
    <row r="129" spans="1:27" x14ac:dyDescent="0.25">
      <c r="H129" t="s">
        <v>31</v>
      </c>
    </row>
    <row r="130" spans="1:27" x14ac:dyDescent="0.25">
      <c r="A130">
        <v>62</v>
      </c>
      <c r="B130">
        <v>85</v>
      </c>
      <c r="C130" t="s">
        <v>313</v>
      </c>
      <c r="D130" t="s">
        <v>168</v>
      </c>
      <c r="E130" t="s">
        <v>304</v>
      </c>
      <c r="F130" t="s">
        <v>314</v>
      </c>
      <c r="G130" t="str">
        <f>"201406001610"</f>
        <v>201406001610</v>
      </c>
      <c r="H130" t="s">
        <v>315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50</v>
      </c>
      <c r="P130">
        <v>0</v>
      </c>
      <c r="Q130">
        <v>50</v>
      </c>
      <c r="R130">
        <v>50</v>
      </c>
      <c r="S130">
        <v>0</v>
      </c>
      <c r="T130">
        <v>0</v>
      </c>
      <c r="U130">
        <v>0</v>
      </c>
      <c r="V130">
        <v>106</v>
      </c>
      <c r="W130">
        <v>588</v>
      </c>
      <c r="Z130">
        <v>0</v>
      </c>
      <c r="AA130" t="s">
        <v>316</v>
      </c>
    </row>
    <row r="131" spans="1:27" x14ac:dyDescent="0.25">
      <c r="H131" t="s">
        <v>317</v>
      </c>
    </row>
    <row r="132" spans="1:27" x14ac:dyDescent="0.25">
      <c r="A132">
        <v>63</v>
      </c>
      <c r="B132">
        <v>1391</v>
      </c>
      <c r="C132" t="s">
        <v>318</v>
      </c>
      <c r="D132" t="s">
        <v>319</v>
      </c>
      <c r="E132" t="s">
        <v>320</v>
      </c>
      <c r="F132" t="s">
        <v>321</v>
      </c>
      <c r="G132" t="str">
        <f>"201503000567"</f>
        <v>201503000567</v>
      </c>
      <c r="H132" t="s">
        <v>322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70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213</v>
      </c>
      <c r="W132">
        <v>588</v>
      </c>
      <c r="Z132">
        <v>2</v>
      </c>
      <c r="AA132" t="s">
        <v>323</v>
      </c>
    </row>
    <row r="133" spans="1:27" x14ac:dyDescent="0.25">
      <c r="H133" t="s">
        <v>38</v>
      </c>
    </row>
    <row r="134" spans="1:27" x14ac:dyDescent="0.25">
      <c r="A134">
        <v>64</v>
      </c>
      <c r="B134">
        <v>246</v>
      </c>
      <c r="C134" t="s">
        <v>324</v>
      </c>
      <c r="D134" t="s">
        <v>219</v>
      </c>
      <c r="E134" t="s">
        <v>70</v>
      </c>
      <c r="F134" t="s">
        <v>325</v>
      </c>
      <c r="G134" t="str">
        <f>"201410010028"</f>
        <v>201410010028</v>
      </c>
      <c r="H134" t="s">
        <v>326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120</v>
      </c>
      <c r="W134">
        <v>588</v>
      </c>
      <c r="Z134">
        <v>0</v>
      </c>
      <c r="AA134" t="s">
        <v>327</v>
      </c>
    </row>
    <row r="135" spans="1:27" x14ac:dyDescent="0.25">
      <c r="H135" t="s">
        <v>49</v>
      </c>
    </row>
    <row r="136" spans="1:27" x14ac:dyDescent="0.25">
      <c r="A136">
        <v>65</v>
      </c>
      <c r="B136">
        <v>960</v>
      </c>
      <c r="C136" t="s">
        <v>328</v>
      </c>
      <c r="D136" t="s">
        <v>329</v>
      </c>
      <c r="E136" t="s">
        <v>330</v>
      </c>
      <c r="F136" t="s">
        <v>331</v>
      </c>
      <c r="G136" t="str">
        <f>"201304005974"</f>
        <v>201304005974</v>
      </c>
      <c r="H136" t="s">
        <v>332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30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112</v>
      </c>
      <c r="W136">
        <v>588</v>
      </c>
      <c r="Z136">
        <v>0</v>
      </c>
      <c r="AA136" t="s">
        <v>333</v>
      </c>
    </row>
    <row r="137" spans="1:27" x14ac:dyDescent="0.25">
      <c r="H137" t="s">
        <v>237</v>
      </c>
    </row>
    <row r="138" spans="1:27" x14ac:dyDescent="0.25">
      <c r="A138">
        <v>66</v>
      </c>
      <c r="B138">
        <v>3002</v>
      </c>
      <c r="C138" t="s">
        <v>334</v>
      </c>
      <c r="D138" t="s">
        <v>151</v>
      </c>
      <c r="E138" t="s">
        <v>335</v>
      </c>
      <c r="F138" t="s">
        <v>336</v>
      </c>
      <c r="G138" t="str">
        <f>"201303000664"</f>
        <v>201303000664</v>
      </c>
      <c r="H138" t="s">
        <v>337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30</v>
      </c>
      <c r="P138">
        <v>0</v>
      </c>
      <c r="Q138">
        <v>0</v>
      </c>
      <c r="R138">
        <v>30</v>
      </c>
      <c r="S138">
        <v>0</v>
      </c>
      <c r="T138">
        <v>0</v>
      </c>
      <c r="U138">
        <v>0</v>
      </c>
      <c r="V138">
        <v>82</v>
      </c>
      <c r="W138">
        <v>574</v>
      </c>
      <c r="Z138">
        <v>0</v>
      </c>
      <c r="AA138" t="s">
        <v>338</v>
      </c>
    </row>
    <row r="139" spans="1:27" x14ac:dyDescent="0.25">
      <c r="H139" t="s">
        <v>223</v>
      </c>
    </row>
    <row r="140" spans="1:27" x14ac:dyDescent="0.25">
      <c r="A140">
        <v>67</v>
      </c>
      <c r="B140">
        <v>1658</v>
      </c>
      <c r="C140" t="s">
        <v>339</v>
      </c>
      <c r="D140" t="s">
        <v>340</v>
      </c>
      <c r="E140" t="s">
        <v>108</v>
      </c>
      <c r="F140" t="s">
        <v>341</v>
      </c>
      <c r="G140" t="str">
        <f>"201401002498"</f>
        <v>201401002498</v>
      </c>
      <c r="H140" t="s">
        <v>342</v>
      </c>
      <c r="I140">
        <v>150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Z140">
        <v>0</v>
      </c>
      <c r="AA140" t="s">
        <v>343</v>
      </c>
    </row>
    <row r="141" spans="1:27" x14ac:dyDescent="0.25">
      <c r="H141">
        <v>216</v>
      </c>
    </row>
    <row r="142" spans="1:27" x14ac:dyDescent="0.25">
      <c r="A142">
        <v>68</v>
      </c>
      <c r="B142">
        <v>549</v>
      </c>
      <c r="C142" t="s">
        <v>344</v>
      </c>
      <c r="D142" t="s">
        <v>235</v>
      </c>
      <c r="E142" t="s">
        <v>14</v>
      </c>
      <c r="F142" t="s">
        <v>345</v>
      </c>
      <c r="G142" t="str">
        <f>"201410002405"</f>
        <v>201410002405</v>
      </c>
      <c r="H142">
        <v>660</v>
      </c>
      <c r="I142">
        <v>0</v>
      </c>
      <c r="J142">
        <v>400</v>
      </c>
      <c r="K142">
        <v>0</v>
      </c>
      <c r="L142">
        <v>200</v>
      </c>
      <c r="M142">
        <v>0</v>
      </c>
      <c r="N142">
        <v>70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54</v>
      </c>
      <c r="W142">
        <v>378</v>
      </c>
      <c r="Z142">
        <v>0</v>
      </c>
      <c r="AA142">
        <v>1738</v>
      </c>
    </row>
    <row r="143" spans="1:27" x14ac:dyDescent="0.25">
      <c r="H143" t="s">
        <v>38</v>
      </c>
    </row>
    <row r="144" spans="1:27" x14ac:dyDescent="0.25">
      <c r="A144">
        <v>69</v>
      </c>
      <c r="B144">
        <v>473</v>
      </c>
      <c r="C144" t="s">
        <v>346</v>
      </c>
      <c r="D144" t="s">
        <v>347</v>
      </c>
      <c r="E144" t="s">
        <v>348</v>
      </c>
      <c r="F144" t="s">
        <v>349</v>
      </c>
      <c r="G144" t="str">
        <f>"201406010384"</f>
        <v>201406010384</v>
      </c>
      <c r="H144" t="s">
        <v>350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30</v>
      </c>
      <c r="S144">
        <v>0</v>
      </c>
      <c r="T144">
        <v>0</v>
      </c>
      <c r="U144">
        <v>0</v>
      </c>
      <c r="V144">
        <v>97</v>
      </c>
      <c r="W144">
        <v>588</v>
      </c>
      <c r="Z144">
        <v>0</v>
      </c>
      <c r="AA144" t="s">
        <v>351</v>
      </c>
    </row>
    <row r="145" spans="1:27" x14ac:dyDescent="0.25">
      <c r="H145" t="s">
        <v>38</v>
      </c>
    </row>
    <row r="146" spans="1:27" x14ac:dyDescent="0.25">
      <c r="A146">
        <v>70</v>
      </c>
      <c r="B146">
        <v>1068</v>
      </c>
      <c r="C146" t="s">
        <v>352</v>
      </c>
      <c r="D146" t="s">
        <v>353</v>
      </c>
      <c r="E146" t="s">
        <v>354</v>
      </c>
      <c r="F146" t="s">
        <v>355</v>
      </c>
      <c r="G146" t="str">
        <f>"200712000283"</f>
        <v>200712000283</v>
      </c>
      <c r="H146" t="s">
        <v>322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83</v>
      </c>
      <c r="W146">
        <v>581</v>
      </c>
      <c r="Z146">
        <v>0</v>
      </c>
      <c r="AA146" t="s">
        <v>356</v>
      </c>
    </row>
    <row r="147" spans="1:27" x14ac:dyDescent="0.25">
      <c r="H147" t="s">
        <v>357</v>
      </c>
    </row>
    <row r="148" spans="1:27" x14ac:dyDescent="0.25">
      <c r="A148">
        <v>71</v>
      </c>
      <c r="B148">
        <v>1387</v>
      </c>
      <c r="C148" t="s">
        <v>358</v>
      </c>
      <c r="D148" t="s">
        <v>257</v>
      </c>
      <c r="E148" t="s">
        <v>225</v>
      </c>
      <c r="F148" t="s">
        <v>359</v>
      </c>
      <c r="G148" t="str">
        <f>"201304002850"</f>
        <v>201304002850</v>
      </c>
      <c r="H148" t="s">
        <v>322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50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94</v>
      </c>
      <c r="W148">
        <v>588</v>
      </c>
      <c r="Z148">
        <v>0</v>
      </c>
      <c r="AA148" t="s">
        <v>360</v>
      </c>
    </row>
    <row r="149" spans="1:27" x14ac:dyDescent="0.25">
      <c r="H149" t="s">
        <v>31</v>
      </c>
    </row>
    <row r="150" spans="1:27" x14ac:dyDescent="0.25">
      <c r="A150">
        <v>72</v>
      </c>
      <c r="B150">
        <v>223</v>
      </c>
      <c r="C150" t="s">
        <v>361</v>
      </c>
      <c r="D150" t="s">
        <v>362</v>
      </c>
      <c r="E150" t="s">
        <v>41</v>
      </c>
      <c r="F150" t="s">
        <v>363</v>
      </c>
      <c r="G150" t="str">
        <f>"201303000264"</f>
        <v>201303000264</v>
      </c>
      <c r="H150" t="s">
        <v>364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30</v>
      </c>
      <c r="S150">
        <v>0</v>
      </c>
      <c r="T150">
        <v>0</v>
      </c>
      <c r="U150">
        <v>0</v>
      </c>
      <c r="V150">
        <v>139</v>
      </c>
      <c r="W150">
        <v>588</v>
      </c>
      <c r="Z150">
        <v>0</v>
      </c>
      <c r="AA150" t="s">
        <v>365</v>
      </c>
    </row>
    <row r="151" spans="1:27" x14ac:dyDescent="0.25">
      <c r="H151">
        <v>216</v>
      </c>
    </row>
    <row r="152" spans="1:27" x14ac:dyDescent="0.25">
      <c r="A152">
        <v>73</v>
      </c>
      <c r="B152">
        <v>578</v>
      </c>
      <c r="C152" t="s">
        <v>366</v>
      </c>
      <c r="D152" t="s">
        <v>85</v>
      </c>
      <c r="E152" t="s">
        <v>235</v>
      </c>
      <c r="F152" t="s">
        <v>367</v>
      </c>
      <c r="G152" t="str">
        <f>"201409002176"</f>
        <v>201409002176</v>
      </c>
      <c r="H152">
        <v>869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Z152">
        <v>0</v>
      </c>
      <c r="AA152">
        <v>1727</v>
      </c>
    </row>
    <row r="153" spans="1:27" x14ac:dyDescent="0.25">
      <c r="H153" t="s">
        <v>38</v>
      </c>
    </row>
    <row r="154" spans="1:27" x14ac:dyDescent="0.25">
      <c r="A154">
        <v>74</v>
      </c>
      <c r="B154">
        <v>1309</v>
      </c>
      <c r="C154" t="s">
        <v>368</v>
      </c>
      <c r="D154" t="s">
        <v>369</v>
      </c>
      <c r="E154" t="s">
        <v>158</v>
      </c>
      <c r="F154" t="s">
        <v>370</v>
      </c>
      <c r="G154" t="str">
        <f>"201304001297"</f>
        <v>201304001297</v>
      </c>
      <c r="H154" t="s">
        <v>371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30</v>
      </c>
      <c r="P154">
        <v>30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Z154">
        <v>0</v>
      </c>
      <c r="AA154" t="s">
        <v>372</v>
      </c>
    </row>
    <row r="155" spans="1:27" x14ac:dyDescent="0.25">
      <c r="H155" t="s">
        <v>280</v>
      </c>
    </row>
    <row r="156" spans="1:27" x14ac:dyDescent="0.25">
      <c r="A156">
        <v>75</v>
      </c>
      <c r="B156">
        <v>3315</v>
      </c>
      <c r="C156" t="s">
        <v>373</v>
      </c>
      <c r="D156" t="s">
        <v>267</v>
      </c>
      <c r="E156" t="s">
        <v>27</v>
      </c>
      <c r="F156" t="s">
        <v>374</v>
      </c>
      <c r="G156" t="str">
        <f>"201406011078"</f>
        <v>201406011078</v>
      </c>
      <c r="H156" t="s">
        <v>375</v>
      </c>
      <c r="I156">
        <v>0</v>
      </c>
      <c r="J156">
        <v>0</v>
      </c>
      <c r="K156">
        <v>0</v>
      </c>
      <c r="L156">
        <v>260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104</v>
      </c>
      <c r="W156">
        <v>588</v>
      </c>
      <c r="Z156">
        <v>0</v>
      </c>
      <c r="AA156" t="s">
        <v>376</v>
      </c>
    </row>
    <row r="157" spans="1:27" x14ac:dyDescent="0.25">
      <c r="H157" t="s">
        <v>377</v>
      </c>
    </row>
    <row r="158" spans="1:27" x14ac:dyDescent="0.25">
      <c r="A158">
        <v>76</v>
      </c>
      <c r="B158">
        <v>2717</v>
      </c>
      <c r="C158" t="s">
        <v>378</v>
      </c>
      <c r="D158" t="s">
        <v>379</v>
      </c>
      <c r="E158" t="s">
        <v>41</v>
      </c>
      <c r="F158" t="s">
        <v>380</v>
      </c>
      <c r="G158" t="str">
        <f>"201406009582"</f>
        <v>201406009582</v>
      </c>
      <c r="H158" t="s">
        <v>179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50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113</v>
      </c>
      <c r="W158">
        <v>588</v>
      </c>
      <c r="Z158">
        <v>0</v>
      </c>
      <c r="AA158" t="s">
        <v>381</v>
      </c>
    </row>
    <row r="159" spans="1:27" x14ac:dyDescent="0.25">
      <c r="H159" t="s">
        <v>38</v>
      </c>
    </row>
    <row r="160" spans="1:27" x14ac:dyDescent="0.25">
      <c r="A160">
        <v>77</v>
      </c>
      <c r="B160">
        <v>2301</v>
      </c>
      <c r="C160" t="s">
        <v>382</v>
      </c>
      <c r="D160" t="s">
        <v>219</v>
      </c>
      <c r="E160" t="s">
        <v>383</v>
      </c>
      <c r="F160" t="s">
        <v>384</v>
      </c>
      <c r="G160" t="str">
        <f>"201506002676"</f>
        <v>201506002676</v>
      </c>
      <c r="H160" t="s">
        <v>246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30</v>
      </c>
      <c r="R160">
        <v>0</v>
      </c>
      <c r="S160">
        <v>0</v>
      </c>
      <c r="T160">
        <v>0</v>
      </c>
      <c r="U160">
        <v>0</v>
      </c>
      <c r="V160">
        <v>87</v>
      </c>
      <c r="W160">
        <v>588</v>
      </c>
      <c r="Z160">
        <v>0</v>
      </c>
      <c r="AA160" t="s">
        <v>385</v>
      </c>
    </row>
    <row r="161" spans="1:27" x14ac:dyDescent="0.25">
      <c r="H161" t="s">
        <v>49</v>
      </c>
    </row>
    <row r="162" spans="1:27" x14ac:dyDescent="0.25">
      <c r="A162">
        <v>78</v>
      </c>
      <c r="B162">
        <v>236</v>
      </c>
      <c r="C162" t="s">
        <v>386</v>
      </c>
      <c r="D162" t="s">
        <v>200</v>
      </c>
      <c r="E162" t="s">
        <v>387</v>
      </c>
      <c r="F162" t="s">
        <v>388</v>
      </c>
      <c r="G162" t="str">
        <f>"201304002740"</f>
        <v>201304002740</v>
      </c>
      <c r="H162">
        <v>803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30</v>
      </c>
      <c r="Q162">
        <v>0</v>
      </c>
      <c r="R162">
        <v>0</v>
      </c>
      <c r="S162">
        <v>30</v>
      </c>
      <c r="T162">
        <v>0</v>
      </c>
      <c r="U162">
        <v>0</v>
      </c>
      <c r="V162">
        <v>100</v>
      </c>
      <c r="W162">
        <v>588</v>
      </c>
      <c r="Z162">
        <v>0</v>
      </c>
      <c r="AA162">
        <v>1721</v>
      </c>
    </row>
    <row r="163" spans="1:27" x14ac:dyDescent="0.25">
      <c r="H163" t="s">
        <v>25</v>
      </c>
    </row>
    <row r="164" spans="1:27" x14ac:dyDescent="0.25">
      <c r="A164">
        <v>79</v>
      </c>
      <c r="B164">
        <v>1879</v>
      </c>
      <c r="C164" t="s">
        <v>389</v>
      </c>
      <c r="D164" t="s">
        <v>390</v>
      </c>
      <c r="E164" t="s">
        <v>14</v>
      </c>
      <c r="F164" t="s">
        <v>391</v>
      </c>
      <c r="G164" t="str">
        <f>"200801002097"</f>
        <v>200801002097</v>
      </c>
      <c r="H164">
        <v>803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30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105</v>
      </c>
      <c r="W164">
        <v>588</v>
      </c>
      <c r="Z164">
        <v>0</v>
      </c>
      <c r="AA164">
        <v>1721</v>
      </c>
    </row>
    <row r="165" spans="1:27" x14ac:dyDescent="0.25">
      <c r="H165" t="s">
        <v>106</v>
      </c>
    </row>
    <row r="166" spans="1:27" x14ac:dyDescent="0.25">
      <c r="A166">
        <v>80</v>
      </c>
      <c r="B166">
        <v>595</v>
      </c>
      <c r="C166" t="s">
        <v>392</v>
      </c>
      <c r="D166" t="s">
        <v>289</v>
      </c>
      <c r="E166" t="s">
        <v>284</v>
      </c>
      <c r="F166" t="s">
        <v>393</v>
      </c>
      <c r="G166" t="str">
        <f>"201303000167"</f>
        <v>201303000167</v>
      </c>
      <c r="H166" t="s">
        <v>394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50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87</v>
      </c>
      <c r="W166">
        <v>588</v>
      </c>
      <c r="Z166">
        <v>0</v>
      </c>
      <c r="AA166" t="s">
        <v>395</v>
      </c>
    </row>
    <row r="167" spans="1:27" x14ac:dyDescent="0.25">
      <c r="H167" t="s">
        <v>38</v>
      </c>
    </row>
    <row r="168" spans="1:27" x14ac:dyDescent="0.25">
      <c r="A168">
        <v>81</v>
      </c>
      <c r="B168">
        <v>774</v>
      </c>
      <c r="C168" t="s">
        <v>396</v>
      </c>
      <c r="D168" t="s">
        <v>151</v>
      </c>
      <c r="E168" t="s">
        <v>169</v>
      </c>
      <c r="F168" t="s">
        <v>397</v>
      </c>
      <c r="G168" t="str">
        <f>"200801007574"</f>
        <v>200801007574</v>
      </c>
      <c r="H168" t="s">
        <v>398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30</v>
      </c>
      <c r="S168">
        <v>0</v>
      </c>
      <c r="T168">
        <v>0</v>
      </c>
      <c r="U168">
        <v>0</v>
      </c>
      <c r="V168">
        <v>127</v>
      </c>
      <c r="W168">
        <v>588</v>
      </c>
      <c r="Z168">
        <v>0</v>
      </c>
      <c r="AA168" t="s">
        <v>399</v>
      </c>
    </row>
    <row r="169" spans="1:27" x14ac:dyDescent="0.25">
      <c r="H169" t="s">
        <v>38</v>
      </c>
    </row>
    <row r="170" spans="1:27" x14ac:dyDescent="0.25">
      <c r="A170">
        <v>82</v>
      </c>
      <c r="B170">
        <v>2490</v>
      </c>
      <c r="C170" t="s">
        <v>400</v>
      </c>
      <c r="D170" t="s">
        <v>401</v>
      </c>
      <c r="E170" t="s">
        <v>14</v>
      </c>
      <c r="F170" t="s">
        <v>402</v>
      </c>
      <c r="G170" t="str">
        <f>"201304002485"</f>
        <v>201304002485</v>
      </c>
      <c r="H170" t="s">
        <v>398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Z170">
        <v>0</v>
      </c>
      <c r="AA170" t="s">
        <v>399</v>
      </c>
    </row>
    <row r="171" spans="1:27" x14ac:dyDescent="0.25">
      <c r="H171" t="s">
        <v>38</v>
      </c>
    </row>
    <row r="172" spans="1:27" x14ac:dyDescent="0.25">
      <c r="A172">
        <v>83</v>
      </c>
      <c r="B172">
        <v>1029</v>
      </c>
      <c r="C172" t="s">
        <v>403</v>
      </c>
      <c r="D172" t="s">
        <v>404</v>
      </c>
      <c r="E172" t="s">
        <v>41</v>
      </c>
      <c r="F172" t="s">
        <v>405</v>
      </c>
      <c r="G172" t="str">
        <f>"201504004883"</f>
        <v>201504004883</v>
      </c>
      <c r="H172" t="s">
        <v>406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86</v>
      </c>
      <c r="W172">
        <v>588</v>
      </c>
      <c r="Z172">
        <v>0</v>
      </c>
      <c r="AA172" t="s">
        <v>407</v>
      </c>
    </row>
    <row r="173" spans="1:27" x14ac:dyDescent="0.25">
      <c r="H173" t="s">
        <v>31</v>
      </c>
    </row>
    <row r="174" spans="1:27" x14ac:dyDescent="0.25">
      <c r="A174">
        <v>84</v>
      </c>
      <c r="B174">
        <v>423</v>
      </c>
      <c r="C174" t="s">
        <v>408</v>
      </c>
      <c r="D174" t="s">
        <v>225</v>
      </c>
      <c r="E174" t="s">
        <v>182</v>
      </c>
      <c r="F174" t="s">
        <v>409</v>
      </c>
      <c r="G174" t="str">
        <f>"201409003490"</f>
        <v>201409003490</v>
      </c>
      <c r="H174" t="s">
        <v>410</v>
      </c>
      <c r="I174">
        <v>0</v>
      </c>
      <c r="J174">
        <v>0</v>
      </c>
      <c r="K174">
        <v>200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72</v>
      </c>
      <c r="W174">
        <v>504</v>
      </c>
      <c r="Z174">
        <v>0</v>
      </c>
      <c r="AA174" t="s">
        <v>411</v>
      </c>
    </row>
    <row r="175" spans="1:27" x14ac:dyDescent="0.25">
      <c r="H175" t="s">
        <v>38</v>
      </c>
    </row>
    <row r="176" spans="1:27" x14ac:dyDescent="0.25">
      <c r="A176">
        <v>85</v>
      </c>
      <c r="B176">
        <v>2005</v>
      </c>
      <c r="C176" t="s">
        <v>412</v>
      </c>
      <c r="D176" t="s">
        <v>413</v>
      </c>
      <c r="E176" t="s">
        <v>85</v>
      </c>
      <c r="F176" t="s">
        <v>414</v>
      </c>
      <c r="G176" t="str">
        <f>"201506001718"</f>
        <v>201506001718</v>
      </c>
      <c r="H176" t="s">
        <v>415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30</v>
      </c>
      <c r="P176">
        <v>70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120</v>
      </c>
      <c r="W176">
        <v>588</v>
      </c>
      <c r="Z176">
        <v>0</v>
      </c>
      <c r="AA176" t="s">
        <v>416</v>
      </c>
    </row>
    <row r="177" spans="1:27" x14ac:dyDescent="0.25">
      <c r="H177">
        <v>215</v>
      </c>
    </row>
    <row r="178" spans="1:27" x14ac:dyDescent="0.25">
      <c r="A178">
        <v>86</v>
      </c>
      <c r="B178">
        <v>961</v>
      </c>
      <c r="C178" t="s">
        <v>417</v>
      </c>
      <c r="D178" t="s">
        <v>33</v>
      </c>
      <c r="E178" t="s">
        <v>158</v>
      </c>
      <c r="F178" t="s">
        <v>418</v>
      </c>
      <c r="G178" t="str">
        <f>"201401001737"</f>
        <v>201401001737</v>
      </c>
      <c r="H178" t="s">
        <v>419</v>
      </c>
      <c r="I178">
        <v>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Z178">
        <v>0</v>
      </c>
      <c r="AA178" t="s">
        <v>420</v>
      </c>
    </row>
    <row r="179" spans="1:27" x14ac:dyDescent="0.25">
      <c r="H179" t="s">
        <v>38</v>
      </c>
    </row>
    <row r="180" spans="1:27" x14ac:dyDescent="0.25">
      <c r="A180">
        <v>87</v>
      </c>
      <c r="B180">
        <v>2671</v>
      </c>
      <c r="C180" t="s">
        <v>421</v>
      </c>
      <c r="D180" t="s">
        <v>284</v>
      </c>
      <c r="E180" t="s">
        <v>169</v>
      </c>
      <c r="F180" t="s">
        <v>422</v>
      </c>
      <c r="G180" t="str">
        <f>"00013951"</f>
        <v>00013951</v>
      </c>
      <c r="H180">
        <v>825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30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100</v>
      </c>
      <c r="W180">
        <v>588</v>
      </c>
      <c r="Z180">
        <v>0</v>
      </c>
      <c r="AA180">
        <v>1713</v>
      </c>
    </row>
    <row r="181" spans="1:27" x14ac:dyDescent="0.25">
      <c r="H181" t="s">
        <v>38</v>
      </c>
    </row>
    <row r="182" spans="1:27" x14ac:dyDescent="0.25">
      <c r="A182">
        <v>88</v>
      </c>
      <c r="B182">
        <v>1861</v>
      </c>
      <c r="C182" t="s">
        <v>283</v>
      </c>
      <c r="D182" t="s">
        <v>64</v>
      </c>
      <c r="E182" t="s">
        <v>188</v>
      </c>
      <c r="F182" t="s">
        <v>423</v>
      </c>
      <c r="G182" t="str">
        <f>"201502000042"</f>
        <v>201502000042</v>
      </c>
      <c r="H182" t="s">
        <v>424</v>
      </c>
      <c r="I182">
        <v>0</v>
      </c>
      <c r="J182">
        <v>520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45</v>
      </c>
      <c r="W182">
        <v>315</v>
      </c>
      <c r="Z182">
        <v>0</v>
      </c>
      <c r="AA182" t="s">
        <v>425</v>
      </c>
    </row>
    <row r="183" spans="1:27" x14ac:dyDescent="0.25">
      <c r="H183" t="s">
        <v>106</v>
      </c>
    </row>
    <row r="184" spans="1:27" x14ac:dyDescent="0.25">
      <c r="A184">
        <v>89</v>
      </c>
      <c r="B184">
        <v>3067</v>
      </c>
      <c r="C184" t="s">
        <v>426</v>
      </c>
      <c r="D184" t="s">
        <v>427</v>
      </c>
      <c r="E184" t="s">
        <v>200</v>
      </c>
      <c r="F184" t="s">
        <v>428</v>
      </c>
      <c r="G184" t="str">
        <f>"201304004894"</f>
        <v>201304004894</v>
      </c>
      <c r="H184" t="s">
        <v>429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30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97</v>
      </c>
      <c r="W184">
        <v>588</v>
      </c>
      <c r="Z184">
        <v>0</v>
      </c>
      <c r="AA184" t="s">
        <v>430</v>
      </c>
    </row>
    <row r="185" spans="1:27" x14ac:dyDescent="0.25">
      <c r="H185" t="s">
        <v>38</v>
      </c>
    </row>
    <row r="186" spans="1:27" x14ac:dyDescent="0.25">
      <c r="A186">
        <v>90</v>
      </c>
      <c r="B186">
        <v>3216</v>
      </c>
      <c r="C186" t="s">
        <v>431</v>
      </c>
      <c r="D186" t="s">
        <v>432</v>
      </c>
      <c r="E186" t="s">
        <v>401</v>
      </c>
      <c r="F186" t="s">
        <v>433</v>
      </c>
      <c r="G186" t="str">
        <f>"201304001151"</f>
        <v>201304001151</v>
      </c>
      <c r="H186" t="s">
        <v>434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50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104</v>
      </c>
      <c r="W186">
        <v>588</v>
      </c>
      <c r="Z186">
        <v>0</v>
      </c>
      <c r="AA186" t="s">
        <v>435</v>
      </c>
    </row>
    <row r="187" spans="1:27" x14ac:dyDescent="0.25">
      <c r="H187" t="s">
        <v>280</v>
      </c>
    </row>
    <row r="188" spans="1:27" x14ac:dyDescent="0.25">
      <c r="A188">
        <v>91</v>
      </c>
      <c r="B188">
        <v>3076</v>
      </c>
      <c r="C188" t="s">
        <v>436</v>
      </c>
      <c r="D188" t="s">
        <v>437</v>
      </c>
      <c r="E188" t="s">
        <v>225</v>
      </c>
      <c r="F188" t="s">
        <v>438</v>
      </c>
      <c r="G188" t="str">
        <f>"201405000660"</f>
        <v>201405000660</v>
      </c>
      <c r="H188">
        <v>649</v>
      </c>
      <c r="I188">
        <v>0</v>
      </c>
      <c r="J188">
        <v>400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Z188">
        <v>0</v>
      </c>
      <c r="AA188">
        <v>1707</v>
      </c>
    </row>
    <row r="189" spans="1:27" x14ac:dyDescent="0.25">
      <c r="H189" t="s">
        <v>106</v>
      </c>
    </row>
    <row r="190" spans="1:27" x14ac:dyDescent="0.25">
      <c r="A190">
        <v>92</v>
      </c>
      <c r="B190">
        <v>1075</v>
      </c>
      <c r="C190" t="s">
        <v>439</v>
      </c>
      <c r="D190" t="s">
        <v>41</v>
      </c>
      <c r="E190" t="s">
        <v>114</v>
      </c>
      <c r="F190" t="s">
        <v>440</v>
      </c>
      <c r="G190" t="str">
        <f>"00013311"</f>
        <v>00013311</v>
      </c>
      <c r="H190" t="s">
        <v>441</v>
      </c>
      <c r="I190">
        <v>0</v>
      </c>
      <c r="J190">
        <v>400</v>
      </c>
      <c r="K190">
        <v>0</v>
      </c>
      <c r="L190">
        <v>200</v>
      </c>
      <c r="M190">
        <v>0</v>
      </c>
      <c r="N190">
        <v>70</v>
      </c>
      <c r="O190">
        <v>70</v>
      </c>
      <c r="P190">
        <v>30</v>
      </c>
      <c r="Q190">
        <v>0</v>
      </c>
      <c r="R190">
        <v>30</v>
      </c>
      <c r="S190">
        <v>0</v>
      </c>
      <c r="T190">
        <v>0</v>
      </c>
      <c r="U190">
        <v>0</v>
      </c>
      <c r="V190">
        <v>23</v>
      </c>
      <c r="W190">
        <v>161</v>
      </c>
      <c r="Z190">
        <v>0</v>
      </c>
      <c r="AA190" t="s">
        <v>442</v>
      </c>
    </row>
    <row r="191" spans="1:27" x14ac:dyDescent="0.25">
      <c r="H191">
        <v>215</v>
      </c>
    </row>
    <row r="192" spans="1:27" x14ac:dyDescent="0.25">
      <c r="A192">
        <v>93</v>
      </c>
      <c r="B192">
        <v>2734</v>
      </c>
      <c r="C192" t="s">
        <v>443</v>
      </c>
      <c r="D192" t="s">
        <v>444</v>
      </c>
      <c r="E192" t="s">
        <v>158</v>
      </c>
      <c r="F192" t="s">
        <v>445</v>
      </c>
      <c r="G192" t="str">
        <f>"201304004611"</f>
        <v>201304004611</v>
      </c>
      <c r="H192" t="s">
        <v>446</v>
      </c>
      <c r="I192">
        <v>150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69</v>
      </c>
      <c r="W192">
        <v>483</v>
      </c>
      <c r="Z192">
        <v>0</v>
      </c>
      <c r="AA192" t="s">
        <v>447</v>
      </c>
    </row>
    <row r="193" spans="1:27" x14ac:dyDescent="0.25">
      <c r="H193" t="s">
        <v>49</v>
      </c>
    </row>
    <row r="194" spans="1:27" x14ac:dyDescent="0.25">
      <c r="A194">
        <v>94</v>
      </c>
      <c r="B194">
        <v>402</v>
      </c>
      <c r="C194" t="s">
        <v>448</v>
      </c>
      <c r="D194" t="s">
        <v>168</v>
      </c>
      <c r="E194" t="s">
        <v>108</v>
      </c>
      <c r="F194" t="s">
        <v>449</v>
      </c>
      <c r="G194" t="str">
        <f>"201406010690"</f>
        <v>201406010690</v>
      </c>
      <c r="H194">
        <v>770</v>
      </c>
      <c r="I194">
        <v>0</v>
      </c>
      <c r="J194">
        <v>0</v>
      </c>
      <c r="K194">
        <v>0</v>
      </c>
      <c r="L194">
        <v>260</v>
      </c>
      <c r="M194">
        <v>0</v>
      </c>
      <c r="N194">
        <v>70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82</v>
      </c>
      <c r="W194">
        <v>574</v>
      </c>
      <c r="Z194">
        <v>0</v>
      </c>
      <c r="AA194">
        <v>1704</v>
      </c>
    </row>
    <row r="195" spans="1:27" x14ac:dyDescent="0.25">
      <c r="H195" t="s">
        <v>31</v>
      </c>
    </row>
    <row r="196" spans="1:27" x14ac:dyDescent="0.25">
      <c r="A196">
        <v>95</v>
      </c>
      <c r="B196">
        <v>1001</v>
      </c>
      <c r="C196" t="s">
        <v>450</v>
      </c>
      <c r="D196" t="s">
        <v>451</v>
      </c>
      <c r="E196" t="s">
        <v>41</v>
      </c>
      <c r="F196" t="s">
        <v>452</v>
      </c>
      <c r="G196" t="str">
        <f>"200802003063"</f>
        <v>200802003063</v>
      </c>
      <c r="H196" t="s">
        <v>453</v>
      </c>
      <c r="I196">
        <v>150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85</v>
      </c>
      <c r="W196">
        <v>588</v>
      </c>
      <c r="Z196">
        <v>0</v>
      </c>
      <c r="AA196" t="s">
        <v>454</v>
      </c>
    </row>
    <row r="197" spans="1:27" x14ac:dyDescent="0.25">
      <c r="H197" t="s">
        <v>49</v>
      </c>
    </row>
    <row r="198" spans="1:27" x14ac:dyDescent="0.25">
      <c r="A198">
        <v>96</v>
      </c>
      <c r="B198">
        <v>126</v>
      </c>
      <c r="C198" t="s">
        <v>455</v>
      </c>
      <c r="D198" t="s">
        <v>456</v>
      </c>
      <c r="E198" t="s">
        <v>65</v>
      </c>
      <c r="F198" t="s">
        <v>457</v>
      </c>
      <c r="G198" t="str">
        <f>"00012033"</f>
        <v>00012033</v>
      </c>
      <c r="H198" t="s">
        <v>458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50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86</v>
      </c>
      <c r="W198">
        <v>588</v>
      </c>
      <c r="Z198">
        <v>0</v>
      </c>
      <c r="AA198" t="s">
        <v>459</v>
      </c>
    </row>
    <row r="199" spans="1:27" x14ac:dyDescent="0.25">
      <c r="H199" t="s">
        <v>38</v>
      </c>
    </row>
    <row r="200" spans="1:27" x14ac:dyDescent="0.25">
      <c r="A200">
        <v>97</v>
      </c>
      <c r="B200">
        <v>1076</v>
      </c>
      <c r="C200" t="s">
        <v>460</v>
      </c>
      <c r="D200" t="s">
        <v>461</v>
      </c>
      <c r="E200" t="s">
        <v>304</v>
      </c>
      <c r="F200" t="s">
        <v>462</v>
      </c>
      <c r="G200" t="str">
        <f>"201412006196"</f>
        <v>201412006196</v>
      </c>
      <c r="H200" t="s">
        <v>463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50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Z200">
        <v>0</v>
      </c>
      <c r="AA200" t="s">
        <v>464</v>
      </c>
    </row>
    <row r="201" spans="1:27" x14ac:dyDescent="0.25">
      <c r="H201" t="s">
        <v>298</v>
      </c>
    </row>
    <row r="202" spans="1:27" x14ac:dyDescent="0.25">
      <c r="A202">
        <v>98</v>
      </c>
      <c r="B202">
        <v>730</v>
      </c>
      <c r="C202" t="s">
        <v>465</v>
      </c>
      <c r="D202" t="s">
        <v>466</v>
      </c>
      <c r="E202" t="s">
        <v>123</v>
      </c>
      <c r="F202" t="s">
        <v>467</v>
      </c>
      <c r="G202" t="str">
        <f>"201304003054"</f>
        <v>201304003054</v>
      </c>
      <c r="H202">
        <v>814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30</v>
      </c>
      <c r="S202">
        <v>0</v>
      </c>
      <c r="T202">
        <v>0</v>
      </c>
      <c r="U202">
        <v>0</v>
      </c>
      <c r="V202">
        <v>130</v>
      </c>
      <c r="W202">
        <v>588</v>
      </c>
      <c r="Z202">
        <v>0</v>
      </c>
      <c r="AA202">
        <v>1702</v>
      </c>
    </row>
    <row r="203" spans="1:27" x14ac:dyDescent="0.25">
      <c r="H203" t="s">
        <v>38</v>
      </c>
    </row>
    <row r="204" spans="1:27" x14ac:dyDescent="0.25">
      <c r="A204">
        <v>99</v>
      </c>
      <c r="B204">
        <v>689</v>
      </c>
      <c r="C204" t="s">
        <v>468</v>
      </c>
      <c r="D204" t="s">
        <v>469</v>
      </c>
      <c r="E204" t="s">
        <v>41</v>
      </c>
      <c r="F204" t="s">
        <v>470</v>
      </c>
      <c r="G204" t="str">
        <f>"201304004110"</f>
        <v>201304004110</v>
      </c>
      <c r="H204" t="s">
        <v>471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50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57</v>
      </c>
      <c r="W204">
        <v>399</v>
      </c>
      <c r="Z204">
        <v>2</v>
      </c>
      <c r="AA204" t="s">
        <v>472</v>
      </c>
    </row>
    <row r="205" spans="1:27" x14ac:dyDescent="0.25">
      <c r="H205" t="s">
        <v>293</v>
      </c>
    </row>
    <row r="206" spans="1:27" x14ac:dyDescent="0.25">
      <c r="A206">
        <v>100</v>
      </c>
      <c r="B206">
        <v>3167</v>
      </c>
      <c r="C206" t="s">
        <v>473</v>
      </c>
      <c r="D206" t="s">
        <v>474</v>
      </c>
      <c r="E206" t="s">
        <v>475</v>
      </c>
      <c r="F206" t="s">
        <v>476</v>
      </c>
      <c r="G206" t="str">
        <f>"00013720"</f>
        <v>00013720</v>
      </c>
      <c r="H206" t="s">
        <v>477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108</v>
      </c>
      <c r="W206">
        <v>588</v>
      </c>
      <c r="Z206">
        <v>0</v>
      </c>
      <c r="AA206" t="s">
        <v>472</v>
      </c>
    </row>
    <row r="207" spans="1:27" x14ac:dyDescent="0.25">
      <c r="H207" t="s">
        <v>357</v>
      </c>
    </row>
    <row r="208" spans="1:27" x14ac:dyDescent="0.25">
      <c r="A208">
        <v>101</v>
      </c>
      <c r="B208">
        <v>1200</v>
      </c>
      <c r="C208" t="s">
        <v>478</v>
      </c>
      <c r="D208" t="s">
        <v>158</v>
      </c>
      <c r="E208" t="s">
        <v>225</v>
      </c>
      <c r="F208" t="s">
        <v>479</v>
      </c>
      <c r="G208" t="str">
        <f>"201304000727"</f>
        <v>201304000727</v>
      </c>
      <c r="H208">
        <v>781</v>
      </c>
      <c r="I208">
        <v>0</v>
      </c>
      <c r="J208">
        <v>0</v>
      </c>
      <c r="K208">
        <v>0</v>
      </c>
      <c r="L208">
        <v>260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128</v>
      </c>
      <c r="W208">
        <v>588</v>
      </c>
      <c r="Z208">
        <v>0</v>
      </c>
      <c r="AA208">
        <v>1699</v>
      </c>
    </row>
    <row r="209" spans="1:27" x14ac:dyDescent="0.25">
      <c r="H209" t="s">
        <v>357</v>
      </c>
    </row>
    <row r="210" spans="1:27" x14ac:dyDescent="0.25">
      <c r="A210">
        <v>102</v>
      </c>
      <c r="B210">
        <v>2311</v>
      </c>
      <c r="C210" t="s">
        <v>480</v>
      </c>
      <c r="D210" t="s">
        <v>219</v>
      </c>
      <c r="E210" t="s">
        <v>85</v>
      </c>
      <c r="F210" t="s">
        <v>481</v>
      </c>
      <c r="G210" t="str">
        <f>"201304001333"</f>
        <v>201304001333</v>
      </c>
      <c r="H210">
        <v>814</v>
      </c>
      <c r="I210">
        <v>0</v>
      </c>
      <c r="J210">
        <v>0</v>
      </c>
      <c r="K210">
        <v>0</v>
      </c>
      <c r="L210">
        <v>260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82</v>
      </c>
      <c r="W210">
        <v>574</v>
      </c>
      <c r="Z210">
        <v>0</v>
      </c>
      <c r="AA210">
        <v>1698</v>
      </c>
    </row>
    <row r="211" spans="1:27" x14ac:dyDescent="0.25">
      <c r="H211" t="s">
        <v>482</v>
      </c>
    </row>
    <row r="212" spans="1:27" x14ac:dyDescent="0.25">
      <c r="A212">
        <v>103</v>
      </c>
      <c r="B212">
        <v>3062</v>
      </c>
      <c r="C212" t="s">
        <v>483</v>
      </c>
      <c r="D212" t="s">
        <v>362</v>
      </c>
      <c r="E212" t="s">
        <v>225</v>
      </c>
      <c r="F212" t="s">
        <v>484</v>
      </c>
      <c r="G212" t="str">
        <f>"201304003846"</f>
        <v>201304003846</v>
      </c>
      <c r="H212" t="s">
        <v>375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245</v>
      </c>
      <c r="W212">
        <v>588</v>
      </c>
      <c r="Z212">
        <v>0</v>
      </c>
      <c r="AA212" t="s">
        <v>485</v>
      </c>
    </row>
    <row r="213" spans="1:27" x14ac:dyDescent="0.25">
      <c r="H213" t="s">
        <v>223</v>
      </c>
    </row>
    <row r="214" spans="1:27" x14ac:dyDescent="0.25">
      <c r="A214">
        <v>104</v>
      </c>
      <c r="B214">
        <v>188</v>
      </c>
      <c r="C214" t="s">
        <v>486</v>
      </c>
      <c r="D214" t="s">
        <v>487</v>
      </c>
      <c r="E214" t="s">
        <v>225</v>
      </c>
      <c r="F214" t="s">
        <v>488</v>
      </c>
      <c r="G214" t="str">
        <f>"00010302"</f>
        <v>00010302</v>
      </c>
      <c r="H214" t="s">
        <v>375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30</v>
      </c>
      <c r="S214">
        <v>0</v>
      </c>
      <c r="T214">
        <v>0</v>
      </c>
      <c r="U214">
        <v>0</v>
      </c>
      <c r="V214">
        <v>84</v>
      </c>
      <c r="W214">
        <v>588</v>
      </c>
      <c r="Z214">
        <v>0</v>
      </c>
      <c r="AA214" t="s">
        <v>485</v>
      </c>
    </row>
    <row r="215" spans="1:27" x14ac:dyDescent="0.25">
      <c r="H215" t="s">
        <v>31</v>
      </c>
    </row>
    <row r="216" spans="1:27" x14ac:dyDescent="0.25">
      <c r="A216">
        <v>105</v>
      </c>
      <c r="B216">
        <v>1884</v>
      </c>
      <c r="C216" t="s">
        <v>489</v>
      </c>
      <c r="D216" t="s">
        <v>490</v>
      </c>
      <c r="E216" t="s">
        <v>41</v>
      </c>
      <c r="F216" t="s">
        <v>491</v>
      </c>
      <c r="G216" t="str">
        <f>"201405002122"</f>
        <v>201405002122</v>
      </c>
      <c r="H216" t="s">
        <v>246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119</v>
      </c>
      <c r="W216">
        <v>588</v>
      </c>
      <c r="Z216">
        <v>0</v>
      </c>
      <c r="AA216" t="s">
        <v>492</v>
      </c>
    </row>
    <row r="217" spans="1:27" x14ac:dyDescent="0.25">
      <c r="H217" t="s">
        <v>49</v>
      </c>
    </row>
    <row r="218" spans="1:27" x14ac:dyDescent="0.25">
      <c r="A218">
        <v>106</v>
      </c>
      <c r="B218">
        <v>1719</v>
      </c>
      <c r="C218" t="s">
        <v>493</v>
      </c>
      <c r="D218" t="s">
        <v>494</v>
      </c>
      <c r="E218" t="s">
        <v>27</v>
      </c>
      <c r="F218" t="s">
        <v>495</v>
      </c>
      <c r="G218" t="str">
        <f>"200712004508"</f>
        <v>200712004508</v>
      </c>
      <c r="H218" t="s">
        <v>496</v>
      </c>
      <c r="I218">
        <v>0</v>
      </c>
      <c r="J218">
        <v>0</v>
      </c>
      <c r="K218">
        <v>0</v>
      </c>
      <c r="L218">
        <v>0</v>
      </c>
      <c r="M218">
        <v>100</v>
      </c>
      <c r="N218">
        <v>70</v>
      </c>
      <c r="O218">
        <v>0</v>
      </c>
      <c r="P218">
        <v>0</v>
      </c>
      <c r="Q218">
        <v>70</v>
      </c>
      <c r="R218">
        <v>0</v>
      </c>
      <c r="S218">
        <v>0</v>
      </c>
      <c r="T218">
        <v>0</v>
      </c>
      <c r="U218">
        <v>0</v>
      </c>
      <c r="V218">
        <v>102</v>
      </c>
      <c r="W218">
        <v>588</v>
      </c>
      <c r="Z218">
        <v>0</v>
      </c>
      <c r="AA218" t="s">
        <v>497</v>
      </c>
    </row>
    <row r="219" spans="1:27" x14ac:dyDescent="0.25">
      <c r="H219" t="s">
        <v>25</v>
      </c>
    </row>
    <row r="220" spans="1:27" x14ac:dyDescent="0.25">
      <c r="A220">
        <v>107</v>
      </c>
      <c r="B220">
        <v>1779</v>
      </c>
      <c r="C220" t="s">
        <v>498</v>
      </c>
      <c r="D220" t="s">
        <v>80</v>
      </c>
      <c r="E220" t="s">
        <v>499</v>
      </c>
      <c r="F220" t="s">
        <v>500</v>
      </c>
      <c r="G220" t="str">
        <f>"201303000458"</f>
        <v>201303000458</v>
      </c>
      <c r="H220" t="s">
        <v>394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30</v>
      </c>
      <c r="R220">
        <v>0</v>
      </c>
      <c r="S220">
        <v>0</v>
      </c>
      <c r="T220">
        <v>0</v>
      </c>
      <c r="U220">
        <v>0</v>
      </c>
      <c r="V220">
        <v>78</v>
      </c>
      <c r="W220">
        <v>546</v>
      </c>
      <c r="Z220">
        <v>0</v>
      </c>
      <c r="AA220" t="s">
        <v>501</v>
      </c>
    </row>
    <row r="221" spans="1:27" x14ac:dyDescent="0.25">
      <c r="H221" t="s">
        <v>237</v>
      </c>
    </row>
    <row r="222" spans="1:27" x14ac:dyDescent="0.25">
      <c r="A222">
        <v>108</v>
      </c>
      <c r="B222">
        <v>1095</v>
      </c>
      <c r="C222" t="s">
        <v>426</v>
      </c>
      <c r="D222" t="s">
        <v>40</v>
      </c>
      <c r="E222" t="s">
        <v>158</v>
      </c>
      <c r="F222" t="s">
        <v>502</v>
      </c>
      <c r="G222" t="str">
        <f>"200806000366"</f>
        <v>200806000366</v>
      </c>
      <c r="H222" t="s">
        <v>434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30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Z222">
        <v>0</v>
      </c>
      <c r="AA222" t="s">
        <v>503</v>
      </c>
    </row>
    <row r="223" spans="1:27" x14ac:dyDescent="0.25">
      <c r="H223" t="s">
        <v>38</v>
      </c>
    </row>
    <row r="224" spans="1:27" x14ac:dyDescent="0.25">
      <c r="A224">
        <v>109</v>
      </c>
      <c r="B224">
        <v>1598</v>
      </c>
      <c r="C224" t="s">
        <v>504</v>
      </c>
      <c r="D224" t="s">
        <v>15</v>
      </c>
      <c r="E224" t="s">
        <v>505</v>
      </c>
      <c r="F224" t="s">
        <v>506</v>
      </c>
      <c r="G224" t="str">
        <f>"201502000529"</f>
        <v>201502000529</v>
      </c>
      <c r="H224" t="s">
        <v>350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30</v>
      </c>
      <c r="R224">
        <v>0</v>
      </c>
      <c r="S224">
        <v>0</v>
      </c>
      <c r="T224">
        <v>0</v>
      </c>
      <c r="U224">
        <v>0</v>
      </c>
      <c r="V224">
        <v>119</v>
      </c>
      <c r="W224">
        <v>588</v>
      </c>
      <c r="Z224">
        <v>0</v>
      </c>
      <c r="AA224" t="s">
        <v>507</v>
      </c>
    </row>
    <row r="225" spans="1:27" x14ac:dyDescent="0.25">
      <c r="H225">
        <v>216</v>
      </c>
    </row>
    <row r="226" spans="1:27" x14ac:dyDescent="0.25">
      <c r="A226">
        <v>110</v>
      </c>
      <c r="B226">
        <v>1279</v>
      </c>
      <c r="C226" t="s">
        <v>508</v>
      </c>
      <c r="D226" t="s">
        <v>219</v>
      </c>
      <c r="E226" t="s">
        <v>284</v>
      </c>
      <c r="F226" t="s">
        <v>509</v>
      </c>
      <c r="G226" t="str">
        <f>"201304003174"</f>
        <v>201304003174</v>
      </c>
      <c r="H226" t="s">
        <v>510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77</v>
      </c>
      <c r="W226">
        <v>539</v>
      </c>
      <c r="Z226">
        <v>0</v>
      </c>
      <c r="AA226" t="s">
        <v>511</v>
      </c>
    </row>
    <row r="227" spans="1:27" x14ac:dyDescent="0.25">
      <c r="H227" t="s">
        <v>223</v>
      </c>
    </row>
    <row r="228" spans="1:27" x14ac:dyDescent="0.25">
      <c r="A228">
        <v>111</v>
      </c>
      <c r="B228">
        <v>1023</v>
      </c>
      <c r="C228" t="s">
        <v>512</v>
      </c>
      <c r="D228" t="s">
        <v>108</v>
      </c>
      <c r="E228" t="s">
        <v>129</v>
      </c>
      <c r="F228" t="s">
        <v>513</v>
      </c>
      <c r="G228" t="str">
        <f>"201304003821"</f>
        <v>201304003821</v>
      </c>
      <c r="H228">
        <v>737</v>
      </c>
      <c r="I228">
        <v>0</v>
      </c>
      <c r="J228">
        <v>0</v>
      </c>
      <c r="K228">
        <v>0</v>
      </c>
      <c r="L228">
        <v>260</v>
      </c>
      <c r="M228">
        <v>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88</v>
      </c>
      <c r="W228">
        <v>588</v>
      </c>
      <c r="Z228">
        <v>0</v>
      </c>
      <c r="AA228">
        <v>1685</v>
      </c>
    </row>
    <row r="229" spans="1:27" x14ac:dyDescent="0.25">
      <c r="H229" t="s">
        <v>38</v>
      </c>
    </row>
    <row r="230" spans="1:27" x14ac:dyDescent="0.25">
      <c r="A230">
        <v>112</v>
      </c>
      <c r="B230">
        <v>3365</v>
      </c>
      <c r="C230" t="s">
        <v>514</v>
      </c>
      <c r="D230" t="s">
        <v>80</v>
      </c>
      <c r="E230" t="s">
        <v>188</v>
      </c>
      <c r="F230" t="s">
        <v>515</v>
      </c>
      <c r="G230" t="str">
        <f>"201304003985"</f>
        <v>201304003985</v>
      </c>
      <c r="H230" t="s">
        <v>516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99</v>
      </c>
      <c r="W230">
        <v>588</v>
      </c>
      <c r="Z230">
        <v>0</v>
      </c>
      <c r="AA230" t="s">
        <v>517</v>
      </c>
    </row>
    <row r="231" spans="1:27" x14ac:dyDescent="0.25">
      <c r="H231" t="s">
        <v>31</v>
      </c>
    </row>
    <row r="232" spans="1:27" x14ac:dyDescent="0.25">
      <c r="A232">
        <v>113</v>
      </c>
      <c r="B232">
        <v>822</v>
      </c>
      <c r="C232" t="s">
        <v>518</v>
      </c>
      <c r="D232" t="s">
        <v>519</v>
      </c>
      <c r="E232" t="s">
        <v>520</v>
      </c>
      <c r="F232" t="s">
        <v>521</v>
      </c>
      <c r="G232" t="str">
        <f>"201304006162"</f>
        <v>201304006162</v>
      </c>
      <c r="H232" t="s">
        <v>496</v>
      </c>
      <c r="I232">
        <v>150</v>
      </c>
      <c r="J232">
        <v>0</v>
      </c>
      <c r="K232">
        <v>0</v>
      </c>
      <c r="L232">
        <v>0</v>
      </c>
      <c r="M232">
        <v>100</v>
      </c>
      <c r="N232">
        <v>70</v>
      </c>
      <c r="O232">
        <v>30</v>
      </c>
      <c r="P232">
        <v>50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Z232">
        <v>0</v>
      </c>
      <c r="AA232" t="s">
        <v>522</v>
      </c>
    </row>
    <row r="233" spans="1:27" x14ac:dyDescent="0.25">
      <c r="H233" t="s">
        <v>523</v>
      </c>
    </row>
    <row r="234" spans="1:27" x14ac:dyDescent="0.25">
      <c r="A234">
        <v>114</v>
      </c>
      <c r="B234">
        <v>2778</v>
      </c>
      <c r="C234" t="s">
        <v>524</v>
      </c>
      <c r="D234" t="s">
        <v>519</v>
      </c>
      <c r="E234" t="s">
        <v>235</v>
      </c>
      <c r="F234" t="s">
        <v>525</v>
      </c>
      <c r="G234" t="str">
        <f>"201511008624"</f>
        <v>201511008624</v>
      </c>
      <c r="H234" t="s">
        <v>526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70</v>
      </c>
      <c r="O234">
        <v>0</v>
      </c>
      <c r="P234">
        <v>0</v>
      </c>
      <c r="Q234">
        <v>30</v>
      </c>
      <c r="R234">
        <v>0</v>
      </c>
      <c r="S234">
        <v>0</v>
      </c>
      <c r="T234">
        <v>0</v>
      </c>
      <c r="U234">
        <v>0</v>
      </c>
      <c r="V234">
        <v>95</v>
      </c>
      <c r="W234">
        <v>588</v>
      </c>
      <c r="Z234">
        <v>0</v>
      </c>
      <c r="AA234" t="s">
        <v>527</v>
      </c>
    </row>
    <row r="235" spans="1:27" x14ac:dyDescent="0.25">
      <c r="H235" t="s">
        <v>298</v>
      </c>
    </row>
    <row r="236" spans="1:27" x14ac:dyDescent="0.25">
      <c r="A236">
        <v>115</v>
      </c>
      <c r="B236">
        <v>57</v>
      </c>
      <c r="C236" t="s">
        <v>528</v>
      </c>
      <c r="D236" t="s">
        <v>51</v>
      </c>
      <c r="E236" t="s">
        <v>529</v>
      </c>
      <c r="F236" t="s">
        <v>530</v>
      </c>
      <c r="G236" t="str">
        <f>"00010934"</f>
        <v>00010934</v>
      </c>
      <c r="H236" t="s">
        <v>531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70</v>
      </c>
      <c r="Q236">
        <v>30</v>
      </c>
      <c r="R236">
        <v>30</v>
      </c>
      <c r="S236">
        <v>0</v>
      </c>
      <c r="T236">
        <v>0</v>
      </c>
      <c r="U236">
        <v>0</v>
      </c>
      <c r="V236">
        <v>125</v>
      </c>
      <c r="W236">
        <v>588</v>
      </c>
      <c r="Z236">
        <v>0</v>
      </c>
      <c r="AA236" t="s">
        <v>532</v>
      </c>
    </row>
    <row r="237" spans="1:27" x14ac:dyDescent="0.25">
      <c r="H237">
        <v>214</v>
      </c>
    </row>
    <row r="238" spans="1:27" x14ac:dyDescent="0.25">
      <c r="A238">
        <v>116</v>
      </c>
      <c r="B238">
        <v>2648</v>
      </c>
      <c r="C238" t="s">
        <v>118</v>
      </c>
      <c r="D238" t="s">
        <v>533</v>
      </c>
      <c r="E238" t="s">
        <v>52</v>
      </c>
      <c r="F238" t="s">
        <v>534</v>
      </c>
      <c r="G238" t="str">
        <f>"00001816"</f>
        <v>00001816</v>
      </c>
      <c r="H238" t="s">
        <v>535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83</v>
      </c>
      <c r="W238">
        <v>581</v>
      </c>
      <c r="Z238">
        <v>0</v>
      </c>
      <c r="AA238" t="s">
        <v>536</v>
      </c>
    </row>
    <row r="239" spans="1:27" x14ac:dyDescent="0.25">
      <c r="H239" t="s">
        <v>248</v>
      </c>
    </row>
    <row r="240" spans="1:27" x14ac:dyDescent="0.25">
      <c r="A240">
        <v>117</v>
      </c>
      <c r="B240">
        <v>1922</v>
      </c>
      <c r="C240" t="s">
        <v>537</v>
      </c>
      <c r="D240" t="s">
        <v>538</v>
      </c>
      <c r="E240" t="s">
        <v>64</v>
      </c>
      <c r="F240" t="s">
        <v>539</v>
      </c>
      <c r="G240" t="str">
        <f>"201412004376"</f>
        <v>201412004376</v>
      </c>
      <c r="H240" t="s">
        <v>315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50</v>
      </c>
      <c r="P240">
        <v>0</v>
      </c>
      <c r="Q240">
        <v>0</v>
      </c>
      <c r="R240">
        <v>30</v>
      </c>
      <c r="S240">
        <v>0</v>
      </c>
      <c r="T240">
        <v>0</v>
      </c>
      <c r="U240">
        <v>0</v>
      </c>
      <c r="V240">
        <v>151</v>
      </c>
      <c r="W240">
        <v>588</v>
      </c>
      <c r="Z240">
        <v>0</v>
      </c>
      <c r="AA240" t="s">
        <v>540</v>
      </c>
    </row>
    <row r="241" spans="1:27" x14ac:dyDescent="0.25">
      <c r="H241" t="s">
        <v>31</v>
      </c>
    </row>
    <row r="242" spans="1:27" x14ac:dyDescent="0.25">
      <c r="A242">
        <v>118</v>
      </c>
      <c r="B242">
        <v>178</v>
      </c>
      <c r="C242" t="s">
        <v>541</v>
      </c>
      <c r="D242" t="s">
        <v>542</v>
      </c>
      <c r="E242" t="s">
        <v>45</v>
      </c>
      <c r="F242" t="s">
        <v>543</v>
      </c>
      <c r="G242" t="str">
        <f>"201405000861"</f>
        <v>201405000861</v>
      </c>
      <c r="H242" t="s">
        <v>342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50</v>
      </c>
      <c r="S242">
        <v>0</v>
      </c>
      <c r="T242">
        <v>0</v>
      </c>
      <c r="U242">
        <v>0</v>
      </c>
      <c r="V242">
        <v>107</v>
      </c>
      <c r="W242">
        <v>588</v>
      </c>
      <c r="Z242">
        <v>0</v>
      </c>
      <c r="AA242" t="s">
        <v>544</v>
      </c>
    </row>
    <row r="243" spans="1:27" x14ac:dyDescent="0.25">
      <c r="H243" t="s">
        <v>78</v>
      </c>
    </row>
    <row r="244" spans="1:27" x14ac:dyDescent="0.25">
      <c r="A244">
        <v>119</v>
      </c>
      <c r="B244">
        <v>2802</v>
      </c>
      <c r="C244" t="s">
        <v>545</v>
      </c>
      <c r="D244" t="s">
        <v>163</v>
      </c>
      <c r="E244" t="s">
        <v>41</v>
      </c>
      <c r="F244" t="s">
        <v>546</v>
      </c>
      <c r="G244" t="str">
        <f>"201511018815"</f>
        <v>201511018815</v>
      </c>
      <c r="H244" t="s">
        <v>342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0</v>
      </c>
      <c r="P244">
        <v>50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101</v>
      </c>
      <c r="W244">
        <v>588</v>
      </c>
      <c r="Z244">
        <v>0</v>
      </c>
      <c r="AA244" t="s">
        <v>544</v>
      </c>
    </row>
    <row r="245" spans="1:27" x14ac:dyDescent="0.25">
      <c r="H245" t="s">
        <v>38</v>
      </c>
    </row>
    <row r="246" spans="1:27" x14ac:dyDescent="0.25">
      <c r="A246">
        <v>120</v>
      </c>
      <c r="B246">
        <v>1707</v>
      </c>
      <c r="C246" t="s">
        <v>547</v>
      </c>
      <c r="D246" t="s">
        <v>548</v>
      </c>
      <c r="E246" t="s">
        <v>158</v>
      </c>
      <c r="F246" t="s">
        <v>549</v>
      </c>
      <c r="G246" t="str">
        <f>"201406000031"</f>
        <v>201406000031</v>
      </c>
      <c r="H246" t="s">
        <v>550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30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Z246">
        <v>0</v>
      </c>
      <c r="AA246" t="s">
        <v>551</v>
      </c>
    </row>
    <row r="247" spans="1:27" x14ac:dyDescent="0.25">
      <c r="H247" t="s">
        <v>357</v>
      </c>
    </row>
    <row r="248" spans="1:27" x14ac:dyDescent="0.25">
      <c r="A248">
        <v>121</v>
      </c>
      <c r="B248">
        <v>2402</v>
      </c>
      <c r="C248" t="s">
        <v>552</v>
      </c>
      <c r="D248" t="s">
        <v>353</v>
      </c>
      <c r="E248" t="s">
        <v>70</v>
      </c>
      <c r="F248" t="s">
        <v>553</v>
      </c>
      <c r="G248" t="str">
        <f>"200802001639"</f>
        <v>200802001639</v>
      </c>
      <c r="H248" t="s">
        <v>350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109</v>
      </c>
      <c r="W248">
        <v>588</v>
      </c>
      <c r="Z248">
        <v>0</v>
      </c>
      <c r="AA248" t="s">
        <v>554</v>
      </c>
    </row>
    <row r="249" spans="1:27" x14ac:dyDescent="0.25">
      <c r="H249" t="s">
        <v>31</v>
      </c>
    </row>
    <row r="250" spans="1:27" x14ac:dyDescent="0.25">
      <c r="A250">
        <v>122</v>
      </c>
      <c r="B250">
        <v>417</v>
      </c>
      <c r="C250" t="s">
        <v>555</v>
      </c>
      <c r="D250" t="s">
        <v>556</v>
      </c>
      <c r="E250" t="s">
        <v>183</v>
      </c>
      <c r="F250" t="s">
        <v>557</v>
      </c>
      <c r="G250" t="str">
        <f>"201304004119"</f>
        <v>201304004119</v>
      </c>
      <c r="H250" t="s">
        <v>558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70</v>
      </c>
      <c r="V250">
        <v>91</v>
      </c>
      <c r="W250">
        <v>588</v>
      </c>
      <c r="Z250">
        <v>0</v>
      </c>
      <c r="AA250" t="s">
        <v>559</v>
      </c>
    </row>
    <row r="251" spans="1:27" x14ac:dyDescent="0.25">
      <c r="H251" t="s">
        <v>31</v>
      </c>
    </row>
    <row r="252" spans="1:27" x14ac:dyDescent="0.25">
      <c r="A252">
        <v>123</v>
      </c>
      <c r="B252">
        <v>1101</v>
      </c>
      <c r="C252" t="s">
        <v>560</v>
      </c>
      <c r="D252" t="s">
        <v>561</v>
      </c>
      <c r="E252" t="s">
        <v>158</v>
      </c>
      <c r="F252" t="s">
        <v>562</v>
      </c>
      <c r="G252" t="str">
        <f>"201304006534"</f>
        <v>201304006534</v>
      </c>
      <c r="H252" t="s">
        <v>563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50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73</v>
      </c>
      <c r="W252">
        <v>511</v>
      </c>
      <c r="Z252">
        <v>0</v>
      </c>
      <c r="AA252" t="s">
        <v>564</v>
      </c>
    </row>
    <row r="253" spans="1:27" x14ac:dyDescent="0.25">
      <c r="H253" t="s">
        <v>223</v>
      </c>
    </row>
    <row r="254" spans="1:27" x14ac:dyDescent="0.25">
      <c r="A254">
        <v>124</v>
      </c>
      <c r="B254">
        <v>1899</v>
      </c>
      <c r="C254" t="s">
        <v>565</v>
      </c>
      <c r="D254" t="s">
        <v>566</v>
      </c>
      <c r="E254" t="s">
        <v>14</v>
      </c>
      <c r="F254" t="s">
        <v>567</v>
      </c>
      <c r="G254" t="str">
        <f>"201406000816"</f>
        <v>201406000816</v>
      </c>
      <c r="H254">
        <v>858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85</v>
      </c>
      <c r="W254">
        <v>588</v>
      </c>
      <c r="Z254">
        <v>0</v>
      </c>
      <c r="AA254">
        <v>1676</v>
      </c>
    </row>
    <row r="255" spans="1:27" x14ac:dyDescent="0.25">
      <c r="H255">
        <v>213</v>
      </c>
    </row>
    <row r="256" spans="1:27" x14ac:dyDescent="0.25">
      <c r="A256">
        <v>125</v>
      </c>
      <c r="B256">
        <v>349</v>
      </c>
      <c r="C256" t="s">
        <v>568</v>
      </c>
      <c r="D256" t="s">
        <v>40</v>
      </c>
      <c r="E256" t="s">
        <v>123</v>
      </c>
      <c r="F256" t="s">
        <v>569</v>
      </c>
      <c r="G256" t="str">
        <f>"201304002822"</f>
        <v>201304002822</v>
      </c>
      <c r="H256" t="s">
        <v>570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50</v>
      </c>
      <c r="R256">
        <v>0</v>
      </c>
      <c r="S256">
        <v>0</v>
      </c>
      <c r="T256">
        <v>0</v>
      </c>
      <c r="U256">
        <v>0</v>
      </c>
      <c r="V256">
        <v>128</v>
      </c>
      <c r="W256">
        <v>588</v>
      </c>
      <c r="Z256">
        <v>0</v>
      </c>
      <c r="AA256" t="s">
        <v>571</v>
      </c>
    </row>
    <row r="257" spans="1:27" x14ac:dyDescent="0.25">
      <c r="H257" t="s">
        <v>31</v>
      </c>
    </row>
    <row r="258" spans="1:27" x14ac:dyDescent="0.25">
      <c r="A258">
        <v>126</v>
      </c>
      <c r="B258">
        <v>1780</v>
      </c>
      <c r="C258" t="s">
        <v>572</v>
      </c>
      <c r="D258" t="s">
        <v>573</v>
      </c>
      <c r="E258" t="s">
        <v>574</v>
      </c>
      <c r="F258" t="s">
        <v>575</v>
      </c>
      <c r="G258" t="str">
        <f>"201504002358"</f>
        <v>201504002358</v>
      </c>
      <c r="H258" t="s">
        <v>576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30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87</v>
      </c>
      <c r="W258">
        <v>588</v>
      </c>
      <c r="Z258">
        <v>0</v>
      </c>
      <c r="AA258" t="s">
        <v>577</v>
      </c>
    </row>
    <row r="259" spans="1:27" x14ac:dyDescent="0.25">
      <c r="H259" t="s">
        <v>19</v>
      </c>
    </row>
    <row r="260" spans="1:27" x14ac:dyDescent="0.25">
      <c r="A260">
        <v>127</v>
      </c>
      <c r="B260">
        <v>15</v>
      </c>
      <c r="C260" t="s">
        <v>578</v>
      </c>
      <c r="D260" t="s">
        <v>85</v>
      </c>
      <c r="E260" t="s">
        <v>14</v>
      </c>
      <c r="F260" t="s">
        <v>579</v>
      </c>
      <c r="G260" t="str">
        <f>"201405001897"</f>
        <v>201405001897</v>
      </c>
      <c r="H260" t="s">
        <v>350</v>
      </c>
      <c r="I260">
        <v>150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50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55</v>
      </c>
      <c r="W260">
        <v>385</v>
      </c>
      <c r="Z260">
        <v>0</v>
      </c>
      <c r="AA260" t="s">
        <v>580</v>
      </c>
    </row>
    <row r="261" spans="1:27" x14ac:dyDescent="0.25">
      <c r="H261" t="s">
        <v>581</v>
      </c>
    </row>
    <row r="262" spans="1:27" x14ac:dyDescent="0.25">
      <c r="A262">
        <v>128</v>
      </c>
      <c r="B262">
        <v>487</v>
      </c>
      <c r="C262" t="s">
        <v>582</v>
      </c>
      <c r="D262" t="s">
        <v>151</v>
      </c>
      <c r="E262" t="s">
        <v>583</v>
      </c>
      <c r="F262" t="s">
        <v>584</v>
      </c>
      <c r="G262" t="str">
        <f>"200712005012"</f>
        <v>200712005012</v>
      </c>
      <c r="H262" t="s">
        <v>453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30</v>
      </c>
      <c r="P262">
        <v>50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89</v>
      </c>
      <c r="W262">
        <v>588</v>
      </c>
      <c r="Z262">
        <v>0</v>
      </c>
      <c r="AA262" t="s">
        <v>585</v>
      </c>
    </row>
    <row r="263" spans="1:27" x14ac:dyDescent="0.25">
      <c r="H263" t="s">
        <v>248</v>
      </c>
    </row>
    <row r="264" spans="1:27" x14ac:dyDescent="0.25">
      <c r="A264">
        <v>129</v>
      </c>
      <c r="B264">
        <v>2200</v>
      </c>
      <c r="C264" t="s">
        <v>586</v>
      </c>
      <c r="D264" t="s">
        <v>58</v>
      </c>
      <c r="E264" t="s">
        <v>64</v>
      </c>
      <c r="F264" t="s">
        <v>587</v>
      </c>
      <c r="G264" t="str">
        <f>"201304001557"</f>
        <v>201304001557</v>
      </c>
      <c r="H264" t="s">
        <v>588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30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91</v>
      </c>
      <c r="W264">
        <v>588</v>
      </c>
      <c r="Z264">
        <v>0</v>
      </c>
      <c r="AA264" t="s">
        <v>589</v>
      </c>
    </row>
    <row r="265" spans="1:27" x14ac:dyDescent="0.25">
      <c r="H265" t="s">
        <v>31</v>
      </c>
    </row>
    <row r="266" spans="1:27" x14ac:dyDescent="0.25">
      <c r="A266">
        <v>130</v>
      </c>
      <c r="B266">
        <v>2995</v>
      </c>
      <c r="C266" t="s">
        <v>590</v>
      </c>
      <c r="D266" t="s">
        <v>538</v>
      </c>
      <c r="E266" t="s">
        <v>64</v>
      </c>
      <c r="F266" t="s">
        <v>591</v>
      </c>
      <c r="G266" t="str">
        <f>"200801010770"</f>
        <v>200801010770</v>
      </c>
      <c r="H266" t="s">
        <v>592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50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98</v>
      </c>
      <c r="W266">
        <v>588</v>
      </c>
      <c r="Z266">
        <v>0</v>
      </c>
      <c r="AA266" t="s">
        <v>593</v>
      </c>
    </row>
    <row r="267" spans="1:27" x14ac:dyDescent="0.25">
      <c r="H267" t="s">
        <v>293</v>
      </c>
    </row>
    <row r="268" spans="1:27" x14ac:dyDescent="0.25">
      <c r="A268">
        <v>131</v>
      </c>
      <c r="B268">
        <v>711</v>
      </c>
      <c r="C268" t="s">
        <v>594</v>
      </c>
      <c r="D268" t="s">
        <v>225</v>
      </c>
      <c r="E268" t="s">
        <v>595</v>
      </c>
      <c r="F268" t="s">
        <v>596</v>
      </c>
      <c r="G268" t="str">
        <f>"201506001886"</f>
        <v>201506001886</v>
      </c>
      <c r="H268" t="s">
        <v>597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50</v>
      </c>
      <c r="Q268">
        <v>0</v>
      </c>
      <c r="R268">
        <v>50</v>
      </c>
      <c r="S268">
        <v>0</v>
      </c>
      <c r="T268">
        <v>0</v>
      </c>
      <c r="U268">
        <v>0</v>
      </c>
      <c r="V268">
        <v>127</v>
      </c>
      <c r="W268">
        <v>588</v>
      </c>
      <c r="Z268">
        <v>0</v>
      </c>
      <c r="AA268" t="s">
        <v>598</v>
      </c>
    </row>
    <row r="269" spans="1:27" x14ac:dyDescent="0.25">
      <c r="H269" t="s">
        <v>223</v>
      </c>
    </row>
    <row r="270" spans="1:27" x14ac:dyDescent="0.25">
      <c r="A270">
        <v>132</v>
      </c>
      <c r="B270">
        <v>870</v>
      </c>
      <c r="C270" t="s">
        <v>599</v>
      </c>
      <c r="D270" t="s">
        <v>600</v>
      </c>
      <c r="E270" t="s">
        <v>284</v>
      </c>
      <c r="F270" t="s">
        <v>601</v>
      </c>
      <c r="G270" t="str">
        <f>"00015167"</f>
        <v>00015167</v>
      </c>
      <c r="H270">
        <v>880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80</v>
      </c>
      <c r="W270">
        <v>560</v>
      </c>
      <c r="Z270">
        <v>0</v>
      </c>
      <c r="AA270">
        <v>1670</v>
      </c>
    </row>
    <row r="271" spans="1:27" x14ac:dyDescent="0.25">
      <c r="H271" t="s">
        <v>237</v>
      </c>
    </row>
    <row r="272" spans="1:27" x14ac:dyDescent="0.25">
      <c r="A272">
        <v>133</v>
      </c>
      <c r="B272">
        <v>3087</v>
      </c>
      <c r="C272" t="s">
        <v>602</v>
      </c>
      <c r="D272" t="s">
        <v>123</v>
      </c>
      <c r="E272" t="s">
        <v>64</v>
      </c>
      <c r="F272" t="s">
        <v>603</v>
      </c>
      <c r="G272" t="str">
        <f>"200712001483"</f>
        <v>200712001483</v>
      </c>
      <c r="H272" t="s">
        <v>604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90</v>
      </c>
      <c r="W272">
        <v>588</v>
      </c>
      <c r="Z272">
        <v>0</v>
      </c>
      <c r="AA272" t="s">
        <v>605</v>
      </c>
    </row>
    <row r="273" spans="1:27" x14ac:dyDescent="0.25">
      <c r="H273" t="s">
        <v>223</v>
      </c>
    </row>
    <row r="274" spans="1:27" x14ac:dyDescent="0.25">
      <c r="A274">
        <v>134</v>
      </c>
      <c r="B274">
        <v>3013</v>
      </c>
      <c r="C274" t="s">
        <v>606</v>
      </c>
      <c r="D274" t="s">
        <v>607</v>
      </c>
      <c r="E274" t="s">
        <v>158</v>
      </c>
      <c r="F274" t="s">
        <v>608</v>
      </c>
      <c r="G274" t="str">
        <f>"201303000586"</f>
        <v>201303000586</v>
      </c>
      <c r="H274" t="s">
        <v>609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70</v>
      </c>
      <c r="P274">
        <v>0</v>
      </c>
      <c r="Q274">
        <v>0</v>
      </c>
      <c r="R274">
        <v>30</v>
      </c>
      <c r="S274">
        <v>0</v>
      </c>
      <c r="T274">
        <v>0</v>
      </c>
      <c r="U274">
        <v>0</v>
      </c>
      <c r="V274">
        <v>94</v>
      </c>
      <c r="W274">
        <v>588</v>
      </c>
      <c r="Z274">
        <v>0</v>
      </c>
      <c r="AA274" t="s">
        <v>610</v>
      </c>
    </row>
    <row r="275" spans="1:27" x14ac:dyDescent="0.25">
      <c r="H275" t="s">
        <v>223</v>
      </c>
    </row>
    <row r="276" spans="1:27" x14ac:dyDescent="0.25">
      <c r="A276">
        <v>135</v>
      </c>
      <c r="B276">
        <v>933</v>
      </c>
      <c r="C276" t="s">
        <v>611</v>
      </c>
      <c r="D276" t="s">
        <v>612</v>
      </c>
      <c r="E276" t="s">
        <v>85</v>
      </c>
      <c r="F276" t="s">
        <v>613</v>
      </c>
      <c r="G276" t="str">
        <f>"00012714"</f>
        <v>00012714</v>
      </c>
      <c r="H276" t="s">
        <v>614</v>
      </c>
      <c r="I276">
        <v>150</v>
      </c>
      <c r="J276">
        <v>0</v>
      </c>
      <c r="K276">
        <v>0</v>
      </c>
      <c r="L276">
        <v>0</v>
      </c>
      <c r="M276">
        <v>100</v>
      </c>
      <c r="N276">
        <v>70</v>
      </c>
      <c r="O276">
        <v>0</v>
      </c>
      <c r="P276">
        <v>0</v>
      </c>
      <c r="Q276">
        <v>30</v>
      </c>
      <c r="R276">
        <v>0</v>
      </c>
      <c r="S276">
        <v>0</v>
      </c>
      <c r="T276">
        <v>0</v>
      </c>
      <c r="U276">
        <v>0</v>
      </c>
      <c r="V276">
        <v>106</v>
      </c>
      <c r="W276">
        <v>588</v>
      </c>
      <c r="Z276">
        <v>0</v>
      </c>
      <c r="AA276" t="s">
        <v>615</v>
      </c>
    </row>
    <row r="277" spans="1:27" x14ac:dyDescent="0.25">
      <c r="H277" t="s">
        <v>616</v>
      </c>
    </row>
    <row r="278" spans="1:27" x14ac:dyDescent="0.25">
      <c r="A278">
        <v>136</v>
      </c>
      <c r="B278">
        <v>3339</v>
      </c>
      <c r="C278" t="s">
        <v>617</v>
      </c>
      <c r="D278" t="s">
        <v>235</v>
      </c>
      <c r="E278" t="s">
        <v>188</v>
      </c>
      <c r="F278" t="s">
        <v>618</v>
      </c>
      <c r="G278" t="str">
        <f>"201304001561"</f>
        <v>201304001561</v>
      </c>
      <c r="H278" t="s">
        <v>215</v>
      </c>
      <c r="I278">
        <v>150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68</v>
      </c>
      <c r="W278">
        <v>476</v>
      </c>
      <c r="Z278">
        <v>0</v>
      </c>
      <c r="AA278" t="s">
        <v>619</v>
      </c>
    </row>
    <row r="279" spans="1:27" x14ac:dyDescent="0.25">
      <c r="H279" t="s">
        <v>106</v>
      </c>
    </row>
    <row r="280" spans="1:27" x14ac:dyDescent="0.25">
      <c r="A280">
        <v>137</v>
      </c>
      <c r="B280">
        <v>1332</v>
      </c>
      <c r="C280" t="s">
        <v>620</v>
      </c>
      <c r="D280" t="s">
        <v>621</v>
      </c>
      <c r="E280" t="s">
        <v>41</v>
      </c>
      <c r="F280" t="s">
        <v>622</v>
      </c>
      <c r="G280" t="str">
        <f>"201304004191"</f>
        <v>201304004191</v>
      </c>
      <c r="H280" t="s">
        <v>623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50</v>
      </c>
      <c r="R280">
        <v>0</v>
      </c>
      <c r="S280">
        <v>0</v>
      </c>
      <c r="T280">
        <v>0</v>
      </c>
      <c r="U280">
        <v>0</v>
      </c>
      <c r="V280">
        <v>102</v>
      </c>
      <c r="W280">
        <v>588</v>
      </c>
      <c r="Z280">
        <v>0</v>
      </c>
      <c r="AA280" t="s">
        <v>624</v>
      </c>
    </row>
    <row r="281" spans="1:27" x14ac:dyDescent="0.25">
      <c r="H281" t="s">
        <v>377</v>
      </c>
    </row>
    <row r="282" spans="1:27" x14ac:dyDescent="0.25">
      <c r="A282">
        <v>138</v>
      </c>
      <c r="B282">
        <v>892</v>
      </c>
      <c r="C282" t="s">
        <v>625</v>
      </c>
      <c r="D282" t="s">
        <v>538</v>
      </c>
      <c r="E282" t="s">
        <v>85</v>
      </c>
      <c r="F282" t="s">
        <v>626</v>
      </c>
      <c r="G282" t="str">
        <f>"201402010961"</f>
        <v>201402010961</v>
      </c>
      <c r="H282" t="s">
        <v>371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140</v>
      </c>
      <c r="W282">
        <v>588</v>
      </c>
      <c r="Z282">
        <v>0</v>
      </c>
      <c r="AA282" t="s">
        <v>627</v>
      </c>
    </row>
    <row r="283" spans="1:27" x14ac:dyDescent="0.25">
      <c r="H283" t="s">
        <v>38</v>
      </c>
    </row>
    <row r="284" spans="1:27" x14ac:dyDescent="0.25">
      <c r="A284">
        <v>139</v>
      </c>
      <c r="B284">
        <v>2948</v>
      </c>
      <c r="C284" t="s">
        <v>628</v>
      </c>
      <c r="D284" t="s">
        <v>104</v>
      </c>
      <c r="E284" t="s">
        <v>284</v>
      </c>
      <c r="F284" t="s">
        <v>629</v>
      </c>
      <c r="G284" t="str">
        <f>"201304005734"</f>
        <v>201304005734</v>
      </c>
      <c r="H284" t="s">
        <v>630</v>
      </c>
      <c r="I284">
        <v>150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30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51</v>
      </c>
      <c r="W284">
        <v>357</v>
      </c>
      <c r="Z284">
        <v>0</v>
      </c>
      <c r="AA284" t="s">
        <v>631</v>
      </c>
    </row>
    <row r="285" spans="1:27" x14ac:dyDescent="0.25">
      <c r="H285" t="s">
        <v>31</v>
      </c>
    </row>
    <row r="286" spans="1:27" x14ac:dyDescent="0.25">
      <c r="A286">
        <v>140</v>
      </c>
      <c r="B286">
        <v>1150</v>
      </c>
      <c r="C286" t="s">
        <v>95</v>
      </c>
      <c r="D286" t="s">
        <v>168</v>
      </c>
      <c r="E286" t="s">
        <v>41</v>
      </c>
      <c r="F286" t="s">
        <v>632</v>
      </c>
      <c r="G286" t="str">
        <f>"201304002052"</f>
        <v>201304002052</v>
      </c>
      <c r="H286" t="s">
        <v>441</v>
      </c>
      <c r="I286">
        <v>0</v>
      </c>
      <c r="J286">
        <v>0</v>
      </c>
      <c r="K286">
        <v>0</v>
      </c>
      <c r="L286">
        <v>200</v>
      </c>
      <c r="M286">
        <v>30</v>
      </c>
      <c r="N286">
        <v>70</v>
      </c>
      <c r="O286">
        <v>30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Z286">
        <v>0</v>
      </c>
      <c r="AA286" t="s">
        <v>633</v>
      </c>
    </row>
    <row r="287" spans="1:27" x14ac:dyDescent="0.25">
      <c r="H287" t="s">
        <v>265</v>
      </c>
    </row>
    <row r="288" spans="1:27" x14ac:dyDescent="0.25">
      <c r="A288">
        <v>141</v>
      </c>
      <c r="B288">
        <v>191</v>
      </c>
      <c r="C288" t="s">
        <v>634</v>
      </c>
      <c r="D288" t="s">
        <v>64</v>
      </c>
      <c r="E288" t="s">
        <v>387</v>
      </c>
      <c r="F288" t="s">
        <v>635</v>
      </c>
      <c r="G288" t="str">
        <f>"201303001068"</f>
        <v>201303001068</v>
      </c>
      <c r="H288" t="s">
        <v>636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50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81</v>
      </c>
      <c r="W288">
        <v>567</v>
      </c>
      <c r="Z288">
        <v>0</v>
      </c>
      <c r="AA288" t="s">
        <v>637</v>
      </c>
    </row>
    <row r="289" spans="1:27" x14ac:dyDescent="0.25">
      <c r="H289" t="s">
        <v>248</v>
      </c>
    </row>
    <row r="290" spans="1:27" x14ac:dyDescent="0.25">
      <c r="A290">
        <v>142</v>
      </c>
      <c r="B290">
        <v>11</v>
      </c>
      <c r="C290" t="s">
        <v>638</v>
      </c>
      <c r="D290" t="s">
        <v>235</v>
      </c>
      <c r="E290" t="s">
        <v>129</v>
      </c>
      <c r="F290" t="s">
        <v>639</v>
      </c>
      <c r="G290" t="str">
        <f>"00011902"</f>
        <v>00011902</v>
      </c>
      <c r="H290" t="s">
        <v>342</v>
      </c>
      <c r="I290">
        <v>0</v>
      </c>
      <c r="J290">
        <v>0</v>
      </c>
      <c r="K290">
        <v>0</v>
      </c>
      <c r="L290">
        <v>200</v>
      </c>
      <c r="M290">
        <v>30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132</v>
      </c>
      <c r="W290">
        <v>588</v>
      </c>
      <c r="Z290">
        <v>0</v>
      </c>
      <c r="AA290" t="s">
        <v>640</v>
      </c>
    </row>
    <row r="291" spans="1:27" x14ac:dyDescent="0.25">
      <c r="H291" t="s">
        <v>49</v>
      </c>
    </row>
    <row r="292" spans="1:27" x14ac:dyDescent="0.25">
      <c r="A292">
        <v>143</v>
      </c>
      <c r="B292">
        <v>1133</v>
      </c>
      <c r="C292" t="s">
        <v>641</v>
      </c>
      <c r="D292" t="s">
        <v>401</v>
      </c>
      <c r="E292" t="s">
        <v>41</v>
      </c>
      <c r="F292" t="s">
        <v>642</v>
      </c>
      <c r="G292" t="str">
        <f>"201511019579"</f>
        <v>201511019579</v>
      </c>
      <c r="H292" t="s">
        <v>643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50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64</v>
      </c>
      <c r="W292">
        <v>448</v>
      </c>
      <c r="Z292">
        <v>2</v>
      </c>
      <c r="AA292" t="s">
        <v>644</v>
      </c>
    </row>
    <row r="293" spans="1:27" x14ac:dyDescent="0.25">
      <c r="H293" t="s">
        <v>645</v>
      </c>
    </row>
    <row r="294" spans="1:27" x14ac:dyDescent="0.25">
      <c r="A294">
        <v>144</v>
      </c>
      <c r="B294">
        <v>2014</v>
      </c>
      <c r="C294" t="s">
        <v>646</v>
      </c>
      <c r="D294" t="s">
        <v>647</v>
      </c>
      <c r="E294" t="s">
        <v>85</v>
      </c>
      <c r="F294" t="s">
        <v>648</v>
      </c>
      <c r="G294" t="str">
        <f>"00014474"</f>
        <v>00014474</v>
      </c>
      <c r="H294" t="s">
        <v>649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133</v>
      </c>
      <c r="W294">
        <v>588</v>
      </c>
      <c r="Z294">
        <v>0</v>
      </c>
      <c r="AA294" t="s">
        <v>650</v>
      </c>
    </row>
    <row r="295" spans="1:27" x14ac:dyDescent="0.25">
      <c r="H295" t="s">
        <v>19</v>
      </c>
    </row>
    <row r="296" spans="1:27" x14ac:dyDescent="0.25">
      <c r="A296">
        <v>145</v>
      </c>
      <c r="B296">
        <v>993</v>
      </c>
      <c r="C296" t="s">
        <v>651</v>
      </c>
      <c r="D296" t="s">
        <v>652</v>
      </c>
      <c r="E296" t="s">
        <v>85</v>
      </c>
      <c r="F296" t="s">
        <v>653</v>
      </c>
      <c r="G296" t="str">
        <f>"201304004183"</f>
        <v>201304004183</v>
      </c>
      <c r="H296" t="s">
        <v>649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102</v>
      </c>
      <c r="W296">
        <v>588</v>
      </c>
      <c r="Z296">
        <v>0</v>
      </c>
      <c r="AA296" t="s">
        <v>650</v>
      </c>
    </row>
    <row r="297" spans="1:27" x14ac:dyDescent="0.25">
      <c r="H297" t="s">
        <v>654</v>
      </c>
    </row>
    <row r="298" spans="1:27" x14ac:dyDescent="0.25">
      <c r="A298">
        <v>146</v>
      </c>
      <c r="B298">
        <v>753</v>
      </c>
      <c r="C298" t="s">
        <v>655</v>
      </c>
      <c r="D298" t="s">
        <v>542</v>
      </c>
      <c r="E298" t="s">
        <v>158</v>
      </c>
      <c r="F298" t="s">
        <v>656</v>
      </c>
      <c r="G298" t="str">
        <f>"200801004613"</f>
        <v>200801004613</v>
      </c>
      <c r="H298" t="s">
        <v>657</v>
      </c>
      <c r="I298">
        <v>0</v>
      </c>
      <c r="J298">
        <v>0</v>
      </c>
      <c r="K298">
        <v>0</v>
      </c>
      <c r="L298">
        <v>260</v>
      </c>
      <c r="M298">
        <v>0</v>
      </c>
      <c r="N298">
        <v>70</v>
      </c>
      <c r="O298">
        <v>30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78</v>
      </c>
      <c r="W298">
        <v>546</v>
      </c>
      <c r="Z298">
        <v>0</v>
      </c>
      <c r="AA298" t="s">
        <v>658</v>
      </c>
    </row>
    <row r="299" spans="1:27" x14ac:dyDescent="0.25">
      <c r="H299" t="s">
        <v>659</v>
      </c>
    </row>
    <row r="300" spans="1:27" x14ac:dyDescent="0.25">
      <c r="A300">
        <v>147</v>
      </c>
      <c r="B300">
        <v>550</v>
      </c>
      <c r="C300" t="s">
        <v>660</v>
      </c>
      <c r="D300" t="s">
        <v>235</v>
      </c>
      <c r="E300" t="s">
        <v>114</v>
      </c>
      <c r="F300" t="s">
        <v>661</v>
      </c>
      <c r="G300" t="str">
        <f>"00014931"</f>
        <v>00014931</v>
      </c>
      <c r="H300" t="s">
        <v>662</v>
      </c>
      <c r="I300">
        <v>150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116</v>
      </c>
      <c r="W300">
        <v>588</v>
      </c>
      <c r="Z300">
        <v>0</v>
      </c>
      <c r="AA300" t="s">
        <v>663</v>
      </c>
    </row>
    <row r="301" spans="1:27" x14ac:dyDescent="0.25">
      <c r="H301" t="s">
        <v>38</v>
      </c>
    </row>
    <row r="302" spans="1:27" x14ac:dyDescent="0.25">
      <c r="A302">
        <v>148</v>
      </c>
      <c r="B302">
        <v>151</v>
      </c>
      <c r="C302" t="s">
        <v>664</v>
      </c>
      <c r="D302" t="s">
        <v>665</v>
      </c>
      <c r="E302" t="s">
        <v>200</v>
      </c>
      <c r="F302" t="s">
        <v>666</v>
      </c>
      <c r="G302" t="str">
        <f>"201304001400"</f>
        <v>201304001400</v>
      </c>
      <c r="H302">
        <v>770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30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92</v>
      </c>
      <c r="W302">
        <v>588</v>
      </c>
      <c r="Z302">
        <v>0</v>
      </c>
      <c r="AA302">
        <v>1658</v>
      </c>
    </row>
    <row r="303" spans="1:27" x14ac:dyDescent="0.25">
      <c r="H303" t="s">
        <v>265</v>
      </c>
    </row>
    <row r="304" spans="1:27" x14ac:dyDescent="0.25">
      <c r="A304">
        <v>149</v>
      </c>
      <c r="B304">
        <v>3255</v>
      </c>
      <c r="C304" t="s">
        <v>667</v>
      </c>
      <c r="D304" t="s">
        <v>33</v>
      </c>
      <c r="E304" t="s">
        <v>108</v>
      </c>
      <c r="F304">
        <v>79281</v>
      </c>
      <c r="G304" t="str">
        <f>"201506001876"</f>
        <v>201506001876</v>
      </c>
      <c r="H304" t="s">
        <v>668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70</v>
      </c>
      <c r="O304">
        <v>0</v>
      </c>
      <c r="P304">
        <v>0</v>
      </c>
      <c r="Q304">
        <v>30</v>
      </c>
      <c r="R304">
        <v>50</v>
      </c>
      <c r="S304">
        <v>0</v>
      </c>
      <c r="T304">
        <v>0</v>
      </c>
      <c r="U304">
        <v>0</v>
      </c>
      <c r="V304">
        <v>84</v>
      </c>
      <c r="W304">
        <v>588</v>
      </c>
      <c r="Z304">
        <v>0</v>
      </c>
      <c r="AA304" t="s">
        <v>669</v>
      </c>
    </row>
    <row r="305" spans="1:27" x14ac:dyDescent="0.25">
      <c r="H305">
        <v>213</v>
      </c>
    </row>
    <row r="306" spans="1:27" x14ac:dyDescent="0.25">
      <c r="A306">
        <v>150</v>
      </c>
      <c r="B306">
        <v>1303</v>
      </c>
      <c r="C306" t="s">
        <v>670</v>
      </c>
      <c r="D306" t="s">
        <v>671</v>
      </c>
      <c r="E306" t="s">
        <v>85</v>
      </c>
      <c r="F306" t="s">
        <v>672</v>
      </c>
      <c r="G306" t="str">
        <f>"201303000856"</f>
        <v>201303000856</v>
      </c>
      <c r="H306">
        <v>770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50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81</v>
      </c>
      <c r="W306">
        <v>567</v>
      </c>
      <c r="Z306">
        <v>0</v>
      </c>
      <c r="AA306">
        <v>1657</v>
      </c>
    </row>
    <row r="307" spans="1:27" x14ac:dyDescent="0.25">
      <c r="H307" t="s">
        <v>49</v>
      </c>
    </row>
    <row r="308" spans="1:27" x14ac:dyDescent="0.25">
      <c r="A308">
        <v>151</v>
      </c>
      <c r="B308">
        <v>784</v>
      </c>
      <c r="C308" t="s">
        <v>673</v>
      </c>
      <c r="D308" t="s">
        <v>519</v>
      </c>
      <c r="E308" t="s">
        <v>128</v>
      </c>
      <c r="F308" t="s">
        <v>674</v>
      </c>
      <c r="G308" t="str">
        <f>"00014940"</f>
        <v>00014940</v>
      </c>
      <c r="H308" t="s">
        <v>675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50</v>
      </c>
      <c r="O308">
        <v>0</v>
      </c>
      <c r="P308">
        <v>30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94</v>
      </c>
      <c r="W308">
        <v>588</v>
      </c>
      <c r="Z308">
        <v>0</v>
      </c>
      <c r="AA308" t="s">
        <v>676</v>
      </c>
    </row>
    <row r="309" spans="1:27" x14ac:dyDescent="0.25">
      <c r="H309" t="s">
        <v>19</v>
      </c>
    </row>
    <row r="310" spans="1:27" x14ac:dyDescent="0.25">
      <c r="A310">
        <v>152</v>
      </c>
      <c r="B310">
        <v>1227</v>
      </c>
      <c r="C310" t="s">
        <v>677</v>
      </c>
      <c r="D310" t="s">
        <v>678</v>
      </c>
      <c r="E310" t="s">
        <v>679</v>
      </c>
      <c r="F310" t="s">
        <v>680</v>
      </c>
      <c r="G310" t="str">
        <f>"201510000775"</f>
        <v>201510000775</v>
      </c>
      <c r="H310" t="s">
        <v>681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50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Z310">
        <v>0</v>
      </c>
      <c r="AA310" t="s">
        <v>682</v>
      </c>
    </row>
    <row r="311" spans="1:27" x14ac:dyDescent="0.25">
      <c r="H311" t="s">
        <v>19</v>
      </c>
    </row>
    <row r="312" spans="1:27" x14ac:dyDescent="0.25">
      <c r="A312">
        <v>153</v>
      </c>
      <c r="B312">
        <v>921</v>
      </c>
      <c r="C312" t="s">
        <v>683</v>
      </c>
      <c r="D312" t="s">
        <v>58</v>
      </c>
      <c r="E312" t="s">
        <v>401</v>
      </c>
      <c r="F312" t="s">
        <v>684</v>
      </c>
      <c r="G312" t="str">
        <f>"200802001629"</f>
        <v>200802001629</v>
      </c>
      <c r="H312" t="s">
        <v>570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30</v>
      </c>
      <c r="R312">
        <v>0</v>
      </c>
      <c r="S312">
        <v>0</v>
      </c>
      <c r="T312">
        <v>0</v>
      </c>
      <c r="U312">
        <v>0</v>
      </c>
      <c r="V312">
        <v>113</v>
      </c>
      <c r="W312">
        <v>588</v>
      </c>
      <c r="Z312">
        <v>0</v>
      </c>
      <c r="AA312" t="s">
        <v>685</v>
      </c>
    </row>
    <row r="313" spans="1:27" x14ac:dyDescent="0.25">
      <c r="H313" t="s">
        <v>357</v>
      </c>
    </row>
    <row r="314" spans="1:27" x14ac:dyDescent="0.25">
      <c r="A314">
        <v>154</v>
      </c>
      <c r="B314">
        <v>2779</v>
      </c>
      <c r="C314" t="s">
        <v>686</v>
      </c>
      <c r="D314" t="s">
        <v>168</v>
      </c>
      <c r="E314" t="s">
        <v>387</v>
      </c>
      <c r="F314" t="s">
        <v>687</v>
      </c>
      <c r="G314" t="str">
        <f>"201402011379"</f>
        <v>201402011379</v>
      </c>
      <c r="H314" t="s">
        <v>301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97</v>
      </c>
      <c r="W314">
        <v>588</v>
      </c>
      <c r="Z314">
        <v>0</v>
      </c>
      <c r="AA314" t="s">
        <v>688</v>
      </c>
    </row>
    <row r="315" spans="1:27" x14ac:dyDescent="0.25">
      <c r="H315" t="s">
        <v>248</v>
      </c>
    </row>
    <row r="316" spans="1:27" x14ac:dyDescent="0.25">
      <c r="A316">
        <v>155</v>
      </c>
      <c r="B316">
        <v>1037</v>
      </c>
      <c r="C316" t="s">
        <v>689</v>
      </c>
      <c r="D316" t="s">
        <v>33</v>
      </c>
      <c r="E316" t="s">
        <v>158</v>
      </c>
      <c r="F316" t="s">
        <v>690</v>
      </c>
      <c r="G316" t="str">
        <f>"201406002746"</f>
        <v>201406002746</v>
      </c>
      <c r="H316">
        <v>836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109</v>
      </c>
      <c r="W316">
        <v>588</v>
      </c>
      <c r="Z316">
        <v>0</v>
      </c>
      <c r="AA316">
        <v>1654</v>
      </c>
    </row>
    <row r="317" spans="1:27" x14ac:dyDescent="0.25">
      <c r="H317" t="s">
        <v>293</v>
      </c>
    </row>
    <row r="318" spans="1:27" x14ac:dyDescent="0.25">
      <c r="A318">
        <v>156</v>
      </c>
      <c r="B318">
        <v>1395</v>
      </c>
      <c r="C318" t="s">
        <v>691</v>
      </c>
      <c r="D318" t="s">
        <v>276</v>
      </c>
      <c r="E318" t="s">
        <v>169</v>
      </c>
      <c r="F318" t="s">
        <v>692</v>
      </c>
      <c r="G318" t="str">
        <f>"201506000667"</f>
        <v>201506000667</v>
      </c>
      <c r="H318">
        <v>836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105</v>
      </c>
      <c r="W318">
        <v>588</v>
      </c>
      <c r="Z318">
        <v>1</v>
      </c>
      <c r="AA318">
        <v>1654</v>
      </c>
    </row>
    <row r="319" spans="1:27" x14ac:dyDescent="0.25">
      <c r="H319" t="s">
        <v>298</v>
      </c>
    </row>
    <row r="320" spans="1:27" x14ac:dyDescent="0.25">
      <c r="A320">
        <v>157</v>
      </c>
      <c r="B320">
        <v>98</v>
      </c>
      <c r="C320" t="s">
        <v>693</v>
      </c>
      <c r="D320" t="s">
        <v>182</v>
      </c>
      <c r="E320" t="s">
        <v>694</v>
      </c>
      <c r="F320" t="s">
        <v>695</v>
      </c>
      <c r="G320" t="str">
        <f>"201410003137"</f>
        <v>201410003137</v>
      </c>
      <c r="H320" t="s">
        <v>458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108</v>
      </c>
      <c r="W320">
        <v>588</v>
      </c>
      <c r="Z320">
        <v>0</v>
      </c>
      <c r="AA320" t="s">
        <v>696</v>
      </c>
    </row>
    <row r="321" spans="1:27" x14ac:dyDescent="0.25">
      <c r="H321" t="s">
        <v>38</v>
      </c>
    </row>
    <row r="322" spans="1:27" x14ac:dyDescent="0.25">
      <c r="A322">
        <v>158</v>
      </c>
      <c r="B322">
        <v>169</v>
      </c>
      <c r="C322" t="s">
        <v>697</v>
      </c>
      <c r="D322" t="s">
        <v>168</v>
      </c>
      <c r="E322" t="s">
        <v>698</v>
      </c>
      <c r="F322" t="s">
        <v>699</v>
      </c>
      <c r="G322" t="str">
        <f>"200807000207"</f>
        <v>200807000207</v>
      </c>
      <c r="H322" t="s">
        <v>700</v>
      </c>
      <c r="I322">
        <v>0</v>
      </c>
      <c r="J322">
        <v>400</v>
      </c>
      <c r="K322">
        <v>0</v>
      </c>
      <c r="L322">
        <v>200</v>
      </c>
      <c r="M322">
        <v>0</v>
      </c>
      <c r="N322">
        <v>70</v>
      </c>
      <c r="O322">
        <v>30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18</v>
      </c>
      <c r="W322">
        <v>126</v>
      </c>
      <c r="Z322">
        <v>0</v>
      </c>
      <c r="AA322" t="s">
        <v>701</v>
      </c>
    </row>
    <row r="323" spans="1:27" x14ac:dyDescent="0.25">
      <c r="H323" t="s">
        <v>89</v>
      </c>
    </row>
    <row r="324" spans="1:27" x14ac:dyDescent="0.25">
      <c r="A324">
        <v>159</v>
      </c>
      <c r="B324">
        <v>1820</v>
      </c>
      <c r="C324" t="s">
        <v>702</v>
      </c>
      <c r="D324" t="s">
        <v>703</v>
      </c>
      <c r="E324" t="s">
        <v>123</v>
      </c>
      <c r="F324" t="s">
        <v>704</v>
      </c>
      <c r="G324" t="str">
        <f>"201303000361"</f>
        <v>201303000361</v>
      </c>
      <c r="H324" t="s">
        <v>705</v>
      </c>
      <c r="I324">
        <v>0</v>
      </c>
      <c r="J324">
        <v>0</v>
      </c>
      <c r="K324">
        <v>0</v>
      </c>
      <c r="L324">
        <v>260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94</v>
      </c>
      <c r="W324">
        <v>588</v>
      </c>
      <c r="Z324">
        <v>0</v>
      </c>
      <c r="AA324" t="s">
        <v>706</v>
      </c>
    </row>
    <row r="325" spans="1:27" x14ac:dyDescent="0.25">
      <c r="H325" t="s">
        <v>248</v>
      </c>
    </row>
    <row r="326" spans="1:27" x14ac:dyDescent="0.25">
      <c r="A326">
        <v>160</v>
      </c>
      <c r="B326">
        <v>981</v>
      </c>
      <c r="C326" t="s">
        <v>254</v>
      </c>
      <c r="D326" t="s">
        <v>163</v>
      </c>
      <c r="E326" t="s">
        <v>64</v>
      </c>
      <c r="F326" t="s">
        <v>707</v>
      </c>
      <c r="G326" t="str">
        <f>"201406014852"</f>
        <v>201406014852</v>
      </c>
      <c r="H326" t="s">
        <v>154</v>
      </c>
      <c r="I326">
        <v>0</v>
      </c>
      <c r="J326">
        <v>0</v>
      </c>
      <c r="K326">
        <v>0</v>
      </c>
      <c r="L326">
        <v>0</v>
      </c>
      <c r="M326">
        <v>100</v>
      </c>
      <c r="N326">
        <v>30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97</v>
      </c>
      <c r="W326">
        <v>588</v>
      </c>
      <c r="Z326">
        <v>0</v>
      </c>
      <c r="AA326" t="s">
        <v>708</v>
      </c>
    </row>
    <row r="327" spans="1:27" x14ac:dyDescent="0.25">
      <c r="H327" t="s">
        <v>25</v>
      </c>
    </row>
    <row r="328" spans="1:27" x14ac:dyDescent="0.25">
      <c r="A328">
        <v>161</v>
      </c>
      <c r="B328">
        <v>1406</v>
      </c>
      <c r="C328" t="s">
        <v>709</v>
      </c>
      <c r="D328" t="s">
        <v>710</v>
      </c>
      <c r="E328" t="s">
        <v>711</v>
      </c>
      <c r="F328" t="s">
        <v>712</v>
      </c>
      <c r="G328" t="str">
        <f>"201303000454"</f>
        <v>201303000454</v>
      </c>
      <c r="H328" t="s">
        <v>463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96</v>
      </c>
      <c r="W328">
        <v>588</v>
      </c>
      <c r="Z328">
        <v>0</v>
      </c>
      <c r="AA328" t="s">
        <v>708</v>
      </c>
    </row>
    <row r="329" spans="1:27" x14ac:dyDescent="0.25">
      <c r="H329" t="s">
        <v>38</v>
      </c>
    </row>
    <row r="330" spans="1:27" x14ac:dyDescent="0.25">
      <c r="A330">
        <v>162</v>
      </c>
      <c r="B330">
        <v>900</v>
      </c>
      <c r="C330" t="s">
        <v>713</v>
      </c>
      <c r="D330" t="s">
        <v>538</v>
      </c>
      <c r="E330" t="s">
        <v>14</v>
      </c>
      <c r="F330" t="s">
        <v>714</v>
      </c>
      <c r="G330" t="str">
        <f>"201304001592"</f>
        <v>201304001592</v>
      </c>
      <c r="H330">
        <v>759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70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79</v>
      </c>
      <c r="W330">
        <v>553</v>
      </c>
      <c r="Z330">
        <v>0</v>
      </c>
      <c r="AA330">
        <v>1652</v>
      </c>
    </row>
    <row r="331" spans="1:27" x14ac:dyDescent="0.25">
      <c r="H331" t="s">
        <v>248</v>
      </c>
    </row>
    <row r="332" spans="1:27" x14ac:dyDescent="0.25">
      <c r="A332">
        <v>163</v>
      </c>
      <c r="B332">
        <v>846</v>
      </c>
      <c r="C332" t="s">
        <v>715</v>
      </c>
      <c r="D332" t="s">
        <v>40</v>
      </c>
      <c r="E332" t="s">
        <v>284</v>
      </c>
      <c r="F332" t="s">
        <v>716</v>
      </c>
      <c r="G332" t="str">
        <f>"201304003179"</f>
        <v>201304003179</v>
      </c>
      <c r="H332" t="s">
        <v>67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70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Z332">
        <v>0</v>
      </c>
      <c r="AA332" t="s">
        <v>717</v>
      </c>
    </row>
    <row r="333" spans="1:27" x14ac:dyDescent="0.25">
      <c r="H333" t="s">
        <v>38</v>
      </c>
    </row>
    <row r="334" spans="1:27" x14ac:dyDescent="0.25">
      <c r="A334">
        <v>164</v>
      </c>
      <c r="B334">
        <v>2121</v>
      </c>
      <c r="C334" t="s">
        <v>718</v>
      </c>
      <c r="D334" t="s">
        <v>719</v>
      </c>
      <c r="E334" t="s">
        <v>14</v>
      </c>
      <c r="F334" t="s">
        <v>720</v>
      </c>
      <c r="G334" t="str">
        <f>"201506000869"</f>
        <v>201506000869</v>
      </c>
      <c r="H334">
        <v>792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119</v>
      </c>
      <c r="W334">
        <v>588</v>
      </c>
      <c r="Z334">
        <v>0</v>
      </c>
      <c r="AA334">
        <v>1650</v>
      </c>
    </row>
    <row r="335" spans="1:27" x14ac:dyDescent="0.25">
      <c r="H335" t="s">
        <v>31</v>
      </c>
    </row>
    <row r="336" spans="1:27" x14ac:dyDescent="0.25">
      <c r="A336">
        <v>165</v>
      </c>
      <c r="B336">
        <v>2140</v>
      </c>
      <c r="C336" t="s">
        <v>721</v>
      </c>
      <c r="D336" t="s">
        <v>722</v>
      </c>
      <c r="E336" t="s">
        <v>189</v>
      </c>
      <c r="F336" t="s">
        <v>723</v>
      </c>
      <c r="G336" t="str">
        <f>"200810000439"</f>
        <v>200810000439</v>
      </c>
      <c r="H336">
        <v>682</v>
      </c>
      <c r="I336">
        <v>150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90</v>
      </c>
      <c r="W336">
        <v>588</v>
      </c>
      <c r="Z336">
        <v>0</v>
      </c>
      <c r="AA336">
        <v>1650</v>
      </c>
    </row>
    <row r="337" spans="1:27" x14ac:dyDescent="0.25">
      <c r="H337" t="s">
        <v>31</v>
      </c>
    </row>
    <row r="338" spans="1:27" x14ac:dyDescent="0.25">
      <c r="A338">
        <v>166</v>
      </c>
      <c r="B338">
        <v>2703</v>
      </c>
      <c r="C338" t="s">
        <v>724</v>
      </c>
      <c r="D338" t="s">
        <v>725</v>
      </c>
      <c r="E338" t="s">
        <v>41</v>
      </c>
      <c r="F338" t="s">
        <v>726</v>
      </c>
      <c r="G338" t="str">
        <f>"201303001007"</f>
        <v>201303001007</v>
      </c>
      <c r="H338" t="s">
        <v>727</v>
      </c>
      <c r="I338">
        <v>0</v>
      </c>
      <c r="J338">
        <v>0</v>
      </c>
      <c r="K338">
        <v>0</v>
      </c>
      <c r="L338">
        <v>260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101</v>
      </c>
      <c r="W338">
        <v>588</v>
      </c>
      <c r="Z338">
        <v>0</v>
      </c>
      <c r="AA338" t="s">
        <v>728</v>
      </c>
    </row>
    <row r="339" spans="1:27" x14ac:dyDescent="0.25">
      <c r="H339" t="s">
        <v>729</v>
      </c>
    </row>
    <row r="340" spans="1:27" x14ac:dyDescent="0.25">
      <c r="A340">
        <v>167</v>
      </c>
      <c r="B340">
        <v>3347</v>
      </c>
      <c r="C340" t="s">
        <v>730</v>
      </c>
      <c r="D340" t="s">
        <v>158</v>
      </c>
      <c r="E340" t="s">
        <v>41</v>
      </c>
      <c r="F340" t="s">
        <v>731</v>
      </c>
      <c r="G340" t="str">
        <f>"201304001419"</f>
        <v>201304001419</v>
      </c>
      <c r="H340">
        <v>660</v>
      </c>
      <c r="I340">
        <v>150</v>
      </c>
      <c r="J340">
        <v>0</v>
      </c>
      <c r="K340">
        <v>0</v>
      </c>
      <c r="L340">
        <v>200</v>
      </c>
      <c r="M340">
        <v>0</v>
      </c>
      <c r="N340">
        <v>50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121</v>
      </c>
      <c r="W340">
        <v>588</v>
      </c>
      <c r="Z340">
        <v>0</v>
      </c>
      <c r="AA340">
        <v>1648</v>
      </c>
    </row>
    <row r="341" spans="1:27" x14ac:dyDescent="0.25">
      <c r="H341" t="s">
        <v>38</v>
      </c>
    </row>
    <row r="342" spans="1:27" x14ac:dyDescent="0.25">
      <c r="A342">
        <v>168</v>
      </c>
      <c r="B342">
        <v>1636</v>
      </c>
      <c r="C342" t="s">
        <v>732</v>
      </c>
      <c r="D342" t="s">
        <v>163</v>
      </c>
      <c r="E342" t="s">
        <v>64</v>
      </c>
      <c r="F342" t="s">
        <v>733</v>
      </c>
      <c r="G342" t="str">
        <f>"201412003794"</f>
        <v>201412003794</v>
      </c>
      <c r="H342" t="s">
        <v>42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112</v>
      </c>
      <c r="W342">
        <v>588</v>
      </c>
      <c r="Z342">
        <v>0</v>
      </c>
      <c r="AA342" t="s">
        <v>734</v>
      </c>
    </row>
    <row r="343" spans="1:27" x14ac:dyDescent="0.25">
      <c r="H343" t="s">
        <v>293</v>
      </c>
    </row>
    <row r="344" spans="1:27" x14ac:dyDescent="0.25">
      <c r="A344">
        <v>169</v>
      </c>
      <c r="B344">
        <v>3277</v>
      </c>
      <c r="C344" t="s">
        <v>735</v>
      </c>
      <c r="D344" t="s">
        <v>736</v>
      </c>
      <c r="E344" t="s">
        <v>737</v>
      </c>
      <c r="F344" t="s">
        <v>738</v>
      </c>
      <c r="G344" t="str">
        <f>"00013950"</f>
        <v>00013950</v>
      </c>
      <c r="H344" t="s">
        <v>739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50</v>
      </c>
      <c r="O344">
        <v>0</v>
      </c>
      <c r="P344">
        <v>0</v>
      </c>
      <c r="Q344">
        <v>30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Z344">
        <v>2</v>
      </c>
      <c r="AA344" t="s">
        <v>740</v>
      </c>
    </row>
    <row r="345" spans="1:27" x14ac:dyDescent="0.25">
      <c r="H345">
        <v>213</v>
      </c>
    </row>
    <row r="346" spans="1:27" x14ac:dyDescent="0.25">
      <c r="A346">
        <v>170</v>
      </c>
      <c r="B346">
        <v>1225</v>
      </c>
      <c r="C346" t="s">
        <v>741</v>
      </c>
      <c r="D346" t="s">
        <v>276</v>
      </c>
      <c r="E346" t="s">
        <v>158</v>
      </c>
      <c r="F346" t="s">
        <v>742</v>
      </c>
      <c r="G346" t="str">
        <f>"00014487"</f>
        <v>00014487</v>
      </c>
      <c r="H346" t="s">
        <v>47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50</v>
      </c>
      <c r="S346">
        <v>0</v>
      </c>
      <c r="T346">
        <v>0</v>
      </c>
      <c r="U346">
        <v>0</v>
      </c>
      <c r="V346">
        <v>94</v>
      </c>
      <c r="W346">
        <v>588</v>
      </c>
      <c r="Z346">
        <v>1</v>
      </c>
      <c r="AA346" t="s">
        <v>743</v>
      </c>
    </row>
    <row r="347" spans="1:27" x14ac:dyDescent="0.25">
      <c r="H347" t="s">
        <v>293</v>
      </c>
    </row>
    <row r="348" spans="1:27" x14ac:dyDescent="0.25">
      <c r="A348">
        <v>171</v>
      </c>
      <c r="B348">
        <v>2909</v>
      </c>
      <c r="C348" t="s">
        <v>744</v>
      </c>
      <c r="D348" t="s">
        <v>490</v>
      </c>
      <c r="E348" t="s">
        <v>745</v>
      </c>
      <c r="F348" t="s">
        <v>746</v>
      </c>
      <c r="G348" t="str">
        <f>"200712000816"</f>
        <v>200712000816</v>
      </c>
      <c r="H348" t="s">
        <v>747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149</v>
      </c>
      <c r="W348">
        <v>588</v>
      </c>
      <c r="Z348">
        <v>0</v>
      </c>
      <c r="AA348" t="s">
        <v>748</v>
      </c>
    </row>
    <row r="349" spans="1:27" x14ac:dyDescent="0.25">
      <c r="H349" t="s">
        <v>31</v>
      </c>
    </row>
    <row r="350" spans="1:27" x14ac:dyDescent="0.25">
      <c r="A350">
        <v>172</v>
      </c>
      <c r="B350">
        <v>644</v>
      </c>
      <c r="C350" t="s">
        <v>749</v>
      </c>
      <c r="D350" t="s">
        <v>85</v>
      </c>
      <c r="E350" t="s">
        <v>401</v>
      </c>
      <c r="F350" t="s">
        <v>750</v>
      </c>
      <c r="G350" t="str">
        <f>"201507005245"</f>
        <v>201507005245</v>
      </c>
      <c r="H350" t="s">
        <v>286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133</v>
      </c>
      <c r="W350">
        <v>588</v>
      </c>
      <c r="Z350">
        <v>0</v>
      </c>
      <c r="AA350" t="s">
        <v>751</v>
      </c>
    </row>
    <row r="351" spans="1:27" x14ac:dyDescent="0.25">
      <c r="H351" t="s">
        <v>19</v>
      </c>
    </row>
    <row r="352" spans="1:27" x14ac:dyDescent="0.25">
      <c r="A352">
        <v>173</v>
      </c>
      <c r="B352">
        <v>2741</v>
      </c>
      <c r="C352" t="s">
        <v>752</v>
      </c>
      <c r="D352" t="s">
        <v>41</v>
      </c>
      <c r="E352" t="s">
        <v>753</v>
      </c>
      <c r="F352" t="s">
        <v>754</v>
      </c>
      <c r="G352" t="str">
        <f>"201504005294"</f>
        <v>201504005294</v>
      </c>
      <c r="H352">
        <v>726</v>
      </c>
      <c r="I352">
        <v>0</v>
      </c>
      <c r="J352">
        <v>0</v>
      </c>
      <c r="K352">
        <v>0</v>
      </c>
      <c r="L352">
        <v>260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231</v>
      </c>
      <c r="W352">
        <v>588</v>
      </c>
      <c r="Z352">
        <v>0</v>
      </c>
      <c r="AA352">
        <v>1644</v>
      </c>
    </row>
    <row r="353" spans="1:27" x14ac:dyDescent="0.25">
      <c r="H353" t="s">
        <v>38</v>
      </c>
    </row>
    <row r="354" spans="1:27" x14ac:dyDescent="0.25">
      <c r="A354">
        <v>174</v>
      </c>
      <c r="B354">
        <v>1716</v>
      </c>
      <c r="C354" t="s">
        <v>755</v>
      </c>
      <c r="D354" t="s">
        <v>204</v>
      </c>
      <c r="E354" t="s">
        <v>756</v>
      </c>
      <c r="F354" t="s">
        <v>757</v>
      </c>
      <c r="G354" t="str">
        <f>"201406011483"</f>
        <v>201406011483</v>
      </c>
      <c r="H354" t="s">
        <v>758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56</v>
      </c>
      <c r="W354">
        <v>392</v>
      </c>
      <c r="Z354">
        <v>0</v>
      </c>
      <c r="AA354" t="s">
        <v>759</v>
      </c>
    </row>
    <row r="355" spans="1:27" x14ac:dyDescent="0.25">
      <c r="H355" t="s">
        <v>760</v>
      </c>
    </row>
    <row r="356" spans="1:27" x14ac:dyDescent="0.25">
      <c r="A356">
        <v>175</v>
      </c>
      <c r="B356">
        <v>509</v>
      </c>
      <c r="C356" t="s">
        <v>761</v>
      </c>
      <c r="D356" t="s">
        <v>490</v>
      </c>
      <c r="E356" t="s">
        <v>41</v>
      </c>
      <c r="F356" t="s">
        <v>762</v>
      </c>
      <c r="G356" t="str">
        <f>"201402007432"</f>
        <v>201402007432</v>
      </c>
      <c r="H356" t="s">
        <v>763</v>
      </c>
      <c r="I356">
        <v>0</v>
      </c>
      <c r="J356">
        <v>0</v>
      </c>
      <c r="K356">
        <v>0</v>
      </c>
      <c r="L356">
        <v>260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179</v>
      </c>
      <c r="W356">
        <v>588</v>
      </c>
      <c r="Z356">
        <v>0</v>
      </c>
      <c r="AA356" t="s">
        <v>764</v>
      </c>
    </row>
    <row r="357" spans="1:27" x14ac:dyDescent="0.25">
      <c r="H357" t="s">
        <v>31</v>
      </c>
    </row>
    <row r="358" spans="1:27" x14ac:dyDescent="0.25">
      <c r="A358">
        <v>176</v>
      </c>
      <c r="B358">
        <v>3251</v>
      </c>
      <c r="C358" t="s">
        <v>765</v>
      </c>
      <c r="D358" t="s">
        <v>766</v>
      </c>
      <c r="E358" t="s">
        <v>85</v>
      </c>
      <c r="F358" t="s">
        <v>767</v>
      </c>
      <c r="G358" t="str">
        <f>"201410002008"</f>
        <v>201410002008</v>
      </c>
      <c r="H358" t="s">
        <v>768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101</v>
      </c>
      <c r="W358">
        <v>588</v>
      </c>
      <c r="Z358">
        <v>0</v>
      </c>
      <c r="AA358" t="s">
        <v>769</v>
      </c>
    </row>
    <row r="359" spans="1:27" x14ac:dyDescent="0.25">
      <c r="H359" t="s">
        <v>38</v>
      </c>
    </row>
    <row r="360" spans="1:27" x14ac:dyDescent="0.25">
      <c r="A360">
        <v>177</v>
      </c>
      <c r="B360">
        <v>12</v>
      </c>
      <c r="C360" t="s">
        <v>770</v>
      </c>
      <c r="D360" t="s">
        <v>41</v>
      </c>
      <c r="E360" t="s">
        <v>771</v>
      </c>
      <c r="F360" t="s">
        <v>772</v>
      </c>
      <c r="G360" t="str">
        <f>"201303000159"</f>
        <v>201303000159</v>
      </c>
      <c r="H360" t="s">
        <v>773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127</v>
      </c>
      <c r="W360">
        <v>588</v>
      </c>
      <c r="Z360">
        <v>0</v>
      </c>
      <c r="AA360" t="s">
        <v>774</v>
      </c>
    </row>
    <row r="361" spans="1:27" x14ac:dyDescent="0.25">
      <c r="H361" t="s">
        <v>38</v>
      </c>
    </row>
    <row r="362" spans="1:27" x14ac:dyDescent="0.25">
      <c r="A362">
        <v>178</v>
      </c>
      <c r="B362">
        <v>1286</v>
      </c>
      <c r="C362" t="s">
        <v>775</v>
      </c>
      <c r="D362" t="s">
        <v>219</v>
      </c>
      <c r="E362" t="s">
        <v>235</v>
      </c>
      <c r="F362" t="s">
        <v>776</v>
      </c>
      <c r="G362" t="str">
        <f>"201504003230"</f>
        <v>201504003230</v>
      </c>
      <c r="H362" t="s">
        <v>773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126</v>
      </c>
      <c r="W362">
        <v>588</v>
      </c>
      <c r="Z362">
        <v>0</v>
      </c>
      <c r="AA362" t="s">
        <v>774</v>
      </c>
    </row>
    <row r="363" spans="1:27" x14ac:dyDescent="0.25">
      <c r="H363" t="s">
        <v>248</v>
      </c>
    </row>
    <row r="364" spans="1:27" x14ac:dyDescent="0.25">
      <c r="A364">
        <v>179</v>
      </c>
      <c r="B364">
        <v>3254</v>
      </c>
      <c r="C364" t="s">
        <v>777</v>
      </c>
      <c r="D364" t="s">
        <v>14</v>
      </c>
      <c r="E364" t="s">
        <v>41</v>
      </c>
      <c r="F364" t="s">
        <v>778</v>
      </c>
      <c r="G364" t="str">
        <f>"201406003558"</f>
        <v>201406003558</v>
      </c>
      <c r="H364" t="s">
        <v>773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96</v>
      </c>
      <c r="W364">
        <v>588</v>
      </c>
      <c r="Z364">
        <v>0</v>
      </c>
      <c r="AA364" t="s">
        <v>774</v>
      </c>
    </row>
    <row r="365" spans="1:27" x14ac:dyDescent="0.25">
      <c r="H365" t="s">
        <v>89</v>
      </c>
    </row>
    <row r="366" spans="1:27" x14ac:dyDescent="0.25">
      <c r="A366">
        <v>180</v>
      </c>
      <c r="B366">
        <v>2976</v>
      </c>
      <c r="C366" t="s">
        <v>779</v>
      </c>
      <c r="D366" t="s">
        <v>194</v>
      </c>
      <c r="E366" t="s">
        <v>41</v>
      </c>
      <c r="F366" t="s">
        <v>780</v>
      </c>
      <c r="G366" t="str">
        <f>"201304001757"</f>
        <v>201304001757</v>
      </c>
      <c r="H366" t="s">
        <v>739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108</v>
      </c>
      <c r="W366">
        <v>588</v>
      </c>
      <c r="Z366">
        <v>0</v>
      </c>
      <c r="AA366" t="s">
        <v>781</v>
      </c>
    </row>
    <row r="367" spans="1:27" x14ac:dyDescent="0.25">
      <c r="H367" t="s">
        <v>357</v>
      </c>
    </row>
    <row r="368" spans="1:27" x14ac:dyDescent="0.25">
      <c r="A368">
        <v>181</v>
      </c>
      <c r="B368">
        <v>1957</v>
      </c>
      <c r="C368" t="s">
        <v>782</v>
      </c>
      <c r="D368" t="s">
        <v>276</v>
      </c>
      <c r="E368" t="s">
        <v>158</v>
      </c>
      <c r="F368" t="s">
        <v>783</v>
      </c>
      <c r="G368" t="str">
        <f>"201304001499"</f>
        <v>201304001499</v>
      </c>
      <c r="H368">
        <v>748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30</v>
      </c>
      <c r="R368">
        <v>0</v>
      </c>
      <c r="S368">
        <v>0</v>
      </c>
      <c r="T368">
        <v>0</v>
      </c>
      <c r="U368">
        <v>0</v>
      </c>
      <c r="V368">
        <v>101</v>
      </c>
      <c r="W368">
        <v>588</v>
      </c>
      <c r="Z368">
        <v>0</v>
      </c>
      <c r="AA368">
        <v>1636</v>
      </c>
    </row>
    <row r="369" spans="1:27" x14ac:dyDescent="0.25">
      <c r="H369" t="s">
        <v>49</v>
      </c>
    </row>
    <row r="370" spans="1:27" x14ac:dyDescent="0.25">
      <c r="A370">
        <v>182</v>
      </c>
      <c r="B370">
        <v>2786</v>
      </c>
      <c r="C370" t="s">
        <v>784</v>
      </c>
      <c r="D370" t="s">
        <v>40</v>
      </c>
      <c r="E370" t="s">
        <v>41</v>
      </c>
      <c r="F370" t="s">
        <v>785</v>
      </c>
      <c r="G370" t="str">
        <f>"201303000884"</f>
        <v>201303000884</v>
      </c>
      <c r="H370" t="s">
        <v>786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65</v>
      </c>
      <c r="W370">
        <v>455</v>
      </c>
      <c r="Z370">
        <v>0</v>
      </c>
      <c r="AA370" t="s">
        <v>787</v>
      </c>
    </row>
    <row r="371" spans="1:27" x14ac:dyDescent="0.25">
      <c r="H371" t="s">
        <v>223</v>
      </c>
    </row>
    <row r="372" spans="1:27" x14ac:dyDescent="0.25">
      <c r="A372">
        <v>183</v>
      </c>
      <c r="B372">
        <v>2971</v>
      </c>
      <c r="C372" t="s">
        <v>788</v>
      </c>
      <c r="D372" t="s">
        <v>41</v>
      </c>
      <c r="E372" t="s">
        <v>85</v>
      </c>
      <c r="F372" t="s">
        <v>789</v>
      </c>
      <c r="G372" t="str">
        <f>"00008926"</f>
        <v>00008926</v>
      </c>
      <c r="H372" t="s">
        <v>197</v>
      </c>
      <c r="I372">
        <v>0</v>
      </c>
      <c r="J372">
        <v>0</v>
      </c>
      <c r="K372">
        <v>0</v>
      </c>
      <c r="L372">
        <v>260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140</v>
      </c>
      <c r="W372">
        <v>588</v>
      </c>
      <c r="Z372">
        <v>1</v>
      </c>
      <c r="AA372" t="s">
        <v>790</v>
      </c>
    </row>
    <row r="373" spans="1:27" x14ac:dyDescent="0.25">
      <c r="H373" t="s">
        <v>223</v>
      </c>
    </row>
    <row r="374" spans="1:27" x14ac:dyDescent="0.25">
      <c r="A374">
        <v>184</v>
      </c>
      <c r="B374">
        <v>1472</v>
      </c>
      <c r="C374" t="s">
        <v>791</v>
      </c>
      <c r="D374" t="s">
        <v>304</v>
      </c>
      <c r="E374" t="s">
        <v>85</v>
      </c>
      <c r="F374" t="s">
        <v>792</v>
      </c>
      <c r="G374" t="str">
        <f>"200801004481"</f>
        <v>200801004481</v>
      </c>
      <c r="H374" t="s">
        <v>793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128</v>
      </c>
      <c r="W374">
        <v>588</v>
      </c>
      <c r="Z374">
        <v>0</v>
      </c>
      <c r="AA374" t="s">
        <v>794</v>
      </c>
    </row>
    <row r="375" spans="1:27" x14ac:dyDescent="0.25">
      <c r="H375" t="s">
        <v>78</v>
      </c>
    </row>
    <row r="376" spans="1:27" x14ac:dyDescent="0.25">
      <c r="A376">
        <v>185</v>
      </c>
      <c r="B376">
        <v>1516</v>
      </c>
      <c r="C376" t="s">
        <v>795</v>
      </c>
      <c r="D376" t="s">
        <v>796</v>
      </c>
      <c r="E376" t="s">
        <v>65</v>
      </c>
      <c r="F376" t="s">
        <v>797</v>
      </c>
      <c r="G376" t="str">
        <f>"200712002719"</f>
        <v>200712002719</v>
      </c>
      <c r="H376" t="s">
        <v>563</v>
      </c>
      <c r="I376">
        <v>0</v>
      </c>
      <c r="J376">
        <v>0</v>
      </c>
      <c r="K376">
        <v>0</v>
      </c>
      <c r="L376">
        <v>0</v>
      </c>
      <c r="M376">
        <v>100</v>
      </c>
      <c r="N376">
        <v>50</v>
      </c>
      <c r="O376">
        <v>0</v>
      </c>
      <c r="P376">
        <v>50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131</v>
      </c>
      <c r="W376">
        <v>588</v>
      </c>
      <c r="Z376">
        <v>0</v>
      </c>
      <c r="AA376" t="s">
        <v>798</v>
      </c>
    </row>
    <row r="377" spans="1:27" x14ac:dyDescent="0.25">
      <c r="H377">
        <v>215</v>
      </c>
    </row>
    <row r="378" spans="1:27" x14ac:dyDescent="0.25">
      <c r="A378">
        <v>186</v>
      </c>
      <c r="B378">
        <v>808</v>
      </c>
      <c r="C378" t="s">
        <v>799</v>
      </c>
      <c r="D378" t="s">
        <v>276</v>
      </c>
      <c r="E378" t="s">
        <v>65</v>
      </c>
      <c r="F378" t="s">
        <v>800</v>
      </c>
      <c r="G378" t="str">
        <f>"201304006091"</f>
        <v>201304006091</v>
      </c>
      <c r="H378" t="s">
        <v>441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30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100</v>
      </c>
      <c r="W378">
        <v>588</v>
      </c>
      <c r="Z378">
        <v>0</v>
      </c>
      <c r="AA378" t="s">
        <v>801</v>
      </c>
    </row>
    <row r="379" spans="1:27" x14ac:dyDescent="0.25">
      <c r="H379" t="s">
        <v>293</v>
      </c>
    </row>
    <row r="380" spans="1:27" x14ac:dyDescent="0.25">
      <c r="A380">
        <v>187</v>
      </c>
      <c r="B380">
        <v>1785</v>
      </c>
      <c r="C380" t="s">
        <v>802</v>
      </c>
      <c r="D380" t="s">
        <v>519</v>
      </c>
      <c r="E380" t="s">
        <v>41</v>
      </c>
      <c r="F380" t="s">
        <v>803</v>
      </c>
      <c r="G380" t="str">
        <f>"201409007115"</f>
        <v>201409007115</v>
      </c>
      <c r="H380" t="s">
        <v>458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114</v>
      </c>
      <c r="W380">
        <v>588</v>
      </c>
      <c r="Z380">
        <v>0</v>
      </c>
      <c r="AA380" t="s">
        <v>804</v>
      </c>
    </row>
    <row r="381" spans="1:27" x14ac:dyDescent="0.25">
      <c r="H381" t="s">
        <v>78</v>
      </c>
    </row>
    <row r="382" spans="1:27" x14ac:dyDescent="0.25">
      <c r="A382">
        <v>188</v>
      </c>
      <c r="B382">
        <v>1305</v>
      </c>
      <c r="C382" t="s">
        <v>805</v>
      </c>
      <c r="D382" t="s">
        <v>194</v>
      </c>
      <c r="E382" t="s">
        <v>158</v>
      </c>
      <c r="F382" t="s">
        <v>806</v>
      </c>
      <c r="G382" t="str">
        <f>"201304006233"</f>
        <v>201304006233</v>
      </c>
      <c r="H382" t="s">
        <v>807</v>
      </c>
      <c r="I382">
        <v>0</v>
      </c>
      <c r="J382">
        <v>0</v>
      </c>
      <c r="K382">
        <v>0</v>
      </c>
      <c r="L382">
        <v>200</v>
      </c>
      <c r="M382">
        <v>30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118</v>
      </c>
      <c r="W382">
        <v>588</v>
      </c>
      <c r="Z382">
        <v>0</v>
      </c>
      <c r="AA382" t="s">
        <v>808</v>
      </c>
    </row>
    <row r="383" spans="1:27" x14ac:dyDescent="0.25">
      <c r="H383">
        <v>213</v>
      </c>
    </row>
    <row r="384" spans="1:27" x14ac:dyDescent="0.25">
      <c r="A384">
        <v>189</v>
      </c>
      <c r="B384">
        <v>3049</v>
      </c>
      <c r="C384" t="s">
        <v>809</v>
      </c>
      <c r="D384" t="s">
        <v>219</v>
      </c>
      <c r="E384" t="s">
        <v>200</v>
      </c>
      <c r="F384" t="s">
        <v>810</v>
      </c>
      <c r="G384" t="str">
        <f>"201304003978"</f>
        <v>201304003978</v>
      </c>
      <c r="H384" t="s">
        <v>811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138</v>
      </c>
      <c r="W384">
        <v>588</v>
      </c>
      <c r="Z384">
        <v>0</v>
      </c>
      <c r="AA384" t="s">
        <v>812</v>
      </c>
    </row>
    <row r="385" spans="1:27" x14ac:dyDescent="0.25">
      <c r="H385" t="s">
        <v>89</v>
      </c>
    </row>
    <row r="386" spans="1:27" x14ac:dyDescent="0.25">
      <c r="A386">
        <v>190</v>
      </c>
      <c r="B386">
        <v>682</v>
      </c>
      <c r="C386" t="s">
        <v>813</v>
      </c>
      <c r="D386" t="s">
        <v>319</v>
      </c>
      <c r="E386" t="s">
        <v>188</v>
      </c>
      <c r="F386" t="s">
        <v>814</v>
      </c>
      <c r="G386" t="str">
        <f>"201304004922"</f>
        <v>201304004922</v>
      </c>
      <c r="H386">
        <v>781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83</v>
      </c>
      <c r="W386">
        <v>581</v>
      </c>
      <c r="Z386">
        <v>0</v>
      </c>
      <c r="AA386">
        <v>1632</v>
      </c>
    </row>
    <row r="387" spans="1:27" x14ac:dyDescent="0.25">
      <c r="H387">
        <v>216</v>
      </c>
    </row>
    <row r="388" spans="1:27" x14ac:dyDescent="0.25">
      <c r="A388">
        <v>191</v>
      </c>
      <c r="B388">
        <v>1096</v>
      </c>
      <c r="C388" t="s">
        <v>815</v>
      </c>
      <c r="D388" t="s">
        <v>816</v>
      </c>
      <c r="E388" t="s">
        <v>64</v>
      </c>
      <c r="F388" t="s">
        <v>817</v>
      </c>
      <c r="G388" t="str">
        <f>"201406013352"</f>
        <v>201406013352</v>
      </c>
      <c r="H388" t="s">
        <v>588</v>
      </c>
      <c r="I388">
        <v>0</v>
      </c>
      <c r="J388">
        <v>400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50</v>
      </c>
      <c r="R388">
        <v>0</v>
      </c>
      <c r="S388">
        <v>0</v>
      </c>
      <c r="T388">
        <v>0</v>
      </c>
      <c r="U388">
        <v>0</v>
      </c>
      <c r="V388">
        <v>18</v>
      </c>
      <c r="W388">
        <v>126</v>
      </c>
      <c r="Z388">
        <v>0</v>
      </c>
      <c r="AA388" t="s">
        <v>818</v>
      </c>
    </row>
    <row r="389" spans="1:27" x14ac:dyDescent="0.25">
      <c r="H389" t="s">
        <v>377</v>
      </c>
    </row>
    <row r="390" spans="1:27" x14ac:dyDescent="0.25">
      <c r="A390">
        <v>192</v>
      </c>
      <c r="B390">
        <v>1110</v>
      </c>
      <c r="C390" t="s">
        <v>819</v>
      </c>
      <c r="D390" t="s">
        <v>51</v>
      </c>
      <c r="E390" t="s">
        <v>188</v>
      </c>
      <c r="F390" t="s">
        <v>820</v>
      </c>
      <c r="G390" t="str">
        <f>"201304000161"</f>
        <v>201304000161</v>
      </c>
      <c r="H390" t="s">
        <v>175</v>
      </c>
      <c r="I390">
        <v>0</v>
      </c>
      <c r="J390">
        <v>0</v>
      </c>
      <c r="K390">
        <v>0</v>
      </c>
      <c r="L390">
        <v>0</v>
      </c>
      <c r="M390">
        <v>100</v>
      </c>
      <c r="N390">
        <v>30</v>
      </c>
      <c r="O390">
        <v>50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83</v>
      </c>
      <c r="W390">
        <v>581</v>
      </c>
      <c r="Z390">
        <v>0</v>
      </c>
      <c r="AA390" t="s">
        <v>821</v>
      </c>
    </row>
    <row r="391" spans="1:27" x14ac:dyDescent="0.25">
      <c r="H391" t="s">
        <v>298</v>
      </c>
    </row>
    <row r="392" spans="1:27" x14ac:dyDescent="0.25">
      <c r="A392">
        <v>193</v>
      </c>
      <c r="B392">
        <v>2578</v>
      </c>
      <c r="C392" t="s">
        <v>822</v>
      </c>
      <c r="D392" t="s">
        <v>219</v>
      </c>
      <c r="E392" t="s">
        <v>14</v>
      </c>
      <c r="F392" t="s">
        <v>823</v>
      </c>
      <c r="G392" t="str">
        <f>"201001000075"</f>
        <v>201001000075</v>
      </c>
      <c r="H392" t="s">
        <v>824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30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81</v>
      </c>
      <c r="W392">
        <v>567</v>
      </c>
      <c r="Z392">
        <v>0</v>
      </c>
      <c r="AA392" t="s">
        <v>825</v>
      </c>
    </row>
    <row r="393" spans="1:27" x14ac:dyDescent="0.25">
      <c r="H393" t="s">
        <v>31</v>
      </c>
    </row>
    <row r="394" spans="1:27" x14ac:dyDescent="0.25">
      <c r="A394">
        <v>194</v>
      </c>
      <c r="B394">
        <v>1259</v>
      </c>
      <c r="C394" t="s">
        <v>826</v>
      </c>
      <c r="D394" t="s">
        <v>573</v>
      </c>
      <c r="E394" t="s">
        <v>235</v>
      </c>
      <c r="F394" t="s">
        <v>827</v>
      </c>
      <c r="G394" t="str">
        <f>"200801003421"</f>
        <v>200801003421</v>
      </c>
      <c r="H394">
        <v>748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30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83</v>
      </c>
      <c r="W394">
        <v>581</v>
      </c>
      <c r="Z394">
        <v>0</v>
      </c>
      <c r="AA394">
        <v>1629</v>
      </c>
    </row>
    <row r="395" spans="1:27" x14ac:dyDescent="0.25">
      <c r="H395" t="s">
        <v>38</v>
      </c>
    </row>
    <row r="396" spans="1:27" x14ac:dyDescent="0.25">
      <c r="A396">
        <v>195</v>
      </c>
      <c r="B396">
        <v>2893</v>
      </c>
      <c r="C396" t="s">
        <v>828</v>
      </c>
      <c r="D396" t="s">
        <v>158</v>
      </c>
      <c r="E396" t="s">
        <v>64</v>
      </c>
      <c r="F396" t="s">
        <v>829</v>
      </c>
      <c r="G396" t="str">
        <f>"00014494"</f>
        <v>00014494</v>
      </c>
      <c r="H396">
        <v>770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160</v>
      </c>
      <c r="W396">
        <v>588</v>
      </c>
      <c r="Z396">
        <v>0</v>
      </c>
      <c r="AA396">
        <v>1628</v>
      </c>
    </row>
    <row r="397" spans="1:27" x14ac:dyDescent="0.25">
      <c r="H397" t="s">
        <v>248</v>
      </c>
    </row>
    <row r="398" spans="1:27" x14ac:dyDescent="0.25">
      <c r="A398">
        <v>196</v>
      </c>
      <c r="B398">
        <v>2597</v>
      </c>
      <c r="C398" t="s">
        <v>830</v>
      </c>
      <c r="D398" t="s">
        <v>831</v>
      </c>
      <c r="E398" t="s">
        <v>158</v>
      </c>
      <c r="F398" t="s">
        <v>832</v>
      </c>
      <c r="G398" t="str">
        <f>"00010995"</f>
        <v>00010995</v>
      </c>
      <c r="H398">
        <v>770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111</v>
      </c>
      <c r="W398">
        <v>588</v>
      </c>
      <c r="Z398">
        <v>0</v>
      </c>
      <c r="AA398">
        <v>1628</v>
      </c>
    </row>
    <row r="399" spans="1:27" x14ac:dyDescent="0.25">
      <c r="H399" t="s">
        <v>19</v>
      </c>
    </row>
    <row r="400" spans="1:27" x14ac:dyDescent="0.25">
      <c r="A400">
        <v>197</v>
      </c>
      <c r="B400">
        <v>919</v>
      </c>
      <c r="C400" t="s">
        <v>833</v>
      </c>
      <c r="D400" t="s">
        <v>194</v>
      </c>
      <c r="E400" t="s">
        <v>304</v>
      </c>
      <c r="F400" t="s">
        <v>834</v>
      </c>
      <c r="G400" t="str">
        <f>"00013948"</f>
        <v>00013948</v>
      </c>
      <c r="H400">
        <v>770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85</v>
      </c>
      <c r="W400">
        <v>588</v>
      </c>
      <c r="Z400">
        <v>0</v>
      </c>
      <c r="AA400">
        <v>1628</v>
      </c>
    </row>
    <row r="401" spans="1:27" x14ac:dyDescent="0.25">
      <c r="H401" t="s">
        <v>31</v>
      </c>
    </row>
    <row r="402" spans="1:27" x14ac:dyDescent="0.25">
      <c r="A402">
        <v>198</v>
      </c>
      <c r="B402">
        <v>3234</v>
      </c>
      <c r="C402" t="s">
        <v>27</v>
      </c>
      <c r="D402" t="s">
        <v>129</v>
      </c>
      <c r="E402" t="s">
        <v>108</v>
      </c>
      <c r="F402" t="s">
        <v>835</v>
      </c>
      <c r="G402" t="str">
        <f>"00014276"</f>
        <v>00014276</v>
      </c>
      <c r="H402" t="s">
        <v>836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111</v>
      </c>
      <c r="W402">
        <v>588</v>
      </c>
      <c r="Z402">
        <v>2</v>
      </c>
      <c r="AA402" t="s">
        <v>837</v>
      </c>
    </row>
    <row r="403" spans="1:27" x14ac:dyDescent="0.25">
      <c r="H403" t="s">
        <v>38</v>
      </c>
    </row>
    <row r="404" spans="1:27" x14ac:dyDescent="0.25">
      <c r="A404">
        <v>199</v>
      </c>
      <c r="B404">
        <v>3139</v>
      </c>
      <c r="C404" t="s">
        <v>838</v>
      </c>
      <c r="D404" t="s">
        <v>538</v>
      </c>
      <c r="E404" t="s">
        <v>85</v>
      </c>
      <c r="F404" t="s">
        <v>839</v>
      </c>
      <c r="G404" t="str">
        <f>"201411001224"</f>
        <v>201411001224</v>
      </c>
      <c r="H404" t="s">
        <v>840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50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159</v>
      </c>
      <c r="W404">
        <v>588</v>
      </c>
      <c r="Z404">
        <v>2</v>
      </c>
      <c r="AA404" t="s">
        <v>841</v>
      </c>
    </row>
    <row r="405" spans="1:27" x14ac:dyDescent="0.25">
      <c r="H405">
        <v>213</v>
      </c>
    </row>
    <row r="406" spans="1:27" x14ac:dyDescent="0.25">
      <c r="A406">
        <v>200</v>
      </c>
      <c r="B406">
        <v>3310</v>
      </c>
      <c r="C406" t="s">
        <v>64</v>
      </c>
      <c r="D406" t="s">
        <v>842</v>
      </c>
      <c r="E406" t="s">
        <v>65</v>
      </c>
      <c r="F406" t="s">
        <v>843</v>
      </c>
      <c r="G406" t="str">
        <f>"201410001770"</f>
        <v>201410001770</v>
      </c>
      <c r="H406" t="s">
        <v>844</v>
      </c>
      <c r="I406">
        <v>0</v>
      </c>
      <c r="J406">
        <v>0</v>
      </c>
      <c r="K406">
        <v>0</v>
      </c>
      <c r="L406">
        <v>260</v>
      </c>
      <c r="M406">
        <v>0</v>
      </c>
      <c r="N406">
        <v>70</v>
      </c>
      <c r="O406">
        <v>0</v>
      </c>
      <c r="P406">
        <v>50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76</v>
      </c>
      <c r="W406">
        <v>532</v>
      </c>
      <c r="Z406">
        <v>0</v>
      </c>
      <c r="AA406" t="s">
        <v>845</v>
      </c>
    </row>
    <row r="407" spans="1:27" x14ac:dyDescent="0.25">
      <c r="H407">
        <v>216</v>
      </c>
    </row>
    <row r="408" spans="1:27" x14ac:dyDescent="0.25">
      <c r="A408">
        <v>201</v>
      </c>
      <c r="B408">
        <v>2193</v>
      </c>
      <c r="C408" t="s">
        <v>846</v>
      </c>
      <c r="D408" t="s">
        <v>847</v>
      </c>
      <c r="E408" t="s">
        <v>848</v>
      </c>
      <c r="F408" t="s">
        <v>849</v>
      </c>
      <c r="G408" t="str">
        <f>"00003172"</f>
        <v>00003172</v>
      </c>
      <c r="H408" t="s">
        <v>419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186</v>
      </c>
      <c r="W408">
        <v>588</v>
      </c>
      <c r="Z408">
        <v>0</v>
      </c>
      <c r="AA408" t="s">
        <v>850</v>
      </c>
    </row>
    <row r="409" spans="1:27" x14ac:dyDescent="0.25">
      <c r="H409" t="s">
        <v>223</v>
      </c>
    </row>
    <row r="410" spans="1:27" x14ac:dyDescent="0.25">
      <c r="A410">
        <v>202</v>
      </c>
      <c r="B410">
        <v>3207</v>
      </c>
      <c r="C410" t="s">
        <v>851</v>
      </c>
      <c r="D410" t="s">
        <v>58</v>
      </c>
      <c r="E410" t="s">
        <v>85</v>
      </c>
      <c r="F410" t="s">
        <v>852</v>
      </c>
      <c r="G410" t="str">
        <f>"201304000347"</f>
        <v>201304000347</v>
      </c>
      <c r="H410" t="s">
        <v>636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30</v>
      </c>
      <c r="O410">
        <v>30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101</v>
      </c>
      <c r="W410">
        <v>588</v>
      </c>
      <c r="Z410">
        <v>0</v>
      </c>
      <c r="AA410" t="s">
        <v>853</v>
      </c>
    </row>
    <row r="411" spans="1:27" x14ac:dyDescent="0.25">
      <c r="H411" t="s">
        <v>854</v>
      </c>
    </row>
    <row r="412" spans="1:27" x14ac:dyDescent="0.25">
      <c r="A412">
        <v>203</v>
      </c>
      <c r="B412">
        <v>2368</v>
      </c>
      <c r="C412" t="s">
        <v>855</v>
      </c>
      <c r="D412" t="s">
        <v>519</v>
      </c>
      <c r="E412" t="s">
        <v>284</v>
      </c>
      <c r="F412" t="s">
        <v>856</v>
      </c>
      <c r="G412" t="str">
        <f>"00012789"</f>
        <v>00012789</v>
      </c>
      <c r="H412" t="s">
        <v>453</v>
      </c>
      <c r="I412">
        <v>0</v>
      </c>
      <c r="J412">
        <v>0</v>
      </c>
      <c r="K412">
        <v>0</v>
      </c>
      <c r="L412">
        <v>200</v>
      </c>
      <c r="M412">
        <v>30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238</v>
      </c>
      <c r="W412">
        <v>588</v>
      </c>
      <c r="Z412">
        <v>0</v>
      </c>
      <c r="AA412" t="s">
        <v>857</v>
      </c>
    </row>
    <row r="413" spans="1:27" x14ac:dyDescent="0.25">
      <c r="H413" t="s">
        <v>858</v>
      </c>
    </row>
    <row r="414" spans="1:27" x14ac:dyDescent="0.25">
      <c r="A414">
        <v>204</v>
      </c>
      <c r="B414">
        <v>1047</v>
      </c>
      <c r="C414" t="s">
        <v>859</v>
      </c>
      <c r="D414" t="s">
        <v>474</v>
      </c>
      <c r="E414" t="s">
        <v>235</v>
      </c>
      <c r="F414" t="s">
        <v>860</v>
      </c>
      <c r="G414" t="str">
        <f>"201304000403"</f>
        <v>201304000403</v>
      </c>
      <c r="H414" t="s">
        <v>861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106</v>
      </c>
      <c r="W414">
        <v>588</v>
      </c>
      <c r="Z414">
        <v>0</v>
      </c>
      <c r="AA414" t="s">
        <v>862</v>
      </c>
    </row>
    <row r="415" spans="1:27" x14ac:dyDescent="0.25">
      <c r="H415" t="s">
        <v>49</v>
      </c>
    </row>
    <row r="416" spans="1:27" x14ac:dyDescent="0.25">
      <c r="A416">
        <v>205</v>
      </c>
      <c r="B416">
        <v>3356</v>
      </c>
      <c r="C416" t="s">
        <v>863</v>
      </c>
      <c r="D416" t="s">
        <v>33</v>
      </c>
      <c r="E416" t="s">
        <v>533</v>
      </c>
      <c r="F416" t="s">
        <v>864</v>
      </c>
      <c r="G416" t="str">
        <f>"201504002484"</f>
        <v>201504002484</v>
      </c>
      <c r="H416">
        <v>715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50</v>
      </c>
      <c r="R416">
        <v>0</v>
      </c>
      <c r="S416">
        <v>0</v>
      </c>
      <c r="T416">
        <v>0</v>
      </c>
      <c r="U416">
        <v>0</v>
      </c>
      <c r="V416">
        <v>130</v>
      </c>
      <c r="W416">
        <v>588</v>
      </c>
      <c r="Z416">
        <v>2</v>
      </c>
      <c r="AA416">
        <v>1623</v>
      </c>
    </row>
    <row r="417" spans="1:27" x14ac:dyDescent="0.25">
      <c r="H417" t="s">
        <v>38</v>
      </c>
    </row>
    <row r="418" spans="1:27" x14ac:dyDescent="0.25">
      <c r="A418">
        <v>206</v>
      </c>
      <c r="B418">
        <v>783</v>
      </c>
      <c r="C418" t="s">
        <v>865</v>
      </c>
      <c r="D418" t="s">
        <v>866</v>
      </c>
      <c r="E418" t="s">
        <v>401</v>
      </c>
      <c r="F418" t="s">
        <v>867</v>
      </c>
      <c r="G418" t="str">
        <f>"201304000729"</f>
        <v>201304000729</v>
      </c>
      <c r="H418" t="s">
        <v>227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30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65</v>
      </c>
      <c r="W418">
        <v>455</v>
      </c>
      <c r="Z418">
        <v>0</v>
      </c>
      <c r="AA418" t="s">
        <v>868</v>
      </c>
    </row>
    <row r="419" spans="1:27" x14ac:dyDescent="0.25">
      <c r="H419">
        <v>215</v>
      </c>
    </row>
    <row r="420" spans="1:27" x14ac:dyDescent="0.25">
      <c r="A420">
        <v>207</v>
      </c>
      <c r="B420">
        <v>3038</v>
      </c>
      <c r="C420" t="s">
        <v>869</v>
      </c>
      <c r="D420" t="s">
        <v>41</v>
      </c>
      <c r="E420" t="s">
        <v>870</v>
      </c>
      <c r="F420" t="s">
        <v>871</v>
      </c>
      <c r="G420" t="str">
        <f>"200802008079"</f>
        <v>200802008079</v>
      </c>
      <c r="H420" t="s">
        <v>872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195</v>
      </c>
      <c r="W420">
        <v>588</v>
      </c>
      <c r="Z420">
        <v>0</v>
      </c>
      <c r="AA420" t="s">
        <v>873</v>
      </c>
    </row>
    <row r="421" spans="1:27" x14ac:dyDescent="0.25">
      <c r="H421" t="s">
        <v>223</v>
      </c>
    </row>
    <row r="422" spans="1:27" x14ac:dyDescent="0.25">
      <c r="A422">
        <v>208</v>
      </c>
      <c r="B422">
        <v>3080</v>
      </c>
      <c r="C422" t="s">
        <v>874</v>
      </c>
      <c r="D422" t="s">
        <v>319</v>
      </c>
      <c r="E422" t="s">
        <v>875</v>
      </c>
      <c r="F422" t="s">
        <v>876</v>
      </c>
      <c r="G422" t="str">
        <f>"200712005625"</f>
        <v>200712005625</v>
      </c>
      <c r="H422" t="s">
        <v>824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93</v>
      </c>
      <c r="W422">
        <v>588</v>
      </c>
      <c r="Z422">
        <v>0</v>
      </c>
      <c r="AA422" t="s">
        <v>877</v>
      </c>
    </row>
    <row r="423" spans="1:27" x14ac:dyDescent="0.25">
      <c r="H423" t="s">
        <v>729</v>
      </c>
    </row>
    <row r="424" spans="1:27" x14ac:dyDescent="0.25">
      <c r="A424">
        <v>209</v>
      </c>
      <c r="B424">
        <v>2163</v>
      </c>
      <c r="C424" t="s">
        <v>878</v>
      </c>
      <c r="D424" t="s">
        <v>309</v>
      </c>
      <c r="E424" t="s">
        <v>879</v>
      </c>
      <c r="F424" t="s">
        <v>880</v>
      </c>
      <c r="G424" t="str">
        <f>"200801011544"</f>
        <v>200801011544</v>
      </c>
      <c r="H424" t="s">
        <v>824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96</v>
      </c>
      <c r="W424">
        <v>588</v>
      </c>
      <c r="Z424">
        <v>0</v>
      </c>
      <c r="AA424" t="s">
        <v>877</v>
      </c>
    </row>
    <row r="425" spans="1:27" x14ac:dyDescent="0.25">
      <c r="H425" t="s">
        <v>248</v>
      </c>
    </row>
    <row r="426" spans="1:27" x14ac:dyDescent="0.25">
      <c r="A426">
        <v>210</v>
      </c>
      <c r="B426">
        <v>1086</v>
      </c>
      <c r="C426" t="s">
        <v>881</v>
      </c>
      <c r="D426" t="s">
        <v>219</v>
      </c>
      <c r="E426" t="s">
        <v>882</v>
      </c>
      <c r="F426" t="s">
        <v>883</v>
      </c>
      <c r="G426" t="str">
        <f>"201602000364"</f>
        <v>201602000364</v>
      </c>
      <c r="H426" t="s">
        <v>446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118</v>
      </c>
      <c r="W426">
        <v>588</v>
      </c>
      <c r="Z426">
        <v>0</v>
      </c>
      <c r="AA426" t="s">
        <v>884</v>
      </c>
    </row>
    <row r="427" spans="1:27" x14ac:dyDescent="0.25">
      <c r="H427" t="s">
        <v>885</v>
      </c>
    </row>
    <row r="428" spans="1:27" x14ac:dyDescent="0.25">
      <c r="A428">
        <v>211</v>
      </c>
      <c r="B428">
        <v>3366</v>
      </c>
      <c r="C428" t="s">
        <v>886</v>
      </c>
      <c r="D428" t="s">
        <v>108</v>
      </c>
      <c r="E428" t="s">
        <v>41</v>
      </c>
      <c r="F428" t="s">
        <v>887</v>
      </c>
      <c r="G428" t="str">
        <f>"201304000947"</f>
        <v>201304000947</v>
      </c>
      <c r="H428" t="s">
        <v>179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70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66</v>
      </c>
      <c r="W428">
        <v>462</v>
      </c>
      <c r="Z428">
        <v>0</v>
      </c>
      <c r="AA428" t="s">
        <v>888</v>
      </c>
    </row>
    <row r="429" spans="1:27" x14ac:dyDescent="0.25">
      <c r="H429" t="s">
        <v>889</v>
      </c>
    </row>
    <row r="430" spans="1:27" x14ac:dyDescent="0.25">
      <c r="A430">
        <v>212</v>
      </c>
      <c r="B430">
        <v>1461</v>
      </c>
      <c r="C430" t="s">
        <v>890</v>
      </c>
      <c r="D430" t="s">
        <v>891</v>
      </c>
      <c r="E430" t="s">
        <v>108</v>
      </c>
      <c r="F430" t="s">
        <v>892</v>
      </c>
      <c r="G430" t="str">
        <f>"201304005020"</f>
        <v>201304005020</v>
      </c>
      <c r="H430" t="s">
        <v>893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50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79</v>
      </c>
      <c r="W430">
        <v>553</v>
      </c>
      <c r="Z430">
        <v>0</v>
      </c>
      <c r="AA430" t="s">
        <v>894</v>
      </c>
    </row>
    <row r="431" spans="1:27" x14ac:dyDescent="0.25">
      <c r="H431" t="s">
        <v>49</v>
      </c>
    </row>
    <row r="432" spans="1:27" x14ac:dyDescent="0.25">
      <c r="A432">
        <v>213</v>
      </c>
      <c r="B432">
        <v>286</v>
      </c>
      <c r="C432" t="s">
        <v>895</v>
      </c>
      <c r="D432" t="s">
        <v>33</v>
      </c>
      <c r="E432" t="s">
        <v>85</v>
      </c>
      <c r="F432" t="s">
        <v>896</v>
      </c>
      <c r="G432" t="str">
        <f>"200810000652"</f>
        <v>200810000652</v>
      </c>
      <c r="H432" t="s">
        <v>897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95</v>
      </c>
      <c r="W432">
        <v>588</v>
      </c>
      <c r="Z432">
        <v>0</v>
      </c>
      <c r="AA432" t="s">
        <v>894</v>
      </c>
    </row>
    <row r="433" spans="1:27" x14ac:dyDescent="0.25">
      <c r="H433" t="s">
        <v>898</v>
      </c>
    </row>
    <row r="434" spans="1:27" x14ac:dyDescent="0.25">
      <c r="A434">
        <v>214</v>
      </c>
      <c r="B434">
        <v>1299</v>
      </c>
      <c r="C434" t="s">
        <v>899</v>
      </c>
      <c r="D434" t="s">
        <v>41</v>
      </c>
      <c r="E434" t="s">
        <v>158</v>
      </c>
      <c r="F434" t="s">
        <v>900</v>
      </c>
      <c r="G434" t="str">
        <f>"201402007844"</f>
        <v>201402007844</v>
      </c>
      <c r="H434">
        <v>770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30</v>
      </c>
      <c r="O434">
        <v>0</v>
      </c>
      <c r="P434">
        <v>30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102</v>
      </c>
      <c r="W434">
        <v>588</v>
      </c>
      <c r="Z434">
        <v>0</v>
      </c>
      <c r="AA434">
        <v>1618</v>
      </c>
    </row>
    <row r="435" spans="1:27" x14ac:dyDescent="0.25">
      <c r="H435" t="s">
        <v>31</v>
      </c>
    </row>
    <row r="436" spans="1:27" x14ac:dyDescent="0.25">
      <c r="A436">
        <v>215</v>
      </c>
      <c r="B436">
        <v>418</v>
      </c>
      <c r="C436" t="s">
        <v>901</v>
      </c>
      <c r="D436" t="s">
        <v>353</v>
      </c>
      <c r="E436" t="s">
        <v>225</v>
      </c>
      <c r="F436" t="s">
        <v>902</v>
      </c>
      <c r="G436" t="str">
        <f>"201401000612"</f>
        <v>201401000612</v>
      </c>
      <c r="H436" t="s">
        <v>434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30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74</v>
      </c>
      <c r="W436">
        <v>518</v>
      </c>
      <c r="Z436">
        <v>0</v>
      </c>
      <c r="AA436" t="s">
        <v>903</v>
      </c>
    </row>
    <row r="437" spans="1:27" x14ac:dyDescent="0.25">
      <c r="H437" t="s">
        <v>904</v>
      </c>
    </row>
    <row r="438" spans="1:27" x14ac:dyDescent="0.25">
      <c r="A438">
        <v>216</v>
      </c>
      <c r="B438">
        <v>667</v>
      </c>
      <c r="C438" t="s">
        <v>905</v>
      </c>
      <c r="D438" t="s">
        <v>58</v>
      </c>
      <c r="E438" t="s">
        <v>41</v>
      </c>
      <c r="F438" t="s">
        <v>906</v>
      </c>
      <c r="G438" t="str">
        <f>"201304006301"</f>
        <v>201304006301</v>
      </c>
      <c r="H438" t="s">
        <v>824</v>
      </c>
      <c r="I438">
        <v>0</v>
      </c>
      <c r="J438">
        <v>0</v>
      </c>
      <c r="K438">
        <v>0</v>
      </c>
      <c r="L438">
        <v>200</v>
      </c>
      <c r="M438">
        <v>30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79</v>
      </c>
      <c r="W438">
        <v>553</v>
      </c>
      <c r="Z438">
        <v>0</v>
      </c>
      <c r="AA438" t="s">
        <v>907</v>
      </c>
    </row>
    <row r="439" spans="1:27" x14ac:dyDescent="0.25">
      <c r="H439" t="s">
        <v>237</v>
      </c>
    </row>
    <row r="440" spans="1:27" x14ac:dyDescent="0.25">
      <c r="A440">
        <v>217</v>
      </c>
      <c r="B440">
        <v>658</v>
      </c>
      <c r="C440" t="s">
        <v>908</v>
      </c>
      <c r="D440" t="s">
        <v>909</v>
      </c>
      <c r="E440" t="s">
        <v>41</v>
      </c>
      <c r="F440" t="s">
        <v>910</v>
      </c>
      <c r="G440" t="str">
        <f>"200712001207"</f>
        <v>200712001207</v>
      </c>
      <c r="H440" t="s">
        <v>47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181</v>
      </c>
      <c r="W440">
        <v>588</v>
      </c>
      <c r="Z440">
        <v>0</v>
      </c>
      <c r="AA440" t="s">
        <v>911</v>
      </c>
    </row>
    <row r="441" spans="1:27" x14ac:dyDescent="0.25">
      <c r="H441" t="s">
        <v>112</v>
      </c>
    </row>
    <row r="442" spans="1:27" x14ac:dyDescent="0.25">
      <c r="A442">
        <v>218</v>
      </c>
      <c r="B442">
        <v>3185</v>
      </c>
      <c r="C442" t="s">
        <v>912</v>
      </c>
      <c r="D442" t="s">
        <v>913</v>
      </c>
      <c r="E442" t="s">
        <v>235</v>
      </c>
      <c r="F442" t="s">
        <v>914</v>
      </c>
      <c r="G442" t="str">
        <f>"201304001168"</f>
        <v>201304001168</v>
      </c>
      <c r="H442" t="s">
        <v>915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50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82</v>
      </c>
      <c r="W442">
        <v>574</v>
      </c>
      <c r="Z442">
        <v>2</v>
      </c>
      <c r="AA442" t="s">
        <v>916</v>
      </c>
    </row>
    <row r="443" spans="1:27" x14ac:dyDescent="0.25">
      <c r="H443" t="s">
        <v>31</v>
      </c>
    </row>
    <row r="444" spans="1:27" x14ac:dyDescent="0.25">
      <c r="A444">
        <v>219</v>
      </c>
      <c r="B444">
        <v>1827</v>
      </c>
      <c r="C444" t="s">
        <v>917</v>
      </c>
      <c r="D444" t="s">
        <v>879</v>
      </c>
      <c r="E444" t="s">
        <v>70</v>
      </c>
      <c r="F444" t="s">
        <v>918</v>
      </c>
      <c r="G444" t="str">
        <f>"201304004657"</f>
        <v>201304004657</v>
      </c>
      <c r="H444" t="s">
        <v>197</v>
      </c>
      <c r="I444">
        <v>0</v>
      </c>
      <c r="J444">
        <v>0</v>
      </c>
      <c r="K444">
        <v>0</v>
      </c>
      <c r="L444">
        <v>260</v>
      </c>
      <c r="M444">
        <v>0</v>
      </c>
      <c r="N444">
        <v>50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116</v>
      </c>
      <c r="W444">
        <v>588</v>
      </c>
      <c r="Z444">
        <v>0</v>
      </c>
      <c r="AA444" t="s">
        <v>919</v>
      </c>
    </row>
    <row r="445" spans="1:27" x14ac:dyDescent="0.25">
      <c r="H445" t="s">
        <v>223</v>
      </c>
    </row>
    <row r="446" spans="1:27" x14ac:dyDescent="0.25">
      <c r="A446">
        <v>220</v>
      </c>
      <c r="B446">
        <v>1341</v>
      </c>
      <c r="C446" t="s">
        <v>920</v>
      </c>
      <c r="D446" t="s">
        <v>235</v>
      </c>
      <c r="E446" t="s">
        <v>64</v>
      </c>
      <c r="F446" t="s">
        <v>921</v>
      </c>
      <c r="G446" t="str">
        <f>"201304003887"</f>
        <v>201304003887</v>
      </c>
      <c r="H446" t="s">
        <v>636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96</v>
      </c>
      <c r="W446">
        <v>588</v>
      </c>
      <c r="Z446">
        <v>0</v>
      </c>
      <c r="AA446" t="s">
        <v>922</v>
      </c>
    </row>
    <row r="447" spans="1:27" x14ac:dyDescent="0.25">
      <c r="H447" t="s">
        <v>38</v>
      </c>
    </row>
    <row r="448" spans="1:27" x14ac:dyDescent="0.25">
      <c r="A448">
        <v>221</v>
      </c>
      <c r="B448">
        <v>3279</v>
      </c>
      <c r="C448" t="s">
        <v>923</v>
      </c>
      <c r="D448" t="s">
        <v>151</v>
      </c>
      <c r="E448" t="s">
        <v>64</v>
      </c>
      <c r="F448" t="s">
        <v>924</v>
      </c>
      <c r="G448" t="str">
        <f>"200904000100"</f>
        <v>200904000100</v>
      </c>
      <c r="H448" t="s">
        <v>301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Z448">
        <v>0</v>
      </c>
      <c r="AA448" t="s">
        <v>925</v>
      </c>
    </row>
    <row r="449" spans="1:27" x14ac:dyDescent="0.25">
      <c r="H449" t="s">
        <v>926</v>
      </c>
    </row>
    <row r="450" spans="1:27" x14ac:dyDescent="0.25">
      <c r="A450">
        <v>222</v>
      </c>
      <c r="B450">
        <v>2124</v>
      </c>
      <c r="C450" t="s">
        <v>927</v>
      </c>
      <c r="D450" t="s">
        <v>928</v>
      </c>
      <c r="E450" t="s">
        <v>284</v>
      </c>
      <c r="F450" t="s">
        <v>929</v>
      </c>
      <c r="G450" t="str">
        <f>"201304001020"</f>
        <v>201304001020</v>
      </c>
      <c r="H450" t="s">
        <v>930</v>
      </c>
      <c r="I450">
        <v>0</v>
      </c>
      <c r="J450">
        <v>0</v>
      </c>
      <c r="K450">
        <v>0</v>
      </c>
      <c r="L450">
        <v>200</v>
      </c>
      <c r="M450">
        <v>30</v>
      </c>
      <c r="N450">
        <v>70</v>
      </c>
      <c r="O450">
        <v>0</v>
      </c>
      <c r="P450">
        <v>0</v>
      </c>
      <c r="Q450">
        <v>30</v>
      </c>
      <c r="R450">
        <v>0</v>
      </c>
      <c r="S450">
        <v>0</v>
      </c>
      <c r="T450">
        <v>0</v>
      </c>
      <c r="U450">
        <v>0</v>
      </c>
      <c r="V450">
        <v>113</v>
      </c>
      <c r="W450">
        <v>588</v>
      </c>
      <c r="Z450">
        <v>0</v>
      </c>
      <c r="AA450" t="s">
        <v>931</v>
      </c>
    </row>
    <row r="451" spans="1:27" x14ac:dyDescent="0.25">
      <c r="H451" t="s">
        <v>898</v>
      </c>
    </row>
    <row r="452" spans="1:27" x14ac:dyDescent="0.25">
      <c r="A452">
        <v>223</v>
      </c>
      <c r="B452">
        <v>2333</v>
      </c>
      <c r="C452" t="s">
        <v>932</v>
      </c>
      <c r="D452" t="s">
        <v>235</v>
      </c>
      <c r="E452" t="s">
        <v>123</v>
      </c>
      <c r="F452" t="s">
        <v>933</v>
      </c>
      <c r="G452" t="str">
        <f>"201504005480"</f>
        <v>201504005480</v>
      </c>
      <c r="H452" t="s">
        <v>269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93</v>
      </c>
      <c r="W452">
        <v>588</v>
      </c>
      <c r="Z452">
        <v>0</v>
      </c>
      <c r="AA452" t="s">
        <v>934</v>
      </c>
    </row>
    <row r="453" spans="1:27" x14ac:dyDescent="0.25">
      <c r="H453" t="s">
        <v>854</v>
      </c>
    </row>
    <row r="454" spans="1:27" x14ac:dyDescent="0.25">
      <c r="A454">
        <v>224</v>
      </c>
      <c r="B454">
        <v>379</v>
      </c>
      <c r="C454" t="s">
        <v>935</v>
      </c>
      <c r="D454" t="s">
        <v>114</v>
      </c>
      <c r="E454" t="s">
        <v>64</v>
      </c>
      <c r="F454" t="s">
        <v>936</v>
      </c>
      <c r="G454" t="str">
        <f>"201405002214"</f>
        <v>201405002214</v>
      </c>
      <c r="H454" t="s">
        <v>215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50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Z454">
        <v>0</v>
      </c>
      <c r="AA454" t="s">
        <v>937</v>
      </c>
    </row>
    <row r="455" spans="1:27" x14ac:dyDescent="0.25">
      <c r="H455" t="s">
        <v>938</v>
      </c>
    </row>
    <row r="456" spans="1:27" x14ac:dyDescent="0.25">
      <c r="A456">
        <v>225</v>
      </c>
      <c r="B456">
        <v>480</v>
      </c>
      <c r="C456" t="s">
        <v>939</v>
      </c>
      <c r="D456" t="s">
        <v>200</v>
      </c>
      <c r="E456" t="s">
        <v>158</v>
      </c>
      <c r="F456" t="s">
        <v>940</v>
      </c>
      <c r="G456" t="str">
        <f>"00015211"</f>
        <v>00015211</v>
      </c>
      <c r="H456">
        <v>880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70</v>
      </c>
      <c r="R456">
        <v>0</v>
      </c>
      <c r="S456">
        <v>0</v>
      </c>
      <c r="T456">
        <v>0</v>
      </c>
      <c r="U456">
        <v>0</v>
      </c>
      <c r="V456">
        <v>196</v>
      </c>
      <c r="W456">
        <v>588</v>
      </c>
      <c r="Z456">
        <v>0</v>
      </c>
      <c r="AA456">
        <v>1608</v>
      </c>
    </row>
    <row r="457" spans="1:27" x14ac:dyDescent="0.25">
      <c r="H457">
        <v>216</v>
      </c>
    </row>
    <row r="458" spans="1:27" x14ac:dyDescent="0.25">
      <c r="A458">
        <v>226</v>
      </c>
      <c r="B458">
        <v>1473</v>
      </c>
      <c r="C458" t="s">
        <v>941</v>
      </c>
      <c r="D458" t="s">
        <v>168</v>
      </c>
      <c r="E458" t="s">
        <v>41</v>
      </c>
      <c r="F458" t="s">
        <v>942</v>
      </c>
      <c r="G458" t="str">
        <f>"201406012546"</f>
        <v>201406012546</v>
      </c>
      <c r="H458">
        <v>770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50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139</v>
      </c>
      <c r="W458">
        <v>588</v>
      </c>
      <c r="Z458">
        <v>0</v>
      </c>
      <c r="AA458">
        <v>1608</v>
      </c>
    </row>
    <row r="459" spans="1:27" x14ac:dyDescent="0.25">
      <c r="H459" t="s">
        <v>31</v>
      </c>
    </row>
    <row r="460" spans="1:27" x14ac:dyDescent="0.25">
      <c r="A460">
        <v>227</v>
      </c>
      <c r="B460">
        <v>956</v>
      </c>
      <c r="C460" t="s">
        <v>943</v>
      </c>
      <c r="D460" t="s">
        <v>944</v>
      </c>
      <c r="E460" t="s">
        <v>64</v>
      </c>
      <c r="F460" t="s">
        <v>945</v>
      </c>
      <c r="G460" t="str">
        <f>"200802004818"</f>
        <v>200802004818</v>
      </c>
      <c r="H460" t="s">
        <v>946</v>
      </c>
      <c r="I460">
        <v>0</v>
      </c>
      <c r="J460">
        <v>0</v>
      </c>
      <c r="K460">
        <v>0</v>
      </c>
      <c r="L460">
        <v>260</v>
      </c>
      <c r="M460">
        <v>0</v>
      </c>
      <c r="N460">
        <v>70</v>
      </c>
      <c r="O460">
        <v>0</v>
      </c>
      <c r="P460">
        <v>0</v>
      </c>
      <c r="Q460">
        <v>30</v>
      </c>
      <c r="R460">
        <v>0</v>
      </c>
      <c r="S460">
        <v>0</v>
      </c>
      <c r="T460">
        <v>0</v>
      </c>
      <c r="U460">
        <v>0</v>
      </c>
      <c r="V460">
        <v>78</v>
      </c>
      <c r="W460">
        <v>546</v>
      </c>
      <c r="Z460">
        <v>0</v>
      </c>
      <c r="AA460" t="s">
        <v>947</v>
      </c>
    </row>
    <row r="461" spans="1:27" x14ac:dyDescent="0.25">
      <c r="H461" t="s">
        <v>49</v>
      </c>
    </row>
    <row r="462" spans="1:27" x14ac:dyDescent="0.25">
      <c r="A462">
        <v>228</v>
      </c>
      <c r="B462">
        <v>2925</v>
      </c>
      <c r="C462" t="s">
        <v>948</v>
      </c>
      <c r="D462" t="s">
        <v>225</v>
      </c>
      <c r="E462" t="s">
        <v>114</v>
      </c>
      <c r="F462" t="s">
        <v>949</v>
      </c>
      <c r="G462" t="str">
        <f>"00013133"</f>
        <v>00013133</v>
      </c>
      <c r="H462" t="s">
        <v>950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30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Z462">
        <v>0</v>
      </c>
      <c r="AA462" t="s">
        <v>951</v>
      </c>
    </row>
    <row r="463" spans="1:27" x14ac:dyDescent="0.25">
      <c r="H463">
        <v>216</v>
      </c>
    </row>
    <row r="464" spans="1:27" x14ac:dyDescent="0.25">
      <c r="A464">
        <v>229</v>
      </c>
      <c r="B464">
        <v>2238</v>
      </c>
      <c r="C464" t="s">
        <v>952</v>
      </c>
      <c r="D464" t="s">
        <v>96</v>
      </c>
      <c r="E464" t="s">
        <v>753</v>
      </c>
      <c r="F464" t="s">
        <v>953</v>
      </c>
      <c r="G464" t="str">
        <f>"201410003640"</f>
        <v>201410003640</v>
      </c>
      <c r="H464" t="s">
        <v>227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50</v>
      </c>
      <c r="R464">
        <v>30</v>
      </c>
      <c r="S464">
        <v>0</v>
      </c>
      <c r="T464">
        <v>0</v>
      </c>
      <c r="U464">
        <v>0</v>
      </c>
      <c r="V464">
        <v>135</v>
      </c>
      <c r="W464">
        <v>588</v>
      </c>
      <c r="Z464">
        <v>1</v>
      </c>
      <c r="AA464" t="s">
        <v>954</v>
      </c>
    </row>
    <row r="465" spans="1:27" x14ac:dyDescent="0.25">
      <c r="H465" t="s">
        <v>25</v>
      </c>
    </row>
    <row r="466" spans="1:27" x14ac:dyDescent="0.25">
      <c r="A466">
        <v>230</v>
      </c>
      <c r="B466">
        <v>1645</v>
      </c>
      <c r="C466" t="s">
        <v>955</v>
      </c>
      <c r="D466" t="s">
        <v>652</v>
      </c>
      <c r="E466" t="s">
        <v>85</v>
      </c>
      <c r="F466" t="s">
        <v>956</v>
      </c>
      <c r="G466" t="str">
        <f>"201504004897"</f>
        <v>201504004897</v>
      </c>
      <c r="H466" t="s">
        <v>957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81</v>
      </c>
      <c r="W466">
        <v>567</v>
      </c>
      <c r="Z466">
        <v>0</v>
      </c>
      <c r="AA466" t="s">
        <v>954</v>
      </c>
    </row>
    <row r="467" spans="1:27" x14ac:dyDescent="0.25">
      <c r="H467">
        <v>216</v>
      </c>
    </row>
    <row r="468" spans="1:27" x14ac:dyDescent="0.25">
      <c r="A468">
        <v>231</v>
      </c>
      <c r="B468">
        <v>855</v>
      </c>
      <c r="C468" t="s">
        <v>958</v>
      </c>
      <c r="D468" t="s">
        <v>959</v>
      </c>
      <c r="E468" t="s">
        <v>235</v>
      </c>
      <c r="F468" t="s">
        <v>960</v>
      </c>
      <c r="G468" t="str">
        <f>"00014921"</f>
        <v>00014921</v>
      </c>
      <c r="H468" t="s">
        <v>441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145</v>
      </c>
      <c r="W468">
        <v>588</v>
      </c>
      <c r="Z468">
        <v>0</v>
      </c>
      <c r="AA468" t="s">
        <v>961</v>
      </c>
    </row>
    <row r="469" spans="1:27" x14ac:dyDescent="0.25">
      <c r="H469">
        <v>213</v>
      </c>
    </row>
    <row r="470" spans="1:27" x14ac:dyDescent="0.25">
      <c r="A470">
        <v>232</v>
      </c>
      <c r="B470">
        <v>3175</v>
      </c>
      <c r="C470" t="s">
        <v>962</v>
      </c>
      <c r="D470" t="s">
        <v>519</v>
      </c>
      <c r="E470" t="s">
        <v>64</v>
      </c>
      <c r="F470" t="s">
        <v>963</v>
      </c>
      <c r="G470" t="str">
        <f>"00014025"</f>
        <v>00014025</v>
      </c>
      <c r="H470" t="s">
        <v>441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94</v>
      </c>
      <c r="W470">
        <v>588</v>
      </c>
      <c r="Z470">
        <v>0</v>
      </c>
      <c r="AA470" t="s">
        <v>961</v>
      </c>
    </row>
    <row r="471" spans="1:27" x14ac:dyDescent="0.25">
      <c r="H471" t="s">
        <v>729</v>
      </c>
    </row>
    <row r="472" spans="1:27" x14ac:dyDescent="0.25">
      <c r="A472">
        <v>233</v>
      </c>
      <c r="B472">
        <v>3211</v>
      </c>
      <c r="C472" t="s">
        <v>964</v>
      </c>
      <c r="D472" t="s">
        <v>158</v>
      </c>
      <c r="E472" t="s">
        <v>64</v>
      </c>
      <c r="F472" t="s">
        <v>965</v>
      </c>
      <c r="G472" t="str">
        <f>"200712005285"</f>
        <v>200712005285</v>
      </c>
      <c r="H472">
        <v>715</v>
      </c>
      <c r="I472">
        <v>0</v>
      </c>
      <c r="J472">
        <v>0</v>
      </c>
      <c r="K472">
        <v>0</v>
      </c>
      <c r="L472">
        <v>200</v>
      </c>
      <c r="M472">
        <v>30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241</v>
      </c>
      <c r="W472">
        <v>588</v>
      </c>
      <c r="Z472">
        <v>0</v>
      </c>
      <c r="AA472">
        <v>1603</v>
      </c>
    </row>
    <row r="473" spans="1:27" x14ac:dyDescent="0.25">
      <c r="H473" t="s">
        <v>293</v>
      </c>
    </row>
    <row r="474" spans="1:27" x14ac:dyDescent="0.25">
      <c r="A474">
        <v>234</v>
      </c>
      <c r="B474">
        <v>2974</v>
      </c>
      <c r="C474" t="s">
        <v>966</v>
      </c>
      <c r="D474" t="s">
        <v>967</v>
      </c>
      <c r="E474" t="s">
        <v>64</v>
      </c>
      <c r="F474" t="s">
        <v>968</v>
      </c>
      <c r="G474" t="str">
        <f>"00013191"</f>
        <v>00013191</v>
      </c>
      <c r="H474" t="s">
        <v>872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50</v>
      </c>
      <c r="O474">
        <v>30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178</v>
      </c>
      <c r="W474">
        <v>588</v>
      </c>
      <c r="Z474">
        <v>0</v>
      </c>
      <c r="AA474" t="s">
        <v>969</v>
      </c>
    </row>
    <row r="475" spans="1:27" x14ac:dyDescent="0.25">
      <c r="H475" t="s">
        <v>38</v>
      </c>
    </row>
    <row r="476" spans="1:27" x14ac:dyDescent="0.25">
      <c r="A476">
        <v>235</v>
      </c>
      <c r="B476">
        <v>1708</v>
      </c>
      <c r="C476" t="s">
        <v>970</v>
      </c>
      <c r="D476" t="s">
        <v>41</v>
      </c>
      <c r="E476" t="s">
        <v>971</v>
      </c>
      <c r="F476" t="s">
        <v>972</v>
      </c>
      <c r="G476" t="str">
        <f>"00011432"</f>
        <v>00011432</v>
      </c>
      <c r="H476" t="s">
        <v>597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30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90</v>
      </c>
      <c r="W476">
        <v>588</v>
      </c>
      <c r="Z476">
        <v>0</v>
      </c>
      <c r="AA476" t="s">
        <v>973</v>
      </c>
    </row>
    <row r="477" spans="1:27" x14ac:dyDescent="0.25">
      <c r="H477" t="s">
        <v>317</v>
      </c>
    </row>
    <row r="478" spans="1:27" x14ac:dyDescent="0.25">
      <c r="A478">
        <v>236</v>
      </c>
      <c r="B478">
        <v>1774</v>
      </c>
      <c r="C478" t="s">
        <v>974</v>
      </c>
      <c r="D478" t="s">
        <v>41</v>
      </c>
      <c r="E478" t="s">
        <v>304</v>
      </c>
      <c r="F478" t="s">
        <v>975</v>
      </c>
      <c r="G478" t="str">
        <f>"200801006154"</f>
        <v>200801006154</v>
      </c>
      <c r="H478" t="s">
        <v>976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137</v>
      </c>
      <c r="W478">
        <v>588</v>
      </c>
      <c r="Z478">
        <v>0</v>
      </c>
      <c r="AA478" t="s">
        <v>977</v>
      </c>
    </row>
    <row r="479" spans="1:27" x14ac:dyDescent="0.25">
      <c r="H479">
        <v>216</v>
      </c>
    </row>
    <row r="480" spans="1:27" x14ac:dyDescent="0.25">
      <c r="A480">
        <v>237</v>
      </c>
      <c r="B480">
        <v>2130</v>
      </c>
      <c r="C480" t="s">
        <v>978</v>
      </c>
      <c r="D480" t="s">
        <v>979</v>
      </c>
      <c r="E480" t="s">
        <v>980</v>
      </c>
      <c r="F480" t="s">
        <v>981</v>
      </c>
      <c r="G480" t="str">
        <f>"00014718"</f>
        <v>00014718</v>
      </c>
      <c r="H480" t="s">
        <v>976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212</v>
      </c>
      <c r="W480">
        <v>588</v>
      </c>
      <c r="Z480">
        <v>0</v>
      </c>
      <c r="AA480" t="s">
        <v>977</v>
      </c>
    </row>
    <row r="481" spans="1:27" x14ac:dyDescent="0.25">
      <c r="H481" t="s">
        <v>38</v>
      </c>
    </row>
    <row r="482" spans="1:27" x14ac:dyDescent="0.25">
      <c r="A482">
        <v>238</v>
      </c>
      <c r="B482">
        <v>2258</v>
      </c>
      <c r="C482" t="s">
        <v>982</v>
      </c>
      <c r="D482" t="s">
        <v>983</v>
      </c>
      <c r="E482" t="s">
        <v>694</v>
      </c>
      <c r="F482" t="s">
        <v>984</v>
      </c>
      <c r="G482" t="str">
        <f>"00014634"</f>
        <v>00014634</v>
      </c>
      <c r="H482" t="s">
        <v>985</v>
      </c>
      <c r="I482">
        <v>0</v>
      </c>
      <c r="J482">
        <v>0</v>
      </c>
      <c r="K482">
        <v>0</v>
      </c>
      <c r="L482">
        <v>260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68</v>
      </c>
      <c r="W482">
        <v>476</v>
      </c>
      <c r="Z482">
        <v>0</v>
      </c>
      <c r="AA482" t="s">
        <v>986</v>
      </c>
    </row>
    <row r="483" spans="1:27" x14ac:dyDescent="0.25">
      <c r="H483" t="s">
        <v>38</v>
      </c>
    </row>
    <row r="484" spans="1:27" x14ac:dyDescent="0.25">
      <c r="A484">
        <v>239</v>
      </c>
      <c r="B484">
        <v>2959</v>
      </c>
      <c r="C484" t="s">
        <v>987</v>
      </c>
      <c r="D484" t="s">
        <v>796</v>
      </c>
      <c r="E484" t="s">
        <v>213</v>
      </c>
      <c r="F484" t="s">
        <v>988</v>
      </c>
      <c r="G484" t="str">
        <f>"201511027270"</f>
        <v>201511027270</v>
      </c>
      <c r="H484" t="s">
        <v>269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82</v>
      </c>
      <c r="W484">
        <v>574</v>
      </c>
      <c r="Z484">
        <v>0</v>
      </c>
      <c r="AA484" t="s">
        <v>989</v>
      </c>
    </row>
    <row r="485" spans="1:27" x14ac:dyDescent="0.25">
      <c r="H485" t="s">
        <v>31</v>
      </c>
    </row>
    <row r="486" spans="1:27" x14ac:dyDescent="0.25">
      <c r="A486">
        <v>240</v>
      </c>
      <c r="B486">
        <v>2495</v>
      </c>
      <c r="C486" t="s">
        <v>990</v>
      </c>
      <c r="D486" t="s">
        <v>991</v>
      </c>
      <c r="E486" t="s">
        <v>41</v>
      </c>
      <c r="F486" t="s">
        <v>992</v>
      </c>
      <c r="G486" t="str">
        <f>"201304005833"</f>
        <v>201304005833</v>
      </c>
      <c r="H486">
        <v>759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50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152</v>
      </c>
      <c r="W486">
        <v>588</v>
      </c>
      <c r="Z486">
        <v>0</v>
      </c>
      <c r="AA486">
        <v>1597</v>
      </c>
    </row>
    <row r="487" spans="1:27" x14ac:dyDescent="0.25">
      <c r="H487" t="s">
        <v>38</v>
      </c>
    </row>
    <row r="488" spans="1:27" x14ac:dyDescent="0.25">
      <c r="A488">
        <v>241</v>
      </c>
      <c r="B488">
        <v>1745</v>
      </c>
      <c r="C488" t="s">
        <v>993</v>
      </c>
      <c r="D488" t="s">
        <v>188</v>
      </c>
      <c r="E488" t="s">
        <v>85</v>
      </c>
      <c r="F488" t="s">
        <v>994</v>
      </c>
      <c r="G488" t="str">
        <f>"201008000021"</f>
        <v>201008000021</v>
      </c>
      <c r="H488" t="s">
        <v>306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0</v>
      </c>
      <c r="Q488">
        <v>30</v>
      </c>
      <c r="R488">
        <v>0</v>
      </c>
      <c r="S488">
        <v>0</v>
      </c>
      <c r="T488">
        <v>0</v>
      </c>
      <c r="U488">
        <v>0</v>
      </c>
      <c r="V488">
        <v>63</v>
      </c>
      <c r="W488">
        <v>441</v>
      </c>
      <c r="Z488">
        <v>0</v>
      </c>
      <c r="AA488" t="s">
        <v>995</v>
      </c>
    </row>
    <row r="489" spans="1:27" x14ac:dyDescent="0.25">
      <c r="H489" t="s">
        <v>49</v>
      </c>
    </row>
    <row r="490" spans="1:27" x14ac:dyDescent="0.25">
      <c r="A490">
        <v>242</v>
      </c>
      <c r="B490">
        <v>1972</v>
      </c>
      <c r="C490" t="s">
        <v>996</v>
      </c>
      <c r="D490" t="s">
        <v>234</v>
      </c>
      <c r="E490" t="s">
        <v>200</v>
      </c>
      <c r="F490" t="s">
        <v>997</v>
      </c>
      <c r="G490" t="str">
        <f>"200805000325"</f>
        <v>200805000325</v>
      </c>
      <c r="H490" t="s">
        <v>998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92</v>
      </c>
      <c r="W490">
        <v>588</v>
      </c>
      <c r="Z490">
        <v>0</v>
      </c>
      <c r="AA490" t="s">
        <v>999</v>
      </c>
    </row>
    <row r="491" spans="1:27" x14ac:dyDescent="0.25">
      <c r="H491" t="s">
        <v>1000</v>
      </c>
    </row>
    <row r="492" spans="1:27" x14ac:dyDescent="0.25">
      <c r="A492">
        <v>243</v>
      </c>
      <c r="B492">
        <v>1714</v>
      </c>
      <c r="C492" t="s">
        <v>1001</v>
      </c>
      <c r="D492" t="s">
        <v>1002</v>
      </c>
      <c r="E492" t="s">
        <v>879</v>
      </c>
      <c r="F492" t="s">
        <v>1003</v>
      </c>
      <c r="G492" t="str">
        <f>"201409000419"</f>
        <v>201409000419</v>
      </c>
      <c r="H492" t="s">
        <v>1004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82</v>
      </c>
      <c r="W492">
        <v>574</v>
      </c>
      <c r="Z492">
        <v>0</v>
      </c>
      <c r="AA492" t="s">
        <v>1005</v>
      </c>
    </row>
    <row r="493" spans="1:27" x14ac:dyDescent="0.25">
      <c r="H493" t="s">
        <v>31</v>
      </c>
    </row>
    <row r="494" spans="1:27" x14ac:dyDescent="0.25">
      <c r="A494">
        <v>244</v>
      </c>
      <c r="B494">
        <v>1725</v>
      </c>
      <c r="C494" t="s">
        <v>1006</v>
      </c>
      <c r="D494" t="s">
        <v>1007</v>
      </c>
      <c r="E494" t="s">
        <v>1008</v>
      </c>
      <c r="F494" t="s">
        <v>1009</v>
      </c>
      <c r="G494" t="str">
        <f>"201304005704"</f>
        <v>201304005704</v>
      </c>
      <c r="H494" t="s">
        <v>824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50</v>
      </c>
      <c r="R494">
        <v>0</v>
      </c>
      <c r="S494">
        <v>0</v>
      </c>
      <c r="T494">
        <v>0</v>
      </c>
      <c r="U494">
        <v>0</v>
      </c>
      <c r="V494">
        <v>73</v>
      </c>
      <c r="W494">
        <v>511</v>
      </c>
      <c r="Z494">
        <v>0</v>
      </c>
      <c r="AA494" t="s">
        <v>1010</v>
      </c>
    </row>
    <row r="495" spans="1:27" x14ac:dyDescent="0.25">
      <c r="H495" t="s">
        <v>38</v>
      </c>
    </row>
    <row r="496" spans="1:27" x14ac:dyDescent="0.25">
      <c r="A496">
        <v>245</v>
      </c>
      <c r="B496">
        <v>3227</v>
      </c>
      <c r="C496" t="s">
        <v>1011</v>
      </c>
      <c r="D496" t="s">
        <v>1012</v>
      </c>
      <c r="E496" t="s">
        <v>41</v>
      </c>
      <c r="F496" t="s">
        <v>1013</v>
      </c>
      <c r="G496" t="str">
        <f>"200801005746"</f>
        <v>200801005746</v>
      </c>
      <c r="H496" t="s">
        <v>1014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30</v>
      </c>
      <c r="S496">
        <v>0</v>
      </c>
      <c r="T496">
        <v>0</v>
      </c>
      <c r="U496">
        <v>0</v>
      </c>
      <c r="V496">
        <v>77</v>
      </c>
      <c r="W496">
        <v>539</v>
      </c>
      <c r="Z496">
        <v>1</v>
      </c>
      <c r="AA496" t="s">
        <v>1015</v>
      </c>
    </row>
    <row r="497" spans="1:27" x14ac:dyDescent="0.25">
      <c r="H497" t="s">
        <v>49</v>
      </c>
    </row>
    <row r="498" spans="1:27" x14ac:dyDescent="0.25">
      <c r="A498">
        <v>246</v>
      </c>
      <c r="B498">
        <v>2886</v>
      </c>
      <c r="C498" t="s">
        <v>1016</v>
      </c>
      <c r="D498" t="s">
        <v>158</v>
      </c>
      <c r="E498" t="s">
        <v>225</v>
      </c>
      <c r="F498" t="s">
        <v>1017</v>
      </c>
      <c r="G498" t="str">
        <f>"201304000941"</f>
        <v>201304000941</v>
      </c>
      <c r="H498">
        <v>704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0</v>
      </c>
      <c r="Q498">
        <v>30</v>
      </c>
      <c r="R498">
        <v>0</v>
      </c>
      <c r="S498">
        <v>0</v>
      </c>
      <c r="T498">
        <v>0</v>
      </c>
      <c r="U498">
        <v>0</v>
      </c>
      <c r="V498">
        <v>139</v>
      </c>
      <c r="W498">
        <v>588</v>
      </c>
      <c r="Z498">
        <v>0</v>
      </c>
      <c r="AA498">
        <v>1592</v>
      </c>
    </row>
    <row r="499" spans="1:27" x14ac:dyDescent="0.25">
      <c r="H499" t="s">
        <v>926</v>
      </c>
    </row>
    <row r="500" spans="1:27" x14ac:dyDescent="0.25">
      <c r="A500">
        <v>247</v>
      </c>
      <c r="B500">
        <v>852</v>
      </c>
      <c r="C500" t="s">
        <v>1018</v>
      </c>
      <c r="D500" t="s">
        <v>1019</v>
      </c>
      <c r="E500" t="s">
        <v>875</v>
      </c>
      <c r="F500" t="s">
        <v>1020</v>
      </c>
      <c r="G500" t="str">
        <f>"00013508"</f>
        <v>00013508</v>
      </c>
      <c r="H500" t="s">
        <v>191</v>
      </c>
      <c r="I500">
        <v>0</v>
      </c>
      <c r="J500">
        <v>0</v>
      </c>
      <c r="K500">
        <v>0</v>
      </c>
      <c r="L500">
        <v>0</v>
      </c>
      <c r="M500">
        <v>100</v>
      </c>
      <c r="N500">
        <v>30</v>
      </c>
      <c r="O500">
        <v>50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102</v>
      </c>
      <c r="W500">
        <v>588</v>
      </c>
      <c r="Z500">
        <v>0</v>
      </c>
      <c r="AA500" t="s">
        <v>1021</v>
      </c>
    </row>
    <row r="501" spans="1:27" x14ac:dyDescent="0.25">
      <c r="H501">
        <v>215</v>
      </c>
    </row>
    <row r="502" spans="1:27" x14ac:dyDescent="0.25">
      <c r="A502">
        <v>248</v>
      </c>
      <c r="B502">
        <v>2532</v>
      </c>
      <c r="C502" t="s">
        <v>1022</v>
      </c>
      <c r="D502" t="s">
        <v>14</v>
      </c>
      <c r="E502" t="s">
        <v>64</v>
      </c>
      <c r="F502" t="s">
        <v>1023</v>
      </c>
      <c r="G502" t="str">
        <f>"201406009932"</f>
        <v>201406009932</v>
      </c>
      <c r="H502" t="s">
        <v>614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111</v>
      </c>
      <c r="W502">
        <v>588</v>
      </c>
      <c r="Z502">
        <v>0</v>
      </c>
      <c r="AA502" t="s">
        <v>1024</v>
      </c>
    </row>
    <row r="503" spans="1:27" x14ac:dyDescent="0.25">
      <c r="H503" t="s">
        <v>31</v>
      </c>
    </row>
    <row r="504" spans="1:27" x14ac:dyDescent="0.25">
      <c r="A504">
        <v>249</v>
      </c>
      <c r="B504">
        <v>209</v>
      </c>
      <c r="C504" t="s">
        <v>1025</v>
      </c>
      <c r="D504" t="s">
        <v>319</v>
      </c>
      <c r="E504" t="s">
        <v>284</v>
      </c>
      <c r="F504" t="s">
        <v>1026</v>
      </c>
      <c r="G504" t="str">
        <f>"201406018768"</f>
        <v>201406018768</v>
      </c>
      <c r="H504" t="s">
        <v>154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50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52</v>
      </c>
      <c r="W504">
        <v>364</v>
      </c>
      <c r="Z504">
        <v>0</v>
      </c>
      <c r="AA504" t="s">
        <v>1027</v>
      </c>
    </row>
    <row r="505" spans="1:27" x14ac:dyDescent="0.25">
      <c r="H505" t="s">
        <v>729</v>
      </c>
    </row>
    <row r="506" spans="1:27" x14ac:dyDescent="0.25">
      <c r="A506">
        <v>250</v>
      </c>
      <c r="B506">
        <v>2098</v>
      </c>
      <c r="C506" t="s">
        <v>1028</v>
      </c>
      <c r="D506" t="s">
        <v>647</v>
      </c>
      <c r="E506" t="s">
        <v>41</v>
      </c>
      <c r="F506" t="s">
        <v>1029</v>
      </c>
      <c r="G506" t="str">
        <f>"201402006336"</f>
        <v>201402006336</v>
      </c>
      <c r="H506" t="s">
        <v>1030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163</v>
      </c>
      <c r="W506">
        <v>588</v>
      </c>
      <c r="Z506">
        <v>0</v>
      </c>
      <c r="AA506" t="s">
        <v>1031</v>
      </c>
    </row>
    <row r="507" spans="1:27" x14ac:dyDescent="0.25">
      <c r="H507" t="s">
        <v>31</v>
      </c>
    </row>
    <row r="508" spans="1:27" x14ac:dyDescent="0.25">
      <c r="A508">
        <v>251</v>
      </c>
      <c r="B508">
        <v>2662</v>
      </c>
      <c r="C508" t="s">
        <v>646</v>
      </c>
      <c r="D508" t="s">
        <v>1032</v>
      </c>
      <c r="E508" t="s">
        <v>1033</v>
      </c>
      <c r="F508" t="s">
        <v>1034</v>
      </c>
      <c r="G508" t="str">
        <f>"201409001111"</f>
        <v>201409001111</v>
      </c>
      <c r="H508">
        <v>990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52</v>
      </c>
      <c r="W508">
        <v>364</v>
      </c>
      <c r="Z508">
        <v>0</v>
      </c>
      <c r="AA508">
        <v>1584</v>
      </c>
    </row>
    <row r="509" spans="1:27" x14ac:dyDescent="0.25">
      <c r="H509" t="s">
        <v>223</v>
      </c>
    </row>
    <row r="510" spans="1:27" x14ac:dyDescent="0.25">
      <c r="A510">
        <v>252</v>
      </c>
      <c r="B510">
        <v>2351</v>
      </c>
      <c r="C510" t="s">
        <v>1035</v>
      </c>
      <c r="D510" t="s">
        <v>542</v>
      </c>
      <c r="E510" t="s">
        <v>70</v>
      </c>
      <c r="F510" t="s">
        <v>1036</v>
      </c>
      <c r="G510" t="str">
        <f>"201504003839"</f>
        <v>201504003839</v>
      </c>
      <c r="H510" t="s">
        <v>1037</v>
      </c>
      <c r="I510">
        <v>150</v>
      </c>
      <c r="J510">
        <v>0</v>
      </c>
      <c r="K510">
        <v>0</v>
      </c>
      <c r="L510">
        <v>200</v>
      </c>
      <c r="M510">
        <v>0</v>
      </c>
      <c r="N510">
        <v>70</v>
      </c>
      <c r="O510">
        <v>70</v>
      </c>
      <c r="P510">
        <v>70</v>
      </c>
      <c r="Q510">
        <v>0</v>
      </c>
      <c r="R510">
        <v>70</v>
      </c>
      <c r="S510">
        <v>0</v>
      </c>
      <c r="T510">
        <v>0</v>
      </c>
      <c r="U510">
        <v>0</v>
      </c>
      <c r="V510">
        <v>33</v>
      </c>
      <c r="W510">
        <v>231</v>
      </c>
      <c r="Z510">
        <v>0</v>
      </c>
      <c r="AA510" t="s">
        <v>1038</v>
      </c>
    </row>
    <row r="511" spans="1:27" x14ac:dyDescent="0.25">
      <c r="H511" t="s">
        <v>293</v>
      </c>
    </row>
    <row r="512" spans="1:27" x14ac:dyDescent="0.25">
      <c r="A512">
        <v>253</v>
      </c>
      <c r="B512">
        <v>809</v>
      </c>
      <c r="C512" t="s">
        <v>1039</v>
      </c>
      <c r="D512" t="s">
        <v>1040</v>
      </c>
      <c r="E512" t="s">
        <v>14</v>
      </c>
      <c r="F512" t="s">
        <v>1041</v>
      </c>
      <c r="G512" t="str">
        <f>"201504001475"</f>
        <v>201504001475</v>
      </c>
      <c r="H512" t="s">
        <v>1042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30</v>
      </c>
      <c r="P512">
        <v>0</v>
      </c>
      <c r="Q512">
        <v>0</v>
      </c>
      <c r="R512">
        <v>30</v>
      </c>
      <c r="S512">
        <v>0</v>
      </c>
      <c r="T512">
        <v>0</v>
      </c>
      <c r="U512">
        <v>0</v>
      </c>
      <c r="V512">
        <v>131</v>
      </c>
      <c r="W512">
        <v>588</v>
      </c>
      <c r="Z512">
        <v>0</v>
      </c>
      <c r="AA512" t="s">
        <v>1043</v>
      </c>
    </row>
    <row r="513" spans="1:27" x14ac:dyDescent="0.25">
      <c r="H513" t="s">
        <v>1044</v>
      </c>
    </row>
    <row r="514" spans="1:27" x14ac:dyDescent="0.25">
      <c r="A514">
        <v>254</v>
      </c>
      <c r="B514">
        <v>3223</v>
      </c>
      <c r="C514" t="s">
        <v>1045</v>
      </c>
      <c r="D514" t="s">
        <v>1046</v>
      </c>
      <c r="E514" t="s">
        <v>108</v>
      </c>
      <c r="F514" t="s">
        <v>1047</v>
      </c>
      <c r="G514" t="str">
        <f>"201304002076"</f>
        <v>201304002076</v>
      </c>
      <c r="H514" t="s">
        <v>322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0</v>
      </c>
      <c r="P514">
        <v>50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63</v>
      </c>
      <c r="W514">
        <v>441</v>
      </c>
      <c r="Z514">
        <v>0</v>
      </c>
      <c r="AA514" t="s">
        <v>1048</v>
      </c>
    </row>
    <row r="515" spans="1:27" x14ac:dyDescent="0.25">
      <c r="H515" t="s">
        <v>265</v>
      </c>
    </row>
    <row r="516" spans="1:27" x14ac:dyDescent="0.25">
      <c r="A516">
        <v>255</v>
      </c>
      <c r="B516">
        <v>2716</v>
      </c>
      <c r="C516" t="s">
        <v>1049</v>
      </c>
      <c r="D516" t="s">
        <v>148</v>
      </c>
      <c r="E516" t="s">
        <v>34</v>
      </c>
      <c r="F516" t="s">
        <v>1050</v>
      </c>
      <c r="G516" t="str">
        <f>"201506002896"</f>
        <v>201506002896</v>
      </c>
      <c r="H516" t="s">
        <v>1037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192</v>
      </c>
      <c r="W516">
        <v>588</v>
      </c>
      <c r="Z516">
        <v>0</v>
      </c>
      <c r="AA516" t="s">
        <v>1051</v>
      </c>
    </row>
    <row r="517" spans="1:27" x14ac:dyDescent="0.25">
      <c r="H517" t="s">
        <v>49</v>
      </c>
    </row>
    <row r="518" spans="1:27" x14ac:dyDescent="0.25">
      <c r="A518">
        <v>256</v>
      </c>
      <c r="B518">
        <v>2541</v>
      </c>
      <c r="C518" t="s">
        <v>1052</v>
      </c>
      <c r="D518" t="s">
        <v>225</v>
      </c>
      <c r="E518" t="s">
        <v>41</v>
      </c>
      <c r="F518" t="s">
        <v>1053</v>
      </c>
      <c r="G518" t="str">
        <f>"00014275"</f>
        <v>00014275</v>
      </c>
      <c r="H518" t="s">
        <v>1054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176</v>
      </c>
      <c r="W518">
        <v>588</v>
      </c>
      <c r="Z518">
        <v>0</v>
      </c>
      <c r="AA518" t="s">
        <v>1055</v>
      </c>
    </row>
    <row r="519" spans="1:27" x14ac:dyDescent="0.25">
      <c r="H519" t="s">
        <v>19</v>
      </c>
    </row>
    <row r="520" spans="1:27" x14ac:dyDescent="0.25">
      <c r="A520">
        <v>257</v>
      </c>
      <c r="B520">
        <v>603</v>
      </c>
      <c r="C520" t="s">
        <v>1056</v>
      </c>
      <c r="D520" t="s">
        <v>64</v>
      </c>
      <c r="E520" t="s">
        <v>41</v>
      </c>
      <c r="F520" t="s">
        <v>1057</v>
      </c>
      <c r="G520" t="str">
        <f>"201304004512"</f>
        <v>201304004512</v>
      </c>
      <c r="H520" t="s">
        <v>915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171</v>
      </c>
      <c r="W520">
        <v>588</v>
      </c>
      <c r="Z520">
        <v>0</v>
      </c>
      <c r="AA520" t="s">
        <v>1058</v>
      </c>
    </row>
    <row r="521" spans="1:27" x14ac:dyDescent="0.25">
      <c r="H521">
        <v>215</v>
      </c>
    </row>
    <row r="522" spans="1:27" x14ac:dyDescent="0.25">
      <c r="A522">
        <v>258</v>
      </c>
      <c r="B522">
        <v>3374</v>
      </c>
      <c r="C522" t="s">
        <v>127</v>
      </c>
      <c r="D522" t="s">
        <v>225</v>
      </c>
      <c r="E522" t="s">
        <v>64</v>
      </c>
      <c r="F522" t="s">
        <v>1059</v>
      </c>
      <c r="G522" t="str">
        <f>"200712004770"</f>
        <v>200712004770</v>
      </c>
      <c r="H522" t="s">
        <v>915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107</v>
      </c>
      <c r="W522">
        <v>588</v>
      </c>
      <c r="Z522">
        <v>0</v>
      </c>
      <c r="AA522" t="s">
        <v>1058</v>
      </c>
    </row>
    <row r="523" spans="1:27" x14ac:dyDescent="0.25">
      <c r="H523" t="s">
        <v>248</v>
      </c>
    </row>
    <row r="524" spans="1:27" x14ac:dyDescent="0.25">
      <c r="A524">
        <v>259</v>
      </c>
      <c r="B524">
        <v>1940</v>
      </c>
      <c r="C524" t="s">
        <v>1060</v>
      </c>
      <c r="D524" t="s">
        <v>1033</v>
      </c>
      <c r="E524" t="s">
        <v>369</v>
      </c>
      <c r="F524" t="s">
        <v>1061</v>
      </c>
      <c r="G524" t="str">
        <f>"201502002214"</f>
        <v>201502002214</v>
      </c>
      <c r="H524" t="s">
        <v>1062</v>
      </c>
      <c r="I524">
        <v>0</v>
      </c>
      <c r="J524">
        <v>0</v>
      </c>
      <c r="K524">
        <v>0</v>
      </c>
      <c r="L524">
        <v>200</v>
      </c>
      <c r="M524">
        <v>30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88</v>
      </c>
      <c r="W524">
        <v>588</v>
      </c>
      <c r="Z524">
        <v>0</v>
      </c>
      <c r="AA524" t="s">
        <v>1063</v>
      </c>
    </row>
    <row r="525" spans="1:27" x14ac:dyDescent="0.25">
      <c r="H525" t="s">
        <v>223</v>
      </c>
    </row>
    <row r="526" spans="1:27" x14ac:dyDescent="0.25">
      <c r="A526">
        <v>260</v>
      </c>
      <c r="B526">
        <v>64</v>
      </c>
      <c r="C526" t="s">
        <v>1064</v>
      </c>
      <c r="D526" t="s">
        <v>401</v>
      </c>
      <c r="E526" t="s">
        <v>475</v>
      </c>
      <c r="F526" t="s">
        <v>1065</v>
      </c>
      <c r="G526" t="str">
        <f>"200904000102"</f>
        <v>200904000102</v>
      </c>
      <c r="H526" t="s">
        <v>1066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127</v>
      </c>
      <c r="W526">
        <v>588</v>
      </c>
      <c r="Z526">
        <v>0</v>
      </c>
      <c r="AA526" t="s">
        <v>1067</v>
      </c>
    </row>
    <row r="527" spans="1:27" x14ac:dyDescent="0.25">
      <c r="H527" t="s">
        <v>223</v>
      </c>
    </row>
    <row r="528" spans="1:27" x14ac:dyDescent="0.25">
      <c r="A528">
        <v>261</v>
      </c>
      <c r="B528">
        <v>2387</v>
      </c>
      <c r="C528" t="s">
        <v>1068</v>
      </c>
      <c r="D528" t="s">
        <v>219</v>
      </c>
      <c r="E528" t="s">
        <v>401</v>
      </c>
      <c r="F528" t="s">
        <v>1069</v>
      </c>
      <c r="G528" t="str">
        <f>"201303000658"</f>
        <v>201303000658</v>
      </c>
      <c r="H528" t="s">
        <v>1054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78</v>
      </c>
      <c r="W528">
        <v>546</v>
      </c>
      <c r="Z528">
        <v>0</v>
      </c>
      <c r="AA528" t="s">
        <v>1070</v>
      </c>
    </row>
    <row r="529" spans="1:27" x14ac:dyDescent="0.25">
      <c r="H529" t="s">
        <v>223</v>
      </c>
    </row>
    <row r="530" spans="1:27" x14ac:dyDescent="0.25">
      <c r="A530">
        <v>262</v>
      </c>
      <c r="B530">
        <v>2543</v>
      </c>
      <c r="C530" t="s">
        <v>1071</v>
      </c>
      <c r="D530" t="s">
        <v>168</v>
      </c>
      <c r="E530" t="s">
        <v>1072</v>
      </c>
      <c r="F530" t="s">
        <v>1073</v>
      </c>
      <c r="G530" t="str">
        <f>"201304003541"</f>
        <v>201304003541</v>
      </c>
      <c r="H530" t="s">
        <v>322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50</v>
      </c>
      <c r="O530">
        <v>0</v>
      </c>
      <c r="P530">
        <v>0</v>
      </c>
      <c r="Q530">
        <v>30</v>
      </c>
      <c r="R530">
        <v>0</v>
      </c>
      <c r="S530">
        <v>0</v>
      </c>
      <c r="T530">
        <v>0</v>
      </c>
      <c r="U530">
        <v>0</v>
      </c>
      <c r="V530">
        <v>68</v>
      </c>
      <c r="W530">
        <v>476</v>
      </c>
      <c r="Z530">
        <v>0</v>
      </c>
      <c r="AA530" t="s">
        <v>1074</v>
      </c>
    </row>
    <row r="531" spans="1:27" x14ac:dyDescent="0.25">
      <c r="H531" t="s">
        <v>248</v>
      </c>
    </row>
    <row r="532" spans="1:27" x14ac:dyDescent="0.25">
      <c r="A532">
        <v>263</v>
      </c>
      <c r="B532">
        <v>2931</v>
      </c>
      <c r="C532" t="s">
        <v>1075</v>
      </c>
      <c r="D532" t="s">
        <v>1076</v>
      </c>
      <c r="E532" t="s">
        <v>1072</v>
      </c>
      <c r="F532" t="s">
        <v>1077</v>
      </c>
      <c r="G532" t="str">
        <f>"201304002174"</f>
        <v>201304002174</v>
      </c>
      <c r="H532" t="s">
        <v>1078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0</v>
      </c>
      <c r="P532">
        <v>0</v>
      </c>
      <c r="Q532">
        <v>50</v>
      </c>
      <c r="R532">
        <v>0</v>
      </c>
      <c r="S532">
        <v>0</v>
      </c>
      <c r="T532">
        <v>0</v>
      </c>
      <c r="U532">
        <v>0</v>
      </c>
      <c r="V532">
        <v>74</v>
      </c>
      <c r="W532">
        <v>518</v>
      </c>
      <c r="Z532">
        <v>0</v>
      </c>
      <c r="AA532" t="s">
        <v>1079</v>
      </c>
    </row>
    <row r="533" spans="1:27" x14ac:dyDescent="0.25">
      <c r="H533" t="s">
        <v>49</v>
      </c>
    </row>
    <row r="534" spans="1:27" x14ac:dyDescent="0.25">
      <c r="A534">
        <v>264</v>
      </c>
      <c r="B534">
        <v>3191</v>
      </c>
      <c r="C534" t="s">
        <v>1080</v>
      </c>
      <c r="D534" t="s">
        <v>909</v>
      </c>
      <c r="E534" t="s">
        <v>64</v>
      </c>
      <c r="F534" t="s">
        <v>1081</v>
      </c>
      <c r="G534" t="str">
        <f>"200712001991"</f>
        <v>200712001991</v>
      </c>
      <c r="H534" t="s">
        <v>1082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50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96</v>
      </c>
      <c r="W534">
        <v>588</v>
      </c>
      <c r="Z534">
        <v>0</v>
      </c>
      <c r="AA534" t="s">
        <v>1083</v>
      </c>
    </row>
    <row r="535" spans="1:27" x14ac:dyDescent="0.25">
      <c r="H535">
        <v>213</v>
      </c>
    </row>
    <row r="536" spans="1:27" x14ac:dyDescent="0.25">
      <c r="A536">
        <v>265</v>
      </c>
      <c r="B536">
        <v>2144</v>
      </c>
      <c r="C536" t="s">
        <v>1084</v>
      </c>
      <c r="D536" t="s">
        <v>14</v>
      </c>
      <c r="E536" t="s">
        <v>1085</v>
      </c>
      <c r="F536" t="s">
        <v>1086</v>
      </c>
      <c r="G536" t="str">
        <f>"00014566"</f>
        <v>00014566</v>
      </c>
      <c r="H536" t="s">
        <v>950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111</v>
      </c>
      <c r="W536">
        <v>588</v>
      </c>
      <c r="Z536">
        <v>0</v>
      </c>
      <c r="AA536" t="s">
        <v>1087</v>
      </c>
    </row>
    <row r="537" spans="1:27" x14ac:dyDescent="0.25">
      <c r="H537" t="s">
        <v>31</v>
      </c>
    </row>
    <row r="538" spans="1:27" x14ac:dyDescent="0.25">
      <c r="A538">
        <v>266</v>
      </c>
      <c r="B538">
        <v>230</v>
      </c>
      <c r="C538" t="s">
        <v>1088</v>
      </c>
      <c r="D538" t="s">
        <v>64</v>
      </c>
      <c r="E538" t="s">
        <v>1089</v>
      </c>
      <c r="F538" t="s">
        <v>1090</v>
      </c>
      <c r="G538" t="str">
        <f>"201304002274"</f>
        <v>201304002274</v>
      </c>
      <c r="H538" t="s">
        <v>950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90</v>
      </c>
      <c r="W538">
        <v>588</v>
      </c>
      <c r="Z538">
        <v>0</v>
      </c>
      <c r="AA538" t="s">
        <v>1087</v>
      </c>
    </row>
    <row r="539" spans="1:27" x14ac:dyDescent="0.25">
      <c r="H539" t="s">
        <v>38</v>
      </c>
    </row>
    <row r="540" spans="1:27" x14ac:dyDescent="0.25">
      <c r="A540">
        <v>267</v>
      </c>
      <c r="B540">
        <v>2534</v>
      </c>
      <c r="C540" t="s">
        <v>1091</v>
      </c>
      <c r="D540" t="s">
        <v>14</v>
      </c>
      <c r="E540" t="s">
        <v>114</v>
      </c>
      <c r="F540" t="s">
        <v>1092</v>
      </c>
      <c r="G540" t="str">
        <f>"00014365"</f>
        <v>00014365</v>
      </c>
      <c r="H540" t="s">
        <v>47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105</v>
      </c>
      <c r="W540">
        <v>588</v>
      </c>
      <c r="Z540">
        <v>0</v>
      </c>
      <c r="AA540" t="s">
        <v>1093</v>
      </c>
    </row>
    <row r="541" spans="1:27" x14ac:dyDescent="0.25">
      <c r="H541" t="s">
        <v>357</v>
      </c>
    </row>
    <row r="542" spans="1:27" x14ac:dyDescent="0.25">
      <c r="A542">
        <v>268</v>
      </c>
      <c r="B542">
        <v>3160</v>
      </c>
      <c r="C542" t="s">
        <v>1094</v>
      </c>
      <c r="D542" t="s">
        <v>58</v>
      </c>
      <c r="E542" t="s">
        <v>108</v>
      </c>
      <c r="F542" t="s">
        <v>1095</v>
      </c>
      <c r="G542" t="str">
        <f>"200801005279"</f>
        <v>200801005279</v>
      </c>
      <c r="H542" t="s">
        <v>1096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30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115</v>
      </c>
      <c r="W542">
        <v>588</v>
      </c>
      <c r="Z542">
        <v>0</v>
      </c>
      <c r="AA542" t="s">
        <v>1097</v>
      </c>
    </row>
    <row r="543" spans="1:27" x14ac:dyDescent="0.25">
      <c r="H543" t="s">
        <v>1098</v>
      </c>
    </row>
    <row r="544" spans="1:27" x14ac:dyDescent="0.25">
      <c r="A544">
        <v>269</v>
      </c>
      <c r="B544">
        <v>3226</v>
      </c>
      <c r="C544" t="s">
        <v>1099</v>
      </c>
      <c r="D544" t="s">
        <v>276</v>
      </c>
      <c r="E544" t="s">
        <v>114</v>
      </c>
      <c r="F544" t="s">
        <v>1100</v>
      </c>
      <c r="G544" t="str">
        <f>"201402004641"</f>
        <v>201402004641</v>
      </c>
      <c r="H544" t="s">
        <v>1101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0</v>
      </c>
      <c r="Q544">
        <v>30</v>
      </c>
      <c r="R544">
        <v>0</v>
      </c>
      <c r="S544">
        <v>0</v>
      </c>
      <c r="T544">
        <v>0</v>
      </c>
      <c r="U544">
        <v>0</v>
      </c>
      <c r="V544">
        <v>105</v>
      </c>
      <c r="W544">
        <v>588</v>
      </c>
      <c r="Z544">
        <v>0</v>
      </c>
      <c r="AA544" t="s">
        <v>1102</v>
      </c>
    </row>
    <row r="545" spans="1:27" x14ac:dyDescent="0.25">
      <c r="H545" t="s">
        <v>1103</v>
      </c>
    </row>
    <row r="546" spans="1:27" x14ac:dyDescent="0.25">
      <c r="A546">
        <v>270</v>
      </c>
      <c r="B546">
        <v>2862</v>
      </c>
      <c r="C546" t="s">
        <v>387</v>
      </c>
      <c r="D546" t="s">
        <v>1104</v>
      </c>
      <c r="E546" t="s">
        <v>64</v>
      </c>
      <c r="F546" t="s">
        <v>1105</v>
      </c>
      <c r="G546" t="str">
        <f>"00014896"</f>
        <v>00014896</v>
      </c>
      <c r="H546">
        <v>715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Z546">
        <v>2</v>
      </c>
      <c r="AA546">
        <v>1573</v>
      </c>
    </row>
    <row r="547" spans="1:27" x14ac:dyDescent="0.25">
      <c r="H547" t="s">
        <v>19</v>
      </c>
    </row>
    <row r="548" spans="1:27" x14ac:dyDescent="0.25">
      <c r="A548">
        <v>271</v>
      </c>
      <c r="B548">
        <v>2563</v>
      </c>
      <c r="C548" t="s">
        <v>1106</v>
      </c>
      <c r="D548" t="s">
        <v>80</v>
      </c>
      <c r="E548" t="s">
        <v>85</v>
      </c>
      <c r="F548" t="s">
        <v>1107</v>
      </c>
      <c r="G548" t="str">
        <f>"00013148"</f>
        <v>00013148</v>
      </c>
      <c r="H548">
        <v>715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185</v>
      </c>
      <c r="W548">
        <v>588</v>
      </c>
      <c r="Z548">
        <v>0</v>
      </c>
      <c r="AA548">
        <v>1573</v>
      </c>
    </row>
    <row r="549" spans="1:27" x14ac:dyDescent="0.25">
      <c r="H549" t="s">
        <v>38</v>
      </c>
    </row>
    <row r="550" spans="1:27" x14ac:dyDescent="0.25">
      <c r="A550">
        <v>272</v>
      </c>
      <c r="B550">
        <v>2629</v>
      </c>
      <c r="C550" t="s">
        <v>1108</v>
      </c>
      <c r="D550" t="s">
        <v>1109</v>
      </c>
      <c r="E550" t="s">
        <v>875</v>
      </c>
      <c r="F550" t="s">
        <v>1110</v>
      </c>
      <c r="G550" t="str">
        <f>"00011662"</f>
        <v>00011662</v>
      </c>
      <c r="H550" t="s">
        <v>1111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100</v>
      </c>
      <c r="W550">
        <v>588</v>
      </c>
      <c r="Z550">
        <v>0</v>
      </c>
      <c r="AA550" t="s">
        <v>1112</v>
      </c>
    </row>
    <row r="551" spans="1:27" x14ac:dyDescent="0.25">
      <c r="H551" t="s">
        <v>904</v>
      </c>
    </row>
    <row r="552" spans="1:27" x14ac:dyDescent="0.25">
      <c r="A552">
        <v>273</v>
      </c>
      <c r="B552">
        <v>1182</v>
      </c>
      <c r="C552" t="s">
        <v>1113</v>
      </c>
      <c r="D552" t="s">
        <v>1114</v>
      </c>
      <c r="E552" t="s">
        <v>574</v>
      </c>
      <c r="F552" t="s">
        <v>1115</v>
      </c>
      <c r="G552" t="str">
        <f>"201506001426"</f>
        <v>201506001426</v>
      </c>
      <c r="H552" t="s">
        <v>1014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116</v>
      </c>
      <c r="W552">
        <v>588</v>
      </c>
      <c r="Z552">
        <v>0</v>
      </c>
      <c r="AA552" t="s">
        <v>1116</v>
      </c>
    </row>
    <row r="553" spans="1:27" x14ac:dyDescent="0.25">
      <c r="H553" t="s">
        <v>38</v>
      </c>
    </row>
    <row r="554" spans="1:27" x14ac:dyDescent="0.25">
      <c r="A554">
        <v>274</v>
      </c>
      <c r="B554">
        <v>3077</v>
      </c>
      <c r="C554" t="s">
        <v>1117</v>
      </c>
      <c r="D554" t="s">
        <v>319</v>
      </c>
      <c r="E554" t="s">
        <v>27</v>
      </c>
      <c r="F554" t="s">
        <v>1118</v>
      </c>
      <c r="G554" t="str">
        <f>"201304002787"</f>
        <v>201304002787</v>
      </c>
      <c r="H554">
        <v>704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30</v>
      </c>
      <c r="O554">
        <v>50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91</v>
      </c>
      <c r="W554">
        <v>588</v>
      </c>
      <c r="Z554">
        <v>0</v>
      </c>
      <c r="AA554">
        <v>1572</v>
      </c>
    </row>
    <row r="555" spans="1:27" x14ac:dyDescent="0.25">
      <c r="H555" t="s">
        <v>248</v>
      </c>
    </row>
    <row r="556" spans="1:27" x14ac:dyDescent="0.25">
      <c r="A556">
        <v>275</v>
      </c>
      <c r="B556">
        <v>868</v>
      </c>
      <c r="C556" t="s">
        <v>1119</v>
      </c>
      <c r="D556" t="s">
        <v>41</v>
      </c>
      <c r="E556" t="s">
        <v>284</v>
      </c>
      <c r="F556" t="s">
        <v>1120</v>
      </c>
      <c r="G556" t="str">
        <f>"00013634"</f>
        <v>00013634</v>
      </c>
      <c r="H556" t="s">
        <v>844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127</v>
      </c>
      <c r="W556">
        <v>588</v>
      </c>
      <c r="Z556">
        <v>0</v>
      </c>
      <c r="AA556" t="s">
        <v>1121</v>
      </c>
    </row>
    <row r="557" spans="1:27" x14ac:dyDescent="0.25">
      <c r="H557" t="s">
        <v>31</v>
      </c>
    </row>
    <row r="558" spans="1:27" x14ac:dyDescent="0.25">
      <c r="A558">
        <v>276</v>
      </c>
      <c r="B558">
        <v>2091</v>
      </c>
      <c r="C558" t="s">
        <v>455</v>
      </c>
      <c r="D558" t="s">
        <v>319</v>
      </c>
      <c r="E558" t="s">
        <v>15</v>
      </c>
      <c r="F558" t="s">
        <v>1122</v>
      </c>
      <c r="G558" t="str">
        <f>"201304001231"</f>
        <v>201304001231</v>
      </c>
      <c r="H558" t="s">
        <v>1123</v>
      </c>
      <c r="I558">
        <v>0</v>
      </c>
      <c r="J558">
        <v>0</v>
      </c>
      <c r="K558">
        <v>0</v>
      </c>
      <c r="L558">
        <v>200</v>
      </c>
      <c r="M558">
        <v>30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85</v>
      </c>
      <c r="W558">
        <v>588</v>
      </c>
      <c r="Z558">
        <v>0</v>
      </c>
      <c r="AA558" t="s">
        <v>1124</v>
      </c>
    </row>
    <row r="559" spans="1:27" x14ac:dyDescent="0.25">
      <c r="H559" t="s">
        <v>248</v>
      </c>
    </row>
    <row r="560" spans="1:27" x14ac:dyDescent="0.25">
      <c r="A560">
        <v>277</v>
      </c>
      <c r="B560">
        <v>1215</v>
      </c>
      <c r="C560" t="s">
        <v>1125</v>
      </c>
      <c r="D560" t="s">
        <v>1126</v>
      </c>
      <c r="E560" t="s">
        <v>85</v>
      </c>
      <c r="F560" t="s">
        <v>1127</v>
      </c>
      <c r="G560" t="str">
        <f>"201303000736"</f>
        <v>201303000736</v>
      </c>
      <c r="H560" t="s">
        <v>558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Z560">
        <v>0</v>
      </c>
      <c r="AA560" t="s">
        <v>1128</v>
      </c>
    </row>
    <row r="561" spans="1:27" x14ac:dyDescent="0.25">
      <c r="H561" t="s">
        <v>38</v>
      </c>
    </row>
    <row r="562" spans="1:27" x14ac:dyDescent="0.25">
      <c r="A562">
        <v>278</v>
      </c>
      <c r="B562">
        <v>2983</v>
      </c>
      <c r="C562" t="s">
        <v>1129</v>
      </c>
      <c r="D562" t="s">
        <v>85</v>
      </c>
      <c r="E562" t="s">
        <v>753</v>
      </c>
      <c r="F562" t="s">
        <v>1130</v>
      </c>
      <c r="G562" t="str">
        <f>"201402004373"</f>
        <v>201402004373</v>
      </c>
      <c r="H562">
        <v>770</v>
      </c>
      <c r="I562">
        <v>0</v>
      </c>
      <c r="J562">
        <v>0</v>
      </c>
      <c r="K562">
        <v>0</v>
      </c>
      <c r="L562">
        <v>200</v>
      </c>
      <c r="M562">
        <v>30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71</v>
      </c>
      <c r="W562">
        <v>497</v>
      </c>
      <c r="Z562">
        <v>0</v>
      </c>
      <c r="AA562">
        <v>1567</v>
      </c>
    </row>
    <row r="563" spans="1:27" x14ac:dyDescent="0.25">
      <c r="H563" t="s">
        <v>223</v>
      </c>
    </row>
    <row r="564" spans="1:27" x14ac:dyDescent="0.25">
      <c r="A564">
        <v>279</v>
      </c>
      <c r="B564">
        <v>1817</v>
      </c>
      <c r="C564" t="s">
        <v>1131</v>
      </c>
      <c r="D564" t="s">
        <v>490</v>
      </c>
      <c r="E564" t="s">
        <v>15</v>
      </c>
      <c r="F564" t="s">
        <v>1132</v>
      </c>
      <c r="G564" t="str">
        <f>"200712001042"</f>
        <v>200712001042</v>
      </c>
      <c r="H564" t="s">
        <v>286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50</v>
      </c>
      <c r="Q564">
        <v>0</v>
      </c>
      <c r="R564">
        <v>50</v>
      </c>
      <c r="S564">
        <v>0</v>
      </c>
      <c r="T564">
        <v>0</v>
      </c>
      <c r="U564">
        <v>0</v>
      </c>
      <c r="V564">
        <v>124</v>
      </c>
      <c r="W564">
        <v>588</v>
      </c>
      <c r="Z564">
        <v>0</v>
      </c>
      <c r="AA564" t="s">
        <v>1133</v>
      </c>
    </row>
    <row r="565" spans="1:27" x14ac:dyDescent="0.25">
      <c r="H565">
        <v>216</v>
      </c>
    </row>
    <row r="566" spans="1:27" x14ac:dyDescent="0.25">
      <c r="A566">
        <v>280</v>
      </c>
      <c r="B566">
        <v>2007</v>
      </c>
      <c r="C566" t="s">
        <v>1134</v>
      </c>
      <c r="D566" t="s">
        <v>33</v>
      </c>
      <c r="E566" t="s">
        <v>64</v>
      </c>
      <c r="F566" t="s">
        <v>1135</v>
      </c>
      <c r="G566" t="str">
        <f>"200908000378"</f>
        <v>200908000378</v>
      </c>
      <c r="H566" t="s">
        <v>171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50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67</v>
      </c>
      <c r="W566">
        <v>469</v>
      </c>
      <c r="Z566">
        <v>0</v>
      </c>
      <c r="AA566" t="s">
        <v>1136</v>
      </c>
    </row>
    <row r="567" spans="1:27" x14ac:dyDescent="0.25">
      <c r="H567" t="s">
        <v>38</v>
      </c>
    </row>
    <row r="568" spans="1:27" x14ac:dyDescent="0.25">
      <c r="A568">
        <v>281</v>
      </c>
      <c r="B568">
        <v>1072</v>
      </c>
      <c r="C568" t="s">
        <v>1137</v>
      </c>
      <c r="D568" t="s">
        <v>1138</v>
      </c>
      <c r="E568" t="s">
        <v>158</v>
      </c>
      <c r="F568" t="s">
        <v>1139</v>
      </c>
      <c r="G568" t="str">
        <f>"200802004026"</f>
        <v>200802004026</v>
      </c>
      <c r="H568" t="s">
        <v>950</v>
      </c>
      <c r="I568">
        <v>150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30</v>
      </c>
      <c r="S568">
        <v>0</v>
      </c>
      <c r="T568">
        <v>0</v>
      </c>
      <c r="U568">
        <v>0</v>
      </c>
      <c r="V568">
        <v>52</v>
      </c>
      <c r="W568">
        <v>364</v>
      </c>
      <c r="Z568">
        <v>0</v>
      </c>
      <c r="AA568" t="s">
        <v>1140</v>
      </c>
    </row>
    <row r="569" spans="1:27" x14ac:dyDescent="0.25">
      <c r="H569" t="s">
        <v>1141</v>
      </c>
    </row>
    <row r="570" spans="1:27" x14ac:dyDescent="0.25">
      <c r="A570">
        <v>282</v>
      </c>
      <c r="B570">
        <v>3082</v>
      </c>
      <c r="C570" t="s">
        <v>1142</v>
      </c>
      <c r="D570" t="s">
        <v>158</v>
      </c>
      <c r="E570" t="s">
        <v>284</v>
      </c>
      <c r="F570" t="s">
        <v>1143</v>
      </c>
      <c r="G570" t="str">
        <f>"201406008856"</f>
        <v>201406008856</v>
      </c>
      <c r="H570" t="s">
        <v>1144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30</v>
      </c>
      <c r="S570">
        <v>0</v>
      </c>
      <c r="T570">
        <v>0</v>
      </c>
      <c r="U570">
        <v>0</v>
      </c>
      <c r="V570">
        <v>84</v>
      </c>
      <c r="W570">
        <v>588</v>
      </c>
      <c r="Z570">
        <v>0</v>
      </c>
      <c r="AA570" t="s">
        <v>1140</v>
      </c>
    </row>
    <row r="571" spans="1:27" x14ac:dyDescent="0.25">
      <c r="H571" t="s">
        <v>49</v>
      </c>
    </row>
    <row r="572" spans="1:27" x14ac:dyDescent="0.25">
      <c r="A572">
        <v>283</v>
      </c>
      <c r="B572">
        <v>2660</v>
      </c>
      <c r="C572" t="s">
        <v>1145</v>
      </c>
      <c r="D572" t="s">
        <v>1138</v>
      </c>
      <c r="E572" t="s">
        <v>225</v>
      </c>
      <c r="F572" t="s">
        <v>1146</v>
      </c>
      <c r="G572" t="str">
        <f>"201409002398"</f>
        <v>201409002398</v>
      </c>
      <c r="H572" t="s">
        <v>1147</v>
      </c>
      <c r="I572">
        <v>0</v>
      </c>
      <c r="J572">
        <v>0</v>
      </c>
      <c r="K572">
        <v>200</v>
      </c>
      <c r="L572">
        <v>0</v>
      </c>
      <c r="M572">
        <v>100</v>
      </c>
      <c r="N572">
        <v>70</v>
      </c>
      <c r="O572">
        <v>0</v>
      </c>
      <c r="P572">
        <v>70</v>
      </c>
      <c r="Q572">
        <v>0</v>
      </c>
      <c r="R572">
        <v>0</v>
      </c>
      <c r="S572">
        <v>0</v>
      </c>
      <c r="T572">
        <v>0</v>
      </c>
      <c r="U572">
        <v>30</v>
      </c>
      <c r="V572">
        <v>41</v>
      </c>
      <c r="W572">
        <v>287</v>
      </c>
      <c r="Z572">
        <v>0</v>
      </c>
      <c r="AA572" t="s">
        <v>1148</v>
      </c>
    </row>
    <row r="573" spans="1:27" x14ac:dyDescent="0.25">
      <c r="H573" t="s">
        <v>25</v>
      </c>
    </row>
    <row r="574" spans="1:27" x14ac:dyDescent="0.25">
      <c r="A574">
        <v>284</v>
      </c>
      <c r="B574">
        <v>24</v>
      </c>
      <c r="C574" t="s">
        <v>1149</v>
      </c>
      <c r="D574" t="s">
        <v>219</v>
      </c>
      <c r="E574" t="s">
        <v>369</v>
      </c>
      <c r="F574" t="s">
        <v>1150</v>
      </c>
      <c r="G574" t="str">
        <f>"00011841"</f>
        <v>00011841</v>
      </c>
      <c r="H574" t="s">
        <v>1151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157</v>
      </c>
      <c r="W574">
        <v>588</v>
      </c>
      <c r="Z574">
        <v>0</v>
      </c>
      <c r="AA574" t="s">
        <v>1152</v>
      </c>
    </row>
    <row r="575" spans="1:27" x14ac:dyDescent="0.25">
      <c r="H575" t="s">
        <v>38</v>
      </c>
    </row>
    <row r="576" spans="1:27" x14ac:dyDescent="0.25">
      <c r="A576">
        <v>285</v>
      </c>
      <c r="B576">
        <v>1172</v>
      </c>
      <c r="C576" t="s">
        <v>1153</v>
      </c>
      <c r="D576" t="s">
        <v>1154</v>
      </c>
      <c r="E576" t="s">
        <v>1155</v>
      </c>
      <c r="F576" t="s">
        <v>1156</v>
      </c>
      <c r="G576" t="str">
        <f>"200712003305"</f>
        <v>200712003305</v>
      </c>
      <c r="H576" t="s">
        <v>273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50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93</v>
      </c>
      <c r="W576">
        <v>588</v>
      </c>
      <c r="Z576">
        <v>0</v>
      </c>
      <c r="AA576" t="s">
        <v>1157</v>
      </c>
    </row>
    <row r="577" spans="1:27" x14ac:dyDescent="0.25">
      <c r="H577">
        <v>215</v>
      </c>
    </row>
    <row r="578" spans="1:27" x14ac:dyDescent="0.25">
      <c r="A578">
        <v>286</v>
      </c>
      <c r="B578">
        <v>2321</v>
      </c>
      <c r="C578" t="s">
        <v>1158</v>
      </c>
      <c r="D578" t="s">
        <v>64</v>
      </c>
      <c r="E578" t="s">
        <v>15</v>
      </c>
      <c r="F578" t="s">
        <v>1159</v>
      </c>
      <c r="G578" t="str">
        <f>"200804000405"</f>
        <v>200804000405</v>
      </c>
      <c r="H578" t="s">
        <v>946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113</v>
      </c>
      <c r="W578">
        <v>588</v>
      </c>
      <c r="Z578">
        <v>0</v>
      </c>
      <c r="AA578" t="s">
        <v>1160</v>
      </c>
    </row>
    <row r="579" spans="1:27" x14ac:dyDescent="0.25">
      <c r="H579" t="s">
        <v>38</v>
      </c>
    </row>
    <row r="580" spans="1:27" x14ac:dyDescent="0.25">
      <c r="A580">
        <v>287</v>
      </c>
      <c r="B580">
        <v>1640</v>
      </c>
      <c r="C580" t="s">
        <v>1094</v>
      </c>
      <c r="D580" t="s">
        <v>1161</v>
      </c>
      <c r="E580" t="s">
        <v>85</v>
      </c>
      <c r="F580" t="s">
        <v>1162</v>
      </c>
      <c r="G580" t="str">
        <f>"200712002404"</f>
        <v>200712002404</v>
      </c>
      <c r="H580">
        <v>671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30</v>
      </c>
      <c r="S580">
        <v>0</v>
      </c>
      <c r="T580">
        <v>0</v>
      </c>
      <c r="U580">
        <v>0</v>
      </c>
      <c r="V580">
        <v>98</v>
      </c>
      <c r="W580">
        <v>588</v>
      </c>
      <c r="Z580">
        <v>0</v>
      </c>
      <c r="AA580">
        <v>1559</v>
      </c>
    </row>
    <row r="581" spans="1:27" x14ac:dyDescent="0.25">
      <c r="H581" t="s">
        <v>38</v>
      </c>
    </row>
    <row r="582" spans="1:27" x14ac:dyDescent="0.25">
      <c r="A582">
        <v>288</v>
      </c>
      <c r="B582">
        <v>1621</v>
      </c>
      <c r="C582" t="s">
        <v>1163</v>
      </c>
      <c r="D582" t="s">
        <v>168</v>
      </c>
      <c r="E582" t="s">
        <v>533</v>
      </c>
      <c r="F582" t="s">
        <v>1164</v>
      </c>
      <c r="G582" t="str">
        <f>"00001315"</f>
        <v>00001315</v>
      </c>
      <c r="H582">
        <v>770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236</v>
      </c>
      <c r="W582">
        <v>588</v>
      </c>
      <c r="Z582">
        <v>0</v>
      </c>
      <c r="AA582">
        <v>1558</v>
      </c>
    </row>
    <row r="583" spans="1:27" x14ac:dyDescent="0.25">
      <c r="H583">
        <v>216</v>
      </c>
    </row>
    <row r="584" spans="1:27" x14ac:dyDescent="0.25">
      <c r="A584">
        <v>289</v>
      </c>
      <c r="B584">
        <v>1980</v>
      </c>
      <c r="C584" t="s">
        <v>1165</v>
      </c>
      <c r="D584" t="s">
        <v>490</v>
      </c>
      <c r="E584" t="s">
        <v>108</v>
      </c>
      <c r="F584" t="s">
        <v>1166</v>
      </c>
      <c r="G584" t="str">
        <f>"201406012224"</f>
        <v>201406012224</v>
      </c>
      <c r="H584" t="s">
        <v>1167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50</v>
      </c>
      <c r="R584">
        <v>0</v>
      </c>
      <c r="S584">
        <v>0</v>
      </c>
      <c r="T584">
        <v>0</v>
      </c>
      <c r="U584">
        <v>0</v>
      </c>
      <c r="V584">
        <v>127</v>
      </c>
      <c r="W584">
        <v>588</v>
      </c>
      <c r="Z584">
        <v>0</v>
      </c>
      <c r="AA584" t="s">
        <v>1168</v>
      </c>
    </row>
    <row r="585" spans="1:27" x14ac:dyDescent="0.25">
      <c r="H585" t="s">
        <v>1044</v>
      </c>
    </row>
    <row r="586" spans="1:27" x14ac:dyDescent="0.25">
      <c r="A586">
        <v>290</v>
      </c>
      <c r="B586">
        <v>1272</v>
      </c>
      <c r="C586" t="s">
        <v>1169</v>
      </c>
      <c r="D586" t="s">
        <v>276</v>
      </c>
      <c r="E586" t="s">
        <v>1155</v>
      </c>
      <c r="F586" t="s">
        <v>1170</v>
      </c>
      <c r="G586" t="str">
        <f>"200902000227"</f>
        <v>200902000227</v>
      </c>
      <c r="H586" t="s">
        <v>120</v>
      </c>
      <c r="I586">
        <v>0</v>
      </c>
      <c r="J586">
        <v>0</v>
      </c>
      <c r="K586">
        <v>0</v>
      </c>
      <c r="L586">
        <v>0</v>
      </c>
      <c r="M586">
        <v>100</v>
      </c>
      <c r="N586">
        <v>70</v>
      </c>
      <c r="O586">
        <v>0</v>
      </c>
      <c r="P586">
        <v>50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90</v>
      </c>
      <c r="W586">
        <v>588</v>
      </c>
      <c r="Z586">
        <v>0</v>
      </c>
      <c r="AA586" t="s">
        <v>1171</v>
      </c>
    </row>
    <row r="587" spans="1:27" x14ac:dyDescent="0.25">
      <c r="H587">
        <v>213</v>
      </c>
    </row>
    <row r="588" spans="1:27" x14ac:dyDescent="0.25">
      <c r="A588">
        <v>291</v>
      </c>
      <c r="B588">
        <v>742</v>
      </c>
      <c r="C588" t="s">
        <v>1172</v>
      </c>
      <c r="D588" t="s">
        <v>33</v>
      </c>
      <c r="E588" t="s">
        <v>1072</v>
      </c>
      <c r="F588" t="s">
        <v>1173</v>
      </c>
      <c r="G588" t="str">
        <f>"00014471"</f>
        <v>00014471</v>
      </c>
      <c r="H588" t="s">
        <v>1174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153</v>
      </c>
      <c r="W588">
        <v>588</v>
      </c>
      <c r="Z588">
        <v>2</v>
      </c>
      <c r="AA588" t="s">
        <v>1175</v>
      </c>
    </row>
    <row r="589" spans="1:27" x14ac:dyDescent="0.25">
      <c r="H589" t="s">
        <v>38</v>
      </c>
    </row>
    <row r="590" spans="1:27" x14ac:dyDescent="0.25">
      <c r="A590">
        <v>292</v>
      </c>
      <c r="B590">
        <v>2865</v>
      </c>
      <c r="C590" t="s">
        <v>1176</v>
      </c>
      <c r="D590" t="s">
        <v>1177</v>
      </c>
      <c r="E590" t="s">
        <v>1178</v>
      </c>
      <c r="F590" t="s">
        <v>1179</v>
      </c>
      <c r="G590" t="str">
        <f>"201303000495"</f>
        <v>201303000495</v>
      </c>
      <c r="H590" t="s">
        <v>1180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30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46</v>
      </c>
      <c r="W590">
        <v>322</v>
      </c>
      <c r="Z590">
        <v>0</v>
      </c>
      <c r="AA590" t="s">
        <v>1181</v>
      </c>
    </row>
    <row r="591" spans="1:27" x14ac:dyDescent="0.25">
      <c r="H591" t="s">
        <v>298</v>
      </c>
    </row>
    <row r="592" spans="1:27" x14ac:dyDescent="0.25">
      <c r="A592">
        <v>293</v>
      </c>
      <c r="B592">
        <v>3044</v>
      </c>
      <c r="C592" t="s">
        <v>1182</v>
      </c>
      <c r="D592" t="s">
        <v>289</v>
      </c>
      <c r="E592" t="s">
        <v>114</v>
      </c>
      <c r="F592" t="s">
        <v>1183</v>
      </c>
      <c r="G592" t="str">
        <f>"201405001394"</f>
        <v>201405001394</v>
      </c>
      <c r="H592" t="s">
        <v>1184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30</v>
      </c>
      <c r="R592">
        <v>0</v>
      </c>
      <c r="S592">
        <v>0</v>
      </c>
      <c r="T592">
        <v>0</v>
      </c>
      <c r="U592">
        <v>0</v>
      </c>
      <c r="V592">
        <v>132</v>
      </c>
      <c r="W592">
        <v>588</v>
      </c>
      <c r="Z592">
        <v>0</v>
      </c>
      <c r="AA592" t="s">
        <v>1185</v>
      </c>
    </row>
    <row r="593" spans="1:27" x14ac:dyDescent="0.25">
      <c r="H593">
        <v>216</v>
      </c>
    </row>
    <row r="594" spans="1:27" x14ac:dyDescent="0.25">
      <c r="A594">
        <v>294</v>
      </c>
      <c r="B594">
        <v>1882</v>
      </c>
      <c r="C594" t="s">
        <v>1186</v>
      </c>
      <c r="D594" t="s">
        <v>151</v>
      </c>
      <c r="E594" t="s">
        <v>1187</v>
      </c>
      <c r="F594" t="s">
        <v>1188</v>
      </c>
      <c r="G594" t="str">
        <f>"201511023547"</f>
        <v>201511023547</v>
      </c>
      <c r="H594" t="s">
        <v>419</v>
      </c>
      <c r="I594">
        <v>0</v>
      </c>
      <c r="J594">
        <v>400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30</v>
      </c>
      <c r="S594">
        <v>0</v>
      </c>
      <c r="T594">
        <v>0</v>
      </c>
      <c r="U594">
        <v>0</v>
      </c>
      <c r="V594">
        <v>12</v>
      </c>
      <c r="W594">
        <v>84</v>
      </c>
      <c r="Z594">
        <v>0</v>
      </c>
      <c r="AA594" t="s">
        <v>1189</v>
      </c>
    </row>
    <row r="595" spans="1:27" x14ac:dyDescent="0.25">
      <c r="H595" t="s">
        <v>31</v>
      </c>
    </row>
    <row r="596" spans="1:27" x14ac:dyDescent="0.25">
      <c r="A596">
        <v>295</v>
      </c>
      <c r="B596">
        <v>1808</v>
      </c>
      <c r="C596" t="s">
        <v>1190</v>
      </c>
      <c r="D596" t="s">
        <v>33</v>
      </c>
      <c r="E596" t="s">
        <v>387</v>
      </c>
      <c r="F596" t="s">
        <v>1191</v>
      </c>
      <c r="G596" t="str">
        <f>"201504004524"</f>
        <v>201504004524</v>
      </c>
      <c r="H596" t="s">
        <v>1192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75</v>
      </c>
      <c r="W596">
        <v>525</v>
      </c>
      <c r="Z596">
        <v>0</v>
      </c>
      <c r="AA596" t="s">
        <v>1189</v>
      </c>
    </row>
    <row r="597" spans="1:27" x14ac:dyDescent="0.25">
      <c r="H597" t="s">
        <v>237</v>
      </c>
    </row>
    <row r="598" spans="1:27" x14ac:dyDescent="0.25">
      <c r="A598">
        <v>296</v>
      </c>
      <c r="B598">
        <v>2385</v>
      </c>
      <c r="C598" t="s">
        <v>1193</v>
      </c>
      <c r="D598" t="s">
        <v>225</v>
      </c>
      <c r="E598" t="s">
        <v>1194</v>
      </c>
      <c r="F598" t="s">
        <v>1195</v>
      </c>
      <c r="G598" t="str">
        <f>"201511036341"</f>
        <v>201511036341</v>
      </c>
      <c r="H598" t="s">
        <v>1196</v>
      </c>
      <c r="I598">
        <v>150</v>
      </c>
      <c r="J598">
        <v>0</v>
      </c>
      <c r="K598">
        <v>0</v>
      </c>
      <c r="L598">
        <v>200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41</v>
      </c>
      <c r="W598">
        <v>287</v>
      </c>
      <c r="Z598">
        <v>0</v>
      </c>
      <c r="AA598" t="s">
        <v>1197</v>
      </c>
    </row>
    <row r="599" spans="1:27" x14ac:dyDescent="0.25">
      <c r="H599" t="s">
        <v>38</v>
      </c>
    </row>
    <row r="600" spans="1:27" x14ac:dyDescent="0.25">
      <c r="A600">
        <v>297</v>
      </c>
      <c r="B600">
        <v>3163</v>
      </c>
      <c r="C600" t="s">
        <v>1198</v>
      </c>
      <c r="D600" t="s">
        <v>1199</v>
      </c>
      <c r="E600" t="s">
        <v>1200</v>
      </c>
      <c r="F600" t="s">
        <v>1201</v>
      </c>
      <c r="G600" t="str">
        <f>"201511042038"</f>
        <v>201511042038</v>
      </c>
      <c r="H600">
        <v>946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70</v>
      </c>
      <c r="V600">
        <v>69</v>
      </c>
      <c r="W600">
        <v>483</v>
      </c>
      <c r="Z600">
        <v>0</v>
      </c>
      <c r="AA600">
        <v>1549</v>
      </c>
    </row>
    <row r="601" spans="1:27" x14ac:dyDescent="0.25">
      <c r="H601">
        <v>216</v>
      </c>
    </row>
    <row r="602" spans="1:27" x14ac:dyDescent="0.25">
      <c r="A602">
        <v>298</v>
      </c>
      <c r="B602">
        <v>1144</v>
      </c>
      <c r="C602" t="s">
        <v>1202</v>
      </c>
      <c r="D602" t="s">
        <v>1203</v>
      </c>
      <c r="E602" t="s">
        <v>158</v>
      </c>
      <c r="F602" t="s">
        <v>1204</v>
      </c>
      <c r="G602" t="str">
        <f>"200809000897"</f>
        <v>200809000897</v>
      </c>
      <c r="H602" t="s">
        <v>550</v>
      </c>
      <c r="I602">
        <v>0</v>
      </c>
      <c r="J602">
        <v>0</v>
      </c>
      <c r="K602">
        <v>0</v>
      </c>
      <c r="L602">
        <v>0</v>
      </c>
      <c r="M602">
        <v>100</v>
      </c>
      <c r="N602">
        <v>70</v>
      </c>
      <c r="O602">
        <v>70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74</v>
      </c>
      <c r="W602">
        <v>518</v>
      </c>
      <c r="Z602">
        <v>0</v>
      </c>
      <c r="AA602" t="s">
        <v>1205</v>
      </c>
    </row>
    <row r="603" spans="1:27" x14ac:dyDescent="0.25">
      <c r="H603" t="s">
        <v>38</v>
      </c>
    </row>
    <row r="604" spans="1:27" x14ac:dyDescent="0.25">
      <c r="A604">
        <v>299</v>
      </c>
      <c r="B604">
        <v>3131</v>
      </c>
      <c r="C604" t="s">
        <v>1206</v>
      </c>
      <c r="D604" t="s">
        <v>1207</v>
      </c>
      <c r="E604" t="s">
        <v>533</v>
      </c>
      <c r="F604" t="s">
        <v>1208</v>
      </c>
      <c r="G604" t="str">
        <f>"201603000272"</f>
        <v>201603000272</v>
      </c>
      <c r="H604" t="s">
        <v>588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0</v>
      </c>
      <c r="P604">
        <v>0</v>
      </c>
      <c r="Q604">
        <v>50</v>
      </c>
      <c r="R604">
        <v>0</v>
      </c>
      <c r="S604">
        <v>0</v>
      </c>
      <c r="T604">
        <v>0</v>
      </c>
      <c r="U604">
        <v>0</v>
      </c>
      <c r="V604">
        <v>63</v>
      </c>
      <c r="W604">
        <v>441</v>
      </c>
      <c r="Z604">
        <v>0</v>
      </c>
      <c r="AA604" t="s">
        <v>1209</v>
      </c>
    </row>
    <row r="605" spans="1:27" x14ac:dyDescent="0.25">
      <c r="H605">
        <v>216</v>
      </c>
    </row>
    <row r="606" spans="1:27" x14ac:dyDescent="0.25">
      <c r="A606">
        <v>300</v>
      </c>
      <c r="B606">
        <v>2718</v>
      </c>
      <c r="C606" t="s">
        <v>324</v>
      </c>
      <c r="D606" t="s">
        <v>1032</v>
      </c>
      <c r="E606" t="s">
        <v>108</v>
      </c>
      <c r="F606" t="s">
        <v>1210</v>
      </c>
      <c r="G606" t="str">
        <f>"200812000178"</f>
        <v>200812000178</v>
      </c>
      <c r="H606" t="s">
        <v>1211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50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118</v>
      </c>
      <c r="W606">
        <v>588</v>
      </c>
      <c r="Z606">
        <v>0</v>
      </c>
      <c r="AA606" t="s">
        <v>1209</v>
      </c>
    </row>
    <row r="607" spans="1:27" x14ac:dyDescent="0.25">
      <c r="H607" t="s">
        <v>223</v>
      </c>
    </row>
    <row r="608" spans="1:27" x14ac:dyDescent="0.25">
      <c r="A608">
        <v>301</v>
      </c>
      <c r="B608">
        <v>533</v>
      </c>
      <c r="C608" t="s">
        <v>1212</v>
      </c>
      <c r="D608" t="s">
        <v>1203</v>
      </c>
      <c r="E608" t="s">
        <v>41</v>
      </c>
      <c r="F608" t="s">
        <v>1213</v>
      </c>
      <c r="G608" t="str">
        <f>"201304001191"</f>
        <v>201304001191</v>
      </c>
      <c r="H608" t="s">
        <v>1214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70</v>
      </c>
      <c r="O608">
        <v>30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Z608">
        <v>0</v>
      </c>
      <c r="AA608" t="s">
        <v>1215</v>
      </c>
    </row>
    <row r="609" spans="1:27" x14ac:dyDescent="0.25">
      <c r="H609" t="s">
        <v>357</v>
      </c>
    </row>
    <row r="610" spans="1:27" x14ac:dyDescent="0.25">
      <c r="A610">
        <v>302</v>
      </c>
      <c r="B610">
        <v>1233</v>
      </c>
      <c r="C610" t="s">
        <v>1216</v>
      </c>
      <c r="D610" t="s">
        <v>85</v>
      </c>
      <c r="E610" t="s">
        <v>158</v>
      </c>
      <c r="F610" t="s">
        <v>1217</v>
      </c>
      <c r="G610" t="str">
        <f>"201401002298"</f>
        <v>201401002298</v>
      </c>
      <c r="H610" t="s">
        <v>1030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Z610">
        <v>0</v>
      </c>
      <c r="AA610" t="s">
        <v>1218</v>
      </c>
    </row>
    <row r="611" spans="1:27" x14ac:dyDescent="0.25">
      <c r="H611" t="s">
        <v>38</v>
      </c>
    </row>
    <row r="612" spans="1:27" x14ac:dyDescent="0.25">
      <c r="A612">
        <v>303</v>
      </c>
      <c r="B612">
        <v>1454</v>
      </c>
      <c r="C612" t="s">
        <v>1219</v>
      </c>
      <c r="D612" t="s">
        <v>1085</v>
      </c>
      <c r="E612" t="s">
        <v>108</v>
      </c>
      <c r="F612" t="s">
        <v>1220</v>
      </c>
      <c r="G612" t="str">
        <f>"200712002948"</f>
        <v>200712002948</v>
      </c>
      <c r="H612">
        <v>726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97</v>
      </c>
      <c r="W612">
        <v>588</v>
      </c>
      <c r="Z612">
        <v>0</v>
      </c>
      <c r="AA612">
        <v>1544</v>
      </c>
    </row>
    <row r="613" spans="1:27" x14ac:dyDescent="0.25">
      <c r="H613" t="s">
        <v>38</v>
      </c>
    </row>
    <row r="614" spans="1:27" x14ac:dyDescent="0.25">
      <c r="A614">
        <v>304</v>
      </c>
      <c r="B614">
        <v>2533</v>
      </c>
      <c r="C614" t="s">
        <v>1221</v>
      </c>
      <c r="D614" t="s">
        <v>64</v>
      </c>
      <c r="E614" t="s">
        <v>1072</v>
      </c>
      <c r="F614" t="s">
        <v>1222</v>
      </c>
      <c r="G614" t="str">
        <f>"201506003910"</f>
        <v>201506003910</v>
      </c>
      <c r="H614" t="s">
        <v>1223</v>
      </c>
      <c r="I614">
        <v>0</v>
      </c>
      <c r="J614">
        <v>0</v>
      </c>
      <c r="K614">
        <v>0</v>
      </c>
      <c r="L614">
        <v>260</v>
      </c>
      <c r="M614">
        <v>0</v>
      </c>
      <c r="N614">
        <v>70</v>
      </c>
      <c r="O614">
        <v>0</v>
      </c>
      <c r="P614">
        <v>50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46</v>
      </c>
      <c r="W614">
        <v>322</v>
      </c>
      <c r="Z614">
        <v>0</v>
      </c>
      <c r="AA614" t="s">
        <v>1224</v>
      </c>
    </row>
    <row r="615" spans="1:27" x14ac:dyDescent="0.25">
      <c r="H615" t="s">
        <v>38</v>
      </c>
    </row>
    <row r="616" spans="1:27" x14ac:dyDescent="0.25">
      <c r="A616">
        <v>305</v>
      </c>
      <c r="B616">
        <v>3017</v>
      </c>
      <c r="C616" t="s">
        <v>1225</v>
      </c>
      <c r="D616" t="s">
        <v>219</v>
      </c>
      <c r="E616" t="s">
        <v>129</v>
      </c>
      <c r="F616" t="s">
        <v>1226</v>
      </c>
      <c r="G616" t="str">
        <f>"200801004859"</f>
        <v>200801004859</v>
      </c>
      <c r="H616" t="s">
        <v>950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50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72</v>
      </c>
      <c r="W616">
        <v>504</v>
      </c>
      <c r="Z616">
        <v>0</v>
      </c>
      <c r="AA616" t="s">
        <v>1227</v>
      </c>
    </row>
    <row r="617" spans="1:27" x14ac:dyDescent="0.25">
      <c r="H617">
        <v>216</v>
      </c>
    </row>
    <row r="618" spans="1:27" x14ac:dyDescent="0.25">
      <c r="A618">
        <v>306</v>
      </c>
      <c r="B618">
        <v>384</v>
      </c>
      <c r="C618" t="s">
        <v>1228</v>
      </c>
      <c r="D618" t="s">
        <v>151</v>
      </c>
      <c r="E618" t="s">
        <v>108</v>
      </c>
      <c r="F618" t="s">
        <v>1229</v>
      </c>
      <c r="G618" t="str">
        <f>"201304004019"</f>
        <v>201304004019</v>
      </c>
      <c r="H618">
        <v>880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56</v>
      </c>
      <c r="W618">
        <v>392</v>
      </c>
      <c r="Z618">
        <v>0</v>
      </c>
      <c r="AA618">
        <v>1542</v>
      </c>
    </row>
    <row r="619" spans="1:27" x14ac:dyDescent="0.25">
      <c r="H619" t="s">
        <v>248</v>
      </c>
    </row>
    <row r="620" spans="1:27" x14ac:dyDescent="0.25">
      <c r="A620">
        <v>307</v>
      </c>
      <c r="B620">
        <v>1836</v>
      </c>
      <c r="C620" t="s">
        <v>1230</v>
      </c>
      <c r="D620" t="s">
        <v>194</v>
      </c>
      <c r="E620" t="s">
        <v>1231</v>
      </c>
      <c r="F620" t="s">
        <v>1232</v>
      </c>
      <c r="G620" t="str">
        <f>"201304004849"</f>
        <v>201304004849</v>
      </c>
      <c r="H620">
        <v>858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59</v>
      </c>
      <c r="W620">
        <v>413</v>
      </c>
      <c r="Z620">
        <v>0</v>
      </c>
      <c r="AA620">
        <v>1541</v>
      </c>
    </row>
    <row r="621" spans="1:27" x14ac:dyDescent="0.25">
      <c r="H621" t="s">
        <v>357</v>
      </c>
    </row>
    <row r="622" spans="1:27" x14ac:dyDescent="0.25">
      <c r="A622">
        <v>308</v>
      </c>
      <c r="B622">
        <v>453</v>
      </c>
      <c r="C622" t="s">
        <v>514</v>
      </c>
      <c r="D622" t="s">
        <v>151</v>
      </c>
      <c r="E622" t="s">
        <v>41</v>
      </c>
      <c r="F622" t="s">
        <v>1233</v>
      </c>
      <c r="G622" t="str">
        <f>"201304003733"</f>
        <v>201304003733</v>
      </c>
      <c r="H622" t="s">
        <v>415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0</v>
      </c>
      <c r="P622">
        <v>0</v>
      </c>
      <c r="Q622">
        <v>30</v>
      </c>
      <c r="R622">
        <v>0</v>
      </c>
      <c r="S622">
        <v>0</v>
      </c>
      <c r="T622">
        <v>0</v>
      </c>
      <c r="U622">
        <v>0</v>
      </c>
      <c r="V622">
        <v>69</v>
      </c>
      <c r="W622">
        <v>483</v>
      </c>
      <c r="Z622">
        <v>0</v>
      </c>
      <c r="AA622" t="s">
        <v>1234</v>
      </c>
    </row>
    <row r="623" spans="1:27" x14ac:dyDescent="0.25">
      <c r="H623" t="s">
        <v>357</v>
      </c>
    </row>
    <row r="624" spans="1:27" x14ac:dyDescent="0.25">
      <c r="A624">
        <v>309</v>
      </c>
      <c r="B624">
        <v>752</v>
      </c>
      <c r="C624" t="s">
        <v>1235</v>
      </c>
      <c r="D624" t="s">
        <v>234</v>
      </c>
      <c r="E624" t="s">
        <v>1236</v>
      </c>
      <c r="F624" t="s">
        <v>1237</v>
      </c>
      <c r="G624" t="str">
        <f>"201406011340"</f>
        <v>201406011340</v>
      </c>
      <c r="H624" t="s">
        <v>861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72</v>
      </c>
      <c r="W624">
        <v>504</v>
      </c>
      <c r="Z624">
        <v>0</v>
      </c>
      <c r="AA624" t="s">
        <v>1238</v>
      </c>
    </row>
    <row r="625" spans="1:27" x14ac:dyDescent="0.25">
      <c r="H625" t="s">
        <v>38</v>
      </c>
    </row>
    <row r="626" spans="1:27" x14ac:dyDescent="0.25">
      <c r="A626">
        <v>310</v>
      </c>
      <c r="B626">
        <v>2049</v>
      </c>
      <c r="C626" t="s">
        <v>1239</v>
      </c>
      <c r="D626" t="s">
        <v>64</v>
      </c>
      <c r="E626" t="s">
        <v>284</v>
      </c>
      <c r="F626" t="s">
        <v>1240</v>
      </c>
      <c r="G626" t="str">
        <f>"201304002783"</f>
        <v>201304002783</v>
      </c>
      <c r="H626">
        <v>671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50</v>
      </c>
      <c r="O626">
        <v>30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146</v>
      </c>
      <c r="W626">
        <v>588</v>
      </c>
      <c r="Z626">
        <v>0</v>
      </c>
      <c r="AA626">
        <v>1539</v>
      </c>
    </row>
    <row r="627" spans="1:27" x14ac:dyDescent="0.25">
      <c r="H627" t="s">
        <v>38</v>
      </c>
    </row>
    <row r="628" spans="1:27" x14ac:dyDescent="0.25">
      <c r="A628">
        <v>311</v>
      </c>
      <c r="B628">
        <v>2757</v>
      </c>
      <c r="C628" t="s">
        <v>1241</v>
      </c>
      <c r="D628" t="s">
        <v>1242</v>
      </c>
      <c r="E628" t="s">
        <v>108</v>
      </c>
      <c r="F628" t="s">
        <v>1243</v>
      </c>
      <c r="G628" t="str">
        <f>"201409000177"</f>
        <v>201409000177</v>
      </c>
      <c r="H628" t="s">
        <v>558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112</v>
      </c>
      <c r="W628">
        <v>588</v>
      </c>
      <c r="Z628">
        <v>0</v>
      </c>
      <c r="AA628" t="s">
        <v>1244</v>
      </c>
    </row>
    <row r="629" spans="1:27" x14ac:dyDescent="0.25">
      <c r="H629" t="s">
        <v>89</v>
      </c>
    </row>
    <row r="630" spans="1:27" x14ac:dyDescent="0.25">
      <c r="A630">
        <v>312</v>
      </c>
      <c r="B630">
        <v>1153</v>
      </c>
      <c r="C630" t="s">
        <v>1245</v>
      </c>
      <c r="D630" t="s">
        <v>200</v>
      </c>
      <c r="E630" t="s">
        <v>387</v>
      </c>
      <c r="F630" t="s">
        <v>1246</v>
      </c>
      <c r="G630" t="str">
        <f>"201402006167"</f>
        <v>201402006167</v>
      </c>
      <c r="H630" t="s">
        <v>131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112</v>
      </c>
      <c r="W630">
        <v>588</v>
      </c>
      <c r="Z630">
        <v>0</v>
      </c>
      <c r="AA630" t="s">
        <v>1247</v>
      </c>
    </row>
    <row r="631" spans="1:27" x14ac:dyDescent="0.25">
      <c r="H631" t="s">
        <v>31</v>
      </c>
    </row>
    <row r="632" spans="1:27" x14ac:dyDescent="0.25">
      <c r="A632">
        <v>313</v>
      </c>
      <c r="B632">
        <v>2921</v>
      </c>
      <c r="C632" t="s">
        <v>1248</v>
      </c>
      <c r="D632" t="s">
        <v>151</v>
      </c>
      <c r="E632" t="s">
        <v>64</v>
      </c>
      <c r="F632" t="s">
        <v>1249</v>
      </c>
      <c r="G632" t="str">
        <f>"200801010479"</f>
        <v>200801010479</v>
      </c>
      <c r="H632" t="s">
        <v>681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30</v>
      </c>
      <c r="R632">
        <v>30</v>
      </c>
      <c r="S632">
        <v>0</v>
      </c>
      <c r="T632">
        <v>0</v>
      </c>
      <c r="U632">
        <v>0</v>
      </c>
      <c r="V632">
        <v>134</v>
      </c>
      <c r="W632">
        <v>588</v>
      </c>
      <c r="Z632">
        <v>0</v>
      </c>
      <c r="AA632" t="s">
        <v>1250</v>
      </c>
    </row>
    <row r="633" spans="1:27" x14ac:dyDescent="0.25">
      <c r="H633" t="s">
        <v>106</v>
      </c>
    </row>
    <row r="634" spans="1:27" x14ac:dyDescent="0.25">
      <c r="A634">
        <v>314</v>
      </c>
      <c r="B634">
        <v>2884</v>
      </c>
      <c r="C634" t="s">
        <v>373</v>
      </c>
      <c r="D634" t="s">
        <v>168</v>
      </c>
      <c r="E634" t="s">
        <v>1251</v>
      </c>
      <c r="F634" t="s">
        <v>1252</v>
      </c>
      <c r="G634" t="str">
        <f>"201409005421"</f>
        <v>201409005421</v>
      </c>
      <c r="H634" t="s">
        <v>675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68</v>
      </c>
      <c r="W634">
        <v>476</v>
      </c>
      <c r="Z634">
        <v>0</v>
      </c>
      <c r="AA634" t="s">
        <v>1253</v>
      </c>
    </row>
    <row r="635" spans="1:27" x14ac:dyDescent="0.25">
      <c r="H635" t="s">
        <v>293</v>
      </c>
    </row>
    <row r="636" spans="1:27" x14ac:dyDescent="0.25">
      <c r="A636">
        <v>315</v>
      </c>
      <c r="B636">
        <v>3224</v>
      </c>
      <c r="C636" t="s">
        <v>1254</v>
      </c>
      <c r="D636" t="s">
        <v>158</v>
      </c>
      <c r="E636" t="s">
        <v>879</v>
      </c>
      <c r="F636" t="s">
        <v>1255</v>
      </c>
      <c r="G636" t="str">
        <f>"201304000901"</f>
        <v>201304000901</v>
      </c>
      <c r="H636" t="s">
        <v>1256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63</v>
      </c>
      <c r="W636">
        <v>441</v>
      </c>
      <c r="Z636">
        <v>0</v>
      </c>
      <c r="AA636" t="s">
        <v>1257</v>
      </c>
    </row>
    <row r="637" spans="1:27" x14ac:dyDescent="0.25">
      <c r="H637" t="s">
        <v>49</v>
      </c>
    </row>
    <row r="638" spans="1:27" x14ac:dyDescent="0.25">
      <c r="A638">
        <v>316</v>
      </c>
      <c r="B638">
        <v>488</v>
      </c>
      <c r="C638" t="s">
        <v>1258</v>
      </c>
      <c r="D638" t="s">
        <v>1259</v>
      </c>
      <c r="E638" t="s">
        <v>284</v>
      </c>
      <c r="F638" t="s">
        <v>1260</v>
      </c>
      <c r="G638" t="str">
        <f>"201410004682"</f>
        <v>201410004682</v>
      </c>
      <c r="H638" t="s">
        <v>1261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30</v>
      </c>
      <c r="P638">
        <v>0</v>
      </c>
      <c r="Q638">
        <v>0</v>
      </c>
      <c r="R638">
        <v>30</v>
      </c>
      <c r="S638">
        <v>0</v>
      </c>
      <c r="T638">
        <v>0</v>
      </c>
      <c r="U638">
        <v>0</v>
      </c>
      <c r="V638">
        <v>66</v>
      </c>
      <c r="W638">
        <v>462</v>
      </c>
      <c r="Z638">
        <v>0</v>
      </c>
      <c r="AA638" t="s">
        <v>1262</v>
      </c>
    </row>
    <row r="639" spans="1:27" x14ac:dyDescent="0.25">
      <c r="H639">
        <v>215</v>
      </c>
    </row>
    <row r="640" spans="1:27" x14ac:dyDescent="0.25">
      <c r="A640">
        <v>317</v>
      </c>
      <c r="B640">
        <v>310</v>
      </c>
      <c r="C640" t="s">
        <v>1263</v>
      </c>
      <c r="D640" t="s">
        <v>276</v>
      </c>
      <c r="E640" t="s">
        <v>200</v>
      </c>
      <c r="F640" t="s">
        <v>1264</v>
      </c>
      <c r="G640" t="str">
        <f>"201304004024"</f>
        <v>201304004024</v>
      </c>
      <c r="H640" t="s">
        <v>1261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30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70</v>
      </c>
      <c r="W640">
        <v>490</v>
      </c>
      <c r="Z640">
        <v>0</v>
      </c>
      <c r="AA640" t="s">
        <v>1265</v>
      </c>
    </row>
    <row r="641" spans="1:27" x14ac:dyDescent="0.25">
      <c r="H641" t="s">
        <v>38</v>
      </c>
    </row>
    <row r="642" spans="1:27" x14ac:dyDescent="0.25">
      <c r="A642">
        <v>318</v>
      </c>
      <c r="B642">
        <v>3156</v>
      </c>
      <c r="C642" t="s">
        <v>1266</v>
      </c>
      <c r="D642" t="s">
        <v>15</v>
      </c>
      <c r="E642" t="s">
        <v>41</v>
      </c>
      <c r="F642" t="s">
        <v>1267</v>
      </c>
      <c r="G642" t="str">
        <f>"201004000099"</f>
        <v>201004000099</v>
      </c>
      <c r="H642" t="s">
        <v>1030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76</v>
      </c>
      <c r="W642">
        <v>532</v>
      </c>
      <c r="Z642">
        <v>0</v>
      </c>
      <c r="AA642" t="s">
        <v>1268</v>
      </c>
    </row>
    <row r="643" spans="1:27" x14ac:dyDescent="0.25">
      <c r="H643" t="s">
        <v>31</v>
      </c>
    </row>
    <row r="644" spans="1:27" x14ac:dyDescent="0.25">
      <c r="A644">
        <v>319</v>
      </c>
      <c r="B644">
        <v>443</v>
      </c>
      <c r="C644" t="s">
        <v>437</v>
      </c>
      <c r="D644" t="s">
        <v>182</v>
      </c>
      <c r="E644" t="s">
        <v>14</v>
      </c>
      <c r="F644" t="s">
        <v>1269</v>
      </c>
      <c r="G644" t="str">
        <f>"00013583"</f>
        <v>00013583</v>
      </c>
      <c r="H644" t="s">
        <v>1270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50</v>
      </c>
      <c r="O644">
        <v>50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55</v>
      </c>
      <c r="W644">
        <v>385</v>
      </c>
      <c r="Z644">
        <v>0</v>
      </c>
      <c r="AA644" t="s">
        <v>1271</v>
      </c>
    </row>
    <row r="645" spans="1:27" x14ac:dyDescent="0.25">
      <c r="H645">
        <v>215</v>
      </c>
    </row>
    <row r="646" spans="1:27" x14ac:dyDescent="0.25">
      <c r="A646">
        <v>320</v>
      </c>
      <c r="B646">
        <v>2051</v>
      </c>
      <c r="C646" t="s">
        <v>1272</v>
      </c>
      <c r="D646" t="s">
        <v>151</v>
      </c>
      <c r="E646" t="s">
        <v>158</v>
      </c>
      <c r="F646" t="s">
        <v>1273</v>
      </c>
      <c r="G646" t="str">
        <f>"200802001201"</f>
        <v>200802001201</v>
      </c>
      <c r="H646" t="s">
        <v>410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68</v>
      </c>
      <c r="W646">
        <v>476</v>
      </c>
      <c r="Z646">
        <v>0</v>
      </c>
      <c r="AA646" t="s">
        <v>1274</v>
      </c>
    </row>
    <row r="647" spans="1:27" x14ac:dyDescent="0.25">
      <c r="H647">
        <v>213</v>
      </c>
    </row>
    <row r="648" spans="1:27" x14ac:dyDescent="0.25">
      <c r="A648">
        <v>321</v>
      </c>
      <c r="B648">
        <v>354</v>
      </c>
      <c r="C648" t="s">
        <v>303</v>
      </c>
      <c r="D648" t="s">
        <v>58</v>
      </c>
      <c r="E648" t="s">
        <v>85</v>
      </c>
      <c r="F648" t="s">
        <v>1275</v>
      </c>
      <c r="G648" t="str">
        <f>"201304000925"</f>
        <v>201304000925</v>
      </c>
      <c r="H648" t="s">
        <v>446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50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58</v>
      </c>
      <c r="W648">
        <v>406</v>
      </c>
      <c r="Z648">
        <v>0</v>
      </c>
      <c r="AA648" t="s">
        <v>1276</v>
      </c>
    </row>
    <row r="649" spans="1:27" x14ac:dyDescent="0.25">
      <c r="H649" t="s">
        <v>38</v>
      </c>
    </row>
    <row r="650" spans="1:27" x14ac:dyDescent="0.25">
      <c r="A650">
        <v>322</v>
      </c>
      <c r="B650">
        <v>2344</v>
      </c>
      <c r="C650" t="s">
        <v>1277</v>
      </c>
      <c r="D650" t="s">
        <v>151</v>
      </c>
      <c r="E650" t="s">
        <v>158</v>
      </c>
      <c r="F650" t="s">
        <v>1278</v>
      </c>
      <c r="G650" t="str">
        <f>"00013719"</f>
        <v>00013719</v>
      </c>
      <c r="H650" t="s">
        <v>630</v>
      </c>
      <c r="I650">
        <v>0</v>
      </c>
      <c r="J650">
        <v>0</v>
      </c>
      <c r="K650">
        <v>0</v>
      </c>
      <c r="L650">
        <v>0</v>
      </c>
      <c r="M650">
        <v>100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71</v>
      </c>
      <c r="W650">
        <v>497</v>
      </c>
      <c r="Z650">
        <v>2</v>
      </c>
      <c r="AA650" t="s">
        <v>1279</v>
      </c>
    </row>
    <row r="651" spans="1:27" x14ac:dyDescent="0.25">
      <c r="H651">
        <v>216</v>
      </c>
    </row>
    <row r="652" spans="1:27" x14ac:dyDescent="0.25">
      <c r="A652">
        <v>323</v>
      </c>
      <c r="B652">
        <v>172</v>
      </c>
      <c r="C652" t="s">
        <v>1280</v>
      </c>
      <c r="D652" t="s">
        <v>65</v>
      </c>
      <c r="E652" t="s">
        <v>85</v>
      </c>
      <c r="F652" t="s">
        <v>1281</v>
      </c>
      <c r="G652" t="str">
        <f>"201304000443"</f>
        <v>201304000443</v>
      </c>
      <c r="H652" t="s">
        <v>1282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253</v>
      </c>
      <c r="W652">
        <v>588</v>
      </c>
      <c r="Z652">
        <v>0</v>
      </c>
      <c r="AA652" t="s">
        <v>1283</v>
      </c>
    </row>
    <row r="653" spans="1:27" x14ac:dyDescent="0.25">
      <c r="H653">
        <v>215</v>
      </c>
    </row>
    <row r="654" spans="1:27" x14ac:dyDescent="0.25">
      <c r="A654">
        <v>324</v>
      </c>
      <c r="B654">
        <v>1174</v>
      </c>
      <c r="C654" t="s">
        <v>1284</v>
      </c>
      <c r="D654" t="s">
        <v>1285</v>
      </c>
      <c r="E654" t="s">
        <v>123</v>
      </c>
      <c r="F654" t="s">
        <v>1286</v>
      </c>
      <c r="G654" t="str">
        <f>"201304002969"</f>
        <v>201304002969</v>
      </c>
      <c r="H654">
        <v>902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30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46</v>
      </c>
      <c r="W654">
        <v>322</v>
      </c>
      <c r="Z654">
        <v>0</v>
      </c>
      <c r="AA654">
        <v>1524</v>
      </c>
    </row>
    <row r="655" spans="1:27" x14ac:dyDescent="0.25">
      <c r="H655" t="s">
        <v>223</v>
      </c>
    </row>
    <row r="656" spans="1:27" x14ac:dyDescent="0.25">
      <c r="A656">
        <v>325</v>
      </c>
      <c r="B656">
        <v>1058</v>
      </c>
      <c r="C656" t="s">
        <v>1287</v>
      </c>
      <c r="D656" t="s">
        <v>194</v>
      </c>
      <c r="E656" t="s">
        <v>1288</v>
      </c>
      <c r="F656">
        <v>14852</v>
      </c>
      <c r="G656" t="str">
        <f>"201410001809"</f>
        <v>201410001809</v>
      </c>
      <c r="H656">
        <v>781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0</v>
      </c>
      <c r="P656">
        <v>30</v>
      </c>
      <c r="Q656">
        <v>30</v>
      </c>
      <c r="R656">
        <v>0</v>
      </c>
      <c r="S656">
        <v>0</v>
      </c>
      <c r="T656">
        <v>0</v>
      </c>
      <c r="U656">
        <v>0</v>
      </c>
      <c r="V656">
        <v>59</v>
      </c>
      <c r="W656">
        <v>413</v>
      </c>
      <c r="Z656">
        <v>0</v>
      </c>
      <c r="AA656">
        <v>1524</v>
      </c>
    </row>
    <row r="657" spans="1:27" x14ac:dyDescent="0.25">
      <c r="H657" t="s">
        <v>223</v>
      </c>
    </row>
    <row r="658" spans="1:27" x14ac:dyDescent="0.25">
      <c r="A658">
        <v>326</v>
      </c>
      <c r="B658">
        <v>409</v>
      </c>
      <c r="C658" t="s">
        <v>1289</v>
      </c>
      <c r="D658" t="s">
        <v>284</v>
      </c>
      <c r="E658" t="s">
        <v>41</v>
      </c>
      <c r="F658" t="s">
        <v>1290</v>
      </c>
      <c r="G658" t="str">
        <f>"201410008444"</f>
        <v>201410008444</v>
      </c>
      <c r="H658" t="s">
        <v>872</v>
      </c>
      <c r="I658">
        <v>0</v>
      </c>
      <c r="J658">
        <v>400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17</v>
      </c>
      <c r="W658">
        <v>119</v>
      </c>
      <c r="Z658">
        <v>0</v>
      </c>
      <c r="AA658" t="s">
        <v>1291</v>
      </c>
    </row>
    <row r="659" spans="1:27" x14ac:dyDescent="0.25">
      <c r="H659" t="s">
        <v>78</v>
      </c>
    </row>
    <row r="660" spans="1:27" x14ac:dyDescent="0.25">
      <c r="A660">
        <v>327</v>
      </c>
      <c r="B660">
        <v>1815</v>
      </c>
      <c r="C660" t="s">
        <v>1292</v>
      </c>
      <c r="D660" t="s">
        <v>64</v>
      </c>
      <c r="E660" t="s">
        <v>533</v>
      </c>
      <c r="F660" t="s">
        <v>1293</v>
      </c>
      <c r="G660" t="str">
        <f>"00015193"</f>
        <v>00015193</v>
      </c>
      <c r="H660" t="s">
        <v>154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Z660">
        <v>0</v>
      </c>
      <c r="AA660" t="s">
        <v>1294</v>
      </c>
    </row>
    <row r="661" spans="1:27" x14ac:dyDescent="0.25">
      <c r="H661">
        <v>216</v>
      </c>
    </row>
    <row r="662" spans="1:27" x14ac:dyDescent="0.25">
      <c r="A662">
        <v>328</v>
      </c>
      <c r="B662">
        <v>2656</v>
      </c>
      <c r="C662" t="s">
        <v>1295</v>
      </c>
      <c r="D662" t="s">
        <v>725</v>
      </c>
      <c r="E662" t="s">
        <v>34</v>
      </c>
      <c r="F662" t="s">
        <v>1296</v>
      </c>
      <c r="G662" t="str">
        <f>"201406005100"</f>
        <v>201406005100</v>
      </c>
      <c r="H662" t="s">
        <v>1030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75</v>
      </c>
      <c r="W662">
        <v>525</v>
      </c>
      <c r="Z662">
        <v>0</v>
      </c>
      <c r="AA662" t="s">
        <v>1297</v>
      </c>
    </row>
    <row r="663" spans="1:27" x14ac:dyDescent="0.25">
      <c r="H663" t="s">
        <v>659</v>
      </c>
    </row>
    <row r="664" spans="1:27" x14ac:dyDescent="0.25">
      <c r="A664">
        <v>329</v>
      </c>
      <c r="B664">
        <v>1987</v>
      </c>
      <c r="C664" t="s">
        <v>1298</v>
      </c>
      <c r="D664" t="s">
        <v>33</v>
      </c>
      <c r="E664" t="s">
        <v>284</v>
      </c>
      <c r="F664" t="s">
        <v>1299</v>
      </c>
      <c r="G664" t="str">
        <f>"00014611"</f>
        <v>00014611</v>
      </c>
      <c r="H664" t="s">
        <v>1300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70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85</v>
      </c>
      <c r="W664">
        <v>588</v>
      </c>
      <c r="Z664">
        <v>0</v>
      </c>
      <c r="AA664" t="s">
        <v>1301</v>
      </c>
    </row>
    <row r="665" spans="1:27" x14ac:dyDescent="0.25">
      <c r="H665" t="s">
        <v>78</v>
      </c>
    </row>
    <row r="666" spans="1:27" x14ac:dyDescent="0.25">
      <c r="A666">
        <v>330</v>
      </c>
      <c r="B666">
        <v>142</v>
      </c>
      <c r="C666" t="s">
        <v>1302</v>
      </c>
      <c r="D666" t="s">
        <v>1303</v>
      </c>
      <c r="E666" t="s">
        <v>108</v>
      </c>
      <c r="F666" t="s">
        <v>1304</v>
      </c>
      <c r="G666" t="str">
        <f>"201304002978"</f>
        <v>201304002978</v>
      </c>
      <c r="H666">
        <v>770</v>
      </c>
      <c r="I666">
        <v>0</v>
      </c>
      <c r="J666">
        <v>0</v>
      </c>
      <c r="K666">
        <v>0</v>
      </c>
      <c r="L666">
        <v>260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60</v>
      </c>
      <c r="W666">
        <v>420</v>
      </c>
      <c r="Z666">
        <v>0</v>
      </c>
      <c r="AA666">
        <v>1520</v>
      </c>
    </row>
    <row r="667" spans="1:27" x14ac:dyDescent="0.25">
      <c r="H667" t="s">
        <v>223</v>
      </c>
    </row>
    <row r="668" spans="1:27" x14ac:dyDescent="0.25">
      <c r="A668">
        <v>331</v>
      </c>
      <c r="B668">
        <v>1069</v>
      </c>
      <c r="C668" t="s">
        <v>881</v>
      </c>
      <c r="D668" t="s">
        <v>168</v>
      </c>
      <c r="E668" t="s">
        <v>64</v>
      </c>
      <c r="F668" t="s">
        <v>1305</v>
      </c>
      <c r="G668" t="str">
        <f>"201303000168"</f>
        <v>201303000168</v>
      </c>
      <c r="H668" t="s">
        <v>1306</v>
      </c>
      <c r="I668">
        <v>150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46</v>
      </c>
      <c r="W668">
        <v>322</v>
      </c>
      <c r="Z668">
        <v>0</v>
      </c>
      <c r="AA668" t="s">
        <v>1307</v>
      </c>
    </row>
    <row r="669" spans="1:27" x14ac:dyDescent="0.25">
      <c r="H669" t="s">
        <v>482</v>
      </c>
    </row>
    <row r="670" spans="1:27" x14ac:dyDescent="0.25">
      <c r="A670">
        <v>332</v>
      </c>
      <c r="B670">
        <v>119</v>
      </c>
      <c r="C670" t="s">
        <v>1308</v>
      </c>
      <c r="D670" t="s">
        <v>319</v>
      </c>
      <c r="E670" t="s">
        <v>41</v>
      </c>
      <c r="F670" t="s">
        <v>1309</v>
      </c>
      <c r="G670" t="str">
        <f>"201304004589"</f>
        <v>201304004589</v>
      </c>
      <c r="H670">
        <v>847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30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53</v>
      </c>
      <c r="W670">
        <v>371</v>
      </c>
      <c r="Z670">
        <v>0</v>
      </c>
      <c r="AA670">
        <v>1518</v>
      </c>
    </row>
    <row r="671" spans="1:27" x14ac:dyDescent="0.25">
      <c r="H671" t="s">
        <v>248</v>
      </c>
    </row>
    <row r="672" spans="1:27" x14ac:dyDescent="0.25">
      <c r="A672">
        <v>333</v>
      </c>
      <c r="B672">
        <v>153</v>
      </c>
      <c r="C672" t="s">
        <v>1310</v>
      </c>
      <c r="D672" t="s">
        <v>108</v>
      </c>
      <c r="E672" t="s">
        <v>1311</v>
      </c>
      <c r="F672" t="s">
        <v>1312</v>
      </c>
      <c r="G672" t="str">
        <f>"201304000853"</f>
        <v>201304000853</v>
      </c>
      <c r="H672">
        <v>660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108</v>
      </c>
      <c r="W672">
        <v>588</v>
      </c>
      <c r="Z672">
        <v>0</v>
      </c>
      <c r="AA672">
        <v>1518</v>
      </c>
    </row>
    <row r="673" spans="1:27" x14ac:dyDescent="0.25">
      <c r="H673" t="s">
        <v>38</v>
      </c>
    </row>
    <row r="674" spans="1:27" x14ac:dyDescent="0.25">
      <c r="A674">
        <v>334</v>
      </c>
      <c r="B674">
        <v>2756</v>
      </c>
      <c r="C674" t="s">
        <v>1313</v>
      </c>
      <c r="D674" t="s">
        <v>33</v>
      </c>
      <c r="E674" t="s">
        <v>225</v>
      </c>
      <c r="F674" t="s">
        <v>1314</v>
      </c>
      <c r="G674" t="str">
        <f>"200801005934"</f>
        <v>200801005934</v>
      </c>
      <c r="H674">
        <v>660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136</v>
      </c>
      <c r="W674">
        <v>588</v>
      </c>
      <c r="Z674">
        <v>0</v>
      </c>
      <c r="AA674">
        <v>1518</v>
      </c>
    </row>
    <row r="675" spans="1:27" x14ac:dyDescent="0.25">
      <c r="H675" t="s">
        <v>38</v>
      </c>
    </row>
    <row r="676" spans="1:27" x14ac:dyDescent="0.25">
      <c r="A676">
        <v>335</v>
      </c>
      <c r="B676">
        <v>3290</v>
      </c>
      <c r="C676" t="s">
        <v>1315</v>
      </c>
      <c r="D676" t="s">
        <v>15</v>
      </c>
      <c r="E676" t="s">
        <v>330</v>
      </c>
      <c r="F676" t="s">
        <v>1316</v>
      </c>
      <c r="G676" t="str">
        <f>"201406018975"</f>
        <v>201406018975</v>
      </c>
      <c r="H676" t="s">
        <v>301</v>
      </c>
      <c r="I676">
        <v>0</v>
      </c>
      <c r="J676">
        <v>400</v>
      </c>
      <c r="K676">
        <v>0</v>
      </c>
      <c r="L676">
        <v>200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13</v>
      </c>
      <c r="W676">
        <v>91</v>
      </c>
      <c r="Z676">
        <v>0</v>
      </c>
      <c r="AA676" t="s">
        <v>1317</v>
      </c>
    </row>
    <row r="677" spans="1:27" x14ac:dyDescent="0.25">
      <c r="H677">
        <v>216</v>
      </c>
    </row>
    <row r="678" spans="1:27" x14ac:dyDescent="0.25">
      <c r="A678">
        <v>336</v>
      </c>
      <c r="B678">
        <v>1630</v>
      </c>
      <c r="C678" t="s">
        <v>1318</v>
      </c>
      <c r="D678" t="s">
        <v>1319</v>
      </c>
      <c r="E678" t="s">
        <v>879</v>
      </c>
      <c r="F678" t="s">
        <v>1320</v>
      </c>
      <c r="G678" t="str">
        <f>"200801001705"</f>
        <v>200801001705</v>
      </c>
      <c r="H678">
        <v>638</v>
      </c>
      <c r="I678">
        <v>0</v>
      </c>
      <c r="J678">
        <v>0</v>
      </c>
      <c r="K678">
        <v>0</v>
      </c>
      <c r="L678">
        <v>260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Z678">
        <v>1</v>
      </c>
      <c r="AA678">
        <v>1516</v>
      </c>
    </row>
    <row r="679" spans="1:27" x14ac:dyDescent="0.25">
      <c r="H679" t="s">
        <v>357</v>
      </c>
    </row>
    <row r="680" spans="1:27" x14ac:dyDescent="0.25">
      <c r="A680">
        <v>337</v>
      </c>
      <c r="B680">
        <v>3091</v>
      </c>
      <c r="C680" t="s">
        <v>1321</v>
      </c>
      <c r="D680" t="s">
        <v>219</v>
      </c>
      <c r="E680" t="s">
        <v>85</v>
      </c>
      <c r="F680" t="s">
        <v>1322</v>
      </c>
      <c r="G680" t="str">
        <f>"201405000871"</f>
        <v>201405000871</v>
      </c>
      <c r="H680" t="s">
        <v>110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144</v>
      </c>
      <c r="W680">
        <v>588</v>
      </c>
      <c r="Z680">
        <v>0</v>
      </c>
      <c r="AA680" t="s">
        <v>1323</v>
      </c>
    </row>
    <row r="681" spans="1:27" x14ac:dyDescent="0.25">
      <c r="H681" t="s">
        <v>248</v>
      </c>
    </row>
    <row r="682" spans="1:27" x14ac:dyDescent="0.25">
      <c r="A682">
        <v>338</v>
      </c>
      <c r="B682">
        <v>653</v>
      </c>
      <c r="C682" t="s">
        <v>1324</v>
      </c>
      <c r="D682" t="s">
        <v>151</v>
      </c>
      <c r="E682" t="s">
        <v>875</v>
      </c>
      <c r="F682" t="s">
        <v>1325</v>
      </c>
      <c r="G682" t="str">
        <f>"201304006218"</f>
        <v>201304006218</v>
      </c>
      <c r="H682" t="s">
        <v>1326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111</v>
      </c>
      <c r="W682">
        <v>588</v>
      </c>
      <c r="Z682">
        <v>0</v>
      </c>
      <c r="AA682" t="s">
        <v>1327</v>
      </c>
    </row>
    <row r="683" spans="1:27" x14ac:dyDescent="0.25">
      <c r="H683" t="s">
        <v>248</v>
      </c>
    </row>
    <row r="684" spans="1:27" x14ac:dyDescent="0.25">
      <c r="A684">
        <v>339</v>
      </c>
      <c r="B684">
        <v>2516</v>
      </c>
      <c r="C684" t="s">
        <v>1328</v>
      </c>
      <c r="D684" t="s">
        <v>1329</v>
      </c>
      <c r="E684" t="s">
        <v>225</v>
      </c>
      <c r="F684" t="s">
        <v>1330</v>
      </c>
      <c r="G684" t="str">
        <f>"201304000055"</f>
        <v>201304000055</v>
      </c>
      <c r="H684" t="s">
        <v>1331</v>
      </c>
      <c r="I684">
        <v>150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52</v>
      </c>
      <c r="W684">
        <v>364</v>
      </c>
      <c r="Z684">
        <v>0</v>
      </c>
      <c r="AA684" t="s">
        <v>1332</v>
      </c>
    </row>
    <row r="685" spans="1:27" x14ac:dyDescent="0.25">
      <c r="H685" t="s">
        <v>49</v>
      </c>
    </row>
    <row r="686" spans="1:27" x14ac:dyDescent="0.25">
      <c r="A686">
        <v>340</v>
      </c>
      <c r="B686">
        <v>326</v>
      </c>
      <c r="C686" t="s">
        <v>1060</v>
      </c>
      <c r="D686" t="s">
        <v>225</v>
      </c>
      <c r="E686" t="s">
        <v>158</v>
      </c>
      <c r="F686" t="s">
        <v>1333</v>
      </c>
      <c r="G686" t="str">
        <f>"201304002141"</f>
        <v>201304002141</v>
      </c>
      <c r="H686" t="s">
        <v>773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66</v>
      </c>
      <c r="W686">
        <v>462</v>
      </c>
      <c r="Z686">
        <v>0</v>
      </c>
      <c r="AA686" t="s">
        <v>1334</v>
      </c>
    </row>
    <row r="687" spans="1:27" x14ac:dyDescent="0.25">
      <c r="H687" t="s">
        <v>357</v>
      </c>
    </row>
    <row r="688" spans="1:27" x14ac:dyDescent="0.25">
      <c r="A688">
        <v>341</v>
      </c>
      <c r="B688">
        <v>2582</v>
      </c>
      <c r="C688" t="s">
        <v>1335</v>
      </c>
      <c r="D688" t="s">
        <v>1076</v>
      </c>
      <c r="E688" t="s">
        <v>1336</v>
      </c>
      <c r="F688" t="s">
        <v>1337</v>
      </c>
      <c r="G688" t="str">
        <f>"201504000893"</f>
        <v>201504000893</v>
      </c>
      <c r="H688" t="s">
        <v>1066</v>
      </c>
      <c r="I688">
        <v>0</v>
      </c>
      <c r="J688">
        <v>0</v>
      </c>
      <c r="K688">
        <v>0</v>
      </c>
      <c r="L688">
        <v>200</v>
      </c>
      <c r="M688">
        <v>30</v>
      </c>
      <c r="N688">
        <v>70</v>
      </c>
      <c r="O688">
        <v>50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63</v>
      </c>
      <c r="W688">
        <v>441</v>
      </c>
      <c r="Z688">
        <v>0</v>
      </c>
      <c r="AA688" t="s">
        <v>1338</v>
      </c>
    </row>
    <row r="689" spans="1:27" x14ac:dyDescent="0.25">
      <c r="H689" t="s">
        <v>49</v>
      </c>
    </row>
    <row r="690" spans="1:27" x14ac:dyDescent="0.25">
      <c r="A690">
        <v>342</v>
      </c>
      <c r="B690">
        <v>184</v>
      </c>
      <c r="C690" t="s">
        <v>1339</v>
      </c>
      <c r="D690" t="s">
        <v>41</v>
      </c>
      <c r="E690" t="s">
        <v>188</v>
      </c>
      <c r="F690" t="s">
        <v>1340</v>
      </c>
      <c r="G690" t="str">
        <f>"00011571"</f>
        <v>00011571</v>
      </c>
      <c r="H690">
        <v>693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0</v>
      </c>
      <c r="O690">
        <v>0</v>
      </c>
      <c r="P690">
        <v>0</v>
      </c>
      <c r="Q690">
        <v>30</v>
      </c>
      <c r="R690">
        <v>0</v>
      </c>
      <c r="S690">
        <v>0</v>
      </c>
      <c r="T690">
        <v>0</v>
      </c>
      <c r="U690">
        <v>0</v>
      </c>
      <c r="V690">
        <v>282</v>
      </c>
      <c r="W690">
        <v>588</v>
      </c>
      <c r="Z690">
        <v>2</v>
      </c>
      <c r="AA690">
        <v>1511</v>
      </c>
    </row>
    <row r="691" spans="1:27" x14ac:dyDescent="0.25">
      <c r="H691" t="s">
        <v>19</v>
      </c>
    </row>
    <row r="692" spans="1:27" x14ac:dyDescent="0.25">
      <c r="A692">
        <v>343</v>
      </c>
      <c r="B692">
        <v>2970</v>
      </c>
      <c r="C692" t="s">
        <v>1341</v>
      </c>
      <c r="D692" t="s">
        <v>1342</v>
      </c>
      <c r="E692" t="s">
        <v>65</v>
      </c>
      <c r="F692" t="s">
        <v>1343</v>
      </c>
      <c r="G692" t="str">
        <f>"00013955"</f>
        <v>00013955</v>
      </c>
      <c r="H692" t="s">
        <v>140</v>
      </c>
      <c r="I692">
        <v>150</v>
      </c>
      <c r="J692">
        <v>0</v>
      </c>
      <c r="K692">
        <v>0</v>
      </c>
      <c r="L692">
        <v>200</v>
      </c>
      <c r="M692">
        <v>0</v>
      </c>
      <c r="N692">
        <v>70</v>
      </c>
      <c r="O692">
        <v>0</v>
      </c>
      <c r="P692">
        <v>70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Z692">
        <v>0</v>
      </c>
      <c r="AA692" t="s">
        <v>1344</v>
      </c>
    </row>
    <row r="693" spans="1:27" x14ac:dyDescent="0.25">
      <c r="H693" t="s">
        <v>38</v>
      </c>
    </row>
    <row r="694" spans="1:27" x14ac:dyDescent="0.25">
      <c r="A694">
        <v>344</v>
      </c>
      <c r="B694">
        <v>2465</v>
      </c>
      <c r="C694" t="s">
        <v>952</v>
      </c>
      <c r="D694" t="s">
        <v>1345</v>
      </c>
      <c r="E694" t="s">
        <v>64</v>
      </c>
      <c r="F694" t="s">
        <v>1346</v>
      </c>
      <c r="G694" t="str">
        <f>"201505000306"</f>
        <v>201505000306</v>
      </c>
      <c r="H694" t="s">
        <v>1054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50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61</v>
      </c>
      <c r="W694">
        <v>427</v>
      </c>
      <c r="Z694">
        <v>0</v>
      </c>
      <c r="AA694" t="s">
        <v>1347</v>
      </c>
    </row>
    <row r="695" spans="1:27" x14ac:dyDescent="0.25">
      <c r="H695" t="s">
        <v>38</v>
      </c>
    </row>
    <row r="696" spans="1:27" x14ac:dyDescent="0.25">
      <c r="A696">
        <v>345</v>
      </c>
      <c r="B696">
        <v>1651</v>
      </c>
      <c r="C696" t="s">
        <v>1075</v>
      </c>
      <c r="D696" t="s">
        <v>219</v>
      </c>
      <c r="E696" t="s">
        <v>182</v>
      </c>
      <c r="F696" t="s">
        <v>1348</v>
      </c>
      <c r="G696" t="str">
        <f>"200808000483"</f>
        <v>200808000483</v>
      </c>
      <c r="H696">
        <v>990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41</v>
      </c>
      <c r="W696">
        <v>287</v>
      </c>
      <c r="Z696">
        <v>1</v>
      </c>
      <c r="AA696">
        <v>1507</v>
      </c>
    </row>
    <row r="697" spans="1:27" x14ac:dyDescent="0.25">
      <c r="H697" t="s">
        <v>31</v>
      </c>
    </row>
    <row r="698" spans="1:27" x14ac:dyDescent="0.25">
      <c r="A698">
        <v>346</v>
      </c>
      <c r="B698">
        <v>3249</v>
      </c>
      <c r="C698" t="s">
        <v>465</v>
      </c>
      <c r="D698" t="s">
        <v>163</v>
      </c>
      <c r="E698" t="s">
        <v>41</v>
      </c>
      <c r="F698" t="s">
        <v>1349</v>
      </c>
      <c r="G698" t="str">
        <f>"201406003227"</f>
        <v>201406003227</v>
      </c>
      <c r="H698" t="s">
        <v>1350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105</v>
      </c>
      <c r="W698">
        <v>588</v>
      </c>
      <c r="Z698">
        <v>0</v>
      </c>
      <c r="AA698" t="s">
        <v>1351</v>
      </c>
    </row>
    <row r="699" spans="1:27" x14ac:dyDescent="0.25">
      <c r="H699">
        <v>216</v>
      </c>
    </row>
    <row r="700" spans="1:27" x14ac:dyDescent="0.25">
      <c r="A700">
        <v>347</v>
      </c>
      <c r="B700">
        <v>891</v>
      </c>
      <c r="C700" t="s">
        <v>1352</v>
      </c>
      <c r="D700" t="s">
        <v>41</v>
      </c>
      <c r="E700" t="s">
        <v>1353</v>
      </c>
      <c r="F700" t="s">
        <v>1354</v>
      </c>
      <c r="G700" t="str">
        <f>"201304001303"</f>
        <v>201304001303</v>
      </c>
      <c r="H700" t="s">
        <v>1355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148</v>
      </c>
      <c r="W700">
        <v>588</v>
      </c>
      <c r="Z700">
        <v>0</v>
      </c>
      <c r="AA700" t="s">
        <v>1356</v>
      </c>
    </row>
    <row r="701" spans="1:27" x14ac:dyDescent="0.25">
      <c r="H701" t="s">
        <v>112</v>
      </c>
    </row>
    <row r="702" spans="1:27" x14ac:dyDescent="0.25">
      <c r="A702">
        <v>348</v>
      </c>
      <c r="B702">
        <v>2451</v>
      </c>
      <c r="C702" t="s">
        <v>1357</v>
      </c>
      <c r="D702" t="s">
        <v>235</v>
      </c>
      <c r="E702" t="s">
        <v>158</v>
      </c>
      <c r="F702" t="s">
        <v>1358</v>
      </c>
      <c r="G702" t="str">
        <f>"201304003391"</f>
        <v>201304003391</v>
      </c>
      <c r="H702">
        <v>781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70</v>
      </c>
      <c r="W702">
        <v>490</v>
      </c>
      <c r="Z702">
        <v>0</v>
      </c>
      <c r="AA702">
        <v>1501</v>
      </c>
    </row>
    <row r="703" spans="1:27" x14ac:dyDescent="0.25">
      <c r="H703" t="s">
        <v>223</v>
      </c>
    </row>
    <row r="704" spans="1:27" x14ac:dyDescent="0.25">
      <c r="A704">
        <v>349</v>
      </c>
      <c r="B704">
        <v>544</v>
      </c>
      <c r="C704" t="s">
        <v>1359</v>
      </c>
      <c r="D704" t="s">
        <v>1360</v>
      </c>
      <c r="E704" t="s">
        <v>41</v>
      </c>
      <c r="F704" t="s">
        <v>1361</v>
      </c>
      <c r="G704" t="str">
        <f>"201406013640"</f>
        <v>201406013640</v>
      </c>
      <c r="H704" t="s">
        <v>609</v>
      </c>
      <c r="I704">
        <v>0</v>
      </c>
      <c r="J704">
        <v>0</v>
      </c>
      <c r="K704">
        <v>0</v>
      </c>
      <c r="L704">
        <v>0</v>
      </c>
      <c r="M704">
        <v>100</v>
      </c>
      <c r="N704">
        <v>70</v>
      </c>
      <c r="O704">
        <v>0</v>
      </c>
      <c r="P704">
        <v>0</v>
      </c>
      <c r="Q704">
        <v>30</v>
      </c>
      <c r="R704">
        <v>0</v>
      </c>
      <c r="S704">
        <v>0</v>
      </c>
      <c r="T704">
        <v>0</v>
      </c>
      <c r="U704">
        <v>0</v>
      </c>
      <c r="V704">
        <v>95</v>
      </c>
      <c r="W704">
        <v>588</v>
      </c>
      <c r="Z704">
        <v>0</v>
      </c>
      <c r="AA704" t="s">
        <v>1362</v>
      </c>
    </row>
    <row r="705" spans="1:27" x14ac:dyDescent="0.25">
      <c r="H705" t="s">
        <v>298</v>
      </c>
    </row>
    <row r="706" spans="1:27" x14ac:dyDescent="0.25">
      <c r="A706">
        <v>350</v>
      </c>
      <c r="B706">
        <v>1854</v>
      </c>
      <c r="C706" t="s">
        <v>1363</v>
      </c>
      <c r="D706" t="s">
        <v>85</v>
      </c>
      <c r="E706" t="s">
        <v>41</v>
      </c>
      <c r="F706" t="s">
        <v>1364</v>
      </c>
      <c r="G706" t="str">
        <f>"201409000949"</f>
        <v>201409000949</v>
      </c>
      <c r="H706">
        <v>660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Z706">
        <v>0</v>
      </c>
      <c r="AA706">
        <v>1498</v>
      </c>
    </row>
    <row r="707" spans="1:27" x14ac:dyDescent="0.25">
      <c r="H707" t="s">
        <v>31</v>
      </c>
    </row>
    <row r="708" spans="1:27" x14ac:dyDescent="0.25">
      <c r="A708">
        <v>351</v>
      </c>
      <c r="B708">
        <v>2277</v>
      </c>
      <c r="C708" t="s">
        <v>1365</v>
      </c>
      <c r="D708" t="s">
        <v>538</v>
      </c>
      <c r="E708" t="s">
        <v>108</v>
      </c>
      <c r="F708" t="s">
        <v>1366</v>
      </c>
      <c r="G708" t="str">
        <f>"00013901"</f>
        <v>00013901</v>
      </c>
      <c r="H708" t="s">
        <v>1367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109</v>
      </c>
      <c r="W708">
        <v>588</v>
      </c>
      <c r="Z708">
        <v>0</v>
      </c>
      <c r="AA708" t="s">
        <v>1368</v>
      </c>
    </row>
    <row r="709" spans="1:27" x14ac:dyDescent="0.25">
      <c r="H709" t="s">
        <v>1044</v>
      </c>
    </row>
    <row r="710" spans="1:27" x14ac:dyDescent="0.25">
      <c r="A710">
        <v>352</v>
      </c>
      <c r="B710">
        <v>1118</v>
      </c>
      <c r="C710" t="s">
        <v>987</v>
      </c>
      <c r="D710" t="s">
        <v>1369</v>
      </c>
      <c r="E710" t="s">
        <v>225</v>
      </c>
      <c r="F710" t="s">
        <v>1370</v>
      </c>
      <c r="G710" t="str">
        <f>"00010040"</f>
        <v>00010040</v>
      </c>
      <c r="H710" t="s">
        <v>1371</v>
      </c>
      <c r="I710">
        <v>0</v>
      </c>
      <c r="J710">
        <v>0</v>
      </c>
      <c r="K710">
        <v>0</v>
      </c>
      <c r="L710">
        <v>0</v>
      </c>
      <c r="M710">
        <v>100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252</v>
      </c>
      <c r="W710">
        <v>588</v>
      </c>
      <c r="Z710">
        <v>0</v>
      </c>
      <c r="AA710" t="s">
        <v>1372</v>
      </c>
    </row>
    <row r="711" spans="1:27" x14ac:dyDescent="0.25">
      <c r="H711">
        <v>215</v>
      </c>
    </row>
    <row r="712" spans="1:27" x14ac:dyDescent="0.25">
      <c r="A712">
        <v>353</v>
      </c>
      <c r="B712">
        <v>1520</v>
      </c>
      <c r="C712" t="s">
        <v>1373</v>
      </c>
      <c r="D712" t="s">
        <v>1374</v>
      </c>
      <c r="E712" t="s">
        <v>284</v>
      </c>
      <c r="F712" t="s">
        <v>1375</v>
      </c>
      <c r="G712" t="str">
        <f>"201304003953"</f>
        <v>201304003953</v>
      </c>
      <c r="H712" t="s">
        <v>824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70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56</v>
      </c>
      <c r="W712">
        <v>392</v>
      </c>
      <c r="Z712">
        <v>0</v>
      </c>
      <c r="AA712" t="s">
        <v>1376</v>
      </c>
    </row>
    <row r="713" spans="1:27" x14ac:dyDescent="0.25">
      <c r="H713" t="s">
        <v>265</v>
      </c>
    </row>
    <row r="714" spans="1:27" x14ac:dyDescent="0.25">
      <c r="A714">
        <v>354</v>
      </c>
      <c r="B714">
        <v>2339</v>
      </c>
      <c r="C714" t="s">
        <v>1377</v>
      </c>
      <c r="D714" t="s">
        <v>1378</v>
      </c>
      <c r="E714" t="s">
        <v>85</v>
      </c>
      <c r="F714" t="s">
        <v>1379</v>
      </c>
      <c r="G714" t="str">
        <f>"200801008197"</f>
        <v>200801008197</v>
      </c>
      <c r="H714" t="s">
        <v>301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61</v>
      </c>
      <c r="W714">
        <v>427</v>
      </c>
      <c r="Z714">
        <v>0</v>
      </c>
      <c r="AA714" t="s">
        <v>1380</v>
      </c>
    </row>
    <row r="715" spans="1:27" x14ac:dyDescent="0.25">
      <c r="H715" t="s">
        <v>280</v>
      </c>
    </row>
    <row r="716" spans="1:27" x14ac:dyDescent="0.25">
      <c r="A716">
        <v>355</v>
      </c>
      <c r="B716">
        <v>532</v>
      </c>
      <c r="C716" t="s">
        <v>1381</v>
      </c>
      <c r="D716" t="s">
        <v>85</v>
      </c>
      <c r="E716" t="s">
        <v>1382</v>
      </c>
      <c r="F716" t="s">
        <v>1383</v>
      </c>
      <c r="G716" t="str">
        <f>"00015168"</f>
        <v>00015168</v>
      </c>
      <c r="H716" t="s">
        <v>82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141</v>
      </c>
      <c r="W716">
        <v>588</v>
      </c>
      <c r="Z716">
        <v>0</v>
      </c>
      <c r="AA716" t="s">
        <v>1380</v>
      </c>
    </row>
    <row r="717" spans="1:27" x14ac:dyDescent="0.25">
      <c r="H717">
        <v>216</v>
      </c>
    </row>
    <row r="718" spans="1:27" x14ac:dyDescent="0.25">
      <c r="A718">
        <v>356</v>
      </c>
      <c r="B718">
        <v>2720</v>
      </c>
      <c r="C718" t="s">
        <v>1384</v>
      </c>
      <c r="D718" t="s">
        <v>474</v>
      </c>
      <c r="E718" t="s">
        <v>41</v>
      </c>
      <c r="F718" t="s">
        <v>1385</v>
      </c>
      <c r="G718" t="str">
        <f>"200801009550"</f>
        <v>200801009550</v>
      </c>
      <c r="H718" t="s">
        <v>1386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Z718">
        <v>0</v>
      </c>
      <c r="AA718" t="s">
        <v>1387</v>
      </c>
    </row>
    <row r="719" spans="1:27" x14ac:dyDescent="0.25">
      <c r="H719" t="s">
        <v>25</v>
      </c>
    </row>
    <row r="720" spans="1:27" x14ac:dyDescent="0.25">
      <c r="A720">
        <v>357</v>
      </c>
      <c r="B720">
        <v>567</v>
      </c>
      <c r="C720" t="s">
        <v>1388</v>
      </c>
      <c r="D720" t="s">
        <v>1389</v>
      </c>
      <c r="E720" t="s">
        <v>64</v>
      </c>
      <c r="F720" t="s">
        <v>1390</v>
      </c>
      <c r="G720" t="str">
        <f>"200712006150"</f>
        <v>200712006150</v>
      </c>
      <c r="H720" t="s">
        <v>1391</v>
      </c>
      <c r="I720">
        <v>0</v>
      </c>
      <c r="J720">
        <v>0</v>
      </c>
      <c r="K720">
        <v>0</v>
      </c>
      <c r="L720">
        <v>0</v>
      </c>
      <c r="M720">
        <v>100</v>
      </c>
      <c r="N720">
        <v>30</v>
      </c>
      <c r="O720">
        <v>0</v>
      </c>
      <c r="P720">
        <v>0</v>
      </c>
      <c r="Q720">
        <v>30</v>
      </c>
      <c r="R720">
        <v>0</v>
      </c>
      <c r="S720">
        <v>0</v>
      </c>
      <c r="T720">
        <v>0</v>
      </c>
      <c r="U720">
        <v>0</v>
      </c>
      <c r="V720">
        <v>100</v>
      </c>
      <c r="W720">
        <v>588</v>
      </c>
      <c r="Z720">
        <v>0</v>
      </c>
      <c r="AA720" t="s">
        <v>1392</v>
      </c>
    </row>
    <row r="721" spans="1:27" x14ac:dyDescent="0.25">
      <c r="H721" t="s">
        <v>659</v>
      </c>
    </row>
    <row r="722" spans="1:27" x14ac:dyDescent="0.25">
      <c r="A722">
        <v>358</v>
      </c>
      <c r="B722">
        <v>1376</v>
      </c>
      <c r="C722" t="s">
        <v>1393</v>
      </c>
      <c r="D722" t="s">
        <v>1104</v>
      </c>
      <c r="E722" t="s">
        <v>722</v>
      </c>
      <c r="F722" t="s">
        <v>1394</v>
      </c>
      <c r="G722" t="str">
        <f>"200712001485"</f>
        <v>200712001485</v>
      </c>
      <c r="H722" t="s">
        <v>1395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46</v>
      </c>
      <c r="W722">
        <v>322</v>
      </c>
      <c r="Z722">
        <v>0</v>
      </c>
      <c r="AA722" t="s">
        <v>1396</v>
      </c>
    </row>
    <row r="723" spans="1:27" x14ac:dyDescent="0.25">
      <c r="H723" t="s">
        <v>1000</v>
      </c>
    </row>
    <row r="724" spans="1:27" x14ac:dyDescent="0.25">
      <c r="A724">
        <v>359</v>
      </c>
      <c r="B724">
        <v>2292</v>
      </c>
      <c r="C724" t="s">
        <v>1397</v>
      </c>
      <c r="D724" t="s">
        <v>85</v>
      </c>
      <c r="E724" t="s">
        <v>41</v>
      </c>
      <c r="F724" t="s">
        <v>1398</v>
      </c>
      <c r="G724" t="str">
        <f>"201406000332"</f>
        <v>201406000332</v>
      </c>
      <c r="H724" t="s">
        <v>429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50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60</v>
      </c>
      <c r="W724">
        <v>420</v>
      </c>
      <c r="Z724">
        <v>0</v>
      </c>
      <c r="AA724" t="s">
        <v>1399</v>
      </c>
    </row>
    <row r="725" spans="1:27" x14ac:dyDescent="0.25">
      <c r="H725">
        <v>215</v>
      </c>
    </row>
    <row r="726" spans="1:27" x14ac:dyDescent="0.25">
      <c r="A726">
        <v>360</v>
      </c>
      <c r="B726">
        <v>194</v>
      </c>
      <c r="C726" t="s">
        <v>1400</v>
      </c>
      <c r="D726" t="s">
        <v>33</v>
      </c>
      <c r="E726" t="s">
        <v>41</v>
      </c>
      <c r="F726" t="s">
        <v>1401</v>
      </c>
      <c r="G726" t="str">
        <f>"200801000893"</f>
        <v>200801000893</v>
      </c>
      <c r="H726" t="s">
        <v>1402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104</v>
      </c>
      <c r="W726">
        <v>588</v>
      </c>
      <c r="Z726">
        <v>0</v>
      </c>
      <c r="AA726" t="s">
        <v>1403</v>
      </c>
    </row>
    <row r="727" spans="1:27" x14ac:dyDescent="0.25">
      <c r="H727" t="s">
        <v>38</v>
      </c>
    </row>
    <row r="728" spans="1:27" x14ac:dyDescent="0.25">
      <c r="A728">
        <v>361</v>
      </c>
      <c r="B728">
        <v>2478</v>
      </c>
      <c r="C728" t="s">
        <v>1404</v>
      </c>
      <c r="D728" t="s">
        <v>1405</v>
      </c>
      <c r="E728" t="s">
        <v>65</v>
      </c>
      <c r="F728" t="s">
        <v>1406</v>
      </c>
      <c r="G728" t="str">
        <f>"201410000154"</f>
        <v>201410000154</v>
      </c>
      <c r="H728" t="s">
        <v>1147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0</v>
      </c>
      <c r="P728">
        <v>50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52</v>
      </c>
      <c r="W728">
        <v>364</v>
      </c>
      <c r="Z728">
        <v>0</v>
      </c>
      <c r="AA728" t="s">
        <v>1407</v>
      </c>
    </row>
    <row r="729" spans="1:27" x14ac:dyDescent="0.25">
      <c r="H729" t="s">
        <v>31</v>
      </c>
    </row>
    <row r="730" spans="1:27" x14ac:dyDescent="0.25">
      <c r="A730">
        <v>362</v>
      </c>
      <c r="B730">
        <v>3326</v>
      </c>
      <c r="C730" t="s">
        <v>1408</v>
      </c>
      <c r="D730" t="s">
        <v>519</v>
      </c>
      <c r="E730" t="s">
        <v>1085</v>
      </c>
      <c r="F730" t="s">
        <v>1409</v>
      </c>
      <c r="G730" t="str">
        <f>"201304004719"</f>
        <v>201304004719</v>
      </c>
      <c r="H730" t="s">
        <v>1410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50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67</v>
      </c>
      <c r="W730">
        <v>469</v>
      </c>
      <c r="Z730">
        <v>0</v>
      </c>
      <c r="AA730" t="s">
        <v>1411</v>
      </c>
    </row>
    <row r="731" spans="1:27" x14ac:dyDescent="0.25">
      <c r="H731" t="s">
        <v>237</v>
      </c>
    </row>
    <row r="732" spans="1:27" x14ac:dyDescent="0.25">
      <c r="A732">
        <v>363</v>
      </c>
      <c r="B732">
        <v>1317</v>
      </c>
      <c r="C732" t="s">
        <v>1412</v>
      </c>
      <c r="D732" t="s">
        <v>27</v>
      </c>
      <c r="E732" t="s">
        <v>387</v>
      </c>
      <c r="F732" t="s">
        <v>1413</v>
      </c>
      <c r="G732" t="str">
        <f>"200911000420"</f>
        <v>200911000420</v>
      </c>
      <c r="H732" t="s">
        <v>976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68</v>
      </c>
      <c r="W732">
        <v>476</v>
      </c>
      <c r="Z732">
        <v>2</v>
      </c>
      <c r="AA732" t="s">
        <v>1414</v>
      </c>
    </row>
    <row r="733" spans="1:27" x14ac:dyDescent="0.25">
      <c r="H733" t="s">
        <v>38</v>
      </c>
    </row>
    <row r="734" spans="1:27" x14ac:dyDescent="0.25">
      <c r="A734">
        <v>364</v>
      </c>
      <c r="B734">
        <v>2077</v>
      </c>
      <c r="C734" t="s">
        <v>1415</v>
      </c>
      <c r="D734" t="s">
        <v>41</v>
      </c>
      <c r="E734" t="s">
        <v>235</v>
      </c>
      <c r="F734" t="s">
        <v>1416</v>
      </c>
      <c r="G734" t="str">
        <f>"201505000507"</f>
        <v>201505000507</v>
      </c>
      <c r="H734" t="s">
        <v>227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90</v>
      </c>
      <c r="W734">
        <v>588</v>
      </c>
      <c r="Z734">
        <v>0</v>
      </c>
      <c r="AA734" t="s">
        <v>1417</v>
      </c>
    </row>
    <row r="735" spans="1:27" x14ac:dyDescent="0.25">
      <c r="H735" t="s">
        <v>25</v>
      </c>
    </row>
    <row r="736" spans="1:27" x14ac:dyDescent="0.25">
      <c r="A736">
        <v>365</v>
      </c>
      <c r="B736">
        <v>2455</v>
      </c>
      <c r="C736" t="s">
        <v>1418</v>
      </c>
      <c r="D736" t="s">
        <v>33</v>
      </c>
      <c r="E736" t="s">
        <v>225</v>
      </c>
      <c r="F736" t="s">
        <v>1419</v>
      </c>
      <c r="G736" t="str">
        <f>"00014777"</f>
        <v>00014777</v>
      </c>
      <c r="H736" t="s">
        <v>458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30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109</v>
      </c>
      <c r="W736">
        <v>588</v>
      </c>
      <c r="Z736">
        <v>0</v>
      </c>
      <c r="AA736" t="s">
        <v>1420</v>
      </c>
    </row>
    <row r="737" spans="1:27" x14ac:dyDescent="0.25">
      <c r="H737">
        <v>215</v>
      </c>
    </row>
    <row r="738" spans="1:27" x14ac:dyDescent="0.25">
      <c r="A738">
        <v>366</v>
      </c>
      <c r="B738">
        <v>1022</v>
      </c>
      <c r="C738" t="s">
        <v>1421</v>
      </c>
      <c r="D738" t="s">
        <v>1422</v>
      </c>
      <c r="E738" t="s">
        <v>183</v>
      </c>
      <c r="F738" t="s">
        <v>1423</v>
      </c>
      <c r="G738" t="str">
        <f>"201406018196"</f>
        <v>201406018196</v>
      </c>
      <c r="H738" t="s">
        <v>763</v>
      </c>
      <c r="I738">
        <v>0</v>
      </c>
      <c r="J738">
        <v>0</v>
      </c>
      <c r="K738">
        <v>0</v>
      </c>
      <c r="L738">
        <v>0</v>
      </c>
      <c r="M738">
        <v>100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Z738">
        <v>0</v>
      </c>
      <c r="AA738" t="s">
        <v>1424</v>
      </c>
    </row>
    <row r="739" spans="1:27" x14ac:dyDescent="0.25">
      <c r="H739" t="s">
        <v>1044</v>
      </c>
    </row>
    <row r="740" spans="1:27" x14ac:dyDescent="0.25">
      <c r="A740">
        <v>367</v>
      </c>
      <c r="B740">
        <v>2190</v>
      </c>
      <c r="C740" t="s">
        <v>1425</v>
      </c>
      <c r="D740" t="s">
        <v>15</v>
      </c>
      <c r="E740" t="s">
        <v>27</v>
      </c>
      <c r="F740" t="s">
        <v>1426</v>
      </c>
      <c r="G740" t="str">
        <f>"201506000138"</f>
        <v>201506000138</v>
      </c>
      <c r="H740" t="s">
        <v>463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89</v>
      </c>
      <c r="W740">
        <v>588</v>
      </c>
      <c r="Z740">
        <v>0</v>
      </c>
      <c r="AA740" t="s">
        <v>1427</v>
      </c>
    </row>
    <row r="741" spans="1:27" x14ac:dyDescent="0.25">
      <c r="H741" t="s">
        <v>1103</v>
      </c>
    </row>
    <row r="742" spans="1:27" x14ac:dyDescent="0.25">
      <c r="A742">
        <v>368</v>
      </c>
      <c r="B742">
        <v>1877</v>
      </c>
      <c r="C742" t="s">
        <v>1428</v>
      </c>
      <c r="D742" t="s">
        <v>284</v>
      </c>
      <c r="E742" t="s">
        <v>1429</v>
      </c>
      <c r="F742" t="s">
        <v>1430</v>
      </c>
      <c r="G742" t="str">
        <f>"00013396"</f>
        <v>00013396</v>
      </c>
      <c r="H742" t="s">
        <v>1431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95</v>
      </c>
      <c r="W742">
        <v>588</v>
      </c>
      <c r="Z742">
        <v>0</v>
      </c>
      <c r="AA742" t="s">
        <v>1432</v>
      </c>
    </row>
    <row r="743" spans="1:27" x14ac:dyDescent="0.25">
      <c r="H743">
        <v>215</v>
      </c>
    </row>
    <row r="744" spans="1:27" x14ac:dyDescent="0.25">
      <c r="A744">
        <v>369</v>
      </c>
      <c r="B744">
        <v>2766</v>
      </c>
      <c r="C744" t="s">
        <v>1433</v>
      </c>
      <c r="D744" t="s">
        <v>1434</v>
      </c>
      <c r="E744" t="s">
        <v>235</v>
      </c>
      <c r="F744" t="s">
        <v>1435</v>
      </c>
      <c r="G744" t="str">
        <f>"201304006026"</f>
        <v>201304006026</v>
      </c>
      <c r="H744" t="s">
        <v>1436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50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114</v>
      </c>
      <c r="W744">
        <v>588</v>
      </c>
      <c r="Z744">
        <v>0</v>
      </c>
      <c r="AA744" t="s">
        <v>1437</v>
      </c>
    </row>
    <row r="745" spans="1:27" x14ac:dyDescent="0.25">
      <c r="H745" t="s">
        <v>280</v>
      </c>
    </row>
    <row r="746" spans="1:27" x14ac:dyDescent="0.25">
      <c r="A746">
        <v>370</v>
      </c>
      <c r="B746">
        <v>3084</v>
      </c>
      <c r="C746" t="s">
        <v>1438</v>
      </c>
      <c r="D746" t="s">
        <v>647</v>
      </c>
      <c r="E746" t="s">
        <v>387</v>
      </c>
      <c r="F746" t="s">
        <v>1439</v>
      </c>
      <c r="G746" t="str">
        <f>"00011788"</f>
        <v>00011788</v>
      </c>
      <c r="H746" t="s">
        <v>322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140</v>
      </c>
      <c r="W746">
        <v>588</v>
      </c>
      <c r="Z746">
        <v>0</v>
      </c>
      <c r="AA746" t="s">
        <v>1440</v>
      </c>
    </row>
    <row r="747" spans="1:27" x14ac:dyDescent="0.25">
      <c r="H747">
        <v>215</v>
      </c>
    </row>
    <row r="748" spans="1:27" x14ac:dyDescent="0.25">
      <c r="A748">
        <v>371</v>
      </c>
      <c r="B748">
        <v>1940</v>
      </c>
      <c r="C748" t="s">
        <v>1060</v>
      </c>
      <c r="D748" t="s">
        <v>1033</v>
      </c>
      <c r="E748" t="s">
        <v>369</v>
      </c>
      <c r="F748" t="s">
        <v>1061</v>
      </c>
      <c r="G748" t="str">
        <f>"201502002214"</f>
        <v>201502002214</v>
      </c>
      <c r="H748" t="s">
        <v>1062</v>
      </c>
      <c r="I748">
        <v>0</v>
      </c>
      <c r="J748">
        <v>0</v>
      </c>
      <c r="K748">
        <v>0</v>
      </c>
      <c r="L748">
        <v>0</v>
      </c>
      <c r="M748">
        <v>130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88</v>
      </c>
      <c r="W748">
        <v>588</v>
      </c>
      <c r="Z748">
        <v>0</v>
      </c>
      <c r="AA748" t="s">
        <v>1441</v>
      </c>
    </row>
    <row r="749" spans="1:27" x14ac:dyDescent="0.25">
      <c r="H749" t="s">
        <v>223</v>
      </c>
    </row>
    <row r="750" spans="1:27" x14ac:dyDescent="0.25">
      <c r="A750">
        <v>372</v>
      </c>
      <c r="B750">
        <v>2375</v>
      </c>
      <c r="C750" t="s">
        <v>1442</v>
      </c>
      <c r="D750" t="s">
        <v>151</v>
      </c>
      <c r="E750" t="s">
        <v>41</v>
      </c>
      <c r="F750" t="s">
        <v>1443</v>
      </c>
      <c r="G750" t="str">
        <f>"00010924"</f>
        <v>00010924</v>
      </c>
      <c r="H750" t="s">
        <v>811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62</v>
      </c>
      <c r="W750">
        <v>434</v>
      </c>
      <c r="Z750">
        <v>0</v>
      </c>
      <c r="AA750" t="s">
        <v>1444</v>
      </c>
    </row>
    <row r="751" spans="1:27" x14ac:dyDescent="0.25">
      <c r="H751" t="s">
        <v>38</v>
      </c>
    </row>
    <row r="752" spans="1:27" x14ac:dyDescent="0.25">
      <c r="A752">
        <v>373</v>
      </c>
      <c r="B752">
        <v>2086</v>
      </c>
      <c r="C752" t="s">
        <v>1445</v>
      </c>
      <c r="D752" t="s">
        <v>1138</v>
      </c>
      <c r="E752" t="s">
        <v>64</v>
      </c>
      <c r="F752" t="s">
        <v>1446</v>
      </c>
      <c r="G752" t="str">
        <f>"201410011463"</f>
        <v>201410011463</v>
      </c>
      <c r="H752" t="s">
        <v>976</v>
      </c>
      <c r="I752">
        <v>150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149</v>
      </c>
      <c r="W752">
        <v>588</v>
      </c>
      <c r="Z752">
        <v>0</v>
      </c>
      <c r="AA752" t="s">
        <v>1447</v>
      </c>
    </row>
    <row r="753" spans="1:27" x14ac:dyDescent="0.25">
      <c r="H753" t="s">
        <v>78</v>
      </c>
    </row>
    <row r="754" spans="1:27" x14ac:dyDescent="0.25">
      <c r="A754">
        <v>374</v>
      </c>
      <c r="B754">
        <v>1104</v>
      </c>
      <c r="C754" t="s">
        <v>1448</v>
      </c>
      <c r="D754" t="s">
        <v>1449</v>
      </c>
      <c r="E754" t="s">
        <v>1085</v>
      </c>
      <c r="F754" t="s">
        <v>1450</v>
      </c>
      <c r="G754" t="str">
        <f>"00013713"</f>
        <v>00013713</v>
      </c>
      <c r="H754" t="s">
        <v>649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50</v>
      </c>
      <c r="R754">
        <v>0</v>
      </c>
      <c r="S754">
        <v>0</v>
      </c>
      <c r="T754">
        <v>0</v>
      </c>
      <c r="U754">
        <v>0</v>
      </c>
      <c r="V754">
        <v>51</v>
      </c>
      <c r="W754">
        <v>357</v>
      </c>
      <c r="Z754">
        <v>0</v>
      </c>
      <c r="AA754" t="s">
        <v>1451</v>
      </c>
    </row>
    <row r="755" spans="1:27" x14ac:dyDescent="0.25">
      <c r="H755">
        <v>216</v>
      </c>
    </row>
    <row r="756" spans="1:27" x14ac:dyDescent="0.25">
      <c r="A756">
        <v>375</v>
      </c>
      <c r="B756">
        <v>1274</v>
      </c>
      <c r="C756" t="s">
        <v>1452</v>
      </c>
      <c r="D756" t="s">
        <v>284</v>
      </c>
      <c r="E756" t="s">
        <v>499</v>
      </c>
      <c r="F756" t="s">
        <v>1453</v>
      </c>
      <c r="G756" t="str">
        <f>"201406014102"</f>
        <v>201406014102</v>
      </c>
      <c r="H756" t="s">
        <v>301</v>
      </c>
      <c r="I756">
        <v>0</v>
      </c>
      <c r="J756">
        <v>0</v>
      </c>
      <c r="K756">
        <v>0</v>
      </c>
      <c r="L756">
        <v>260</v>
      </c>
      <c r="M756">
        <v>0</v>
      </c>
      <c r="N756">
        <v>50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53</v>
      </c>
      <c r="W756">
        <v>371</v>
      </c>
      <c r="Z756">
        <v>0</v>
      </c>
      <c r="AA756" t="s">
        <v>1454</v>
      </c>
    </row>
    <row r="757" spans="1:27" x14ac:dyDescent="0.25">
      <c r="H757" t="s">
        <v>237</v>
      </c>
    </row>
    <row r="758" spans="1:27" x14ac:dyDescent="0.25">
      <c r="A758">
        <v>376</v>
      </c>
      <c r="B758">
        <v>1857</v>
      </c>
      <c r="C758" t="s">
        <v>1455</v>
      </c>
      <c r="D758" t="s">
        <v>1456</v>
      </c>
      <c r="E758" t="s">
        <v>152</v>
      </c>
      <c r="F758" t="s">
        <v>1457</v>
      </c>
      <c r="G758" t="str">
        <f>"200911000093"</f>
        <v>200911000093</v>
      </c>
      <c r="H758" t="s">
        <v>915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70</v>
      </c>
      <c r="O758">
        <v>50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50</v>
      </c>
      <c r="V758">
        <v>55</v>
      </c>
      <c r="W758">
        <v>385</v>
      </c>
      <c r="Z758">
        <v>2</v>
      </c>
      <c r="AA758" t="s">
        <v>1458</v>
      </c>
    </row>
    <row r="759" spans="1:27" x14ac:dyDescent="0.25">
      <c r="H759" t="s">
        <v>38</v>
      </c>
    </row>
    <row r="760" spans="1:27" x14ac:dyDescent="0.25">
      <c r="A760">
        <v>377</v>
      </c>
      <c r="B760">
        <v>75</v>
      </c>
      <c r="C760" t="s">
        <v>1459</v>
      </c>
      <c r="D760" t="s">
        <v>1460</v>
      </c>
      <c r="E760" t="s">
        <v>284</v>
      </c>
      <c r="F760" t="s">
        <v>1461</v>
      </c>
      <c r="G760" t="str">
        <f>"201601001016"</f>
        <v>201601001016</v>
      </c>
      <c r="H760" t="s">
        <v>950</v>
      </c>
      <c r="I760">
        <v>0</v>
      </c>
      <c r="J760">
        <v>0</v>
      </c>
      <c r="K760">
        <v>0</v>
      </c>
      <c r="L760">
        <v>0</v>
      </c>
      <c r="M760">
        <v>100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162</v>
      </c>
      <c r="W760">
        <v>588</v>
      </c>
      <c r="Z760">
        <v>0</v>
      </c>
      <c r="AA760" t="s">
        <v>1462</v>
      </c>
    </row>
    <row r="761" spans="1:27" x14ac:dyDescent="0.25">
      <c r="H761">
        <v>215</v>
      </c>
    </row>
    <row r="762" spans="1:27" x14ac:dyDescent="0.25">
      <c r="A762">
        <v>378</v>
      </c>
      <c r="B762">
        <v>2823</v>
      </c>
      <c r="C762" t="s">
        <v>1463</v>
      </c>
      <c r="D762" t="s">
        <v>875</v>
      </c>
      <c r="E762" t="s">
        <v>1464</v>
      </c>
      <c r="F762" t="s">
        <v>1465</v>
      </c>
      <c r="G762" t="str">
        <f>"201406016144"</f>
        <v>201406016144</v>
      </c>
      <c r="H762" t="s">
        <v>1466</v>
      </c>
      <c r="I762">
        <v>0</v>
      </c>
      <c r="J762">
        <v>0</v>
      </c>
      <c r="K762">
        <v>0</v>
      </c>
      <c r="L762">
        <v>0</v>
      </c>
      <c r="M762">
        <v>100</v>
      </c>
      <c r="N762">
        <v>70</v>
      </c>
      <c r="O762">
        <v>0</v>
      </c>
      <c r="P762">
        <v>0</v>
      </c>
      <c r="Q762">
        <v>0</v>
      </c>
      <c r="R762">
        <v>70</v>
      </c>
      <c r="S762">
        <v>0</v>
      </c>
      <c r="T762">
        <v>0</v>
      </c>
      <c r="U762">
        <v>0</v>
      </c>
      <c r="V762">
        <v>179</v>
      </c>
      <c r="W762">
        <v>588</v>
      </c>
      <c r="Z762">
        <v>0</v>
      </c>
      <c r="AA762" t="s">
        <v>1467</v>
      </c>
    </row>
    <row r="763" spans="1:27" x14ac:dyDescent="0.25">
      <c r="H763" t="s">
        <v>223</v>
      </c>
    </row>
    <row r="764" spans="1:27" x14ac:dyDescent="0.25">
      <c r="A764">
        <v>379</v>
      </c>
      <c r="B764">
        <v>76</v>
      </c>
      <c r="C764" t="s">
        <v>1468</v>
      </c>
      <c r="D764" t="s">
        <v>41</v>
      </c>
      <c r="E764" t="s">
        <v>64</v>
      </c>
      <c r="F764" t="s">
        <v>1469</v>
      </c>
      <c r="G764" t="str">
        <f>"201506003793"</f>
        <v>201506003793</v>
      </c>
      <c r="H764" t="s">
        <v>793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92</v>
      </c>
      <c r="W764">
        <v>588</v>
      </c>
      <c r="Z764">
        <v>0</v>
      </c>
      <c r="AA764" t="s">
        <v>1470</v>
      </c>
    </row>
    <row r="765" spans="1:27" x14ac:dyDescent="0.25">
      <c r="H765" t="s">
        <v>25</v>
      </c>
    </row>
    <row r="766" spans="1:27" x14ac:dyDescent="0.25">
      <c r="A766">
        <v>380</v>
      </c>
      <c r="B766">
        <v>2862</v>
      </c>
      <c r="C766" t="s">
        <v>387</v>
      </c>
      <c r="D766" t="s">
        <v>1104</v>
      </c>
      <c r="E766" t="s">
        <v>64</v>
      </c>
      <c r="F766" t="s">
        <v>1105</v>
      </c>
      <c r="G766" t="str">
        <f>"00014896"</f>
        <v>00014896</v>
      </c>
      <c r="H766">
        <v>715</v>
      </c>
      <c r="I766">
        <v>0</v>
      </c>
      <c r="J766">
        <v>0</v>
      </c>
      <c r="K766">
        <v>0</v>
      </c>
      <c r="L766">
        <v>0</v>
      </c>
      <c r="M766">
        <v>100</v>
      </c>
      <c r="N766">
        <v>70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Z766">
        <v>2</v>
      </c>
      <c r="AA766">
        <v>1473</v>
      </c>
    </row>
    <row r="767" spans="1:27" x14ac:dyDescent="0.25">
      <c r="H767" t="s">
        <v>19</v>
      </c>
    </row>
    <row r="768" spans="1:27" x14ac:dyDescent="0.25">
      <c r="A768">
        <v>381</v>
      </c>
      <c r="B768">
        <v>2676</v>
      </c>
      <c r="C768" t="s">
        <v>1471</v>
      </c>
      <c r="D768" t="s">
        <v>194</v>
      </c>
      <c r="E768" t="s">
        <v>879</v>
      </c>
      <c r="F768" t="s">
        <v>1472</v>
      </c>
      <c r="G768" t="str">
        <f>"201304004715"</f>
        <v>201304004715</v>
      </c>
      <c r="H768" t="s">
        <v>1473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30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49</v>
      </c>
      <c r="W768">
        <v>343</v>
      </c>
      <c r="Z768">
        <v>0</v>
      </c>
      <c r="AA768" t="s">
        <v>1474</v>
      </c>
    </row>
    <row r="769" spans="1:27" x14ac:dyDescent="0.25">
      <c r="H769" t="s">
        <v>78</v>
      </c>
    </row>
    <row r="770" spans="1:27" x14ac:dyDescent="0.25">
      <c r="A770">
        <v>382</v>
      </c>
      <c r="B770">
        <v>897</v>
      </c>
      <c r="C770" t="s">
        <v>1475</v>
      </c>
      <c r="D770" t="s">
        <v>1476</v>
      </c>
      <c r="E770" t="s">
        <v>284</v>
      </c>
      <c r="F770" t="s">
        <v>1477</v>
      </c>
      <c r="G770" t="str">
        <f>"201304004264"</f>
        <v>201304004264</v>
      </c>
      <c r="H770" t="s">
        <v>1223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80</v>
      </c>
      <c r="W770">
        <v>560</v>
      </c>
      <c r="Z770">
        <v>0</v>
      </c>
      <c r="AA770" t="s">
        <v>1478</v>
      </c>
    </row>
    <row r="771" spans="1:27" x14ac:dyDescent="0.25">
      <c r="H771" t="s">
        <v>298</v>
      </c>
    </row>
    <row r="772" spans="1:27" x14ac:dyDescent="0.25">
      <c r="A772">
        <v>383</v>
      </c>
      <c r="B772">
        <v>1286</v>
      </c>
      <c r="C772" t="s">
        <v>775</v>
      </c>
      <c r="D772" t="s">
        <v>219</v>
      </c>
      <c r="E772" t="s">
        <v>235</v>
      </c>
      <c r="F772" t="s">
        <v>776</v>
      </c>
      <c r="G772" t="str">
        <f>"201504003230"</f>
        <v>201504003230</v>
      </c>
      <c r="H772" t="s">
        <v>773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70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60</v>
      </c>
      <c r="W772">
        <v>420</v>
      </c>
      <c r="Z772">
        <v>0</v>
      </c>
      <c r="AA772" t="s">
        <v>1479</v>
      </c>
    </row>
    <row r="773" spans="1:27" x14ac:dyDescent="0.25">
      <c r="H773" t="s">
        <v>248</v>
      </c>
    </row>
    <row r="774" spans="1:27" x14ac:dyDescent="0.25">
      <c r="A774">
        <v>384</v>
      </c>
      <c r="B774">
        <v>2594</v>
      </c>
      <c r="C774" t="s">
        <v>1480</v>
      </c>
      <c r="D774" t="s">
        <v>647</v>
      </c>
      <c r="E774" t="s">
        <v>1481</v>
      </c>
      <c r="F774" t="s">
        <v>1482</v>
      </c>
      <c r="G774" t="str">
        <f>"201412006691"</f>
        <v>201412006691</v>
      </c>
      <c r="H774" t="s">
        <v>1096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69</v>
      </c>
      <c r="W774">
        <v>483</v>
      </c>
      <c r="Z774">
        <v>0</v>
      </c>
      <c r="AA774" t="s">
        <v>1483</v>
      </c>
    </row>
    <row r="775" spans="1:27" x14ac:dyDescent="0.25">
      <c r="H775" t="s">
        <v>317</v>
      </c>
    </row>
    <row r="776" spans="1:27" x14ac:dyDescent="0.25">
      <c r="A776">
        <v>385</v>
      </c>
      <c r="B776">
        <v>1290</v>
      </c>
      <c r="C776" t="s">
        <v>1484</v>
      </c>
      <c r="D776" t="s">
        <v>1485</v>
      </c>
      <c r="E776" t="s">
        <v>1486</v>
      </c>
      <c r="F776" t="s">
        <v>1487</v>
      </c>
      <c r="G776" t="str">
        <f>"201406003604"</f>
        <v>201406003604</v>
      </c>
      <c r="H776" t="s">
        <v>1488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50</v>
      </c>
      <c r="O776">
        <v>0</v>
      </c>
      <c r="P776">
        <v>0</v>
      </c>
      <c r="Q776">
        <v>30</v>
      </c>
      <c r="R776">
        <v>0</v>
      </c>
      <c r="S776">
        <v>0</v>
      </c>
      <c r="T776">
        <v>0</v>
      </c>
      <c r="U776">
        <v>0</v>
      </c>
      <c r="V776">
        <v>73</v>
      </c>
      <c r="W776">
        <v>511</v>
      </c>
      <c r="Z776">
        <v>0</v>
      </c>
      <c r="AA776" t="s">
        <v>1489</v>
      </c>
    </row>
    <row r="777" spans="1:27" x14ac:dyDescent="0.25">
      <c r="H777" t="s">
        <v>25</v>
      </c>
    </row>
    <row r="778" spans="1:27" x14ac:dyDescent="0.25">
      <c r="A778">
        <v>386</v>
      </c>
      <c r="B778">
        <v>3307</v>
      </c>
      <c r="C778" t="s">
        <v>1490</v>
      </c>
      <c r="D778" t="s">
        <v>41</v>
      </c>
      <c r="E778" t="s">
        <v>108</v>
      </c>
      <c r="F778" t="s">
        <v>1491</v>
      </c>
      <c r="G778" t="str">
        <f>"200802003249"</f>
        <v>200802003249</v>
      </c>
      <c r="H778" t="s">
        <v>662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165</v>
      </c>
      <c r="W778">
        <v>588</v>
      </c>
      <c r="Z778">
        <v>0</v>
      </c>
      <c r="AA778" t="s">
        <v>1492</v>
      </c>
    </row>
    <row r="779" spans="1:27" x14ac:dyDescent="0.25">
      <c r="H779">
        <v>215</v>
      </c>
    </row>
    <row r="780" spans="1:27" x14ac:dyDescent="0.25">
      <c r="A780">
        <v>387</v>
      </c>
      <c r="B780">
        <v>1415</v>
      </c>
      <c r="C780" t="s">
        <v>1493</v>
      </c>
      <c r="D780" t="s">
        <v>151</v>
      </c>
      <c r="E780" t="s">
        <v>64</v>
      </c>
      <c r="F780" t="s">
        <v>1494</v>
      </c>
      <c r="G780" t="str">
        <f>"201303000712"</f>
        <v>201303000712</v>
      </c>
      <c r="H780" t="s">
        <v>1495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36</v>
      </c>
      <c r="W780">
        <v>252</v>
      </c>
      <c r="Z780">
        <v>0</v>
      </c>
      <c r="AA780" t="s">
        <v>1496</v>
      </c>
    </row>
    <row r="781" spans="1:27" x14ac:dyDescent="0.25">
      <c r="H781" t="s">
        <v>1497</v>
      </c>
    </row>
    <row r="782" spans="1:27" x14ac:dyDescent="0.25">
      <c r="A782">
        <v>388</v>
      </c>
      <c r="B782">
        <v>3208</v>
      </c>
      <c r="C782" t="s">
        <v>1498</v>
      </c>
      <c r="D782" t="s">
        <v>14</v>
      </c>
      <c r="E782" t="s">
        <v>128</v>
      </c>
      <c r="F782" t="s">
        <v>1499</v>
      </c>
      <c r="G782" t="str">
        <f>"201406013576"</f>
        <v>201406013576</v>
      </c>
      <c r="H782" t="s">
        <v>747</v>
      </c>
      <c r="I782">
        <v>0</v>
      </c>
      <c r="J782">
        <v>0</v>
      </c>
      <c r="K782">
        <v>200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58</v>
      </c>
      <c r="W782">
        <v>406</v>
      </c>
      <c r="Z782">
        <v>0</v>
      </c>
      <c r="AA782" t="s">
        <v>1500</v>
      </c>
    </row>
    <row r="783" spans="1:27" x14ac:dyDescent="0.25">
      <c r="H783" t="s">
        <v>1044</v>
      </c>
    </row>
    <row r="784" spans="1:27" x14ac:dyDescent="0.25">
      <c r="A784">
        <v>389</v>
      </c>
      <c r="B784">
        <v>1072</v>
      </c>
      <c r="C784" t="s">
        <v>1137</v>
      </c>
      <c r="D784" t="s">
        <v>1138</v>
      </c>
      <c r="E784" t="s">
        <v>158</v>
      </c>
      <c r="F784" t="s">
        <v>1139</v>
      </c>
      <c r="G784" t="str">
        <f>"200802004026"</f>
        <v>200802004026</v>
      </c>
      <c r="H784" t="s">
        <v>950</v>
      </c>
      <c r="I784">
        <v>150</v>
      </c>
      <c r="J784">
        <v>0</v>
      </c>
      <c r="K784">
        <v>0</v>
      </c>
      <c r="L784">
        <v>0</v>
      </c>
      <c r="M784">
        <v>100</v>
      </c>
      <c r="N784">
        <v>70</v>
      </c>
      <c r="O784">
        <v>30</v>
      </c>
      <c r="P784">
        <v>0</v>
      </c>
      <c r="Q784">
        <v>0</v>
      </c>
      <c r="R784">
        <v>30</v>
      </c>
      <c r="S784">
        <v>0</v>
      </c>
      <c r="T784">
        <v>0</v>
      </c>
      <c r="U784">
        <v>0</v>
      </c>
      <c r="V784">
        <v>52</v>
      </c>
      <c r="W784">
        <v>364</v>
      </c>
      <c r="Z784">
        <v>0</v>
      </c>
      <c r="AA784" t="s">
        <v>1501</v>
      </c>
    </row>
    <row r="785" spans="1:27" x14ac:dyDescent="0.25">
      <c r="H785" t="s">
        <v>1141</v>
      </c>
    </row>
    <row r="786" spans="1:27" x14ac:dyDescent="0.25">
      <c r="A786">
        <v>390</v>
      </c>
      <c r="B786">
        <v>3072</v>
      </c>
      <c r="C786" t="s">
        <v>1502</v>
      </c>
      <c r="D786" t="s">
        <v>14</v>
      </c>
      <c r="E786" t="s">
        <v>64</v>
      </c>
      <c r="F786" t="s">
        <v>1503</v>
      </c>
      <c r="G786" t="str">
        <f>"201504004547"</f>
        <v>201504004547</v>
      </c>
      <c r="H786">
        <v>660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76</v>
      </c>
      <c r="W786">
        <v>532</v>
      </c>
      <c r="Z786">
        <v>0</v>
      </c>
      <c r="AA786">
        <v>1462</v>
      </c>
    </row>
    <row r="787" spans="1:27" x14ac:dyDescent="0.25">
      <c r="H787" t="s">
        <v>78</v>
      </c>
    </row>
    <row r="788" spans="1:27" x14ac:dyDescent="0.25">
      <c r="A788">
        <v>391</v>
      </c>
      <c r="B788">
        <v>1526</v>
      </c>
      <c r="C788" t="s">
        <v>1504</v>
      </c>
      <c r="D788" t="s">
        <v>168</v>
      </c>
      <c r="E788" t="s">
        <v>679</v>
      </c>
      <c r="F788" t="s">
        <v>1505</v>
      </c>
      <c r="G788" t="str">
        <f>"201304001819"</f>
        <v>201304001819</v>
      </c>
      <c r="H788" t="s">
        <v>1506</v>
      </c>
      <c r="I788">
        <v>0</v>
      </c>
      <c r="J788">
        <v>0</v>
      </c>
      <c r="K788">
        <v>0</v>
      </c>
      <c r="L788">
        <v>0</v>
      </c>
      <c r="M788">
        <v>100</v>
      </c>
      <c r="N788">
        <v>70</v>
      </c>
      <c r="O788">
        <v>0</v>
      </c>
      <c r="P788">
        <v>0</v>
      </c>
      <c r="Q788">
        <v>50</v>
      </c>
      <c r="R788">
        <v>0</v>
      </c>
      <c r="S788">
        <v>0</v>
      </c>
      <c r="T788">
        <v>0</v>
      </c>
      <c r="U788">
        <v>0</v>
      </c>
      <c r="V788">
        <v>103</v>
      </c>
      <c r="W788">
        <v>588</v>
      </c>
      <c r="Z788">
        <v>0</v>
      </c>
      <c r="AA788" t="s">
        <v>1507</v>
      </c>
    </row>
    <row r="789" spans="1:27" x14ac:dyDescent="0.25">
      <c r="H789" t="s">
        <v>19</v>
      </c>
    </row>
    <row r="790" spans="1:27" x14ac:dyDescent="0.25">
      <c r="A790">
        <v>392</v>
      </c>
      <c r="B790">
        <v>2692</v>
      </c>
      <c r="C790" t="s">
        <v>1508</v>
      </c>
      <c r="D790" t="s">
        <v>1138</v>
      </c>
      <c r="E790" t="s">
        <v>235</v>
      </c>
      <c r="F790" t="s">
        <v>1509</v>
      </c>
      <c r="G790" t="str">
        <f>"200712002262"</f>
        <v>200712002262</v>
      </c>
      <c r="H790" t="s">
        <v>1510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50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59</v>
      </c>
      <c r="W790">
        <v>413</v>
      </c>
      <c r="Z790">
        <v>0</v>
      </c>
      <c r="AA790" t="s">
        <v>1511</v>
      </c>
    </row>
    <row r="791" spans="1:27" x14ac:dyDescent="0.25">
      <c r="H791" t="s">
        <v>106</v>
      </c>
    </row>
    <row r="792" spans="1:27" x14ac:dyDescent="0.25">
      <c r="A792">
        <v>393</v>
      </c>
      <c r="B792">
        <v>2216</v>
      </c>
      <c r="C792" t="s">
        <v>1512</v>
      </c>
      <c r="D792" t="s">
        <v>169</v>
      </c>
      <c r="E792" t="s">
        <v>158</v>
      </c>
      <c r="F792" t="s">
        <v>1513</v>
      </c>
      <c r="G792" t="str">
        <f>"00010803"</f>
        <v>00010803</v>
      </c>
      <c r="H792" t="s">
        <v>364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144</v>
      </c>
      <c r="W792">
        <v>588</v>
      </c>
      <c r="Z792">
        <v>0</v>
      </c>
      <c r="AA792" t="s">
        <v>1514</v>
      </c>
    </row>
    <row r="793" spans="1:27" x14ac:dyDescent="0.25">
      <c r="H793">
        <v>215</v>
      </c>
    </row>
    <row r="794" spans="1:27" x14ac:dyDescent="0.25">
      <c r="A794">
        <v>394</v>
      </c>
      <c r="B794">
        <v>1584</v>
      </c>
      <c r="C794" t="s">
        <v>1515</v>
      </c>
      <c r="D794" t="s">
        <v>725</v>
      </c>
      <c r="E794" t="s">
        <v>158</v>
      </c>
      <c r="F794" t="s">
        <v>1516</v>
      </c>
      <c r="G794" t="str">
        <f>"201406014305"</f>
        <v>201406014305</v>
      </c>
      <c r="H794">
        <v>715</v>
      </c>
      <c r="I794">
        <v>0</v>
      </c>
      <c r="J794">
        <v>0</v>
      </c>
      <c r="K794">
        <v>0</v>
      </c>
      <c r="L794">
        <v>260</v>
      </c>
      <c r="M794">
        <v>0</v>
      </c>
      <c r="N794">
        <v>50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62</v>
      </c>
      <c r="W794">
        <v>434</v>
      </c>
      <c r="Z794">
        <v>1</v>
      </c>
      <c r="AA794">
        <v>1459</v>
      </c>
    </row>
    <row r="795" spans="1:27" x14ac:dyDescent="0.25">
      <c r="H795" t="s">
        <v>280</v>
      </c>
    </row>
    <row r="796" spans="1:27" x14ac:dyDescent="0.25">
      <c r="A796">
        <v>395</v>
      </c>
      <c r="B796">
        <v>158</v>
      </c>
      <c r="C796" t="s">
        <v>1517</v>
      </c>
      <c r="D796" t="s">
        <v>1518</v>
      </c>
      <c r="E796" t="s">
        <v>85</v>
      </c>
      <c r="F796" t="s">
        <v>1519</v>
      </c>
      <c r="G796" t="str">
        <f>"201304000884"</f>
        <v>201304000884</v>
      </c>
      <c r="H796" t="s">
        <v>429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50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87</v>
      </c>
      <c r="W796">
        <v>588</v>
      </c>
      <c r="Z796">
        <v>0</v>
      </c>
      <c r="AA796" t="s">
        <v>1520</v>
      </c>
    </row>
    <row r="797" spans="1:27" x14ac:dyDescent="0.25">
      <c r="H797" t="s">
        <v>904</v>
      </c>
    </row>
    <row r="798" spans="1:27" x14ac:dyDescent="0.25">
      <c r="A798">
        <v>396</v>
      </c>
      <c r="B798">
        <v>2764</v>
      </c>
      <c r="C798" t="s">
        <v>1521</v>
      </c>
      <c r="D798" t="s">
        <v>168</v>
      </c>
      <c r="E798" t="s">
        <v>1336</v>
      </c>
      <c r="F798" t="s">
        <v>1522</v>
      </c>
      <c r="G798" t="str">
        <f>"200812000209"</f>
        <v>200812000209</v>
      </c>
      <c r="H798" t="s">
        <v>1223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91</v>
      </c>
      <c r="W798">
        <v>588</v>
      </c>
      <c r="Z798">
        <v>0</v>
      </c>
      <c r="AA798" t="s">
        <v>1523</v>
      </c>
    </row>
    <row r="799" spans="1:27" x14ac:dyDescent="0.25">
      <c r="H799" t="s">
        <v>106</v>
      </c>
    </row>
    <row r="800" spans="1:27" x14ac:dyDescent="0.25">
      <c r="A800">
        <v>397</v>
      </c>
      <c r="B800">
        <v>3297</v>
      </c>
      <c r="C800" t="s">
        <v>1524</v>
      </c>
      <c r="D800" t="s">
        <v>1525</v>
      </c>
      <c r="E800" t="s">
        <v>348</v>
      </c>
      <c r="F800" t="s">
        <v>1526</v>
      </c>
      <c r="G800" t="str">
        <f>"201304001765"</f>
        <v>201304001765</v>
      </c>
      <c r="H800" t="s">
        <v>1082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74</v>
      </c>
      <c r="W800">
        <v>518</v>
      </c>
      <c r="Z800">
        <v>0</v>
      </c>
      <c r="AA800" t="s">
        <v>1527</v>
      </c>
    </row>
    <row r="801" spans="1:27" x14ac:dyDescent="0.25">
      <c r="H801" t="s">
        <v>1528</v>
      </c>
    </row>
    <row r="802" spans="1:27" x14ac:dyDescent="0.25">
      <c r="A802">
        <v>398</v>
      </c>
      <c r="B802">
        <v>1343</v>
      </c>
      <c r="C802" t="s">
        <v>1529</v>
      </c>
      <c r="D802" t="s">
        <v>1530</v>
      </c>
      <c r="E802" t="s">
        <v>158</v>
      </c>
      <c r="F802" t="s">
        <v>1531</v>
      </c>
      <c r="G802" t="str">
        <f>"00001884"</f>
        <v>00001884</v>
      </c>
      <c r="H802" t="s">
        <v>675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50</v>
      </c>
      <c r="O802">
        <v>0</v>
      </c>
      <c r="P802">
        <v>0</v>
      </c>
      <c r="Q802">
        <v>30</v>
      </c>
      <c r="R802">
        <v>0</v>
      </c>
      <c r="S802">
        <v>0</v>
      </c>
      <c r="T802">
        <v>0</v>
      </c>
      <c r="U802">
        <v>0</v>
      </c>
      <c r="V802">
        <v>151</v>
      </c>
      <c r="W802">
        <v>588</v>
      </c>
      <c r="Z802">
        <v>0</v>
      </c>
      <c r="AA802" t="s">
        <v>1532</v>
      </c>
    </row>
    <row r="803" spans="1:27" x14ac:dyDescent="0.25">
      <c r="H803" t="s">
        <v>25</v>
      </c>
    </row>
    <row r="804" spans="1:27" x14ac:dyDescent="0.25">
      <c r="A804">
        <v>399</v>
      </c>
      <c r="B804">
        <v>448</v>
      </c>
      <c r="C804" t="s">
        <v>1533</v>
      </c>
      <c r="D804" t="s">
        <v>267</v>
      </c>
      <c r="E804" t="s">
        <v>284</v>
      </c>
      <c r="F804" t="s">
        <v>1534</v>
      </c>
      <c r="G804" t="str">
        <f>"201406007673"</f>
        <v>201406007673</v>
      </c>
      <c r="H804" t="s">
        <v>332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70</v>
      </c>
      <c r="O804">
        <v>0</v>
      </c>
      <c r="P804">
        <v>30</v>
      </c>
      <c r="Q804">
        <v>30</v>
      </c>
      <c r="R804">
        <v>0</v>
      </c>
      <c r="S804">
        <v>0</v>
      </c>
      <c r="T804">
        <v>0</v>
      </c>
      <c r="U804">
        <v>0</v>
      </c>
      <c r="V804">
        <v>39</v>
      </c>
      <c r="W804">
        <v>273</v>
      </c>
      <c r="Z804">
        <v>0</v>
      </c>
      <c r="AA804" t="s">
        <v>1535</v>
      </c>
    </row>
    <row r="805" spans="1:27" x14ac:dyDescent="0.25">
      <c r="H805" t="s">
        <v>248</v>
      </c>
    </row>
    <row r="806" spans="1:27" x14ac:dyDescent="0.25">
      <c r="A806">
        <v>400</v>
      </c>
      <c r="B806">
        <v>994</v>
      </c>
      <c r="C806" t="s">
        <v>1536</v>
      </c>
      <c r="D806" t="s">
        <v>1537</v>
      </c>
      <c r="E806" t="s">
        <v>41</v>
      </c>
      <c r="F806" t="s">
        <v>1538</v>
      </c>
      <c r="G806" t="str">
        <f>"201303000191"</f>
        <v>201303000191</v>
      </c>
      <c r="H806" t="s">
        <v>278</v>
      </c>
      <c r="I806">
        <v>0</v>
      </c>
      <c r="J806">
        <v>0</v>
      </c>
      <c r="K806">
        <v>0</v>
      </c>
      <c r="L806">
        <v>260</v>
      </c>
      <c r="M806">
        <v>0</v>
      </c>
      <c r="N806">
        <v>70</v>
      </c>
      <c r="O806">
        <v>30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35</v>
      </c>
      <c r="W806">
        <v>245</v>
      </c>
      <c r="Z806">
        <v>0</v>
      </c>
      <c r="AA806" t="s">
        <v>1539</v>
      </c>
    </row>
    <row r="807" spans="1:27" x14ac:dyDescent="0.25">
      <c r="H807" t="s">
        <v>265</v>
      </c>
    </row>
    <row r="808" spans="1:27" x14ac:dyDescent="0.25">
      <c r="A808">
        <v>401</v>
      </c>
      <c r="B808">
        <v>1405</v>
      </c>
      <c r="C808" t="s">
        <v>1540</v>
      </c>
      <c r="D808" t="s">
        <v>129</v>
      </c>
      <c r="E808" t="s">
        <v>1072</v>
      </c>
      <c r="F808" t="s">
        <v>1541</v>
      </c>
      <c r="G808" t="str">
        <f>"201406009982"</f>
        <v>201406009982</v>
      </c>
      <c r="H808" t="s">
        <v>453</v>
      </c>
      <c r="I808">
        <v>0</v>
      </c>
      <c r="J808">
        <v>0</v>
      </c>
      <c r="K808">
        <v>0</v>
      </c>
      <c r="L808">
        <v>0</v>
      </c>
      <c r="M808">
        <v>100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113</v>
      </c>
      <c r="W808">
        <v>588</v>
      </c>
      <c r="Z808">
        <v>1</v>
      </c>
      <c r="AA808" t="s">
        <v>1542</v>
      </c>
    </row>
    <row r="809" spans="1:27" x14ac:dyDescent="0.25">
      <c r="H809" t="s">
        <v>1543</v>
      </c>
    </row>
    <row r="810" spans="1:27" x14ac:dyDescent="0.25">
      <c r="A810">
        <v>402</v>
      </c>
      <c r="B810">
        <v>455</v>
      </c>
      <c r="C810" t="s">
        <v>1544</v>
      </c>
      <c r="D810" t="s">
        <v>225</v>
      </c>
      <c r="E810" t="s">
        <v>499</v>
      </c>
      <c r="F810" t="s">
        <v>1545</v>
      </c>
      <c r="G810" t="str">
        <f>"201402009032"</f>
        <v>201402009032</v>
      </c>
      <c r="H810" t="s">
        <v>768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50</v>
      </c>
      <c r="R810">
        <v>0</v>
      </c>
      <c r="S810">
        <v>0</v>
      </c>
      <c r="T810">
        <v>0</v>
      </c>
      <c r="U810">
        <v>0</v>
      </c>
      <c r="V810">
        <v>92</v>
      </c>
      <c r="W810">
        <v>588</v>
      </c>
      <c r="Z810">
        <v>0</v>
      </c>
      <c r="AA810" t="s">
        <v>1546</v>
      </c>
    </row>
    <row r="811" spans="1:27" x14ac:dyDescent="0.25">
      <c r="H811" t="s">
        <v>25</v>
      </c>
    </row>
    <row r="812" spans="1:27" x14ac:dyDescent="0.25">
      <c r="A812">
        <v>403</v>
      </c>
      <c r="B812">
        <v>1412</v>
      </c>
      <c r="C812" t="s">
        <v>1547</v>
      </c>
      <c r="D812" t="s">
        <v>58</v>
      </c>
      <c r="E812" t="s">
        <v>64</v>
      </c>
      <c r="F812" t="s">
        <v>1548</v>
      </c>
      <c r="G812" t="str">
        <f>"200810000741"</f>
        <v>200810000741</v>
      </c>
      <c r="H812" t="s">
        <v>315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50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93</v>
      </c>
      <c r="W812">
        <v>588</v>
      </c>
      <c r="Z812">
        <v>2</v>
      </c>
      <c r="AA812" t="s">
        <v>1549</v>
      </c>
    </row>
    <row r="813" spans="1:27" x14ac:dyDescent="0.25">
      <c r="H813" t="s">
        <v>106</v>
      </c>
    </row>
    <row r="814" spans="1:27" x14ac:dyDescent="0.25">
      <c r="A814">
        <v>404</v>
      </c>
      <c r="B814">
        <v>709</v>
      </c>
      <c r="C814" t="s">
        <v>1550</v>
      </c>
      <c r="D814" t="s">
        <v>671</v>
      </c>
      <c r="E814" t="s">
        <v>158</v>
      </c>
      <c r="F814" t="s">
        <v>1551</v>
      </c>
      <c r="G814" t="str">
        <f>"201406000697"</f>
        <v>201406000697</v>
      </c>
      <c r="H814" t="s">
        <v>1552</v>
      </c>
      <c r="I814">
        <v>0</v>
      </c>
      <c r="J814">
        <v>0</v>
      </c>
      <c r="K814">
        <v>0</v>
      </c>
      <c r="L814">
        <v>0</v>
      </c>
      <c r="M814">
        <v>100</v>
      </c>
      <c r="N814">
        <v>70</v>
      </c>
      <c r="O814">
        <v>30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202</v>
      </c>
      <c r="W814">
        <v>588</v>
      </c>
      <c r="Z814">
        <v>0</v>
      </c>
      <c r="AA814" t="s">
        <v>1553</v>
      </c>
    </row>
    <row r="815" spans="1:27" x14ac:dyDescent="0.25">
      <c r="H815">
        <v>216</v>
      </c>
    </row>
    <row r="816" spans="1:27" x14ac:dyDescent="0.25">
      <c r="A816">
        <v>405</v>
      </c>
      <c r="B816">
        <v>1709</v>
      </c>
      <c r="C816" t="s">
        <v>1554</v>
      </c>
      <c r="D816" t="s">
        <v>168</v>
      </c>
      <c r="E816" t="s">
        <v>1555</v>
      </c>
      <c r="F816">
        <v>1039975</v>
      </c>
      <c r="G816" t="str">
        <f>"00012444"</f>
        <v>00012444</v>
      </c>
      <c r="H816">
        <v>792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158</v>
      </c>
      <c r="W816">
        <v>588</v>
      </c>
      <c r="Z816">
        <v>2</v>
      </c>
      <c r="AA816">
        <v>1450</v>
      </c>
    </row>
    <row r="817" spans="1:27" x14ac:dyDescent="0.25">
      <c r="H817">
        <v>216</v>
      </c>
    </row>
    <row r="818" spans="1:27" x14ac:dyDescent="0.25">
      <c r="A818">
        <v>406</v>
      </c>
      <c r="B818">
        <v>2987</v>
      </c>
      <c r="C818" t="s">
        <v>1556</v>
      </c>
      <c r="D818" t="s">
        <v>168</v>
      </c>
      <c r="E818" t="s">
        <v>128</v>
      </c>
      <c r="F818" t="s">
        <v>1557</v>
      </c>
      <c r="G818" t="str">
        <f>"201303000920"</f>
        <v>201303000920</v>
      </c>
      <c r="H818">
        <v>792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Z818">
        <v>0</v>
      </c>
      <c r="AA818">
        <v>1450</v>
      </c>
    </row>
    <row r="819" spans="1:27" x14ac:dyDescent="0.25">
      <c r="H819" t="s">
        <v>106</v>
      </c>
    </row>
    <row r="820" spans="1:27" x14ac:dyDescent="0.25">
      <c r="A820">
        <v>407</v>
      </c>
      <c r="B820">
        <v>1556</v>
      </c>
      <c r="C820" t="s">
        <v>1558</v>
      </c>
      <c r="D820" t="s">
        <v>561</v>
      </c>
      <c r="E820" t="s">
        <v>64</v>
      </c>
      <c r="F820" t="s">
        <v>1559</v>
      </c>
      <c r="G820" t="str">
        <f>"201304005055"</f>
        <v>201304005055</v>
      </c>
      <c r="H820">
        <v>792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129</v>
      </c>
      <c r="W820">
        <v>588</v>
      </c>
      <c r="Z820">
        <v>0</v>
      </c>
      <c r="AA820">
        <v>1450</v>
      </c>
    </row>
    <row r="821" spans="1:27" x14ac:dyDescent="0.25">
      <c r="H821" t="s">
        <v>25</v>
      </c>
    </row>
    <row r="822" spans="1:27" x14ac:dyDescent="0.25">
      <c r="A822">
        <v>408</v>
      </c>
      <c r="B822">
        <v>2784</v>
      </c>
      <c r="C822" t="s">
        <v>1560</v>
      </c>
      <c r="D822" t="s">
        <v>200</v>
      </c>
      <c r="E822" t="s">
        <v>41</v>
      </c>
      <c r="F822" t="s">
        <v>1561</v>
      </c>
      <c r="G822" t="str">
        <f>"201406007564"</f>
        <v>201406007564</v>
      </c>
      <c r="H822" t="s">
        <v>1562</v>
      </c>
      <c r="I822">
        <v>0</v>
      </c>
      <c r="J822">
        <v>0</v>
      </c>
      <c r="K822">
        <v>0</v>
      </c>
      <c r="L822">
        <v>0</v>
      </c>
      <c r="M822">
        <v>100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108</v>
      </c>
      <c r="W822">
        <v>588</v>
      </c>
      <c r="Z822">
        <v>0</v>
      </c>
      <c r="AA822" t="s">
        <v>1563</v>
      </c>
    </row>
    <row r="823" spans="1:27" x14ac:dyDescent="0.25">
      <c r="H823" t="s">
        <v>78</v>
      </c>
    </row>
    <row r="824" spans="1:27" x14ac:dyDescent="0.25">
      <c r="A824">
        <v>409</v>
      </c>
      <c r="B824">
        <v>342</v>
      </c>
      <c r="C824" t="s">
        <v>1564</v>
      </c>
      <c r="D824" t="s">
        <v>33</v>
      </c>
      <c r="E824" t="s">
        <v>694</v>
      </c>
      <c r="F824" t="s">
        <v>1565</v>
      </c>
      <c r="G824" t="str">
        <f>"201304002045"</f>
        <v>201304002045</v>
      </c>
      <c r="H824" t="s">
        <v>1030</v>
      </c>
      <c r="I824">
        <v>0</v>
      </c>
      <c r="J824">
        <v>0</v>
      </c>
      <c r="K824">
        <v>0</v>
      </c>
      <c r="L824">
        <v>260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56</v>
      </c>
      <c r="W824">
        <v>392</v>
      </c>
      <c r="Z824">
        <v>0</v>
      </c>
      <c r="AA824" t="s">
        <v>1566</v>
      </c>
    </row>
    <row r="825" spans="1:27" x14ac:dyDescent="0.25">
      <c r="H825" t="s">
        <v>223</v>
      </c>
    </row>
    <row r="826" spans="1:27" x14ac:dyDescent="0.25">
      <c r="A826">
        <v>410</v>
      </c>
      <c r="B826">
        <v>797</v>
      </c>
      <c r="C826" t="s">
        <v>1567</v>
      </c>
      <c r="D826" t="s">
        <v>1568</v>
      </c>
      <c r="E826" t="s">
        <v>14</v>
      </c>
      <c r="F826" t="s">
        <v>1569</v>
      </c>
      <c r="G826" t="str">
        <f>"00015171"</f>
        <v>00015171</v>
      </c>
      <c r="H826">
        <v>726</v>
      </c>
      <c r="I826">
        <v>150</v>
      </c>
      <c r="J826">
        <v>0</v>
      </c>
      <c r="K826">
        <v>0</v>
      </c>
      <c r="L826">
        <v>0</v>
      </c>
      <c r="M826">
        <v>100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63</v>
      </c>
      <c r="W826">
        <v>441</v>
      </c>
      <c r="Z826">
        <v>0</v>
      </c>
      <c r="AA826">
        <v>1447</v>
      </c>
    </row>
    <row r="827" spans="1:27" x14ac:dyDescent="0.25">
      <c r="H827" t="s">
        <v>1570</v>
      </c>
    </row>
    <row r="828" spans="1:27" x14ac:dyDescent="0.25">
      <c r="A828">
        <v>411</v>
      </c>
      <c r="B828">
        <v>164</v>
      </c>
      <c r="C828" t="s">
        <v>1571</v>
      </c>
      <c r="D828" t="s">
        <v>64</v>
      </c>
      <c r="E828" t="s">
        <v>354</v>
      </c>
      <c r="F828" t="s">
        <v>1572</v>
      </c>
      <c r="G828" t="str">
        <f>"201406007981"</f>
        <v>201406007981</v>
      </c>
      <c r="H828" t="s">
        <v>110</v>
      </c>
      <c r="I828">
        <v>150</v>
      </c>
      <c r="J828">
        <v>0</v>
      </c>
      <c r="K828">
        <v>0</v>
      </c>
      <c r="L828">
        <v>0</v>
      </c>
      <c r="M828">
        <v>0</v>
      </c>
      <c r="N828">
        <v>50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99</v>
      </c>
      <c r="W828">
        <v>588</v>
      </c>
      <c r="Z828">
        <v>0</v>
      </c>
      <c r="AA828" t="s">
        <v>1573</v>
      </c>
    </row>
    <row r="829" spans="1:27" x14ac:dyDescent="0.25">
      <c r="H829" t="s">
        <v>25</v>
      </c>
    </row>
    <row r="830" spans="1:27" x14ac:dyDescent="0.25">
      <c r="A830">
        <v>412</v>
      </c>
      <c r="B830">
        <v>1434</v>
      </c>
      <c r="C830" t="s">
        <v>1574</v>
      </c>
      <c r="D830" t="s">
        <v>1575</v>
      </c>
      <c r="E830" t="s">
        <v>64</v>
      </c>
      <c r="F830" t="s">
        <v>1576</v>
      </c>
      <c r="G830" t="str">
        <f>"00013150"</f>
        <v>00013150</v>
      </c>
      <c r="H830">
        <v>737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68</v>
      </c>
      <c r="W830">
        <v>476</v>
      </c>
      <c r="Z830">
        <v>0</v>
      </c>
      <c r="AA830">
        <v>1443</v>
      </c>
    </row>
    <row r="831" spans="1:27" x14ac:dyDescent="0.25">
      <c r="H831" t="s">
        <v>31</v>
      </c>
    </row>
    <row r="832" spans="1:27" x14ac:dyDescent="0.25">
      <c r="A832">
        <v>413</v>
      </c>
      <c r="B832">
        <v>3018</v>
      </c>
      <c r="C832" t="s">
        <v>324</v>
      </c>
      <c r="D832" t="s">
        <v>1577</v>
      </c>
      <c r="E832" t="s">
        <v>41</v>
      </c>
      <c r="F832" t="s">
        <v>1578</v>
      </c>
      <c r="G832" t="str">
        <f>"201409003078"</f>
        <v>201409003078</v>
      </c>
      <c r="H832" t="s">
        <v>301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0</v>
      </c>
      <c r="P832">
        <v>0</v>
      </c>
      <c r="Q832">
        <v>30</v>
      </c>
      <c r="R832">
        <v>0</v>
      </c>
      <c r="S832">
        <v>0</v>
      </c>
      <c r="T832">
        <v>0</v>
      </c>
      <c r="U832">
        <v>0</v>
      </c>
      <c r="V832">
        <v>78</v>
      </c>
      <c r="W832">
        <v>546</v>
      </c>
      <c r="Z832">
        <v>0</v>
      </c>
      <c r="AA832" t="s">
        <v>1579</v>
      </c>
    </row>
    <row r="833" spans="1:27" x14ac:dyDescent="0.25">
      <c r="H833">
        <v>216</v>
      </c>
    </row>
    <row r="834" spans="1:27" x14ac:dyDescent="0.25">
      <c r="A834">
        <v>414</v>
      </c>
      <c r="B834">
        <v>155</v>
      </c>
      <c r="C834" t="s">
        <v>1580</v>
      </c>
      <c r="D834" t="s">
        <v>538</v>
      </c>
      <c r="E834" t="s">
        <v>41</v>
      </c>
      <c r="F834" t="s">
        <v>1581</v>
      </c>
      <c r="G834" t="str">
        <f>"201602000419"</f>
        <v>201602000419</v>
      </c>
      <c r="H834" t="s">
        <v>67</v>
      </c>
      <c r="I834">
        <v>0</v>
      </c>
      <c r="J834">
        <v>0</v>
      </c>
      <c r="K834">
        <v>0</v>
      </c>
      <c r="L834">
        <v>0</v>
      </c>
      <c r="M834">
        <v>100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Z834">
        <v>0</v>
      </c>
      <c r="AA834" t="s">
        <v>1582</v>
      </c>
    </row>
    <row r="835" spans="1:27" x14ac:dyDescent="0.25">
      <c r="H835">
        <v>215</v>
      </c>
    </row>
    <row r="836" spans="1:27" x14ac:dyDescent="0.25">
      <c r="A836">
        <v>415</v>
      </c>
      <c r="B836">
        <v>1054</v>
      </c>
      <c r="C836" t="s">
        <v>1583</v>
      </c>
      <c r="D836" t="s">
        <v>58</v>
      </c>
      <c r="E836" t="s">
        <v>123</v>
      </c>
      <c r="F836" t="s">
        <v>1584</v>
      </c>
      <c r="G836" t="str">
        <f>"201304001510"</f>
        <v>201304001510</v>
      </c>
      <c r="H836" t="s">
        <v>1585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30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67</v>
      </c>
      <c r="W836">
        <v>469</v>
      </c>
      <c r="Z836">
        <v>0</v>
      </c>
      <c r="AA836" t="s">
        <v>1586</v>
      </c>
    </row>
    <row r="837" spans="1:27" x14ac:dyDescent="0.25">
      <c r="H837" t="s">
        <v>377</v>
      </c>
    </row>
    <row r="838" spans="1:27" x14ac:dyDescent="0.25">
      <c r="A838">
        <v>416</v>
      </c>
      <c r="B838">
        <v>60</v>
      </c>
      <c r="C838" t="s">
        <v>1587</v>
      </c>
      <c r="D838" t="s">
        <v>151</v>
      </c>
      <c r="E838" t="s">
        <v>85</v>
      </c>
      <c r="F838" t="s">
        <v>1588</v>
      </c>
      <c r="G838" t="str">
        <f>"201304004135"</f>
        <v>201304004135</v>
      </c>
      <c r="H838" t="s">
        <v>915</v>
      </c>
      <c r="I838">
        <v>0</v>
      </c>
      <c r="J838">
        <v>0</v>
      </c>
      <c r="K838">
        <v>0</v>
      </c>
      <c r="L838">
        <v>0</v>
      </c>
      <c r="M838">
        <v>100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108</v>
      </c>
      <c r="W838">
        <v>588</v>
      </c>
      <c r="Z838">
        <v>0</v>
      </c>
      <c r="AA838" t="s">
        <v>1589</v>
      </c>
    </row>
    <row r="839" spans="1:27" x14ac:dyDescent="0.25">
      <c r="H839">
        <v>215</v>
      </c>
    </row>
    <row r="840" spans="1:27" x14ac:dyDescent="0.25">
      <c r="A840">
        <v>417</v>
      </c>
      <c r="B840">
        <v>2338</v>
      </c>
      <c r="C840" t="s">
        <v>1590</v>
      </c>
      <c r="D840" t="s">
        <v>647</v>
      </c>
      <c r="E840" t="s">
        <v>41</v>
      </c>
      <c r="F840" t="s">
        <v>1591</v>
      </c>
      <c r="G840" t="str">
        <f>"200806000142"</f>
        <v>200806000142</v>
      </c>
      <c r="H840" t="s">
        <v>1592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175</v>
      </c>
      <c r="W840">
        <v>588</v>
      </c>
      <c r="Z840">
        <v>0</v>
      </c>
      <c r="AA840" t="s">
        <v>1593</v>
      </c>
    </row>
    <row r="841" spans="1:27" x14ac:dyDescent="0.25">
      <c r="H841" t="s">
        <v>112</v>
      </c>
    </row>
    <row r="842" spans="1:27" x14ac:dyDescent="0.25">
      <c r="A842">
        <v>418</v>
      </c>
      <c r="B842">
        <v>1119</v>
      </c>
      <c r="C842" t="s">
        <v>1594</v>
      </c>
      <c r="D842" t="s">
        <v>128</v>
      </c>
      <c r="E842" t="s">
        <v>225</v>
      </c>
      <c r="F842" t="s">
        <v>1595</v>
      </c>
      <c r="G842" t="str">
        <f>"00013853"</f>
        <v>00013853</v>
      </c>
      <c r="H842">
        <v>550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70</v>
      </c>
      <c r="O842">
        <v>30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132</v>
      </c>
      <c r="W842">
        <v>588</v>
      </c>
      <c r="Z842">
        <v>0</v>
      </c>
      <c r="AA842">
        <v>1438</v>
      </c>
    </row>
    <row r="843" spans="1:27" x14ac:dyDescent="0.25">
      <c r="H843">
        <v>213</v>
      </c>
    </row>
    <row r="844" spans="1:27" x14ac:dyDescent="0.25">
      <c r="A844">
        <v>419</v>
      </c>
      <c r="B844">
        <v>278</v>
      </c>
      <c r="C844" t="s">
        <v>1596</v>
      </c>
      <c r="D844" t="s">
        <v>40</v>
      </c>
      <c r="E844" t="s">
        <v>114</v>
      </c>
      <c r="F844" t="s">
        <v>1597</v>
      </c>
      <c r="G844" t="str">
        <f>"201410003812"</f>
        <v>201410003812</v>
      </c>
      <c r="H844">
        <v>880</v>
      </c>
      <c r="I844">
        <v>0</v>
      </c>
      <c r="J844">
        <v>0</v>
      </c>
      <c r="K844">
        <v>0</v>
      </c>
      <c r="L844">
        <v>260</v>
      </c>
      <c r="M844">
        <v>0</v>
      </c>
      <c r="N844">
        <v>70</v>
      </c>
      <c r="O844">
        <v>0</v>
      </c>
      <c r="P844">
        <v>30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28</v>
      </c>
      <c r="W844">
        <v>196</v>
      </c>
      <c r="Z844">
        <v>0</v>
      </c>
      <c r="AA844">
        <v>1436</v>
      </c>
    </row>
    <row r="845" spans="1:27" x14ac:dyDescent="0.25">
      <c r="H845" t="s">
        <v>317</v>
      </c>
    </row>
    <row r="846" spans="1:27" x14ac:dyDescent="0.25">
      <c r="A846">
        <v>420</v>
      </c>
      <c r="B846">
        <v>1535</v>
      </c>
      <c r="C846" t="s">
        <v>1598</v>
      </c>
      <c r="D846" t="s">
        <v>80</v>
      </c>
      <c r="E846" t="s">
        <v>284</v>
      </c>
      <c r="F846" t="s">
        <v>1599</v>
      </c>
      <c r="G846" t="str">
        <f>"00011367"</f>
        <v>00011367</v>
      </c>
      <c r="H846" t="s">
        <v>1306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134</v>
      </c>
      <c r="W846">
        <v>588</v>
      </c>
      <c r="Z846">
        <v>0</v>
      </c>
      <c r="AA846" t="s">
        <v>1600</v>
      </c>
    </row>
    <row r="847" spans="1:27" x14ac:dyDescent="0.25">
      <c r="H847">
        <v>216</v>
      </c>
    </row>
    <row r="848" spans="1:27" x14ac:dyDescent="0.25">
      <c r="A848">
        <v>421</v>
      </c>
      <c r="B848">
        <v>122</v>
      </c>
      <c r="C848" t="s">
        <v>1601</v>
      </c>
      <c r="D848" t="s">
        <v>85</v>
      </c>
      <c r="E848" t="s">
        <v>309</v>
      </c>
      <c r="F848" t="s">
        <v>1602</v>
      </c>
      <c r="G848" t="str">
        <f>"201304001410"</f>
        <v>201304001410</v>
      </c>
      <c r="H848" t="s">
        <v>1603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33</v>
      </c>
      <c r="W848">
        <v>231</v>
      </c>
      <c r="Z848">
        <v>2</v>
      </c>
      <c r="AA848" t="s">
        <v>1604</v>
      </c>
    </row>
    <row r="849" spans="1:27" x14ac:dyDescent="0.25">
      <c r="H849" t="s">
        <v>31</v>
      </c>
    </row>
    <row r="850" spans="1:27" x14ac:dyDescent="0.25">
      <c r="A850">
        <v>422</v>
      </c>
      <c r="B850">
        <v>477</v>
      </c>
      <c r="C850" t="s">
        <v>1605</v>
      </c>
      <c r="D850" t="s">
        <v>41</v>
      </c>
      <c r="E850" t="s">
        <v>284</v>
      </c>
      <c r="F850">
        <v>1033841</v>
      </c>
      <c r="G850" t="str">
        <f>"00012890"</f>
        <v>00012890</v>
      </c>
      <c r="H850" t="s">
        <v>441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50</v>
      </c>
      <c r="O850">
        <v>50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Z850">
        <v>0</v>
      </c>
      <c r="AA850" t="s">
        <v>1604</v>
      </c>
    </row>
    <row r="851" spans="1:27" x14ac:dyDescent="0.25">
      <c r="H851" t="s">
        <v>1606</v>
      </c>
    </row>
    <row r="852" spans="1:27" x14ac:dyDescent="0.25">
      <c r="A852">
        <v>423</v>
      </c>
      <c r="B852">
        <v>2986</v>
      </c>
      <c r="C852" t="s">
        <v>1607</v>
      </c>
      <c r="D852" t="s">
        <v>123</v>
      </c>
      <c r="E852" t="s">
        <v>108</v>
      </c>
      <c r="F852" t="s">
        <v>1608</v>
      </c>
      <c r="G852" t="str">
        <f>"200802000997"</f>
        <v>200802000997</v>
      </c>
      <c r="H852" t="s">
        <v>315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70</v>
      </c>
      <c r="O852">
        <v>0</v>
      </c>
      <c r="P852">
        <v>50</v>
      </c>
      <c r="Q852">
        <v>70</v>
      </c>
      <c r="R852">
        <v>0</v>
      </c>
      <c r="S852">
        <v>0</v>
      </c>
      <c r="T852">
        <v>0</v>
      </c>
      <c r="U852">
        <v>0</v>
      </c>
      <c r="V852">
        <v>43</v>
      </c>
      <c r="W852">
        <v>301</v>
      </c>
      <c r="Z852">
        <v>0</v>
      </c>
      <c r="AA852" t="s">
        <v>1609</v>
      </c>
    </row>
    <row r="853" spans="1:27" x14ac:dyDescent="0.25">
      <c r="H853" t="s">
        <v>357</v>
      </c>
    </row>
    <row r="854" spans="1:27" x14ac:dyDescent="0.25">
      <c r="A854">
        <v>424</v>
      </c>
      <c r="B854">
        <v>1859</v>
      </c>
      <c r="C854" t="s">
        <v>1610</v>
      </c>
      <c r="D854" t="s">
        <v>41</v>
      </c>
      <c r="E854" t="s">
        <v>64</v>
      </c>
      <c r="F854" t="s">
        <v>1611</v>
      </c>
      <c r="G854" t="str">
        <f>"200801007269"</f>
        <v>200801007269</v>
      </c>
      <c r="H854" t="s">
        <v>1562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70</v>
      </c>
      <c r="V854">
        <v>63</v>
      </c>
      <c r="W854">
        <v>441</v>
      </c>
      <c r="Z854">
        <v>0</v>
      </c>
      <c r="AA854" t="s">
        <v>1612</v>
      </c>
    </row>
    <row r="855" spans="1:27" x14ac:dyDescent="0.25">
      <c r="H855" t="s">
        <v>659</v>
      </c>
    </row>
    <row r="856" spans="1:27" x14ac:dyDescent="0.25">
      <c r="A856">
        <v>425</v>
      </c>
      <c r="B856">
        <v>1688</v>
      </c>
      <c r="C856" t="s">
        <v>1613</v>
      </c>
      <c r="D856" t="s">
        <v>151</v>
      </c>
      <c r="E856" t="s">
        <v>1614</v>
      </c>
      <c r="F856" t="s">
        <v>1615</v>
      </c>
      <c r="G856" t="str">
        <f>"201303000287"</f>
        <v>201303000287</v>
      </c>
      <c r="H856" t="s">
        <v>337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70</v>
      </c>
      <c r="O856">
        <v>30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42</v>
      </c>
      <c r="W856">
        <v>294</v>
      </c>
      <c r="Z856">
        <v>0</v>
      </c>
      <c r="AA856" t="s">
        <v>1616</v>
      </c>
    </row>
    <row r="857" spans="1:27" x14ac:dyDescent="0.25">
      <c r="H857" t="s">
        <v>31</v>
      </c>
    </row>
    <row r="858" spans="1:27" x14ac:dyDescent="0.25">
      <c r="A858">
        <v>426</v>
      </c>
      <c r="B858">
        <v>2774</v>
      </c>
      <c r="C858" t="s">
        <v>1617</v>
      </c>
      <c r="D858" t="s">
        <v>188</v>
      </c>
      <c r="E858" t="s">
        <v>85</v>
      </c>
      <c r="F858" t="s">
        <v>1618</v>
      </c>
      <c r="G858" t="str">
        <f>"201012000003"</f>
        <v>201012000003</v>
      </c>
      <c r="H858" t="s">
        <v>623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67</v>
      </c>
      <c r="W858">
        <v>469</v>
      </c>
      <c r="Z858">
        <v>0</v>
      </c>
      <c r="AA858" t="s">
        <v>1619</v>
      </c>
    </row>
    <row r="859" spans="1:27" x14ac:dyDescent="0.25">
      <c r="H859" t="s">
        <v>78</v>
      </c>
    </row>
    <row r="860" spans="1:27" x14ac:dyDescent="0.25">
      <c r="A860">
        <v>427</v>
      </c>
      <c r="B860">
        <v>345</v>
      </c>
      <c r="C860" t="s">
        <v>987</v>
      </c>
      <c r="D860" t="s">
        <v>1620</v>
      </c>
      <c r="E860" t="s">
        <v>70</v>
      </c>
      <c r="F860" t="s">
        <v>1621</v>
      </c>
      <c r="G860" t="str">
        <f>"201402001463"</f>
        <v>201402001463</v>
      </c>
      <c r="H860" t="s">
        <v>1622</v>
      </c>
      <c r="I860">
        <v>0</v>
      </c>
      <c r="J860">
        <v>0</v>
      </c>
      <c r="K860">
        <v>0</v>
      </c>
      <c r="L860">
        <v>200</v>
      </c>
      <c r="M860">
        <v>30</v>
      </c>
      <c r="N860">
        <v>70</v>
      </c>
      <c r="O860">
        <v>0</v>
      </c>
      <c r="P860">
        <v>30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36</v>
      </c>
      <c r="W860">
        <v>252</v>
      </c>
      <c r="Z860">
        <v>0</v>
      </c>
      <c r="AA860" t="s">
        <v>1623</v>
      </c>
    </row>
    <row r="861" spans="1:27" x14ac:dyDescent="0.25">
      <c r="H861" t="s">
        <v>1624</v>
      </c>
    </row>
    <row r="862" spans="1:27" x14ac:dyDescent="0.25">
      <c r="A862">
        <v>428</v>
      </c>
      <c r="B862">
        <v>882</v>
      </c>
      <c r="C862" t="s">
        <v>1625</v>
      </c>
      <c r="D862" t="s">
        <v>59</v>
      </c>
      <c r="E862" t="s">
        <v>1626</v>
      </c>
      <c r="F862" t="s">
        <v>1627</v>
      </c>
      <c r="G862" t="str">
        <f>"201511009556"</f>
        <v>201511009556</v>
      </c>
      <c r="H862" t="s">
        <v>1628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65</v>
      </c>
      <c r="W862">
        <v>455</v>
      </c>
      <c r="Z862">
        <v>0</v>
      </c>
      <c r="AA862" t="s">
        <v>1623</v>
      </c>
    </row>
    <row r="863" spans="1:27" x14ac:dyDescent="0.25">
      <c r="H863" t="s">
        <v>38</v>
      </c>
    </row>
    <row r="864" spans="1:27" x14ac:dyDescent="0.25">
      <c r="A864">
        <v>429</v>
      </c>
      <c r="B864">
        <v>330</v>
      </c>
      <c r="C864" t="s">
        <v>1629</v>
      </c>
      <c r="D864" t="s">
        <v>151</v>
      </c>
      <c r="E864" t="s">
        <v>875</v>
      </c>
      <c r="F864" t="s">
        <v>1630</v>
      </c>
      <c r="G864" t="str">
        <f>"201402004040"</f>
        <v>201402004040</v>
      </c>
      <c r="H864" t="s">
        <v>1631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102</v>
      </c>
      <c r="W864">
        <v>588</v>
      </c>
      <c r="Z864">
        <v>0</v>
      </c>
      <c r="AA864" t="s">
        <v>1632</v>
      </c>
    </row>
    <row r="865" spans="1:27" x14ac:dyDescent="0.25">
      <c r="H865" t="s">
        <v>357</v>
      </c>
    </row>
    <row r="866" spans="1:27" x14ac:dyDescent="0.25">
      <c r="A866">
        <v>430</v>
      </c>
      <c r="B866">
        <v>2496</v>
      </c>
      <c r="C866" t="s">
        <v>724</v>
      </c>
      <c r="D866" t="s">
        <v>1076</v>
      </c>
      <c r="E866" t="s">
        <v>225</v>
      </c>
      <c r="F866" t="s">
        <v>1633</v>
      </c>
      <c r="G866" t="str">
        <f>"201303000238"</f>
        <v>201303000238</v>
      </c>
      <c r="H866" t="s">
        <v>120</v>
      </c>
      <c r="I866">
        <v>150</v>
      </c>
      <c r="J866">
        <v>0</v>
      </c>
      <c r="K866">
        <v>0</v>
      </c>
      <c r="L866">
        <v>200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43</v>
      </c>
      <c r="W866">
        <v>301</v>
      </c>
      <c r="Z866">
        <v>0</v>
      </c>
      <c r="AA866" t="s">
        <v>1634</v>
      </c>
    </row>
    <row r="867" spans="1:27" x14ac:dyDescent="0.25">
      <c r="H867" t="s">
        <v>31</v>
      </c>
    </row>
    <row r="868" spans="1:27" x14ac:dyDescent="0.25">
      <c r="A868">
        <v>431</v>
      </c>
      <c r="B868">
        <v>1926</v>
      </c>
      <c r="C868" t="s">
        <v>1635</v>
      </c>
      <c r="D868" t="s">
        <v>967</v>
      </c>
      <c r="E868" t="s">
        <v>158</v>
      </c>
      <c r="F868" t="s">
        <v>1636</v>
      </c>
      <c r="G868" t="str">
        <f>"201406017762"</f>
        <v>201406017762</v>
      </c>
      <c r="H868" t="s">
        <v>1410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70</v>
      </c>
      <c r="O868">
        <v>70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93</v>
      </c>
      <c r="W868">
        <v>588</v>
      </c>
      <c r="Z868">
        <v>2</v>
      </c>
      <c r="AA868" t="s">
        <v>1637</v>
      </c>
    </row>
    <row r="869" spans="1:27" x14ac:dyDescent="0.25">
      <c r="H869">
        <v>213</v>
      </c>
    </row>
    <row r="870" spans="1:27" x14ac:dyDescent="0.25">
      <c r="A870">
        <v>432</v>
      </c>
      <c r="B870">
        <v>843</v>
      </c>
      <c r="C870" t="s">
        <v>1638</v>
      </c>
      <c r="D870" t="s">
        <v>27</v>
      </c>
      <c r="E870" t="s">
        <v>1639</v>
      </c>
      <c r="F870" t="s">
        <v>1640</v>
      </c>
      <c r="G870" t="str">
        <f>"201304002687"</f>
        <v>201304002687</v>
      </c>
      <c r="H870" t="s">
        <v>429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82</v>
      </c>
      <c r="W870">
        <v>574</v>
      </c>
      <c r="Z870">
        <v>0</v>
      </c>
      <c r="AA870" t="s">
        <v>1641</v>
      </c>
    </row>
    <row r="871" spans="1:27" x14ac:dyDescent="0.25">
      <c r="H871" t="s">
        <v>659</v>
      </c>
    </row>
    <row r="872" spans="1:27" x14ac:dyDescent="0.25">
      <c r="A872">
        <v>433</v>
      </c>
      <c r="B872">
        <v>3188</v>
      </c>
      <c r="C872" t="s">
        <v>1642</v>
      </c>
      <c r="D872" t="s">
        <v>1643</v>
      </c>
      <c r="E872" t="s">
        <v>1644</v>
      </c>
      <c r="F872" t="s">
        <v>1645</v>
      </c>
      <c r="G872" t="str">
        <f>"200910000503"</f>
        <v>200910000503</v>
      </c>
      <c r="H872" t="s">
        <v>342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50</v>
      </c>
      <c r="P872">
        <v>0</v>
      </c>
      <c r="Q872">
        <v>0</v>
      </c>
      <c r="R872">
        <v>30</v>
      </c>
      <c r="S872">
        <v>0</v>
      </c>
      <c r="T872">
        <v>0</v>
      </c>
      <c r="U872">
        <v>0</v>
      </c>
      <c r="V872">
        <v>43</v>
      </c>
      <c r="W872">
        <v>301</v>
      </c>
      <c r="Z872">
        <v>0</v>
      </c>
      <c r="AA872" t="s">
        <v>1646</v>
      </c>
    </row>
    <row r="873" spans="1:27" x14ac:dyDescent="0.25">
      <c r="H873" t="s">
        <v>38</v>
      </c>
    </row>
    <row r="874" spans="1:27" x14ac:dyDescent="0.25">
      <c r="A874">
        <v>434</v>
      </c>
      <c r="B874">
        <v>88</v>
      </c>
      <c r="C874" t="s">
        <v>541</v>
      </c>
      <c r="D874" t="s">
        <v>490</v>
      </c>
      <c r="E874" t="s">
        <v>284</v>
      </c>
      <c r="F874" t="s">
        <v>1647</v>
      </c>
      <c r="G874" t="str">
        <f>"201402006243"</f>
        <v>201402006243</v>
      </c>
      <c r="H874" t="s">
        <v>1648</v>
      </c>
      <c r="I874">
        <v>0</v>
      </c>
      <c r="J874">
        <v>0</v>
      </c>
      <c r="K874">
        <v>0</v>
      </c>
      <c r="L874">
        <v>260</v>
      </c>
      <c r="M874">
        <v>0</v>
      </c>
      <c r="N874">
        <v>50</v>
      </c>
      <c r="O874">
        <v>0</v>
      </c>
      <c r="P874">
        <v>0</v>
      </c>
      <c r="Q874">
        <v>30</v>
      </c>
      <c r="R874">
        <v>30</v>
      </c>
      <c r="S874">
        <v>0</v>
      </c>
      <c r="T874">
        <v>0</v>
      </c>
      <c r="U874">
        <v>0</v>
      </c>
      <c r="V874">
        <v>49</v>
      </c>
      <c r="W874">
        <v>343</v>
      </c>
      <c r="Z874">
        <v>0</v>
      </c>
      <c r="AA874" t="s">
        <v>1649</v>
      </c>
    </row>
    <row r="875" spans="1:27" x14ac:dyDescent="0.25">
      <c r="H875" t="s">
        <v>729</v>
      </c>
    </row>
    <row r="876" spans="1:27" x14ac:dyDescent="0.25">
      <c r="A876">
        <v>435</v>
      </c>
      <c r="B876">
        <v>1665</v>
      </c>
      <c r="C876" t="s">
        <v>1650</v>
      </c>
      <c r="D876" t="s">
        <v>928</v>
      </c>
      <c r="E876" t="s">
        <v>64</v>
      </c>
      <c r="F876">
        <v>14953</v>
      </c>
      <c r="G876" t="str">
        <f>"00012756"</f>
        <v>00012756</v>
      </c>
      <c r="H876" t="s">
        <v>739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59</v>
      </c>
      <c r="W876">
        <v>413</v>
      </c>
      <c r="Z876">
        <v>0</v>
      </c>
      <c r="AA876" t="s">
        <v>1651</v>
      </c>
    </row>
    <row r="877" spans="1:27" x14ac:dyDescent="0.25">
      <c r="H877" t="s">
        <v>854</v>
      </c>
    </row>
    <row r="878" spans="1:27" x14ac:dyDescent="0.25">
      <c r="A878">
        <v>436</v>
      </c>
      <c r="B878">
        <v>3177</v>
      </c>
      <c r="C878" t="s">
        <v>1652</v>
      </c>
      <c r="D878" t="s">
        <v>151</v>
      </c>
      <c r="E878" t="s">
        <v>284</v>
      </c>
      <c r="F878" t="s">
        <v>1653</v>
      </c>
      <c r="G878" t="str">
        <f>"201304001817"</f>
        <v>201304001817</v>
      </c>
      <c r="H878" t="s">
        <v>558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70</v>
      </c>
      <c r="O878">
        <v>30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53</v>
      </c>
      <c r="W878">
        <v>371</v>
      </c>
      <c r="Z878">
        <v>0</v>
      </c>
      <c r="AA878" t="s">
        <v>1654</v>
      </c>
    </row>
    <row r="879" spans="1:27" x14ac:dyDescent="0.25">
      <c r="H879" t="s">
        <v>38</v>
      </c>
    </row>
    <row r="880" spans="1:27" x14ac:dyDescent="0.25">
      <c r="A880">
        <v>437</v>
      </c>
      <c r="B880">
        <v>2651</v>
      </c>
      <c r="C880" t="s">
        <v>1655</v>
      </c>
      <c r="D880" t="s">
        <v>219</v>
      </c>
      <c r="E880" t="s">
        <v>59</v>
      </c>
      <c r="F880" t="s">
        <v>1656</v>
      </c>
      <c r="G880" t="str">
        <f>"201406001871"</f>
        <v>201406001871</v>
      </c>
      <c r="H880" t="s">
        <v>592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70</v>
      </c>
      <c r="O880">
        <v>30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45</v>
      </c>
      <c r="W880">
        <v>315</v>
      </c>
      <c r="Z880">
        <v>2</v>
      </c>
      <c r="AA880" t="s">
        <v>1657</v>
      </c>
    </row>
    <row r="881" spans="1:27" x14ac:dyDescent="0.25">
      <c r="H881" t="s">
        <v>357</v>
      </c>
    </row>
    <row r="882" spans="1:27" x14ac:dyDescent="0.25">
      <c r="A882">
        <v>438</v>
      </c>
      <c r="B882">
        <v>683</v>
      </c>
      <c r="C882" t="s">
        <v>1658</v>
      </c>
      <c r="D882" t="s">
        <v>1085</v>
      </c>
      <c r="E882" t="s">
        <v>1085</v>
      </c>
      <c r="F882" t="s">
        <v>1659</v>
      </c>
      <c r="G882" t="str">
        <f>"201406016681"</f>
        <v>201406016681</v>
      </c>
      <c r="H882" t="s">
        <v>1270</v>
      </c>
      <c r="I882">
        <v>150</v>
      </c>
      <c r="J882">
        <v>0</v>
      </c>
      <c r="K882">
        <v>0</v>
      </c>
      <c r="L882">
        <v>200</v>
      </c>
      <c r="M882">
        <v>0</v>
      </c>
      <c r="N882">
        <v>50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25</v>
      </c>
      <c r="W882">
        <v>175</v>
      </c>
      <c r="Z882">
        <v>0</v>
      </c>
      <c r="AA882" t="s">
        <v>1660</v>
      </c>
    </row>
    <row r="883" spans="1:27" x14ac:dyDescent="0.25">
      <c r="H883" t="s">
        <v>904</v>
      </c>
    </row>
    <row r="884" spans="1:27" x14ac:dyDescent="0.25">
      <c r="A884">
        <v>439</v>
      </c>
      <c r="B884">
        <v>2244</v>
      </c>
      <c r="C884" t="s">
        <v>1661</v>
      </c>
      <c r="D884" t="s">
        <v>64</v>
      </c>
      <c r="E884" t="s">
        <v>14</v>
      </c>
      <c r="F884" t="s">
        <v>1662</v>
      </c>
      <c r="G884" t="str">
        <f>"201304003361"</f>
        <v>201304003361</v>
      </c>
      <c r="H884" t="s">
        <v>1306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53</v>
      </c>
      <c r="W884">
        <v>371</v>
      </c>
      <c r="Z884">
        <v>0</v>
      </c>
      <c r="AA884" t="s">
        <v>1660</v>
      </c>
    </row>
    <row r="885" spans="1:27" x14ac:dyDescent="0.25">
      <c r="H885" t="s">
        <v>31</v>
      </c>
    </row>
    <row r="886" spans="1:27" x14ac:dyDescent="0.25">
      <c r="A886">
        <v>440</v>
      </c>
      <c r="B886">
        <v>977</v>
      </c>
      <c r="C886" t="s">
        <v>1663</v>
      </c>
      <c r="D886" t="s">
        <v>158</v>
      </c>
      <c r="E886" t="s">
        <v>284</v>
      </c>
      <c r="F886" t="s">
        <v>1664</v>
      </c>
      <c r="G886" t="str">
        <f>"201304001887"</f>
        <v>201304001887</v>
      </c>
      <c r="H886" t="s">
        <v>1066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61</v>
      </c>
      <c r="W886">
        <v>427</v>
      </c>
      <c r="Z886">
        <v>0</v>
      </c>
      <c r="AA886" t="s">
        <v>1665</v>
      </c>
    </row>
    <row r="887" spans="1:27" x14ac:dyDescent="0.25">
      <c r="H887" t="s">
        <v>248</v>
      </c>
    </row>
    <row r="888" spans="1:27" x14ac:dyDescent="0.25">
      <c r="A888">
        <v>441</v>
      </c>
      <c r="B888">
        <v>265</v>
      </c>
      <c r="C888" t="s">
        <v>1666</v>
      </c>
      <c r="D888" t="s">
        <v>276</v>
      </c>
      <c r="E888" t="s">
        <v>225</v>
      </c>
      <c r="F888" t="s">
        <v>1667</v>
      </c>
      <c r="G888" t="str">
        <f>"201402007703"</f>
        <v>201402007703</v>
      </c>
      <c r="H888" t="s">
        <v>739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98</v>
      </c>
      <c r="W888">
        <v>588</v>
      </c>
      <c r="Z888">
        <v>0</v>
      </c>
      <c r="AA888" t="s">
        <v>1668</v>
      </c>
    </row>
    <row r="889" spans="1:27" x14ac:dyDescent="0.25">
      <c r="H889" t="s">
        <v>78</v>
      </c>
    </row>
    <row r="890" spans="1:27" x14ac:dyDescent="0.25">
      <c r="A890">
        <v>442</v>
      </c>
      <c r="B890">
        <v>634</v>
      </c>
      <c r="C890" t="s">
        <v>1669</v>
      </c>
      <c r="D890" t="s">
        <v>64</v>
      </c>
      <c r="E890" t="s">
        <v>41</v>
      </c>
      <c r="F890" t="s">
        <v>1670</v>
      </c>
      <c r="G890" t="str">
        <f>"201308000077"</f>
        <v>201308000077</v>
      </c>
      <c r="H890" t="s">
        <v>1552</v>
      </c>
      <c r="I890">
        <v>0</v>
      </c>
      <c r="J890">
        <v>400</v>
      </c>
      <c r="K890">
        <v>0</v>
      </c>
      <c r="L890">
        <v>200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12</v>
      </c>
      <c r="W890">
        <v>84</v>
      </c>
      <c r="Z890">
        <v>0</v>
      </c>
      <c r="AA890" t="s">
        <v>1671</v>
      </c>
    </row>
    <row r="891" spans="1:27" x14ac:dyDescent="0.25">
      <c r="H891" t="s">
        <v>38</v>
      </c>
    </row>
    <row r="892" spans="1:27" x14ac:dyDescent="0.25">
      <c r="A892">
        <v>443</v>
      </c>
      <c r="B892">
        <v>3219</v>
      </c>
      <c r="C892" t="s">
        <v>1672</v>
      </c>
      <c r="D892" t="s">
        <v>490</v>
      </c>
      <c r="E892" t="s">
        <v>14</v>
      </c>
      <c r="F892" t="s">
        <v>1673</v>
      </c>
      <c r="G892" t="str">
        <f>"200801005026"</f>
        <v>200801005026</v>
      </c>
      <c r="H892" t="s">
        <v>301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110</v>
      </c>
      <c r="W892">
        <v>588</v>
      </c>
      <c r="Z892">
        <v>2</v>
      </c>
      <c r="AA892" t="s">
        <v>1674</v>
      </c>
    </row>
    <row r="893" spans="1:27" x14ac:dyDescent="0.25">
      <c r="H893">
        <v>213</v>
      </c>
    </row>
    <row r="894" spans="1:27" x14ac:dyDescent="0.25">
      <c r="A894">
        <v>444</v>
      </c>
      <c r="B894">
        <v>1872</v>
      </c>
      <c r="C894" t="s">
        <v>1675</v>
      </c>
      <c r="D894" t="s">
        <v>168</v>
      </c>
      <c r="E894" t="s">
        <v>225</v>
      </c>
      <c r="F894" t="s">
        <v>1676</v>
      </c>
      <c r="G894" t="str">
        <f>"201304000326"</f>
        <v>201304000326</v>
      </c>
      <c r="H894" t="s">
        <v>67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0</v>
      </c>
      <c r="Q894">
        <v>30</v>
      </c>
      <c r="R894">
        <v>0</v>
      </c>
      <c r="S894">
        <v>0</v>
      </c>
      <c r="T894">
        <v>0</v>
      </c>
      <c r="U894">
        <v>0</v>
      </c>
      <c r="V894">
        <v>174</v>
      </c>
      <c r="W894">
        <v>588</v>
      </c>
      <c r="Z894">
        <v>0</v>
      </c>
      <c r="AA894" t="s">
        <v>1677</v>
      </c>
    </row>
    <row r="895" spans="1:27" x14ac:dyDescent="0.25">
      <c r="H895" t="s">
        <v>298</v>
      </c>
    </row>
    <row r="896" spans="1:27" x14ac:dyDescent="0.25">
      <c r="A896">
        <v>445</v>
      </c>
      <c r="B896">
        <v>903</v>
      </c>
      <c r="C896" t="s">
        <v>1678</v>
      </c>
      <c r="D896" t="s">
        <v>235</v>
      </c>
      <c r="E896" t="s">
        <v>123</v>
      </c>
      <c r="F896" t="s">
        <v>1679</v>
      </c>
      <c r="G896" t="str">
        <f>"00015031"</f>
        <v>00015031</v>
      </c>
      <c r="H896" t="s">
        <v>915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60</v>
      </c>
      <c r="W896">
        <v>420</v>
      </c>
      <c r="Z896">
        <v>0</v>
      </c>
      <c r="AA896" t="s">
        <v>1680</v>
      </c>
    </row>
    <row r="897" spans="1:27" x14ac:dyDescent="0.25">
      <c r="H897" t="s">
        <v>49</v>
      </c>
    </row>
    <row r="898" spans="1:27" x14ac:dyDescent="0.25">
      <c r="A898">
        <v>446</v>
      </c>
      <c r="B898">
        <v>623</v>
      </c>
      <c r="C898" t="s">
        <v>1681</v>
      </c>
      <c r="D898" t="s">
        <v>1682</v>
      </c>
      <c r="E898" t="s">
        <v>533</v>
      </c>
      <c r="F898" t="s">
        <v>1683</v>
      </c>
      <c r="G898" t="str">
        <f>"200712005227"</f>
        <v>200712005227</v>
      </c>
      <c r="H898" t="s">
        <v>179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70</v>
      </c>
      <c r="O898">
        <v>0</v>
      </c>
      <c r="P898">
        <v>0</v>
      </c>
      <c r="Q898">
        <v>30</v>
      </c>
      <c r="R898">
        <v>0</v>
      </c>
      <c r="S898">
        <v>0</v>
      </c>
      <c r="T898">
        <v>0</v>
      </c>
      <c r="U898">
        <v>0</v>
      </c>
      <c r="V898">
        <v>42</v>
      </c>
      <c r="W898">
        <v>294</v>
      </c>
      <c r="Z898">
        <v>0</v>
      </c>
      <c r="AA898" t="s">
        <v>1684</v>
      </c>
    </row>
    <row r="899" spans="1:27" x14ac:dyDescent="0.25">
      <c r="H899" t="s">
        <v>317</v>
      </c>
    </row>
    <row r="900" spans="1:27" x14ac:dyDescent="0.25">
      <c r="A900">
        <v>447</v>
      </c>
      <c r="B900">
        <v>3155</v>
      </c>
      <c r="C900" t="s">
        <v>1685</v>
      </c>
      <c r="D900" t="s">
        <v>108</v>
      </c>
      <c r="E900" t="s">
        <v>753</v>
      </c>
      <c r="F900" t="s">
        <v>1686</v>
      </c>
      <c r="G900" t="str">
        <f>"201406018822"</f>
        <v>201406018822</v>
      </c>
      <c r="H900" t="s">
        <v>1037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70</v>
      </c>
      <c r="O900">
        <v>0</v>
      </c>
      <c r="P900">
        <v>0</v>
      </c>
      <c r="Q900">
        <v>0</v>
      </c>
      <c r="R900">
        <v>30</v>
      </c>
      <c r="S900">
        <v>0</v>
      </c>
      <c r="T900">
        <v>0</v>
      </c>
      <c r="U900">
        <v>0</v>
      </c>
      <c r="V900">
        <v>249</v>
      </c>
      <c r="W900">
        <v>588</v>
      </c>
      <c r="Z900">
        <v>0</v>
      </c>
      <c r="AA900" t="s">
        <v>1687</v>
      </c>
    </row>
    <row r="901" spans="1:27" x14ac:dyDescent="0.25">
      <c r="H901">
        <v>215</v>
      </c>
    </row>
    <row r="902" spans="1:27" x14ac:dyDescent="0.25">
      <c r="A902">
        <v>448</v>
      </c>
      <c r="B902">
        <v>63</v>
      </c>
      <c r="C902" t="s">
        <v>1688</v>
      </c>
      <c r="D902" t="s">
        <v>225</v>
      </c>
      <c r="E902" t="s">
        <v>14</v>
      </c>
      <c r="F902" t="s">
        <v>1689</v>
      </c>
      <c r="G902" t="str">
        <f>"00011294"</f>
        <v>00011294</v>
      </c>
      <c r="H902">
        <v>792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168</v>
      </c>
      <c r="W902">
        <v>588</v>
      </c>
      <c r="Z902">
        <v>0</v>
      </c>
      <c r="AA902">
        <v>1410</v>
      </c>
    </row>
    <row r="903" spans="1:27" x14ac:dyDescent="0.25">
      <c r="H903" t="s">
        <v>659</v>
      </c>
    </row>
    <row r="904" spans="1:27" x14ac:dyDescent="0.25">
      <c r="A904">
        <v>449</v>
      </c>
      <c r="B904">
        <v>2535</v>
      </c>
      <c r="C904" t="s">
        <v>1690</v>
      </c>
      <c r="D904" t="s">
        <v>51</v>
      </c>
      <c r="E904" t="s">
        <v>41</v>
      </c>
      <c r="F904" t="s">
        <v>1691</v>
      </c>
      <c r="G904" t="str">
        <f>"00005320"</f>
        <v>00005320</v>
      </c>
      <c r="H904">
        <v>550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120</v>
      </c>
      <c r="W904">
        <v>588</v>
      </c>
      <c r="Z904">
        <v>0</v>
      </c>
      <c r="AA904">
        <v>1408</v>
      </c>
    </row>
    <row r="905" spans="1:27" x14ac:dyDescent="0.25">
      <c r="H905">
        <v>214</v>
      </c>
    </row>
    <row r="906" spans="1:27" x14ac:dyDescent="0.25">
      <c r="A906">
        <v>450</v>
      </c>
      <c r="B906">
        <v>2740</v>
      </c>
      <c r="C906" t="s">
        <v>1692</v>
      </c>
      <c r="D906" t="s">
        <v>647</v>
      </c>
      <c r="E906" t="s">
        <v>1693</v>
      </c>
      <c r="F906" t="s">
        <v>1694</v>
      </c>
      <c r="G906" t="str">
        <f>"201406015026"</f>
        <v>201406015026</v>
      </c>
      <c r="H906" t="s">
        <v>657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55</v>
      </c>
      <c r="W906">
        <v>385</v>
      </c>
      <c r="Z906">
        <v>0</v>
      </c>
      <c r="AA906" t="s">
        <v>1695</v>
      </c>
    </row>
    <row r="907" spans="1:27" x14ac:dyDescent="0.25">
      <c r="H907" t="s">
        <v>31</v>
      </c>
    </row>
    <row r="908" spans="1:27" x14ac:dyDescent="0.25">
      <c r="A908">
        <v>451</v>
      </c>
      <c r="B908">
        <v>2915</v>
      </c>
      <c r="C908" t="s">
        <v>1696</v>
      </c>
      <c r="D908" t="s">
        <v>1697</v>
      </c>
      <c r="E908" t="s">
        <v>169</v>
      </c>
      <c r="F908" t="s">
        <v>1698</v>
      </c>
      <c r="G908" t="str">
        <f>"200810000486"</f>
        <v>200810000486</v>
      </c>
      <c r="H908" t="s">
        <v>1699</v>
      </c>
      <c r="I908">
        <v>0</v>
      </c>
      <c r="J908">
        <v>0</v>
      </c>
      <c r="K908">
        <v>0</v>
      </c>
      <c r="L908">
        <v>0</v>
      </c>
      <c r="M908">
        <v>100</v>
      </c>
      <c r="N908">
        <v>30</v>
      </c>
      <c r="O908">
        <v>0</v>
      </c>
      <c r="P908">
        <v>30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94</v>
      </c>
      <c r="W908">
        <v>588</v>
      </c>
      <c r="Z908">
        <v>0</v>
      </c>
      <c r="AA908" t="s">
        <v>1700</v>
      </c>
    </row>
    <row r="909" spans="1:27" x14ac:dyDescent="0.25">
      <c r="H909" t="s">
        <v>25</v>
      </c>
    </row>
    <row r="910" spans="1:27" x14ac:dyDescent="0.25">
      <c r="A910">
        <v>452</v>
      </c>
      <c r="B910">
        <v>2254</v>
      </c>
      <c r="C910" t="s">
        <v>1701</v>
      </c>
      <c r="D910" t="s">
        <v>33</v>
      </c>
      <c r="E910" t="s">
        <v>64</v>
      </c>
      <c r="F910" t="s">
        <v>1702</v>
      </c>
      <c r="G910" t="str">
        <f>"201303000219"</f>
        <v>201303000219</v>
      </c>
      <c r="H910" t="s">
        <v>286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50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50</v>
      </c>
      <c r="W910">
        <v>350</v>
      </c>
      <c r="Z910">
        <v>0</v>
      </c>
      <c r="AA910" t="s">
        <v>1703</v>
      </c>
    </row>
    <row r="911" spans="1:27" x14ac:dyDescent="0.25">
      <c r="H911" t="s">
        <v>248</v>
      </c>
    </row>
    <row r="912" spans="1:27" x14ac:dyDescent="0.25">
      <c r="A912">
        <v>453</v>
      </c>
      <c r="B912">
        <v>3138</v>
      </c>
      <c r="C912" t="s">
        <v>303</v>
      </c>
      <c r="D912" t="s">
        <v>276</v>
      </c>
      <c r="E912" t="s">
        <v>1704</v>
      </c>
      <c r="F912" t="s">
        <v>1705</v>
      </c>
      <c r="G912" t="str">
        <f>"200801004307"</f>
        <v>200801004307</v>
      </c>
      <c r="H912" t="s">
        <v>747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Z912">
        <v>1</v>
      </c>
      <c r="AA912" t="s">
        <v>1706</v>
      </c>
    </row>
    <row r="913" spans="1:27" x14ac:dyDescent="0.25">
      <c r="H913">
        <v>215</v>
      </c>
    </row>
    <row r="914" spans="1:27" x14ac:dyDescent="0.25">
      <c r="A914">
        <v>454</v>
      </c>
      <c r="B914">
        <v>256</v>
      </c>
      <c r="C914" t="s">
        <v>1707</v>
      </c>
      <c r="D914" t="s">
        <v>41</v>
      </c>
      <c r="E914" t="s">
        <v>1708</v>
      </c>
      <c r="F914" t="s">
        <v>1709</v>
      </c>
      <c r="G914" t="str">
        <f>"201402007585"</f>
        <v>201402007585</v>
      </c>
      <c r="H914" t="s">
        <v>1710</v>
      </c>
      <c r="I914">
        <v>0</v>
      </c>
      <c r="J914">
        <v>0</v>
      </c>
      <c r="K914">
        <v>0</v>
      </c>
      <c r="L914">
        <v>0</v>
      </c>
      <c r="M914">
        <v>100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196</v>
      </c>
      <c r="W914">
        <v>588</v>
      </c>
      <c r="Z914">
        <v>0</v>
      </c>
      <c r="AA914" t="s">
        <v>1711</v>
      </c>
    </row>
    <row r="915" spans="1:27" x14ac:dyDescent="0.25">
      <c r="H915" t="s">
        <v>223</v>
      </c>
    </row>
    <row r="916" spans="1:27" x14ac:dyDescent="0.25">
      <c r="A916">
        <v>455</v>
      </c>
      <c r="B916">
        <v>1128</v>
      </c>
      <c r="C916" t="s">
        <v>1712</v>
      </c>
      <c r="D916" t="s">
        <v>65</v>
      </c>
      <c r="E916" t="s">
        <v>200</v>
      </c>
      <c r="F916" t="s">
        <v>1713</v>
      </c>
      <c r="G916" t="str">
        <f>"00015088"</f>
        <v>00015088</v>
      </c>
      <c r="H916" t="s">
        <v>739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178</v>
      </c>
      <c r="W916">
        <v>588</v>
      </c>
      <c r="Z916">
        <v>2</v>
      </c>
      <c r="AA916" t="s">
        <v>1714</v>
      </c>
    </row>
    <row r="917" spans="1:27" x14ac:dyDescent="0.25">
      <c r="H917" t="s">
        <v>25</v>
      </c>
    </row>
    <row r="918" spans="1:27" x14ac:dyDescent="0.25">
      <c r="A918">
        <v>456</v>
      </c>
      <c r="B918">
        <v>545</v>
      </c>
      <c r="C918" t="s">
        <v>1715</v>
      </c>
      <c r="D918" t="s">
        <v>1104</v>
      </c>
      <c r="E918" t="s">
        <v>225</v>
      </c>
      <c r="F918" t="s">
        <v>1716</v>
      </c>
      <c r="G918" t="str">
        <f>"201406010036"</f>
        <v>201406010036</v>
      </c>
      <c r="H918" t="s">
        <v>1211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70</v>
      </c>
      <c r="O918">
        <v>0</v>
      </c>
      <c r="P918">
        <v>0</v>
      </c>
      <c r="Q918">
        <v>30</v>
      </c>
      <c r="R918">
        <v>0</v>
      </c>
      <c r="S918">
        <v>0</v>
      </c>
      <c r="T918">
        <v>0</v>
      </c>
      <c r="U918">
        <v>0</v>
      </c>
      <c r="V918">
        <v>88</v>
      </c>
      <c r="W918">
        <v>588</v>
      </c>
      <c r="Z918">
        <v>0</v>
      </c>
      <c r="AA918" t="s">
        <v>1717</v>
      </c>
    </row>
    <row r="919" spans="1:27" x14ac:dyDescent="0.25">
      <c r="H919" t="s">
        <v>25</v>
      </c>
    </row>
    <row r="920" spans="1:27" x14ac:dyDescent="0.25">
      <c r="A920">
        <v>457</v>
      </c>
      <c r="B920">
        <v>1964</v>
      </c>
      <c r="C920" t="s">
        <v>1718</v>
      </c>
      <c r="D920" t="s">
        <v>85</v>
      </c>
      <c r="E920" t="s">
        <v>41</v>
      </c>
      <c r="F920" t="s">
        <v>1719</v>
      </c>
      <c r="G920" t="str">
        <f>"00014274"</f>
        <v>00014274</v>
      </c>
      <c r="H920" t="s">
        <v>42</v>
      </c>
      <c r="I920">
        <v>0</v>
      </c>
      <c r="J920">
        <v>0</v>
      </c>
      <c r="K920">
        <v>0</v>
      </c>
      <c r="L920">
        <v>260</v>
      </c>
      <c r="M920">
        <v>0</v>
      </c>
      <c r="N920">
        <v>70</v>
      </c>
      <c r="O920">
        <v>0</v>
      </c>
      <c r="P920">
        <v>30</v>
      </c>
      <c r="Q920">
        <v>0</v>
      </c>
      <c r="R920">
        <v>50</v>
      </c>
      <c r="S920">
        <v>0</v>
      </c>
      <c r="T920">
        <v>0</v>
      </c>
      <c r="U920">
        <v>0</v>
      </c>
      <c r="V920">
        <v>28</v>
      </c>
      <c r="W920">
        <v>196</v>
      </c>
      <c r="Z920">
        <v>0</v>
      </c>
      <c r="AA920" t="s">
        <v>1720</v>
      </c>
    </row>
    <row r="921" spans="1:27" x14ac:dyDescent="0.25">
      <c r="H921" t="s">
        <v>223</v>
      </c>
    </row>
    <row r="922" spans="1:27" x14ac:dyDescent="0.25">
      <c r="A922">
        <v>458</v>
      </c>
      <c r="B922">
        <v>2263</v>
      </c>
      <c r="C922" t="s">
        <v>1721</v>
      </c>
      <c r="D922" t="s">
        <v>129</v>
      </c>
      <c r="E922" t="s">
        <v>15</v>
      </c>
      <c r="F922" t="s">
        <v>1722</v>
      </c>
      <c r="G922" t="str">
        <f>"201406011490"</f>
        <v>201406011490</v>
      </c>
      <c r="H922" t="s">
        <v>394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30</v>
      </c>
      <c r="O922">
        <v>0</v>
      </c>
      <c r="P922">
        <v>0</v>
      </c>
      <c r="Q922">
        <v>70</v>
      </c>
      <c r="R922">
        <v>30</v>
      </c>
      <c r="S922">
        <v>0</v>
      </c>
      <c r="T922">
        <v>0</v>
      </c>
      <c r="U922">
        <v>0</v>
      </c>
      <c r="V922">
        <v>36</v>
      </c>
      <c r="W922">
        <v>252</v>
      </c>
      <c r="Z922">
        <v>0</v>
      </c>
      <c r="AA922" t="s">
        <v>1723</v>
      </c>
    </row>
    <row r="923" spans="1:27" x14ac:dyDescent="0.25">
      <c r="H923" t="s">
        <v>729</v>
      </c>
    </row>
    <row r="924" spans="1:27" x14ac:dyDescent="0.25">
      <c r="A924">
        <v>459</v>
      </c>
      <c r="B924">
        <v>2760</v>
      </c>
      <c r="C924" t="s">
        <v>1724</v>
      </c>
      <c r="D924" t="s">
        <v>679</v>
      </c>
      <c r="E924" t="s">
        <v>225</v>
      </c>
      <c r="F924" t="s">
        <v>1725</v>
      </c>
      <c r="G924" t="str">
        <f>"00014109"</f>
        <v>00014109</v>
      </c>
      <c r="H924" t="s">
        <v>636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105</v>
      </c>
      <c r="W924">
        <v>588</v>
      </c>
      <c r="Z924">
        <v>0</v>
      </c>
      <c r="AA924" t="s">
        <v>1726</v>
      </c>
    </row>
    <row r="925" spans="1:27" x14ac:dyDescent="0.25">
      <c r="H925">
        <v>215</v>
      </c>
    </row>
    <row r="926" spans="1:27" x14ac:dyDescent="0.25">
      <c r="A926">
        <v>460</v>
      </c>
      <c r="B926">
        <v>553</v>
      </c>
      <c r="C926" t="s">
        <v>1727</v>
      </c>
      <c r="D926" t="s">
        <v>647</v>
      </c>
      <c r="E926" t="s">
        <v>401</v>
      </c>
      <c r="F926" t="s">
        <v>1728</v>
      </c>
      <c r="G926" t="str">
        <f>"00011671"</f>
        <v>00011671</v>
      </c>
      <c r="H926" t="s">
        <v>1101</v>
      </c>
      <c r="I926">
        <v>150</v>
      </c>
      <c r="J926">
        <v>0</v>
      </c>
      <c r="K926">
        <v>0</v>
      </c>
      <c r="L926">
        <v>200</v>
      </c>
      <c r="M926">
        <v>0</v>
      </c>
      <c r="N926">
        <v>50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44</v>
      </c>
      <c r="W926">
        <v>308</v>
      </c>
      <c r="Z926">
        <v>0</v>
      </c>
      <c r="AA926" t="s">
        <v>1729</v>
      </c>
    </row>
    <row r="927" spans="1:27" x14ac:dyDescent="0.25">
      <c r="H927" t="s">
        <v>38</v>
      </c>
    </row>
    <row r="928" spans="1:27" x14ac:dyDescent="0.25">
      <c r="A928">
        <v>461</v>
      </c>
      <c r="B928">
        <v>3172</v>
      </c>
      <c r="C928" t="s">
        <v>1730</v>
      </c>
      <c r="D928" t="s">
        <v>194</v>
      </c>
      <c r="E928" t="s">
        <v>123</v>
      </c>
      <c r="F928" t="s">
        <v>1731</v>
      </c>
      <c r="G928" t="str">
        <f>"00013193"</f>
        <v>00013193</v>
      </c>
      <c r="H928" t="s">
        <v>872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97</v>
      </c>
      <c r="W928">
        <v>588</v>
      </c>
      <c r="Z928">
        <v>0</v>
      </c>
      <c r="AA928" t="s">
        <v>1732</v>
      </c>
    </row>
    <row r="929" spans="1:27" x14ac:dyDescent="0.25">
      <c r="H929">
        <v>215</v>
      </c>
    </row>
    <row r="930" spans="1:27" x14ac:dyDescent="0.25">
      <c r="A930">
        <v>462</v>
      </c>
      <c r="B930">
        <v>1476</v>
      </c>
      <c r="C930" t="s">
        <v>1733</v>
      </c>
      <c r="D930" t="s">
        <v>219</v>
      </c>
      <c r="E930" t="s">
        <v>64</v>
      </c>
      <c r="F930" t="s">
        <v>1734</v>
      </c>
      <c r="G930" t="str">
        <f>"201304003697"</f>
        <v>201304003697</v>
      </c>
      <c r="H930" t="s">
        <v>1506</v>
      </c>
      <c r="I930">
        <v>0</v>
      </c>
      <c r="J930">
        <v>0</v>
      </c>
      <c r="K930">
        <v>0</v>
      </c>
      <c r="L930">
        <v>0</v>
      </c>
      <c r="M930">
        <v>100</v>
      </c>
      <c r="N930">
        <v>50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92</v>
      </c>
      <c r="W930">
        <v>588</v>
      </c>
      <c r="Z930">
        <v>0</v>
      </c>
      <c r="AA930" t="s">
        <v>1735</v>
      </c>
    </row>
    <row r="931" spans="1:27" x14ac:dyDescent="0.25">
      <c r="H931">
        <v>216</v>
      </c>
    </row>
    <row r="932" spans="1:27" x14ac:dyDescent="0.25">
      <c r="A932">
        <v>463</v>
      </c>
      <c r="B932">
        <v>950</v>
      </c>
      <c r="C932" t="s">
        <v>1736</v>
      </c>
      <c r="D932" t="s">
        <v>151</v>
      </c>
      <c r="E932" t="s">
        <v>1737</v>
      </c>
      <c r="F932" t="s">
        <v>1738</v>
      </c>
      <c r="G932" t="str">
        <f>"201406007868"</f>
        <v>201406007868</v>
      </c>
      <c r="H932" t="s">
        <v>1300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81</v>
      </c>
      <c r="W932">
        <v>567</v>
      </c>
      <c r="Z932">
        <v>0</v>
      </c>
      <c r="AA932" t="s">
        <v>1739</v>
      </c>
    </row>
    <row r="933" spans="1:27" x14ac:dyDescent="0.25">
      <c r="H933" t="s">
        <v>659</v>
      </c>
    </row>
    <row r="934" spans="1:27" x14ac:dyDescent="0.25">
      <c r="A934">
        <v>464</v>
      </c>
      <c r="B934">
        <v>421</v>
      </c>
      <c r="C934" t="s">
        <v>1740</v>
      </c>
      <c r="D934" t="s">
        <v>466</v>
      </c>
      <c r="E934" t="s">
        <v>182</v>
      </c>
      <c r="F934" t="s">
        <v>1741</v>
      </c>
      <c r="G934" t="str">
        <f>"200803000088"</f>
        <v>200803000088</v>
      </c>
      <c r="H934">
        <v>847</v>
      </c>
      <c r="I934">
        <v>150</v>
      </c>
      <c r="J934">
        <v>0</v>
      </c>
      <c r="K934">
        <v>0</v>
      </c>
      <c r="L934">
        <v>200</v>
      </c>
      <c r="M934">
        <v>30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23</v>
      </c>
      <c r="W934">
        <v>161</v>
      </c>
      <c r="Z934">
        <v>0</v>
      </c>
      <c r="AA934">
        <v>1388</v>
      </c>
    </row>
    <row r="935" spans="1:27" x14ac:dyDescent="0.25">
      <c r="H935" t="s">
        <v>25</v>
      </c>
    </row>
    <row r="936" spans="1:27" x14ac:dyDescent="0.25">
      <c r="A936">
        <v>465</v>
      </c>
      <c r="B936">
        <v>2424</v>
      </c>
      <c r="C936" t="s">
        <v>1742</v>
      </c>
      <c r="D936" t="s">
        <v>85</v>
      </c>
      <c r="E936" t="s">
        <v>225</v>
      </c>
      <c r="F936" t="s">
        <v>1743</v>
      </c>
      <c r="G936" t="str">
        <f>"201506001100"</f>
        <v>201506001100</v>
      </c>
      <c r="H936">
        <v>737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70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83</v>
      </c>
      <c r="W936">
        <v>581</v>
      </c>
      <c r="Z936">
        <v>0</v>
      </c>
      <c r="AA936">
        <v>1388</v>
      </c>
    </row>
    <row r="937" spans="1:27" x14ac:dyDescent="0.25">
      <c r="H937">
        <v>213</v>
      </c>
    </row>
    <row r="938" spans="1:27" x14ac:dyDescent="0.25">
      <c r="A938">
        <v>466</v>
      </c>
      <c r="B938">
        <v>2456</v>
      </c>
      <c r="C938" t="s">
        <v>1744</v>
      </c>
      <c r="D938" t="s">
        <v>573</v>
      </c>
      <c r="E938" t="s">
        <v>1085</v>
      </c>
      <c r="F938" t="s">
        <v>1745</v>
      </c>
      <c r="G938" t="str">
        <f>"00006474"</f>
        <v>00006474</v>
      </c>
      <c r="H938">
        <v>660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70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201</v>
      </c>
      <c r="W938">
        <v>588</v>
      </c>
      <c r="Z938">
        <v>0</v>
      </c>
      <c r="AA938">
        <v>1388</v>
      </c>
    </row>
    <row r="939" spans="1:27" x14ac:dyDescent="0.25">
      <c r="H939">
        <v>215</v>
      </c>
    </row>
    <row r="940" spans="1:27" x14ac:dyDescent="0.25">
      <c r="A940">
        <v>467</v>
      </c>
      <c r="B940">
        <v>530</v>
      </c>
      <c r="C940" t="s">
        <v>1746</v>
      </c>
      <c r="D940" t="s">
        <v>499</v>
      </c>
      <c r="E940" t="s">
        <v>225</v>
      </c>
      <c r="F940" t="s">
        <v>1747</v>
      </c>
      <c r="G940" t="str">
        <f>"201406002448"</f>
        <v>201406002448</v>
      </c>
      <c r="H940" t="s">
        <v>67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62</v>
      </c>
      <c r="W940">
        <v>434</v>
      </c>
      <c r="Z940">
        <v>0</v>
      </c>
      <c r="AA940" t="s">
        <v>1748</v>
      </c>
    </row>
    <row r="941" spans="1:27" x14ac:dyDescent="0.25">
      <c r="H941" t="s">
        <v>223</v>
      </c>
    </row>
    <row r="942" spans="1:27" x14ac:dyDescent="0.25">
      <c r="A942">
        <v>468</v>
      </c>
      <c r="B942">
        <v>163</v>
      </c>
      <c r="C942" t="s">
        <v>1749</v>
      </c>
      <c r="D942" t="s">
        <v>909</v>
      </c>
      <c r="E942" t="s">
        <v>41</v>
      </c>
      <c r="F942" t="s">
        <v>1750</v>
      </c>
      <c r="G942" t="str">
        <f>"201406011016"</f>
        <v>201406011016</v>
      </c>
      <c r="H942" t="s">
        <v>793</v>
      </c>
      <c r="I942">
        <v>0</v>
      </c>
      <c r="J942">
        <v>0</v>
      </c>
      <c r="K942">
        <v>0</v>
      </c>
      <c r="L942">
        <v>200</v>
      </c>
      <c r="M942">
        <v>0</v>
      </c>
      <c r="N942">
        <v>70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43</v>
      </c>
      <c r="W942">
        <v>301</v>
      </c>
      <c r="Z942">
        <v>0</v>
      </c>
      <c r="AA942" t="s">
        <v>1751</v>
      </c>
    </row>
    <row r="943" spans="1:27" x14ac:dyDescent="0.25">
      <c r="H943" t="s">
        <v>729</v>
      </c>
    </row>
    <row r="944" spans="1:27" x14ac:dyDescent="0.25">
      <c r="A944">
        <v>469</v>
      </c>
      <c r="B944">
        <v>3201</v>
      </c>
      <c r="C944" t="s">
        <v>1277</v>
      </c>
      <c r="D944" t="s">
        <v>33</v>
      </c>
      <c r="E944" t="s">
        <v>64</v>
      </c>
      <c r="F944" t="s">
        <v>1752</v>
      </c>
      <c r="G944" t="str">
        <f>"201304006226"</f>
        <v>201304006226</v>
      </c>
      <c r="H944" t="s">
        <v>394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0</v>
      </c>
      <c r="Q944">
        <v>30</v>
      </c>
      <c r="R944">
        <v>0</v>
      </c>
      <c r="S944">
        <v>0</v>
      </c>
      <c r="T944">
        <v>0</v>
      </c>
      <c r="U944">
        <v>0</v>
      </c>
      <c r="V944">
        <v>39</v>
      </c>
      <c r="W944">
        <v>273</v>
      </c>
      <c r="Z944">
        <v>0</v>
      </c>
      <c r="AA944" t="s">
        <v>1753</v>
      </c>
    </row>
    <row r="945" spans="1:27" x14ac:dyDescent="0.25">
      <c r="H945" t="s">
        <v>1543</v>
      </c>
    </row>
    <row r="946" spans="1:27" x14ac:dyDescent="0.25">
      <c r="A946">
        <v>470</v>
      </c>
      <c r="B946">
        <v>1504</v>
      </c>
      <c r="C946" t="s">
        <v>1754</v>
      </c>
      <c r="D946" t="s">
        <v>561</v>
      </c>
      <c r="E946" t="s">
        <v>1755</v>
      </c>
      <c r="F946" t="s">
        <v>1756</v>
      </c>
      <c r="G946" t="str">
        <f>"201304004843"</f>
        <v>201304004843</v>
      </c>
      <c r="H946">
        <v>726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70</v>
      </c>
      <c r="O946">
        <v>0</v>
      </c>
      <c r="P946">
        <v>0</v>
      </c>
      <c r="Q946">
        <v>30</v>
      </c>
      <c r="R946">
        <v>0</v>
      </c>
      <c r="S946">
        <v>0</v>
      </c>
      <c r="T946">
        <v>0</v>
      </c>
      <c r="U946">
        <v>0</v>
      </c>
      <c r="V946">
        <v>51</v>
      </c>
      <c r="W946">
        <v>357</v>
      </c>
      <c r="Z946">
        <v>0</v>
      </c>
      <c r="AA946">
        <v>1383</v>
      </c>
    </row>
    <row r="947" spans="1:27" x14ac:dyDescent="0.25">
      <c r="H947" t="s">
        <v>248</v>
      </c>
    </row>
    <row r="948" spans="1:27" x14ac:dyDescent="0.25">
      <c r="A948">
        <v>471</v>
      </c>
      <c r="B948">
        <v>2716</v>
      </c>
      <c r="C948" t="s">
        <v>1049</v>
      </c>
      <c r="D948" t="s">
        <v>148</v>
      </c>
      <c r="E948" t="s">
        <v>34</v>
      </c>
      <c r="F948" t="s">
        <v>1050</v>
      </c>
      <c r="G948" t="str">
        <f>"201506002896"</f>
        <v>201506002896</v>
      </c>
      <c r="H948" t="s">
        <v>1037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192</v>
      </c>
      <c r="W948">
        <v>588</v>
      </c>
      <c r="Z948">
        <v>0</v>
      </c>
      <c r="AA948" t="s">
        <v>1757</v>
      </c>
    </row>
    <row r="949" spans="1:27" x14ac:dyDescent="0.25">
      <c r="H949" t="s">
        <v>49</v>
      </c>
    </row>
    <row r="950" spans="1:27" x14ac:dyDescent="0.25">
      <c r="A950">
        <v>472</v>
      </c>
      <c r="B950">
        <v>386</v>
      </c>
      <c r="C950" t="s">
        <v>1758</v>
      </c>
      <c r="D950" t="s">
        <v>151</v>
      </c>
      <c r="E950" t="s">
        <v>41</v>
      </c>
      <c r="F950" t="s">
        <v>1759</v>
      </c>
      <c r="G950" t="str">
        <f>"00013782"</f>
        <v>00013782</v>
      </c>
      <c r="H950" t="s">
        <v>1054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131</v>
      </c>
      <c r="W950">
        <v>588</v>
      </c>
      <c r="Z950">
        <v>0</v>
      </c>
      <c r="AA950" t="s">
        <v>1760</v>
      </c>
    </row>
    <row r="951" spans="1:27" x14ac:dyDescent="0.25">
      <c r="H951">
        <v>215</v>
      </c>
    </row>
    <row r="952" spans="1:27" x14ac:dyDescent="0.25">
      <c r="A952">
        <v>473</v>
      </c>
      <c r="B952">
        <v>2528</v>
      </c>
      <c r="C952" t="s">
        <v>1761</v>
      </c>
      <c r="D952" t="s">
        <v>80</v>
      </c>
      <c r="E952" t="s">
        <v>41</v>
      </c>
      <c r="F952" t="s">
        <v>1762</v>
      </c>
      <c r="G952" t="str">
        <f>"201401000477"</f>
        <v>201401000477</v>
      </c>
      <c r="H952" t="s">
        <v>291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30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26</v>
      </c>
      <c r="W952">
        <v>182</v>
      </c>
      <c r="Z952">
        <v>0</v>
      </c>
      <c r="AA952" t="s">
        <v>1763</v>
      </c>
    </row>
    <row r="953" spans="1:27" x14ac:dyDescent="0.25">
      <c r="H953" t="s">
        <v>223</v>
      </c>
    </row>
    <row r="954" spans="1:27" x14ac:dyDescent="0.25">
      <c r="A954">
        <v>474</v>
      </c>
      <c r="B954">
        <v>37</v>
      </c>
      <c r="C954" t="s">
        <v>1764</v>
      </c>
      <c r="D954" t="s">
        <v>64</v>
      </c>
      <c r="E954" t="s">
        <v>158</v>
      </c>
      <c r="F954" t="s">
        <v>1765</v>
      </c>
      <c r="G954" t="str">
        <f>"201406001092"</f>
        <v>201406001092</v>
      </c>
      <c r="H954" t="s">
        <v>221</v>
      </c>
      <c r="I954">
        <v>0</v>
      </c>
      <c r="J954">
        <v>0</v>
      </c>
      <c r="K954">
        <v>0</v>
      </c>
      <c r="L954">
        <v>260</v>
      </c>
      <c r="M954">
        <v>0</v>
      </c>
      <c r="N954">
        <v>70</v>
      </c>
      <c r="O954">
        <v>0</v>
      </c>
      <c r="P954">
        <v>0</v>
      </c>
      <c r="Q954">
        <v>30</v>
      </c>
      <c r="R954">
        <v>0</v>
      </c>
      <c r="S954">
        <v>0</v>
      </c>
      <c r="T954">
        <v>0</v>
      </c>
      <c r="U954">
        <v>0</v>
      </c>
      <c r="V954">
        <v>21</v>
      </c>
      <c r="W954">
        <v>147</v>
      </c>
      <c r="Z954">
        <v>0</v>
      </c>
      <c r="AA954" t="s">
        <v>1766</v>
      </c>
    </row>
    <row r="955" spans="1:27" x14ac:dyDescent="0.25">
      <c r="H955" t="s">
        <v>581</v>
      </c>
    </row>
    <row r="956" spans="1:27" x14ac:dyDescent="0.25">
      <c r="A956">
        <v>475</v>
      </c>
      <c r="B956">
        <v>3058</v>
      </c>
      <c r="C956" t="s">
        <v>1767</v>
      </c>
      <c r="D956" t="s">
        <v>490</v>
      </c>
      <c r="E956" t="s">
        <v>225</v>
      </c>
      <c r="F956" t="s">
        <v>1768</v>
      </c>
      <c r="G956" t="str">
        <f>"200808000027"</f>
        <v>200808000027</v>
      </c>
      <c r="H956" t="s">
        <v>623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89</v>
      </c>
      <c r="W956">
        <v>588</v>
      </c>
      <c r="Z956">
        <v>0</v>
      </c>
      <c r="AA956" t="s">
        <v>1769</v>
      </c>
    </row>
    <row r="957" spans="1:27" x14ac:dyDescent="0.25">
      <c r="H957">
        <v>213</v>
      </c>
    </row>
    <row r="958" spans="1:27" x14ac:dyDescent="0.25">
      <c r="A958">
        <v>476</v>
      </c>
      <c r="B958">
        <v>2878</v>
      </c>
      <c r="C958" t="s">
        <v>1770</v>
      </c>
      <c r="D958" t="s">
        <v>490</v>
      </c>
      <c r="E958" t="s">
        <v>41</v>
      </c>
      <c r="F958" t="s">
        <v>1771</v>
      </c>
      <c r="G958" t="str">
        <f>"201506002625"</f>
        <v>201506002625</v>
      </c>
      <c r="H958" t="s">
        <v>179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70</v>
      </c>
      <c r="O958">
        <v>50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63</v>
      </c>
      <c r="W958">
        <v>441</v>
      </c>
      <c r="Z958">
        <v>0</v>
      </c>
      <c r="AA958" t="s">
        <v>1772</v>
      </c>
    </row>
    <row r="959" spans="1:27" x14ac:dyDescent="0.25">
      <c r="H959" t="s">
        <v>25</v>
      </c>
    </row>
    <row r="960" spans="1:27" x14ac:dyDescent="0.25">
      <c r="A960">
        <v>477</v>
      </c>
      <c r="B960">
        <v>1088</v>
      </c>
      <c r="C960" t="s">
        <v>1773</v>
      </c>
      <c r="D960" t="s">
        <v>33</v>
      </c>
      <c r="E960" t="s">
        <v>85</v>
      </c>
      <c r="F960" t="s">
        <v>1774</v>
      </c>
      <c r="G960" t="str">
        <f>"00013096"</f>
        <v>00013096</v>
      </c>
      <c r="H960" t="s">
        <v>861</v>
      </c>
      <c r="I960">
        <v>0</v>
      </c>
      <c r="J960">
        <v>0</v>
      </c>
      <c r="K960">
        <v>0</v>
      </c>
      <c r="L960">
        <v>0</v>
      </c>
      <c r="M960">
        <v>100</v>
      </c>
      <c r="N960">
        <v>70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63</v>
      </c>
      <c r="W960">
        <v>441</v>
      </c>
      <c r="Z960">
        <v>0</v>
      </c>
      <c r="AA960" t="s">
        <v>1775</v>
      </c>
    </row>
    <row r="961" spans="1:27" x14ac:dyDescent="0.25">
      <c r="H961">
        <v>216</v>
      </c>
    </row>
    <row r="962" spans="1:27" x14ac:dyDescent="0.25">
      <c r="A962">
        <v>478</v>
      </c>
      <c r="B962">
        <v>583</v>
      </c>
      <c r="C962" t="s">
        <v>1776</v>
      </c>
      <c r="D962" t="s">
        <v>891</v>
      </c>
      <c r="E962" t="s">
        <v>85</v>
      </c>
      <c r="F962" t="s">
        <v>1777</v>
      </c>
      <c r="G962" t="str">
        <f>"00011701"</f>
        <v>00011701</v>
      </c>
      <c r="H962" t="s">
        <v>747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117</v>
      </c>
      <c r="W962">
        <v>588</v>
      </c>
      <c r="Z962">
        <v>0</v>
      </c>
      <c r="AA962" t="s">
        <v>1778</v>
      </c>
    </row>
    <row r="963" spans="1:27" x14ac:dyDescent="0.25">
      <c r="H963">
        <v>215</v>
      </c>
    </row>
    <row r="964" spans="1:27" x14ac:dyDescent="0.25">
      <c r="A964">
        <v>479</v>
      </c>
      <c r="B964">
        <v>110</v>
      </c>
      <c r="C964" t="s">
        <v>1779</v>
      </c>
      <c r="D964" t="s">
        <v>289</v>
      </c>
      <c r="E964" t="s">
        <v>225</v>
      </c>
      <c r="F964" t="s">
        <v>1780</v>
      </c>
      <c r="G964" t="str">
        <f>"201406013525"</f>
        <v>201406013525</v>
      </c>
      <c r="H964" t="s">
        <v>915</v>
      </c>
      <c r="I964">
        <v>0</v>
      </c>
      <c r="J964">
        <v>0</v>
      </c>
      <c r="K964">
        <v>0</v>
      </c>
      <c r="L964">
        <v>200</v>
      </c>
      <c r="M964">
        <v>0</v>
      </c>
      <c r="N964">
        <v>70</v>
      </c>
      <c r="O964">
        <v>30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50</v>
      </c>
      <c r="W964">
        <v>350</v>
      </c>
      <c r="Z964">
        <v>2</v>
      </c>
      <c r="AA964" t="s">
        <v>1781</v>
      </c>
    </row>
    <row r="965" spans="1:27" x14ac:dyDescent="0.25">
      <c r="H965" t="s">
        <v>31</v>
      </c>
    </row>
    <row r="966" spans="1:27" x14ac:dyDescent="0.25">
      <c r="A966">
        <v>480</v>
      </c>
      <c r="B966">
        <v>2347</v>
      </c>
      <c r="C966" t="s">
        <v>1782</v>
      </c>
      <c r="D966" t="s">
        <v>51</v>
      </c>
      <c r="E966" t="s">
        <v>158</v>
      </c>
      <c r="F966" t="s">
        <v>1783</v>
      </c>
      <c r="G966" t="str">
        <f>"201511012415"</f>
        <v>201511012415</v>
      </c>
      <c r="H966" t="s">
        <v>269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168</v>
      </c>
      <c r="W966">
        <v>588</v>
      </c>
      <c r="Z966">
        <v>0</v>
      </c>
      <c r="AA966" t="s">
        <v>1784</v>
      </c>
    </row>
    <row r="967" spans="1:27" x14ac:dyDescent="0.25">
      <c r="H967" t="s">
        <v>298</v>
      </c>
    </row>
    <row r="968" spans="1:27" x14ac:dyDescent="0.25">
      <c r="A968">
        <v>481</v>
      </c>
      <c r="B968">
        <v>2765</v>
      </c>
      <c r="C968" t="s">
        <v>1785</v>
      </c>
      <c r="D968" t="s">
        <v>1786</v>
      </c>
      <c r="E968" t="s">
        <v>41</v>
      </c>
      <c r="F968" t="s">
        <v>1787</v>
      </c>
      <c r="G968" t="str">
        <f>"201406000633"</f>
        <v>201406000633</v>
      </c>
      <c r="H968">
        <v>726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50</v>
      </c>
      <c r="V968">
        <v>75</v>
      </c>
      <c r="W968">
        <v>525</v>
      </c>
      <c r="Z968">
        <v>0</v>
      </c>
      <c r="AA968">
        <v>1371</v>
      </c>
    </row>
    <row r="969" spans="1:27" x14ac:dyDescent="0.25">
      <c r="H969" t="s">
        <v>25</v>
      </c>
    </row>
    <row r="970" spans="1:27" x14ac:dyDescent="0.25">
      <c r="A970">
        <v>482</v>
      </c>
      <c r="B970">
        <v>2142</v>
      </c>
      <c r="C970" t="s">
        <v>1788</v>
      </c>
      <c r="D970" t="s">
        <v>151</v>
      </c>
      <c r="E970" t="s">
        <v>451</v>
      </c>
      <c r="F970" t="s">
        <v>1789</v>
      </c>
      <c r="G970" t="str">
        <f>"00012882"</f>
        <v>00012882</v>
      </c>
      <c r="H970" t="s">
        <v>657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111</v>
      </c>
      <c r="W970">
        <v>588</v>
      </c>
      <c r="Z970">
        <v>0</v>
      </c>
      <c r="AA970" t="s">
        <v>1790</v>
      </c>
    </row>
    <row r="971" spans="1:27" x14ac:dyDescent="0.25">
      <c r="H971">
        <v>216</v>
      </c>
    </row>
    <row r="972" spans="1:27" x14ac:dyDescent="0.25">
      <c r="A972">
        <v>483</v>
      </c>
      <c r="B972">
        <v>264</v>
      </c>
      <c r="C972" t="s">
        <v>1791</v>
      </c>
      <c r="D972" t="s">
        <v>151</v>
      </c>
      <c r="E972" t="s">
        <v>348</v>
      </c>
      <c r="F972" t="s">
        <v>1792</v>
      </c>
      <c r="G972" t="str">
        <f>"201402009581"</f>
        <v>201402009581</v>
      </c>
      <c r="H972" t="s">
        <v>946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50</v>
      </c>
      <c r="O972">
        <v>30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Z972">
        <v>0</v>
      </c>
      <c r="AA972" t="s">
        <v>1793</v>
      </c>
    </row>
    <row r="973" spans="1:27" x14ac:dyDescent="0.25">
      <c r="H973">
        <v>215</v>
      </c>
    </row>
    <row r="974" spans="1:27" x14ac:dyDescent="0.25">
      <c r="A974">
        <v>484</v>
      </c>
      <c r="B974">
        <v>665</v>
      </c>
      <c r="C974" t="s">
        <v>1794</v>
      </c>
      <c r="D974" t="s">
        <v>1303</v>
      </c>
      <c r="E974" t="s">
        <v>1422</v>
      </c>
      <c r="F974" t="s">
        <v>1795</v>
      </c>
      <c r="G974" t="str">
        <f>"201304001966"</f>
        <v>201304001966</v>
      </c>
      <c r="H974" t="s">
        <v>623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70</v>
      </c>
      <c r="O974">
        <v>30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44</v>
      </c>
      <c r="W974">
        <v>308</v>
      </c>
      <c r="Z974">
        <v>0</v>
      </c>
      <c r="AA974" t="s">
        <v>1796</v>
      </c>
    </row>
    <row r="975" spans="1:27" x14ac:dyDescent="0.25">
      <c r="H975" t="s">
        <v>729</v>
      </c>
    </row>
    <row r="976" spans="1:27" x14ac:dyDescent="0.25">
      <c r="A976">
        <v>485</v>
      </c>
      <c r="B976">
        <v>1649</v>
      </c>
      <c r="C976" t="s">
        <v>1797</v>
      </c>
      <c r="D976" t="s">
        <v>1798</v>
      </c>
      <c r="E976" t="s">
        <v>225</v>
      </c>
      <c r="F976" t="s">
        <v>1799</v>
      </c>
      <c r="G976" t="str">
        <f>"00014319"</f>
        <v>00014319</v>
      </c>
      <c r="H976" t="s">
        <v>415</v>
      </c>
      <c r="I976">
        <v>0</v>
      </c>
      <c r="J976">
        <v>0</v>
      </c>
      <c r="K976">
        <v>0</v>
      </c>
      <c r="L976">
        <v>0</v>
      </c>
      <c r="M976">
        <v>100</v>
      </c>
      <c r="N976">
        <v>70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63</v>
      </c>
      <c r="W976">
        <v>441</v>
      </c>
      <c r="Z976">
        <v>2</v>
      </c>
      <c r="AA976" t="s">
        <v>1800</v>
      </c>
    </row>
    <row r="977" spans="1:27" x14ac:dyDescent="0.25">
      <c r="H977" t="s">
        <v>38</v>
      </c>
    </row>
    <row r="978" spans="1:27" x14ac:dyDescent="0.25">
      <c r="A978">
        <v>486</v>
      </c>
      <c r="B978">
        <v>3169</v>
      </c>
      <c r="C978" t="s">
        <v>1801</v>
      </c>
      <c r="D978" t="s">
        <v>151</v>
      </c>
      <c r="E978" t="s">
        <v>64</v>
      </c>
      <c r="F978" t="s">
        <v>1802</v>
      </c>
      <c r="G978" t="str">
        <f>"201511022227"</f>
        <v>201511022227</v>
      </c>
      <c r="H978" t="s">
        <v>558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Z978">
        <v>2</v>
      </c>
      <c r="AA978" t="s">
        <v>1803</v>
      </c>
    </row>
    <row r="979" spans="1:27" x14ac:dyDescent="0.25">
      <c r="H979" t="s">
        <v>25</v>
      </c>
    </row>
    <row r="980" spans="1:27" x14ac:dyDescent="0.25">
      <c r="A980">
        <v>487</v>
      </c>
      <c r="B980">
        <v>2907</v>
      </c>
      <c r="C980" t="s">
        <v>1310</v>
      </c>
      <c r="D980" t="s">
        <v>33</v>
      </c>
      <c r="E980" t="s">
        <v>235</v>
      </c>
      <c r="F980" t="s">
        <v>1804</v>
      </c>
      <c r="G980" t="str">
        <f>"201304005945"</f>
        <v>201304005945</v>
      </c>
      <c r="H980" t="s">
        <v>364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30</v>
      </c>
      <c r="S980">
        <v>0</v>
      </c>
      <c r="T980">
        <v>0</v>
      </c>
      <c r="U980">
        <v>0</v>
      </c>
      <c r="V980">
        <v>32</v>
      </c>
      <c r="W980">
        <v>224</v>
      </c>
      <c r="Z980">
        <v>0</v>
      </c>
      <c r="AA980" t="s">
        <v>1805</v>
      </c>
    </row>
    <row r="981" spans="1:27" x14ac:dyDescent="0.25">
      <c r="H981" t="s">
        <v>38</v>
      </c>
    </row>
    <row r="982" spans="1:27" x14ac:dyDescent="0.25">
      <c r="A982">
        <v>488</v>
      </c>
      <c r="B982">
        <v>517</v>
      </c>
      <c r="C982" t="s">
        <v>1806</v>
      </c>
      <c r="D982" t="s">
        <v>219</v>
      </c>
      <c r="E982" t="s">
        <v>284</v>
      </c>
      <c r="F982" t="s">
        <v>1807</v>
      </c>
      <c r="G982" t="str">
        <f>"00012361"</f>
        <v>00012361</v>
      </c>
      <c r="H982" t="s">
        <v>1808</v>
      </c>
      <c r="I982">
        <v>0</v>
      </c>
      <c r="J982">
        <v>0</v>
      </c>
      <c r="K982">
        <v>0</v>
      </c>
      <c r="L982">
        <v>200</v>
      </c>
      <c r="M982">
        <v>30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24</v>
      </c>
      <c r="W982">
        <v>168</v>
      </c>
      <c r="Z982">
        <v>0</v>
      </c>
      <c r="AA982" t="s">
        <v>1809</v>
      </c>
    </row>
    <row r="983" spans="1:27" x14ac:dyDescent="0.25">
      <c r="H983" t="s">
        <v>25</v>
      </c>
    </row>
    <row r="984" spans="1:27" x14ac:dyDescent="0.25">
      <c r="A984">
        <v>489</v>
      </c>
      <c r="B984">
        <v>1244</v>
      </c>
      <c r="C984" t="s">
        <v>1810</v>
      </c>
      <c r="D984" t="s">
        <v>647</v>
      </c>
      <c r="E984" t="s">
        <v>235</v>
      </c>
      <c r="F984" t="s">
        <v>1811</v>
      </c>
      <c r="G984" t="str">
        <f>"201304000587"</f>
        <v>201304000587</v>
      </c>
      <c r="H984" t="s">
        <v>1812</v>
      </c>
      <c r="I984">
        <v>0</v>
      </c>
      <c r="J984">
        <v>0</v>
      </c>
      <c r="K984">
        <v>0</v>
      </c>
      <c r="L984">
        <v>200</v>
      </c>
      <c r="M984">
        <v>0</v>
      </c>
      <c r="N984">
        <v>70</v>
      </c>
      <c r="O984">
        <v>30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17</v>
      </c>
      <c r="W984">
        <v>119</v>
      </c>
      <c r="Z984">
        <v>0</v>
      </c>
      <c r="AA984" t="s">
        <v>1813</v>
      </c>
    </row>
    <row r="985" spans="1:27" x14ac:dyDescent="0.25">
      <c r="H985" t="s">
        <v>248</v>
      </c>
    </row>
    <row r="986" spans="1:27" x14ac:dyDescent="0.25">
      <c r="A986">
        <v>490</v>
      </c>
      <c r="B986">
        <v>2175</v>
      </c>
      <c r="C986" t="s">
        <v>1814</v>
      </c>
      <c r="D986" t="s">
        <v>574</v>
      </c>
      <c r="E986" t="s">
        <v>52</v>
      </c>
      <c r="F986" t="s">
        <v>1815</v>
      </c>
      <c r="G986" t="str">
        <f>"00012223"</f>
        <v>00012223</v>
      </c>
      <c r="H986" t="s">
        <v>1816</v>
      </c>
      <c r="I986">
        <v>0</v>
      </c>
      <c r="J986">
        <v>0</v>
      </c>
      <c r="K986">
        <v>0</v>
      </c>
      <c r="L986">
        <v>0</v>
      </c>
      <c r="M986">
        <v>100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177</v>
      </c>
      <c r="W986">
        <v>588</v>
      </c>
      <c r="Z986">
        <v>2</v>
      </c>
      <c r="AA986" t="s">
        <v>1817</v>
      </c>
    </row>
    <row r="987" spans="1:27" x14ac:dyDescent="0.25">
      <c r="H987">
        <v>216</v>
      </c>
    </row>
    <row r="988" spans="1:27" x14ac:dyDescent="0.25">
      <c r="A988">
        <v>491</v>
      </c>
      <c r="B988">
        <v>2660</v>
      </c>
      <c r="C988" t="s">
        <v>1145</v>
      </c>
      <c r="D988" t="s">
        <v>1138</v>
      </c>
      <c r="E988" t="s">
        <v>225</v>
      </c>
      <c r="F988" t="s">
        <v>1146</v>
      </c>
      <c r="G988" t="str">
        <f>"201409002398"</f>
        <v>201409002398</v>
      </c>
      <c r="H988" t="s">
        <v>1147</v>
      </c>
      <c r="I988">
        <v>0</v>
      </c>
      <c r="J988">
        <v>0</v>
      </c>
      <c r="K988">
        <v>0</v>
      </c>
      <c r="L988">
        <v>0</v>
      </c>
      <c r="M988">
        <v>100</v>
      </c>
      <c r="N988">
        <v>70</v>
      </c>
      <c r="O988">
        <v>0</v>
      </c>
      <c r="P988">
        <v>70</v>
      </c>
      <c r="Q988">
        <v>0</v>
      </c>
      <c r="R988">
        <v>0</v>
      </c>
      <c r="S988">
        <v>0</v>
      </c>
      <c r="T988">
        <v>0</v>
      </c>
      <c r="U988">
        <v>30</v>
      </c>
      <c r="V988">
        <v>41</v>
      </c>
      <c r="W988">
        <v>287</v>
      </c>
      <c r="Z988">
        <v>0</v>
      </c>
      <c r="AA988" t="s">
        <v>1818</v>
      </c>
    </row>
    <row r="989" spans="1:27" x14ac:dyDescent="0.25">
      <c r="H989" t="s">
        <v>25</v>
      </c>
    </row>
    <row r="990" spans="1:27" x14ac:dyDescent="0.25">
      <c r="A990">
        <v>492</v>
      </c>
      <c r="B990">
        <v>170</v>
      </c>
      <c r="C990" t="s">
        <v>1819</v>
      </c>
      <c r="D990" t="s">
        <v>647</v>
      </c>
      <c r="E990" t="s">
        <v>108</v>
      </c>
      <c r="F990" t="s">
        <v>1820</v>
      </c>
      <c r="G990" t="str">
        <f>"201304000110"</f>
        <v>201304000110</v>
      </c>
      <c r="H990" t="s">
        <v>550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53</v>
      </c>
      <c r="W990">
        <v>371</v>
      </c>
      <c r="Z990">
        <v>0</v>
      </c>
      <c r="AA990" t="s">
        <v>1821</v>
      </c>
    </row>
    <row r="991" spans="1:27" x14ac:dyDescent="0.25">
      <c r="H991" t="s">
        <v>38</v>
      </c>
    </row>
    <row r="992" spans="1:27" x14ac:dyDescent="0.25">
      <c r="A992">
        <v>493</v>
      </c>
      <c r="B992">
        <v>3321</v>
      </c>
      <c r="C992" t="s">
        <v>1822</v>
      </c>
      <c r="D992" t="s">
        <v>1823</v>
      </c>
      <c r="E992" t="s">
        <v>41</v>
      </c>
      <c r="F992" t="s">
        <v>1824</v>
      </c>
      <c r="G992" t="str">
        <f>"200806000253"</f>
        <v>200806000253</v>
      </c>
      <c r="H992" t="s">
        <v>315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115</v>
      </c>
      <c r="W992">
        <v>588</v>
      </c>
      <c r="Z992">
        <v>0</v>
      </c>
      <c r="AA992" t="s">
        <v>1825</v>
      </c>
    </row>
    <row r="993" spans="1:27" x14ac:dyDescent="0.25">
      <c r="H993">
        <v>216</v>
      </c>
    </row>
    <row r="994" spans="1:27" x14ac:dyDescent="0.25">
      <c r="A994">
        <v>494</v>
      </c>
      <c r="B994">
        <v>2614</v>
      </c>
      <c r="C994" t="s">
        <v>1826</v>
      </c>
      <c r="D994" t="s">
        <v>1827</v>
      </c>
      <c r="E994" t="s">
        <v>1085</v>
      </c>
      <c r="F994" t="s">
        <v>1828</v>
      </c>
      <c r="G994" t="str">
        <f>"201304002271"</f>
        <v>201304002271</v>
      </c>
      <c r="H994" t="s">
        <v>623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47</v>
      </c>
      <c r="W994">
        <v>329</v>
      </c>
      <c r="Z994">
        <v>0</v>
      </c>
      <c r="AA994" t="s">
        <v>1829</v>
      </c>
    </row>
    <row r="995" spans="1:27" x14ac:dyDescent="0.25">
      <c r="H995" t="s">
        <v>248</v>
      </c>
    </row>
    <row r="996" spans="1:27" x14ac:dyDescent="0.25">
      <c r="A996">
        <v>495</v>
      </c>
      <c r="B996">
        <v>620</v>
      </c>
      <c r="C996" t="s">
        <v>1830</v>
      </c>
      <c r="D996" t="s">
        <v>1831</v>
      </c>
      <c r="E996" t="s">
        <v>1832</v>
      </c>
      <c r="F996" t="s">
        <v>1833</v>
      </c>
      <c r="G996" t="str">
        <f>"200801006048"</f>
        <v>200801006048</v>
      </c>
      <c r="H996" t="s">
        <v>1710</v>
      </c>
      <c r="I996">
        <v>0</v>
      </c>
      <c r="J996">
        <v>0</v>
      </c>
      <c r="K996">
        <v>0</v>
      </c>
      <c r="L996">
        <v>0</v>
      </c>
      <c r="M996">
        <v>100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102</v>
      </c>
      <c r="W996">
        <v>588</v>
      </c>
      <c r="Z996">
        <v>0</v>
      </c>
      <c r="AA996" t="s">
        <v>1834</v>
      </c>
    </row>
    <row r="997" spans="1:27" x14ac:dyDescent="0.25">
      <c r="H997" t="s">
        <v>19</v>
      </c>
    </row>
    <row r="998" spans="1:27" x14ac:dyDescent="0.25">
      <c r="A998">
        <v>496</v>
      </c>
      <c r="B998">
        <v>2867</v>
      </c>
      <c r="C998" t="s">
        <v>1835</v>
      </c>
      <c r="D998" t="s">
        <v>151</v>
      </c>
      <c r="E998" t="s">
        <v>200</v>
      </c>
      <c r="F998" t="s">
        <v>1836</v>
      </c>
      <c r="G998" t="str">
        <f>"201304002280"</f>
        <v>201304002280</v>
      </c>
      <c r="H998" t="s">
        <v>87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99</v>
      </c>
      <c r="W998">
        <v>588</v>
      </c>
      <c r="Z998">
        <v>0</v>
      </c>
      <c r="AA998" t="s">
        <v>1837</v>
      </c>
    </row>
    <row r="999" spans="1:27" x14ac:dyDescent="0.25">
      <c r="H999">
        <v>216</v>
      </c>
    </row>
    <row r="1000" spans="1:27" x14ac:dyDescent="0.25">
      <c r="A1000">
        <v>497</v>
      </c>
      <c r="B1000">
        <v>2143</v>
      </c>
      <c r="C1000" t="s">
        <v>1838</v>
      </c>
      <c r="D1000" t="s">
        <v>1203</v>
      </c>
      <c r="E1000" t="s">
        <v>225</v>
      </c>
      <c r="F1000" t="s">
        <v>1839</v>
      </c>
      <c r="G1000" t="str">
        <f>"200712005392"</f>
        <v>200712005392</v>
      </c>
      <c r="H1000">
        <v>770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90</v>
      </c>
      <c r="W1000">
        <v>588</v>
      </c>
      <c r="Z1000">
        <v>3</v>
      </c>
      <c r="AA1000">
        <v>1358</v>
      </c>
    </row>
    <row r="1001" spans="1:27" x14ac:dyDescent="0.25">
      <c r="H1001" t="s">
        <v>298</v>
      </c>
    </row>
    <row r="1002" spans="1:27" x14ac:dyDescent="0.25">
      <c r="A1002">
        <v>498</v>
      </c>
      <c r="B1002">
        <v>1992</v>
      </c>
      <c r="C1002" t="s">
        <v>1840</v>
      </c>
      <c r="D1002" t="s">
        <v>41</v>
      </c>
      <c r="E1002" t="s">
        <v>200</v>
      </c>
      <c r="F1002" t="s">
        <v>1841</v>
      </c>
      <c r="G1002" t="str">
        <f>"201304004481"</f>
        <v>201304004481</v>
      </c>
      <c r="H1002" t="s">
        <v>1211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30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Z1002">
        <v>0</v>
      </c>
      <c r="AA1002" t="s">
        <v>1842</v>
      </c>
    </row>
    <row r="1003" spans="1:27" x14ac:dyDescent="0.25">
      <c r="H1003" t="s">
        <v>293</v>
      </c>
    </row>
    <row r="1004" spans="1:27" x14ac:dyDescent="0.25">
      <c r="A1004">
        <v>499</v>
      </c>
      <c r="B1004">
        <v>174</v>
      </c>
      <c r="C1004" t="s">
        <v>1843</v>
      </c>
      <c r="D1004" t="s">
        <v>1844</v>
      </c>
      <c r="E1004" t="s">
        <v>41</v>
      </c>
      <c r="F1004" t="s">
        <v>1845</v>
      </c>
      <c r="G1004" t="str">
        <f>"201304006264"</f>
        <v>201304006264</v>
      </c>
      <c r="H1004" t="s">
        <v>419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50</v>
      </c>
      <c r="O1004">
        <v>0</v>
      </c>
      <c r="P1004">
        <v>70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67</v>
      </c>
      <c r="W1004">
        <v>469</v>
      </c>
      <c r="Z1004">
        <v>0</v>
      </c>
      <c r="AA1004" t="s">
        <v>1846</v>
      </c>
    </row>
    <row r="1005" spans="1:27" x14ac:dyDescent="0.25">
      <c r="H1005">
        <v>215</v>
      </c>
    </row>
    <row r="1006" spans="1:27" x14ac:dyDescent="0.25">
      <c r="A1006">
        <v>500</v>
      </c>
      <c r="B1006">
        <v>1480</v>
      </c>
      <c r="C1006" t="s">
        <v>1847</v>
      </c>
      <c r="D1006" t="s">
        <v>891</v>
      </c>
      <c r="E1006" t="s">
        <v>41</v>
      </c>
      <c r="F1006" t="s">
        <v>1848</v>
      </c>
      <c r="G1006" t="str">
        <f>"201304001058"</f>
        <v>201304001058</v>
      </c>
      <c r="H1006">
        <v>770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45</v>
      </c>
      <c r="W1006">
        <v>315</v>
      </c>
      <c r="Z1006">
        <v>0</v>
      </c>
      <c r="AA1006">
        <v>1355</v>
      </c>
    </row>
    <row r="1007" spans="1:27" x14ac:dyDescent="0.25">
      <c r="H1007" t="s">
        <v>223</v>
      </c>
    </row>
    <row r="1008" spans="1:27" x14ac:dyDescent="0.25">
      <c r="A1008">
        <v>501</v>
      </c>
      <c r="B1008">
        <v>1626</v>
      </c>
      <c r="C1008" t="s">
        <v>1849</v>
      </c>
      <c r="D1008" t="s">
        <v>319</v>
      </c>
      <c r="E1008" t="s">
        <v>1850</v>
      </c>
      <c r="F1008" t="s">
        <v>1851</v>
      </c>
      <c r="G1008" t="str">
        <f>"201504002485"</f>
        <v>201504002485</v>
      </c>
      <c r="H1008" t="s">
        <v>526</v>
      </c>
      <c r="I1008">
        <v>0</v>
      </c>
      <c r="J1008">
        <v>0</v>
      </c>
      <c r="K1008">
        <v>0</v>
      </c>
      <c r="L1008">
        <v>0</v>
      </c>
      <c r="M1008">
        <v>100</v>
      </c>
      <c r="N1008">
        <v>50</v>
      </c>
      <c r="O1008">
        <v>30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40</v>
      </c>
      <c r="W1008">
        <v>280</v>
      </c>
      <c r="Z1008">
        <v>0</v>
      </c>
      <c r="AA1008" t="s">
        <v>1852</v>
      </c>
    </row>
    <row r="1009" spans="1:27" x14ac:dyDescent="0.25">
      <c r="H1009" t="s">
        <v>106</v>
      </c>
    </row>
    <row r="1010" spans="1:27" x14ac:dyDescent="0.25">
      <c r="A1010">
        <v>502</v>
      </c>
      <c r="B1010">
        <v>3030</v>
      </c>
      <c r="C1010" t="s">
        <v>1853</v>
      </c>
      <c r="D1010" t="s">
        <v>490</v>
      </c>
      <c r="E1010" t="s">
        <v>41</v>
      </c>
      <c r="F1010" t="s">
        <v>1854</v>
      </c>
      <c r="G1010" t="str">
        <f>"201410007304"</f>
        <v>201410007304</v>
      </c>
      <c r="H1010" t="s">
        <v>453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110</v>
      </c>
      <c r="W1010">
        <v>588</v>
      </c>
      <c r="Z1010">
        <v>0</v>
      </c>
      <c r="AA1010" t="s">
        <v>1855</v>
      </c>
    </row>
    <row r="1011" spans="1:27" x14ac:dyDescent="0.25">
      <c r="H1011" t="s">
        <v>25</v>
      </c>
    </row>
    <row r="1012" spans="1:27" x14ac:dyDescent="0.25">
      <c r="A1012">
        <v>503</v>
      </c>
      <c r="B1012">
        <v>1400</v>
      </c>
      <c r="C1012" t="s">
        <v>1856</v>
      </c>
      <c r="D1012" t="s">
        <v>1104</v>
      </c>
      <c r="E1012" t="s">
        <v>14</v>
      </c>
      <c r="F1012" t="s">
        <v>1857</v>
      </c>
      <c r="G1012" t="str">
        <f>"201410004506"</f>
        <v>201410004506</v>
      </c>
      <c r="H1012" t="s">
        <v>1858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70</v>
      </c>
      <c r="O1012">
        <v>50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25</v>
      </c>
      <c r="W1012">
        <v>175</v>
      </c>
      <c r="Z1012">
        <v>0</v>
      </c>
      <c r="AA1012" t="s">
        <v>1859</v>
      </c>
    </row>
    <row r="1013" spans="1:27" x14ac:dyDescent="0.25">
      <c r="H1013" t="s">
        <v>280</v>
      </c>
    </row>
    <row r="1014" spans="1:27" x14ac:dyDescent="0.25">
      <c r="A1014">
        <v>504</v>
      </c>
      <c r="B1014">
        <v>7</v>
      </c>
      <c r="C1014" t="s">
        <v>512</v>
      </c>
      <c r="D1014" t="s">
        <v>225</v>
      </c>
      <c r="E1014" t="s">
        <v>284</v>
      </c>
      <c r="F1014" t="s">
        <v>1860</v>
      </c>
      <c r="G1014" t="str">
        <f>"201304003036"</f>
        <v>201304003036</v>
      </c>
      <c r="H1014" t="s">
        <v>1861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30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52</v>
      </c>
      <c r="W1014">
        <v>364</v>
      </c>
      <c r="Z1014">
        <v>0</v>
      </c>
      <c r="AA1014" t="s">
        <v>1862</v>
      </c>
    </row>
    <row r="1015" spans="1:27" x14ac:dyDescent="0.25">
      <c r="H1015" t="s">
        <v>248</v>
      </c>
    </row>
    <row r="1016" spans="1:27" x14ac:dyDescent="0.25">
      <c r="A1016">
        <v>505</v>
      </c>
      <c r="B1016">
        <v>734</v>
      </c>
      <c r="C1016" t="s">
        <v>1863</v>
      </c>
      <c r="D1016" t="s">
        <v>33</v>
      </c>
      <c r="E1016" t="s">
        <v>15</v>
      </c>
      <c r="F1016" t="s">
        <v>1864</v>
      </c>
      <c r="G1016" t="str">
        <f>"201601000793"</f>
        <v>201601000793</v>
      </c>
      <c r="H1016">
        <v>693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120</v>
      </c>
      <c r="W1016">
        <v>588</v>
      </c>
      <c r="Z1016">
        <v>0</v>
      </c>
      <c r="AA1016">
        <v>1351</v>
      </c>
    </row>
    <row r="1017" spans="1:27" x14ac:dyDescent="0.25">
      <c r="H1017" t="s">
        <v>106</v>
      </c>
    </row>
    <row r="1018" spans="1:27" x14ac:dyDescent="0.25">
      <c r="A1018">
        <v>506</v>
      </c>
      <c r="B1018">
        <v>2093</v>
      </c>
      <c r="C1018" t="s">
        <v>1865</v>
      </c>
      <c r="D1018" t="s">
        <v>168</v>
      </c>
      <c r="E1018" t="s">
        <v>1866</v>
      </c>
      <c r="F1018" t="s">
        <v>1867</v>
      </c>
      <c r="G1018" t="str">
        <f>"201506001027"</f>
        <v>201506001027</v>
      </c>
      <c r="H1018" t="s">
        <v>727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141</v>
      </c>
      <c r="W1018">
        <v>588</v>
      </c>
      <c r="Z1018">
        <v>2</v>
      </c>
      <c r="AA1018" t="s">
        <v>1868</v>
      </c>
    </row>
    <row r="1019" spans="1:27" x14ac:dyDescent="0.25">
      <c r="H1019" t="s">
        <v>106</v>
      </c>
    </row>
    <row r="1020" spans="1:27" x14ac:dyDescent="0.25">
      <c r="A1020">
        <v>507</v>
      </c>
      <c r="B1020">
        <v>1631</v>
      </c>
      <c r="C1020" t="s">
        <v>1869</v>
      </c>
      <c r="D1020" t="s">
        <v>151</v>
      </c>
      <c r="E1020" t="s">
        <v>1336</v>
      </c>
      <c r="F1020" t="s">
        <v>1870</v>
      </c>
      <c r="G1020" t="str">
        <f>"200802008781"</f>
        <v>200802008781</v>
      </c>
      <c r="H1020" t="s">
        <v>727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70</v>
      </c>
      <c r="O1020">
        <v>0</v>
      </c>
      <c r="P1020">
        <v>30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74</v>
      </c>
      <c r="W1020">
        <v>518</v>
      </c>
      <c r="Z1020">
        <v>0</v>
      </c>
      <c r="AA1020" t="s">
        <v>1868</v>
      </c>
    </row>
    <row r="1021" spans="1:27" x14ac:dyDescent="0.25">
      <c r="H1021">
        <v>215</v>
      </c>
    </row>
    <row r="1022" spans="1:27" x14ac:dyDescent="0.25">
      <c r="A1022">
        <v>508</v>
      </c>
      <c r="B1022">
        <v>3203</v>
      </c>
      <c r="C1022" t="s">
        <v>1871</v>
      </c>
      <c r="D1022" t="s">
        <v>64</v>
      </c>
      <c r="E1022" t="s">
        <v>85</v>
      </c>
      <c r="F1022" t="s">
        <v>1872</v>
      </c>
      <c r="G1022" t="str">
        <f>"201304002269"</f>
        <v>201304002269</v>
      </c>
      <c r="H1022">
        <v>1034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12</v>
      </c>
      <c r="W1022">
        <v>84</v>
      </c>
      <c r="Z1022">
        <v>0</v>
      </c>
      <c r="AA1022">
        <v>1348</v>
      </c>
    </row>
    <row r="1023" spans="1:27" x14ac:dyDescent="0.25">
      <c r="H1023" t="s">
        <v>89</v>
      </c>
    </row>
    <row r="1024" spans="1:27" x14ac:dyDescent="0.25">
      <c r="A1024">
        <v>509</v>
      </c>
      <c r="B1024">
        <v>710</v>
      </c>
      <c r="C1024" t="s">
        <v>1873</v>
      </c>
      <c r="D1024" t="s">
        <v>85</v>
      </c>
      <c r="E1024" t="s">
        <v>41</v>
      </c>
      <c r="F1024" t="s">
        <v>1874</v>
      </c>
      <c r="G1024" t="str">
        <f>"00014694"</f>
        <v>00014694</v>
      </c>
      <c r="H1024">
        <v>759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150</v>
      </c>
      <c r="W1024">
        <v>588</v>
      </c>
      <c r="Z1024">
        <v>0</v>
      </c>
      <c r="AA1024">
        <v>1347</v>
      </c>
    </row>
    <row r="1025" spans="1:27" x14ac:dyDescent="0.25">
      <c r="H1025">
        <v>216</v>
      </c>
    </row>
    <row r="1026" spans="1:27" x14ac:dyDescent="0.25">
      <c r="A1026">
        <v>510</v>
      </c>
      <c r="B1026">
        <v>3247</v>
      </c>
      <c r="C1026" t="s">
        <v>1875</v>
      </c>
      <c r="D1026" t="s">
        <v>41</v>
      </c>
      <c r="E1026" t="s">
        <v>284</v>
      </c>
      <c r="F1026" t="s">
        <v>1876</v>
      </c>
      <c r="G1026" t="str">
        <f>"201301000087"</f>
        <v>201301000087</v>
      </c>
      <c r="H1026" t="s">
        <v>1391</v>
      </c>
      <c r="I1026">
        <v>0</v>
      </c>
      <c r="J1026">
        <v>0</v>
      </c>
      <c r="K1026">
        <v>0</v>
      </c>
      <c r="L1026">
        <v>200</v>
      </c>
      <c r="M1026">
        <v>0</v>
      </c>
      <c r="N1026">
        <v>30</v>
      </c>
      <c r="O1026">
        <v>0</v>
      </c>
      <c r="P1026">
        <v>30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49</v>
      </c>
      <c r="W1026">
        <v>343</v>
      </c>
      <c r="Z1026">
        <v>0</v>
      </c>
      <c r="AA1026" t="s">
        <v>1877</v>
      </c>
    </row>
    <row r="1027" spans="1:27" x14ac:dyDescent="0.25">
      <c r="H1027" t="s">
        <v>248</v>
      </c>
    </row>
    <row r="1028" spans="1:27" x14ac:dyDescent="0.25">
      <c r="A1028">
        <v>511</v>
      </c>
      <c r="B1028">
        <v>832</v>
      </c>
      <c r="C1028" t="s">
        <v>1878</v>
      </c>
      <c r="D1028" t="s">
        <v>1879</v>
      </c>
      <c r="E1028" t="s">
        <v>235</v>
      </c>
      <c r="F1028" t="s">
        <v>1880</v>
      </c>
      <c r="G1028" t="str">
        <f>"201304004269"</f>
        <v>201304004269</v>
      </c>
      <c r="H1028" t="s">
        <v>1881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70</v>
      </c>
      <c r="O1028">
        <v>0</v>
      </c>
      <c r="P1028">
        <v>0</v>
      </c>
      <c r="Q1028">
        <v>50</v>
      </c>
      <c r="R1028">
        <v>30</v>
      </c>
      <c r="S1028">
        <v>0</v>
      </c>
      <c r="T1028">
        <v>0</v>
      </c>
      <c r="U1028">
        <v>0</v>
      </c>
      <c r="V1028">
        <v>44</v>
      </c>
      <c r="W1028">
        <v>308</v>
      </c>
      <c r="Z1028">
        <v>0</v>
      </c>
      <c r="AA1028" t="s">
        <v>1877</v>
      </c>
    </row>
    <row r="1029" spans="1:27" x14ac:dyDescent="0.25">
      <c r="H1029" t="s">
        <v>248</v>
      </c>
    </row>
    <row r="1030" spans="1:27" x14ac:dyDescent="0.25">
      <c r="A1030">
        <v>512</v>
      </c>
      <c r="B1030">
        <v>3388</v>
      </c>
      <c r="C1030" t="s">
        <v>1882</v>
      </c>
      <c r="D1030" t="s">
        <v>194</v>
      </c>
      <c r="E1030" t="s">
        <v>284</v>
      </c>
      <c r="F1030" t="s">
        <v>1883</v>
      </c>
      <c r="G1030" t="str">
        <f>"00014989"</f>
        <v>00014989</v>
      </c>
      <c r="H1030" t="s">
        <v>1510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152</v>
      </c>
      <c r="W1030">
        <v>588</v>
      </c>
      <c r="Z1030">
        <v>0</v>
      </c>
      <c r="AA1030" t="s">
        <v>1884</v>
      </c>
    </row>
    <row r="1031" spans="1:27" x14ac:dyDescent="0.25">
      <c r="H1031" t="s">
        <v>248</v>
      </c>
    </row>
    <row r="1032" spans="1:27" x14ac:dyDescent="0.25">
      <c r="A1032">
        <v>513</v>
      </c>
      <c r="B1032">
        <v>958</v>
      </c>
      <c r="C1032" t="s">
        <v>752</v>
      </c>
      <c r="D1032" t="s">
        <v>128</v>
      </c>
      <c r="E1032" t="s">
        <v>85</v>
      </c>
      <c r="F1032" t="s">
        <v>1885</v>
      </c>
      <c r="G1032" t="str">
        <f>"201502002717"</f>
        <v>201502002717</v>
      </c>
      <c r="H1032" t="s">
        <v>1592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75</v>
      </c>
      <c r="W1032">
        <v>525</v>
      </c>
      <c r="Z1032">
        <v>2</v>
      </c>
      <c r="AA1032" t="s">
        <v>1886</v>
      </c>
    </row>
    <row r="1033" spans="1:27" x14ac:dyDescent="0.25">
      <c r="H1033" t="s">
        <v>78</v>
      </c>
    </row>
    <row r="1034" spans="1:27" x14ac:dyDescent="0.25">
      <c r="A1034">
        <v>514</v>
      </c>
      <c r="B1034">
        <v>1063</v>
      </c>
      <c r="C1034" t="s">
        <v>1887</v>
      </c>
      <c r="D1034" t="s">
        <v>64</v>
      </c>
      <c r="E1034" t="s">
        <v>1888</v>
      </c>
      <c r="F1034" t="s">
        <v>1889</v>
      </c>
      <c r="G1034" t="str">
        <f>"200802009816"</f>
        <v>200802009816</v>
      </c>
      <c r="H1034" t="s">
        <v>1890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50</v>
      </c>
      <c r="O1034">
        <v>0</v>
      </c>
      <c r="P1034">
        <v>50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54</v>
      </c>
      <c r="W1034">
        <v>378</v>
      </c>
      <c r="Z1034">
        <v>0</v>
      </c>
      <c r="AA1034" t="s">
        <v>1891</v>
      </c>
    </row>
    <row r="1035" spans="1:27" x14ac:dyDescent="0.25">
      <c r="H1035" t="s">
        <v>223</v>
      </c>
    </row>
    <row r="1036" spans="1:27" x14ac:dyDescent="0.25">
      <c r="A1036">
        <v>515</v>
      </c>
      <c r="B1036">
        <v>571</v>
      </c>
      <c r="C1036" t="s">
        <v>1892</v>
      </c>
      <c r="D1036" t="s">
        <v>1893</v>
      </c>
      <c r="E1036" t="s">
        <v>108</v>
      </c>
      <c r="F1036" t="s">
        <v>1894</v>
      </c>
      <c r="G1036" t="str">
        <f>"200801002173"</f>
        <v>200801002173</v>
      </c>
      <c r="H1036" t="s">
        <v>1895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70</v>
      </c>
      <c r="O1036">
        <v>0</v>
      </c>
      <c r="P1036">
        <v>50</v>
      </c>
      <c r="Q1036">
        <v>0</v>
      </c>
      <c r="R1036">
        <v>0</v>
      </c>
      <c r="S1036">
        <v>0</v>
      </c>
      <c r="T1036">
        <v>0</v>
      </c>
      <c r="U1036">
        <v>30</v>
      </c>
      <c r="V1036">
        <v>41</v>
      </c>
      <c r="W1036">
        <v>287</v>
      </c>
      <c r="Z1036">
        <v>0</v>
      </c>
      <c r="AA1036" t="s">
        <v>1896</v>
      </c>
    </row>
    <row r="1037" spans="1:27" x14ac:dyDescent="0.25">
      <c r="H1037" t="s">
        <v>482</v>
      </c>
    </row>
    <row r="1038" spans="1:27" x14ac:dyDescent="0.25">
      <c r="A1038">
        <v>516</v>
      </c>
      <c r="B1038">
        <v>28</v>
      </c>
      <c r="C1038" t="s">
        <v>1897</v>
      </c>
      <c r="D1038" t="s">
        <v>1898</v>
      </c>
      <c r="E1038" t="s">
        <v>114</v>
      </c>
      <c r="F1038" t="s">
        <v>1899</v>
      </c>
      <c r="G1038" t="str">
        <f>"201511015661"</f>
        <v>201511015661</v>
      </c>
      <c r="H1038" t="s">
        <v>410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76</v>
      </c>
      <c r="W1038">
        <v>532</v>
      </c>
      <c r="Z1038">
        <v>0</v>
      </c>
      <c r="AA1038" t="s">
        <v>1900</v>
      </c>
    </row>
    <row r="1039" spans="1:27" x14ac:dyDescent="0.25">
      <c r="H1039" t="s">
        <v>25</v>
      </c>
    </row>
    <row r="1040" spans="1:27" x14ac:dyDescent="0.25">
      <c r="A1040">
        <v>517</v>
      </c>
      <c r="B1040">
        <v>2739</v>
      </c>
      <c r="C1040" t="s">
        <v>1901</v>
      </c>
      <c r="D1040" t="s">
        <v>474</v>
      </c>
      <c r="E1040" t="s">
        <v>188</v>
      </c>
      <c r="F1040" t="s">
        <v>1902</v>
      </c>
      <c r="G1040" t="str">
        <f>"201410003773"</f>
        <v>201410003773</v>
      </c>
      <c r="H1040" t="s">
        <v>1903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82</v>
      </c>
      <c r="W1040">
        <v>574</v>
      </c>
      <c r="Z1040">
        <v>1</v>
      </c>
      <c r="AA1040" t="s">
        <v>1904</v>
      </c>
    </row>
    <row r="1041" spans="1:27" x14ac:dyDescent="0.25">
      <c r="H1041">
        <v>215</v>
      </c>
    </row>
    <row r="1042" spans="1:27" x14ac:dyDescent="0.25">
      <c r="A1042">
        <v>518</v>
      </c>
      <c r="B1042">
        <v>1204</v>
      </c>
      <c r="C1042" t="s">
        <v>1905</v>
      </c>
      <c r="D1042" t="s">
        <v>1906</v>
      </c>
      <c r="E1042" t="s">
        <v>235</v>
      </c>
      <c r="F1042" t="s">
        <v>1907</v>
      </c>
      <c r="G1042" t="str">
        <f>"00013954"</f>
        <v>00013954</v>
      </c>
      <c r="H1042" t="s">
        <v>558</v>
      </c>
      <c r="I1042">
        <v>0</v>
      </c>
      <c r="J1042">
        <v>0</v>
      </c>
      <c r="K1042">
        <v>0</v>
      </c>
      <c r="L1042">
        <v>0</v>
      </c>
      <c r="M1042">
        <v>100</v>
      </c>
      <c r="N1042">
        <v>30</v>
      </c>
      <c r="O1042">
        <v>30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62</v>
      </c>
      <c r="W1042">
        <v>434</v>
      </c>
      <c r="Z1042">
        <v>0</v>
      </c>
      <c r="AA1042" t="s">
        <v>1908</v>
      </c>
    </row>
    <row r="1043" spans="1:27" x14ac:dyDescent="0.25">
      <c r="H1043" t="s">
        <v>1044</v>
      </c>
    </row>
    <row r="1044" spans="1:27" x14ac:dyDescent="0.25">
      <c r="A1044">
        <v>519</v>
      </c>
      <c r="B1044">
        <v>1848</v>
      </c>
      <c r="C1044" t="s">
        <v>1909</v>
      </c>
      <c r="D1044" t="s">
        <v>85</v>
      </c>
      <c r="E1044" t="s">
        <v>235</v>
      </c>
      <c r="F1044" t="s">
        <v>1910</v>
      </c>
      <c r="G1044" t="str">
        <f>"201406003981"</f>
        <v>201406003981</v>
      </c>
      <c r="H1044" t="s">
        <v>763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132</v>
      </c>
      <c r="W1044">
        <v>588</v>
      </c>
      <c r="Z1044">
        <v>0</v>
      </c>
      <c r="AA1044" t="s">
        <v>1911</v>
      </c>
    </row>
    <row r="1045" spans="1:27" x14ac:dyDescent="0.25">
      <c r="H1045">
        <v>216</v>
      </c>
    </row>
    <row r="1046" spans="1:27" x14ac:dyDescent="0.25">
      <c r="A1046">
        <v>520</v>
      </c>
      <c r="B1046">
        <v>2364</v>
      </c>
      <c r="C1046" t="s">
        <v>1912</v>
      </c>
      <c r="D1046" t="s">
        <v>1913</v>
      </c>
      <c r="E1046" t="s">
        <v>64</v>
      </c>
      <c r="F1046" t="s">
        <v>1914</v>
      </c>
      <c r="G1046" t="str">
        <f>"200807000271"</f>
        <v>200807000271</v>
      </c>
      <c r="H1046">
        <v>748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30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42</v>
      </c>
      <c r="W1046">
        <v>294</v>
      </c>
      <c r="Z1046">
        <v>0</v>
      </c>
      <c r="AA1046">
        <v>1342</v>
      </c>
    </row>
    <row r="1047" spans="1:27" x14ac:dyDescent="0.25">
      <c r="H1047" t="s">
        <v>1915</v>
      </c>
    </row>
    <row r="1048" spans="1:27" x14ac:dyDescent="0.25">
      <c r="A1048">
        <v>521</v>
      </c>
      <c r="B1048">
        <v>274</v>
      </c>
      <c r="C1048" t="s">
        <v>537</v>
      </c>
      <c r="D1048" t="s">
        <v>1916</v>
      </c>
      <c r="E1048" t="s">
        <v>304</v>
      </c>
      <c r="F1048" t="s">
        <v>1917</v>
      </c>
      <c r="G1048" t="str">
        <f>"201410011204"</f>
        <v>201410011204</v>
      </c>
      <c r="H1048" t="s">
        <v>1078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70</v>
      </c>
      <c r="O1048">
        <v>30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43</v>
      </c>
      <c r="W1048">
        <v>301</v>
      </c>
      <c r="Z1048">
        <v>0</v>
      </c>
      <c r="AA1048" t="s">
        <v>1918</v>
      </c>
    </row>
    <row r="1049" spans="1:27" x14ac:dyDescent="0.25">
      <c r="H1049" t="s">
        <v>31</v>
      </c>
    </row>
    <row r="1050" spans="1:27" x14ac:dyDescent="0.25">
      <c r="A1050">
        <v>522</v>
      </c>
      <c r="B1050">
        <v>369</v>
      </c>
      <c r="C1050" t="s">
        <v>1919</v>
      </c>
      <c r="D1050" t="s">
        <v>347</v>
      </c>
      <c r="E1050" t="s">
        <v>235</v>
      </c>
      <c r="F1050" t="s">
        <v>1920</v>
      </c>
      <c r="G1050" t="str">
        <f>"00013119"</f>
        <v>00013119</v>
      </c>
      <c r="H1050">
        <v>682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109</v>
      </c>
      <c r="W1050">
        <v>588</v>
      </c>
      <c r="Z1050">
        <v>0</v>
      </c>
      <c r="AA1050">
        <v>1340</v>
      </c>
    </row>
    <row r="1051" spans="1:27" x14ac:dyDescent="0.25">
      <c r="H1051">
        <v>216</v>
      </c>
    </row>
    <row r="1052" spans="1:27" x14ac:dyDescent="0.25">
      <c r="A1052">
        <v>523</v>
      </c>
      <c r="B1052">
        <v>935</v>
      </c>
      <c r="C1052" t="s">
        <v>1921</v>
      </c>
      <c r="D1052" t="s">
        <v>64</v>
      </c>
      <c r="E1052" t="s">
        <v>1486</v>
      </c>
      <c r="F1052" t="s">
        <v>1922</v>
      </c>
      <c r="G1052" t="str">
        <f>"201406011344"</f>
        <v>201406011344</v>
      </c>
      <c r="H1052" t="s">
        <v>1816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30</v>
      </c>
      <c r="O1052">
        <v>30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62</v>
      </c>
      <c r="W1052">
        <v>434</v>
      </c>
      <c r="Z1052">
        <v>0</v>
      </c>
      <c r="AA1052" t="s">
        <v>1923</v>
      </c>
    </row>
    <row r="1053" spans="1:27" x14ac:dyDescent="0.25">
      <c r="H1053" t="s">
        <v>482</v>
      </c>
    </row>
    <row r="1054" spans="1:27" x14ac:dyDescent="0.25">
      <c r="A1054">
        <v>524</v>
      </c>
      <c r="B1054">
        <v>3060</v>
      </c>
      <c r="C1054" t="s">
        <v>1475</v>
      </c>
      <c r="D1054" t="s">
        <v>1924</v>
      </c>
      <c r="E1054" t="s">
        <v>92</v>
      </c>
      <c r="F1054" t="s">
        <v>1925</v>
      </c>
      <c r="G1054" t="str">
        <f>"201405000313"</f>
        <v>201405000313</v>
      </c>
      <c r="H1054" t="s">
        <v>1367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33</v>
      </c>
      <c r="W1054">
        <v>231</v>
      </c>
      <c r="Z1054">
        <v>2</v>
      </c>
      <c r="AA1054" t="s">
        <v>1926</v>
      </c>
    </row>
    <row r="1055" spans="1:27" x14ac:dyDescent="0.25">
      <c r="H1055" t="s">
        <v>38</v>
      </c>
    </row>
    <row r="1056" spans="1:27" x14ac:dyDescent="0.25">
      <c r="A1056">
        <v>525</v>
      </c>
      <c r="B1056">
        <v>2753</v>
      </c>
      <c r="C1056" t="s">
        <v>1927</v>
      </c>
      <c r="D1056" t="s">
        <v>304</v>
      </c>
      <c r="E1056" t="s">
        <v>52</v>
      </c>
      <c r="F1056" t="s">
        <v>1928</v>
      </c>
      <c r="G1056" t="str">
        <f>"200802001700"</f>
        <v>200802001700</v>
      </c>
      <c r="H1056" t="s">
        <v>1929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183</v>
      </c>
      <c r="W1056">
        <v>588</v>
      </c>
      <c r="Z1056">
        <v>0</v>
      </c>
      <c r="AA1056" t="s">
        <v>1930</v>
      </c>
    </row>
    <row r="1057" spans="1:27" x14ac:dyDescent="0.25">
      <c r="H1057">
        <v>216</v>
      </c>
    </row>
    <row r="1058" spans="1:27" x14ac:dyDescent="0.25">
      <c r="A1058">
        <v>526</v>
      </c>
      <c r="B1058">
        <v>1717</v>
      </c>
      <c r="C1058" t="s">
        <v>1931</v>
      </c>
      <c r="D1058" t="s">
        <v>1032</v>
      </c>
      <c r="E1058" t="s">
        <v>225</v>
      </c>
      <c r="F1058" t="s">
        <v>1932</v>
      </c>
      <c r="G1058" t="str">
        <f>"201402008151"</f>
        <v>201402008151</v>
      </c>
      <c r="H1058" t="s">
        <v>1082</v>
      </c>
      <c r="I1058">
        <v>0</v>
      </c>
      <c r="J1058">
        <v>0</v>
      </c>
      <c r="K1058">
        <v>0</v>
      </c>
      <c r="L1058">
        <v>0</v>
      </c>
      <c r="M1058">
        <v>100</v>
      </c>
      <c r="N1058">
        <v>70</v>
      </c>
      <c r="O1058">
        <v>30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67</v>
      </c>
      <c r="W1058">
        <v>469</v>
      </c>
      <c r="Z1058">
        <v>0</v>
      </c>
      <c r="AA1058" t="s">
        <v>1930</v>
      </c>
    </row>
    <row r="1059" spans="1:27" x14ac:dyDescent="0.25">
      <c r="H1059" t="s">
        <v>78</v>
      </c>
    </row>
    <row r="1060" spans="1:27" x14ac:dyDescent="0.25">
      <c r="A1060">
        <v>527</v>
      </c>
      <c r="B1060">
        <v>479</v>
      </c>
      <c r="C1060" t="s">
        <v>1933</v>
      </c>
      <c r="D1060" t="s">
        <v>80</v>
      </c>
      <c r="E1060" t="s">
        <v>1382</v>
      </c>
      <c r="F1060" t="s">
        <v>1934</v>
      </c>
      <c r="G1060" t="str">
        <f>"00013314"</f>
        <v>00013314</v>
      </c>
      <c r="H1060" t="s">
        <v>145</v>
      </c>
      <c r="I1060">
        <v>0</v>
      </c>
      <c r="J1060">
        <v>0</v>
      </c>
      <c r="K1060">
        <v>0</v>
      </c>
      <c r="L1060">
        <v>0</v>
      </c>
      <c r="M1060">
        <v>100</v>
      </c>
      <c r="N1060">
        <v>30</v>
      </c>
      <c r="O1060">
        <v>30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37</v>
      </c>
      <c r="W1060">
        <v>259</v>
      </c>
      <c r="Z1060">
        <v>0</v>
      </c>
      <c r="AA1060" t="s">
        <v>1935</v>
      </c>
    </row>
    <row r="1061" spans="1:27" x14ac:dyDescent="0.25">
      <c r="H1061" t="s">
        <v>659</v>
      </c>
    </row>
    <row r="1062" spans="1:27" x14ac:dyDescent="0.25">
      <c r="A1062">
        <v>528</v>
      </c>
      <c r="B1062">
        <v>1961</v>
      </c>
      <c r="C1062" t="s">
        <v>1936</v>
      </c>
      <c r="D1062" t="s">
        <v>123</v>
      </c>
      <c r="E1062" t="s">
        <v>15</v>
      </c>
      <c r="F1062" t="s">
        <v>1937</v>
      </c>
      <c r="G1062" t="str">
        <f>"201304003124"</f>
        <v>201304003124</v>
      </c>
      <c r="H1062" t="s">
        <v>1938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70</v>
      </c>
      <c r="O1062">
        <v>30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66</v>
      </c>
      <c r="W1062">
        <v>462</v>
      </c>
      <c r="Z1062">
        <v>0</v>
      </c>
      <c r="AA1062" t="s">
        <v>1935</v>
      </c>
    </row>
    <row r="1063" spans="1:27" x14ac:dyDescent="0.25">
      <c r="H1063" t="s">
        <v>357</v>
      </c>
    </row>
    <row r="1064" spans="1:27" x14ac:dyDescent="0.25">
      <c r="A1064">
        <v>529</v>
      </c>
      <c r="B1064">
        <v>2861</v>
      </c>
      <c r="C1064" t="s">
        <v>1939</v>
      </c>
      <c r="D1064" t="s">
        <v>194</v>
      </c>
      <c r="E1064" t="s">
        <v>1155</v>
      </c>
      <c r="F1064" t="s">
        <v>1940</v>
      </c>
      <c r="G1064" t="str">
        <f>"201304005299"</f>
        <v>201304005299</v>
      </c>
      <c r="H1064" t="s">
        <v>342</v>
      </c>
      <c r="I1064">
        <v>0</v>
      </c>
      <c r="J1064">
        <v>0</v>
      </c>
      <c r="K1064">
        <v>0</v>
      </c>
      <c r="L1064">
        <v>200</v>
      </c>
      <c r="M1064">
        <v>0</v>
      </c>
      <c r="N1064">
        <v>70</v>
      </c>
      <c r="O1064">
        <v>0</v>
      </c>
      <c r="P1064">
        <v>50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35</v>
      </c>
      <c r="W1064">
        <v>245</v>
      </c>
      <c r="Z1064">
        <v>0</v>
      </c>
      <c r="AA1064" t="s">
        <v>1941</v>
      </c>
    </row>
    <row r="1065" spans="1:27" x14ac:dyDescent="0.25">
      <c r="H1065" t="s">
        <v>38</v>
      </c>
    </row>
    <row r="1066" spans="1:27" x14ac:dyDescent="0.25">
      <c r="A1066">
        <v>530</v>
      </c>
      <c r="B1066">
        <v>2199</v>
      </c>
      <c r="C1066" t="s">
        <v>1942</v>
      </c>
      <c r="D1066" t="s">
        <v>1104</v>
      </c>
      <c r="E1066" t="s">
        <v>85</v>
      </c>
      <c r="F1066" t="s">
        <v>1943</v>
      </c>
      <c r="G1066" t="str">
        <f>"201303000978"</f>
        <v>201303000978</v>
      </c>
      <c r="H1066">
        <v>781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70</v>
      </c>
      <c r="O1066">
        <v>0</v>
      </c>
      <c r="P1066">
        <v>30</v>
      </c>
      <c r="Q1066">
        <v>30</v>
      </c>
      <c r="R1066">
        <v>30</v>
      </c>
      <c r="S1066">
        <v>0</v>
      </c>
      <c r="T1066">
        <v>0</v>
      </c>
      <c r="U1066">
        <v>0</v>
      </c>
      <c r="V1066">
        <v>28</v>
      </c>
      <c r="W1066">
        <v>196</v>
      </c>
      <c r="Z1066">
        <v>0</v>
      </c>
      <c r="AA1066">
        <v>1337</v>
      </c>
    </row>
    <row r="1067" spans="1:27" x14ac:dyDescent="0.25">
      <c r="H1067" t="s">
        <v>223</v>
      </c>
    </row>
    <row r="1068" spans="1:27" x14ac:dyDescent="0.25">
      <c r="A1068">
        <v>531</v>
      </c>
      <c r="B1068">
        <v>447</v>
      </c>
      <c r="C1068" t="s">
        <v>400</v>
      </c>
      <c r="D1068" t="s">
        <v>694</v>
      </c>
      <c r="E1068" t="s">
        <v>188</v>
      </c>
      <c r="F1068" t="s">
        <v>1944</v>
      </c>
      <c r="G1068" t="str">
        <f>"201405000118"</f>
        <v>201405000118</v>
      </c>
      <c r="H1068" t="s">
        <v>861</v>
      </c>
      <c r="I1068">
        <v>0</v>
      </c>
      <c r="J1068">
        <v>0</v>
      </c>
      <c r="K1068">
        <v>0</v>
      </c>
      <c r="L1068">
        <v>200</v>
      </c>
      <c r="M1068">
        <v>0</v>
      </c>
      <c r="N1068">
        <v>30</v>
      </c>
      <c r="O1068">
        <v>30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44</v>
      </c>
      <c r="W1068">
        <v>308</v>
      </c>
      <c r="Z1068">
        <v>0</v>
      </c>
      <c r="AA1068" t="s">
        <v>1945</v>
      </c>
    </row>
    <row r="1069" spans="1:27" x14ac:dyDescent="0.25">
      <c r="H1069" t="s">
        <v>926</v>
      </c>
    </row>
    <row r="1070" spans="1:27" x14ac:dyDescent="0.25">
      <c r="A1070">
        <v>532</v>
      </c>
      <c r="B1070">
        <v>2759</v>
      </c>
      <c r="C1070" t="s">
        <v>1946</v>
      </c>
      <c r="D1070" t="s">
        <v>14</v>
      </c>
      <c r="E1070" t="s">
        <v>65</v>
      </c>
      <c r="F1070" t="s">
        <v>1947</v>
      </c>
      <c r="G1070" t="str">
        <f>"201406009229"</f>
        <v>201406009229</v>
      </c>
      <c r="H1070" t="s">
        <v>1144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110</v>
      </c>
      <c r="W1070">
        <v>588</v>
      </c>
      <c r="Z1070">
        <v>0</v>
      </c>
      <c r="AA1070" t="s">
        <v>1948</v>
      </c>
    </row>
    <row r="1071" spans="1:27" x14ac:dyDescent="0.25">
      <c r="H1071" t="s">
        <v>298</v>
      </c>
    </row>
    <row r="1072" spans="1:27" x14ac:dyDescent="0.25">
      <c r="A1072">
        <v>533</v>
      </c>
      <c r="B1072">
        <v>2726</v>
      </c>
      <c r="C1072" t="s">
        <v>1949</v>
      </c>
      <c r="D1072" t="s">
        <v>329</v>
      </c>
      <c r="E1072" t="s">
        <v>235</v>
      </c>
      <c r="F1072" t="s">
        <v>1950</v>
      </c>
      <c r="G1072" t="str">
        <f>"00014735"</f>
        <v>00014735</v>
      </c>
      <c r="H1072" t="s">
        <v>531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50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93</v>
      </c>
      <c r="W1072">
        <v>588</v>
      </c>
      <c r="Z1072">
        <v>3</v>
      </c>
      <c r="AA1072" t="s">
        <v>1951</v>
      </c>
    </row>
    <row r="1073" spans="1:27" x14ac:dyDescent="0.25">
      <c r="H1073" t="s">
        <v>25</v>
      </c>
    </row>
    <row r="1074" spans="1:27" x14ac:dyDescent="0.25">
      <c r="A1074">
        <v>534</v>
      </c>
      <c r="B1074">
        <v>2684</v>
      </c>
      <c r="C1074" t="s">
        <v>1508</v>
      </c>
      <c r="D1074" t="s">
        <v>85</v>
      </c>
      <c r="E1074" t="s">
        <v>200</v>
      </c>
      <c r="F1074" t="s">
        <v>1952</v>
      </c>
      <c r="G1074" t="str">
        <f>"201511041792"</f>
        <v>201511041792</v>
      </c>
      <c r="H1074">
        <v>726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48</v>
      </c>
      <c r="W1074">
        <v>336</v>
      </c>
      <c r="Z1074">
        <v>0</v>
      </c>
      <c r="AA1074">
        <v>1332</v>
      </c>
    </row>
    <row r="1075" spans="1:27" x14ac:dyDescent="0.25">
      <c r="H1075" t="s">
        <v>38</v>
      </c>
    </row>
    <row r="1076" spans="1:27" x14ac:dyDescent="0.25">
      <c r="A1076">
        <v>535</v>
      </c>
      <c r="B1076">
        <v>563</v>
      </c>
      <c r="C1076" t="s">
        <v>1953</v>
      </c>
      <c r="D1076" t="s">
        <v>234</v>
      </c>
      <c r="E1076" t="s">
        <v>1486</v>
      </c>
      <c r="F1076" t="s">
        <v>1954</v>
      </c>
      <c r="G1076" t="str">
        <f>"00012980"</f>
        <v>00012980</v>
      </c>
      <c r="H1076" t="s">
        <v>844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97</v>
      </c>
      <c r="W1076">
        <v>588</v>
      </c>
      <c r="Z1076">
        <v>0</v>
      </c>
      <c r="AA1076" t="s">
        <v>1955</v>
      </c>
    </row>
    <row r="1077" spans="1:27" x14ac:dyDescent="0.25">
      <c r="H1077" t="s">
        <v>106</v>
      </c>
    </row>
    <row r="1078" spans="1:27" x14ac:dyDescent="0.25">
      <c r="A1078">
        <v>536</v>
      </c>
      <c r="B1078">
        <v>319</v>
      </c>
      <c r="C1078" t="s">
        <v>1956</v>
      </c>
      <c r="D1078" t="s">
        <v>1957</v>
      </c>
      <c r="E1078" t="s">
        <v>369</v>
      </c>
      <c r="F1078" t="s">
        <v>1958</v>
      </c>
      <c r="G1078" t="str">
        <f>"201304000594"</f>
        <v>201304000594</v>
      </c>
      <c r="H1078" t="s">
        <v>1552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50</v>
      </c>
      <c r="O1078">
        <v>0</v>
      </c>
      <c r="P1078">
        <v>0</v>
      </c>
      <c r="Q1078">
        <v>0</v>
      </c>
      <c r="R1078">
        <v>30</v>
      </c>
      <c r="S1078">
        <v>0</v>
      </c>
      <c r="T1078">
        <v>0</v>
      </c>
      <c r="U1078">
        <v>0</v>
      </c>
      <c r="V1078">
        <v>234</v>
      </c>
      <c r="W1078">
        <v>588</v>
      </c>
      <c r="Z1078">
        <v>0</v>
      </c>
      <c r="AA1078" t="s">
        <v>1959</v>
      </c>
    </row>
    <row r="1079" spans="1:27" x14ac:dyDescent="0.25">
      <c r="H1079" t="s">
        <v>904</v>
      </c>
    </row>
    <row r="1080" spans="1:27" x14ac:dyDescent="0.25">
      <c r="A1080">
        <v>537</v>
      </c>
      <c r="B1080">
        <v>160</v>
      </c>
      <c r="C1080" t="s">
        <v>1960</v>
      </c>
      <c r="D1080" t="s">
        <v>70</v>
      </c>
      <c r="E1080" t="s">
        <v>41</v>
      </c>
      <c r="F1080" t="s">
        <v>1961</v>
      </c>
      <c r="G1080" t="str">
        <f>"201412003427"</f>
        <v>201412003427</v>
      </c>
      <c r="H1080" t="s">
        <v>1585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108</v>
      </c>
      <c r="W1080">
        <v>588</v>
      </c>
      <c r="Z1080">
        <v>0</v>
      </c>
      <c r="AA1080" t="s">
        <v>1962</v>
      </c>
    </row>
    <row r="1081" spans="1:27" x14ac:dyDescent="0.25">
      <c r="H1081" t="s">
        <v>38</v>
      </c>
    </row>
    <row r="1082" spans="1:27" x14ac:dyDescent="0.25">
      <c r="A1082">
        <v>538</v>
      </c>
      <c r="B1082">
        <v>2712</v>
      </c>
      <c r="C1082" t="s">
        <v>1963</v>
      </c>
      <c r="D1082" t="s">
        <v>1138</v>
      </c>
      <c r="E1082" t="s">
        <v>52</v>
      </c>
      <c r="F1082" t="s">
        <v>1964</v>
      </c>
      <c r="G1082" t="str">
        <f>"201511017995"</f>
        <v>201511017995</v>
      </c>
      <c r="H1082" t="s">
        <v>872</v>
      </c>
      <c r="I1082">
        <v>0</v>
      </c>
      <c r="J1082">
        <v>0</v>
      </c>
      <c r="K1082">
        <v>0</v>
      </c>
      <c r="L1082">
        <v>200</v>
      </c>
      <c r="M1082">
        <v>30</v>
      </c>
      <c r="N1082">
        <v>70</v>
      </c>
      <c r="O1082">
        <v>30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38</v>
      </c>
      <c r="W1082">
        <v>266</v>
      </c>
      <c r="Z1082">
        <v>0</v>
      </c>
      <c r="AA1082" t="s">
        <v>1965</v>
      </c>
    </row>
    <row r="1083" spans="1:27" x14ac:dyDescent="0.25">
      <c r="H1083" t="s">
        <v>357</v>
      </c>
    </row>
    <row r="1084" spans="1:27" x14ac:dyDescent="0.25">
      <c r="A1084">
        <v>539</v>
      </c>
      <c r="B1084">
        <v>848</v>
      </c>
      <c r="C1084" t="s">
        <v>1571</v>
      </c>
      <c r="D1084" t="s">
        <v>58</v>
      </c>
      <c r="E1084" t="s">
        <v>108</v>
      </c>
      <c r="F1084" t="s">
        <v>1966</v>
      </c>
      <c r="G1084" t="str">
        <f>"201409002577"</f>
        <v>201409002577</v>
      </c>
      <c r="H1084" t="s">
        <v>1211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140</v>
      </c>
      <c r="W1084">
        <v>588</v>
      </c>
      <c r="Z1084">
        <v>0</v>
      </c>
      <c r="AA1084" t="s">
        <v>1967</v>
      </c>
    </row>
    <row r="1085" spans="1:27" x14ac:dyDescent="0.25">
      <c r="H1085" t="s">
        <v>78</v>
      </c>
    </row>
    <row r="1086" spans="1:27" x14ac:dyDescent="0.25">
      <c r="A1086">
        <v>540</v>
      </c>
      <c r="B1086">
        <v>3296</v>
      </c>
      <c r="C1086" t="s">
        <v>303</v>
      </c>
      <c r="D1086" t="s">
        <v>490</v>
      </c>
      <c r="E1086" t="s">
        <v>284</v>
      </c>
      <c r="F1086" t="s">
        <v>1968</v>
      </c>
      <c r="G1086" t="str">
        <f>"201401001291"</f>
        <v>201401001291</v>
      </c>
      <c r="H1086" t="s">
        <v>1211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153</v>
      </c>
      <c r="W1086">
        <v>588</v>
      </c>
      <c r="Z1086">
        <v>0</v>
      </c>
      <c r="AA1086" t="s">
        <v>1967</v>
      </c>
    </row>
    <row r="1087" spans="1:27" x14ac:dyDescent="0.25">
      <c r="H1087" t="s">
        <v>78</v>
      </c>
    </row>
    <row r="1088" spans="1:27" x14ac:dyDescent="0.25">
      <c r="A1088">
        <v>541</v>
      </c>
      <c r="B1088">
        <v>3073</v>
      </c>
      <c r="C1088" t="s">
        <v>1969</v>
      </c>
      <c r="D1088" t="s">
        <v>1019</v>
      </c>
      <c r="E1088" t="s">
        <v>1970</v>
      </c>
      <c r="F1088" t="s">
        <v>1971</v>
      </c>
      <c r="G1088" t="str">
        <f>"200805000523"</f>
        <v>200805000523</v>
      </c>
      <c r="H1088" t="s">
        <v>1096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50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115</v>
      </c>
      <c r="W1088">
        <v>588</v>
      </c>
      <c r="Z1088">
        <v>0</v>
      </c>
      <c r="AA1088" t="s">
        <v>1972</v>
      </c>
    </row>
    <row r="1089" spans="1:27" x14ac:dyDescent="0.25">
      <c r="H1089" t="s">
        <v>1973</v>
      </c>
    </row>
    <row r="1090" spans="1:27" x14ac:dyDescent="0.25">
      <c r="A1090">
        <v>542</v>
      </c>
      <c r="B1090">
        <v>2967</v>
      </c>
      <c r="C1090" t="s">
        <v>1974</v>
      </c>
      <c r="D1090" t="s">
        <v>151</v>
      </c>
      <c r="E1090" t="s">
        <v>158</v>
      </c>
      <c r="F1090" t="s">
        <v>1975</v>
      </c>
      <c r="G1090" t="str">
        <f>"00013078"</f>
        <v>00013078</v>
      </c>
      <c r="H1090" t="s">
        <v>1976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140</v>
      </c>
      <c r="W1090">
        <v>588</v>
      </c>
      <c r="Z1090">
        <v>0</v>
      </c>
      <c r="AA1090" t="s">
        <v>1977</v>
      </c>
    </row>
    <row r="1091" spans="1:27" x14ac:dyDescent="0.25">
      <c r="H1091">
        <v>215</v>
      </c>
    </row>
    <row r="1092" spans="1:27" x14ac:dyDescent="0.25">
      <c r="A1092">
        <v>543</v>
      </c>
      <c r="B1092">
        <v>2777</v>
      </c>
      <c r="C1092" t="s">
        <v>1978</v>
      </c>
      <c r="D1092" t="s">
        <v>1979</v>
      </c>
      <c r="E1092" t="s">
        <v>41</v>
      </c>
      <c r="F1092" t="s">
        <v>1980</v>
      </c>
      <c r="G1092" t="str">
        <f>"201406010273"</f>
        <v>201406010273</v>
      </c>
      <c r="H1092" t="s">
        <v>739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70</v>
      </c>
      <c r="O1092">
        <v>0</v>
      </c>
      <c r="P1092">
        <v>0</v>
      </c>
      <c r="Q1092">
        <v>30</v>
      </c>
      <c r="R1092">
        <v>0</v>
      </c>
      <c r="S1092">
        <v>0</v>
      </c>
      <c r="T1092">
        <v>0</v>
      </c>
      <c r="U1092">
        <v>0</v>
      </c>
      <c r="V1092">
        <v>35</v>
      </c>
      <c r="W1092">
        <v>245</v>
      </c>
      <c r="Z1092">
        <v>1</v>
      </c>
      <c r="AA1092" t="s">
        <v>1981</v>
      </c>
    </row>
    <row r="1093" spans="1:27" x14ac:dyDescent="0.25">
      <c r="H1093" t="s">
        <v>938</v>
      </c>
    </row>
    <row r="1094" spans="1:27" x14ac:dyDescent="0.25">
      <c r="A1094">
        <v>544</v>
      </c>
      <c r="B1094">
        <v>539</v>
      </c>
      <c r="C1094" t="s">
        <v>1982</v>
      </c>
      <c r="D1094" t="s">
        <v>41</v>
      </c>
      <c r="E1094" t="s">
        <v>387</v>
      </c>
      <c r="F1094" t="s">
        <v>1983</v>
      </c>
      <c r="G1094" t="str">
        <f>"00012482"</f>
        <v>00012482</v>
      </c>
      <c r="H1094" t="s">
        <v>861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41</v>
      </c>
      <c r="W1094">
        <v>287</v>
      </c>
      <c r="Z1094">
        <v>0</v>
      </c>
      <c r="AA1094" t="s">
        <v>1984</v>
      </c>
    </row>
    <row r="1095" spans="1:27" x14ac:dyDescent="0.25">
      <c r="H1095" t="s">
        <v>31</v>
      </c>
    </row>
    <row r="1096" spans="1:27" x14ac:dyDescent="0.25">
      <c r="A1096">
        <v>545</v>
      </c>
      <c r="B1096">
        <v>847</v>
      </c>
      <c r="C1096" t="s">
        <v>1985</v>
      </c>
      <c r="D1096" t="s">
        <v>1620</v>
      </c>
      <c r="E1096" t="s">
        <v>304</v>
      </c>
      <c r="F1096" t="s">
        <v>1986</v>
      </c>
      <c r="G1096" t="str">
        <f>"201406007625"</f>
        <v>201406007625</v>
      </c>
      <c r="H1096" t="s">
        <v>1355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48</v>
      </c>
      <c r="W1096">
        <v>336</v>
      </c>
      <c r="Z1096">
        <v>0</v>
      </c>
      <c r="AA1096" t="s">
        <v>1987</v>
      </c>
    </row>
    <row r="1097" spans="1:27" x14ac:dyDescent="0.25">
      <c r="H1097" t="s">
        <v>729</v>
      </c>
    </row>
    <row r="1098" spans="1:27" x14ac:dyDescent="0.25">
      <c r="A1098">
        <v>546</v>
      </c>
      <c r="B1098">
        <v>2062</v>
      </c>
      <c r="C1098" t="s">
        <v>1988</v>
      </c>
      <c r="D1098" t="s">
        <v>652</v>
      </c>
      <c r="E1098" t="s">
        <v>64</v>
      </c>
      <c r="F1098" t="s">
        <v>1989</v>
      </c>
      <c r="G1098" t="str">
        <f>"201412004541"</f>
        <v>201412004541</v>
      </c>
      <c r="H1098">
        <v>704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115</v>
      </c>
      <c r="W1098">
        <v>588</v>
      </c>
      <c r="Z1098">
        <v>0</v>
      </c>
      <c r="AA1098">
        <v>1322</v>
      </c>
    </row>
    <row r="1099" spans="1:27" x14ac:dyDescent="0.25">
      <c r="H1099" t="s">
        <v>78</v>
      </c>
    </row>
    <row r="1100" spans="1:27" x14ac:dyDescent="0.25">
      <c r="A1100">
        <v>547</v>
      </c>
      <c r="B1100">
        <v>69</v>
      </c>
      <c r="C1100" t="s">
        <v>1990</v>
      </c>
      <c r="D1100" t="s">
        <v>235</v>
      </c>
      <c r="E1100" t="s">
        <v>85</v>
      </c>
      <c r="F1100" t="s">
        <v>1991</v>
      </c>
      <c r="G1100" t="str">
        <f>"201304005008"</f>
        <v>201304005008</v>
      </c>
      <c r="H1100" t="s">
        <v>1123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50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200</v>
      </c>
      <c r="W1100">
        <v>588</v>
      </c>
      <c r="Z1100">
        <v>0</v>
      </c>
      <c r="AA1100" t="s">
        <v>1992</v>
      </c>
    </row>
    <row r="1101" spans="1:27" x14ac:dyDescent="0.25">
      <c r="H1101">
        <v>215</v>
      </c>
    </row>
    <row r="1102" spans="1:27" x14ac:dyDescent="0.25">
      <c r="A1102">
        <v>548</v>
      </c>
      <c r="B1102">
        <v>2789</v>
      </c>
      <c r="C1102" t="s">
        <v>1993</v>
      </c>
      <c r="D1102" t="s">
        <v>1866</v>
      </c>
      <c r="E1102" t="s">
        <v>1994</v>
      </c>
      <c r="F1102" t="s">
        <v>1995</v>
      </c>
      <c r="G1102" t="str">
        <f>"201411001534"</f>
        <v>201411001534</v>
      </c>
      <c r="H1102" t="s">
        <v>1996</v>
      </c>
      <c r="I1102">
        <v>0</v>
      </c>
      <c r="J1102">
        <v>0</v>
      </c>
      <c r="K1102">
        <v>0</v>
      </c>
      <c r="L1102">
        <v>200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58</v>
      </c>
      <c r="W1102">
        <v>406</v>
      </c>
      <c r="Z1102">
        <v>0</v>
      </c>
      <c r="AA1102" t="s">
        <v>1997</v>
      </c>
    </row>
    <row r="1103" spans="1:27" x14ac:dyDescent="0.25">
      <c r="H1103" t="s">
        <v>38</v>
      </c>
    </row>
    <row r="1104" spans="1:27" x14ac:dyDescent="0.25">
      <c r="A1104">
        <v>549</v>
      </c>
      <c r="B1104">
        <v>828</v>
      </c>
      <c r="C1104" t="s">
        <v>1998</v>
      </c>
      <c r="D1104" t="s">
        <v>151</v>
      </c>
      <c r="E1104" t="s">
        <v>499</v>
      </c>
      <c r="F1104" t="s">
        <v>1999</v>
      </c>
      <c r="G1104" t="str">
        <f>"201406008280"</f>
        <v>201406008280</v>
      </c>
      <c r="H1104">
        <v>682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50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85</v>
      </c>
      <c r="W1104">
        <v>588</v>
      </c>
      <c r="Z1104">
        <v>0</v>
      </c>
      <c r="AA1104">
        <v>1320</v>
      </c>
    </row>
    <row r="1105" spans="1:27" x14ac:dyDescent="0.25">
      <c r="H1105" t="s">
        <v>78</v>
      </c>
    </row>
    <row r="1106" spans="1:27" x14ac:dyDescent="0.25">
      <c r="A1106">
        <v>550</v>
      </c>
      <c r="B1106">
        <v>1587</v>
      </c>
      <c r="C1106" t="s">
        <v>2000</v>
      </c>
      <c r="D1106" t="s">
        <v>14</v>
      </c>
      <c r="E1106" t="s">
        <v>348</v>
      </c>
      <c r="F1106" t="s">
        <v>2001</v>
      </c>
      <c r="G1106" t="str">
        <f>"201506002991"</f>
        <v>201506002991</v>
      </c>
      <c r="H1106" t="s">
        <v>609</v>
      </c>
      <c r="I1106">
        <v>0</v>
      </c>
      <c r="J1106">
        <v>0</v>
      </c>
      <c r="K1106">
        <v>0</v>
      </c>
      <c r="L1106">
        <v>200</v>
      </c>
      <c r="M1106">
        <v>0</v>
      </c>
      <c r="N1106">
        <v>70</v>
      </c>
      <c r="O1106">
        <v>0</v>
      </c>
      <c r="P1106">
        <v>30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44</v>
      </c>
      <c r="W1106">
        <v>308</v>
      </c>
      <c r="Z1106">
        <v>0</v>
      </c>
      <c r="AA1106" t="s">
        <v>2002</v>
      </c>
    </row>
    <row r="1107" spans="1:27" x14ac:dyDescent="0.25">
      <c r="H1107" t="s">
        <v>31</v>
      </c>
    </row>
    <row r="1108" spans="1:27" x14ac:dyDescent="0.25">
      <c r="A1108">
        <v>551</v>
      </c>
      <c r="B1108">
        <v>1529</v>
      </c>
      <c r="C1108" t="s">
        <v>2003</v>
      </c>
      <c r="D1108" t="s">
        <v>168</v>
      </c>
      <c r="E1108" t="s">
        <v>65</v>
      </c>
      <c r="F1108" t="s">
        <v>2004</v>
      </c>
      <c r="G1108" t="str">
        <f>"00002752"</f>
        <v>00002752</v>
      </c>
      <c r="H1108">
        <v>660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70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84</v>
      </c>
      <c r="W1108">
        <v>588</v>
      </c>
      <c r="Z1108">
        <v>0</v>
      </c>
      <c r="AA1108">
        <v>1318</v>
      </c>
    </row>
    <row r="1109" spans="1:27" x14ac:dyDescent="0.25">
      <c r="H1109" t="s">
        <v>1606</v>
      </c>
    </row>
    <row r="1110" spans="1:27" x14ac:dyDescent="0.25">
      <c r="A1110">
        <v>552</v>
      </c>
      <c r="B1110">
        <v>2322</v>
      </c>
      <c r="C1110" t="s">
        <v>2005</v>
      </c>
      <c r="D1110" t="s">
        <v>64</v>
      </c>
      <c r="E1110" t="s">
        <v>41</v>
      </c>
      <c r="F1110" t="s">
        <v>2006</v>
      </c>
      <c r="G1110" t="str">
        <f>"201511006867"</f>
        <v>201511006867</v>
      </c>
      <c r="H1110" t="s">
        <v>1331</v>
      </c>
      <c r="I1110">
        <v>150</v>
      </c>
      <c r="J1110">
        <v>0</v>
      </c>
      <c r="K1110">
        <v>0</v>
      </c>
      <c r="L1110">
        <v>200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24</v>
      </c>
      <c r="W1110">
        <v>168</v>
      </c>
      <c r="Z1110">
        <v>0</v>
      </c>
      <c r="AA1110" t="s">
        <v>2007</v>
      </c>
    </row>
    <row r="1111" spans="1:27" x14ac:dyDescent="0.25">
      <c r="H1111" t="s">
        <v>223</v>
      </c>
    </row>
    <row r="1112" spans="1:27" x14ac:dyDescent="0.25">
      <c r="A1112">
        <v>553</v>
      </c>
      <c r="B1112">
        <v>3319</v>
      </c>
      <c r="C1112" t="s">
        <v>2008</v>
      </c>
      <c r="D1112" t="s">
        <v>158</v>
      </c>
      <c r="E1112" t="s">
        <v>284</v>
      </c>
      <c r="F1112" t="s">
        <v>2009</v>
      </c>
      <c r="G1112" t="str">
        <f>"201304000088"</f>
        <v>201304000088</v>
      </c>
      <c r="H1112" t="s">
        <v>1410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131</v>
      </c>
      <c r="W1112">
        <v>588</v>
      </c>
      <c r="Z1112">
        <v>0</v>
      </c>
      <c r="AA1112" t="s">
        <v>2010</v>
      </c>
    </row>
    <row r="1113" spans="1:27" x14ac:dyDescent="0.25">
      <c r="H1113">
        <v>213</v>
      </c>
    </row>
    <row r="1114" spans="1:27" x14ac:dyDescent="0.25">
      <c r="A1114">
        <v>554</v>
      </c>
      <c r="B1114">
        <v>466</v>
      </c>
      <c r="C1114" t="s">
        <v>2011</v>
      </c>
      <c r="D1114" t="s">
        <v>2012</v>
      </c>
      <c r="E1114" t="s">
        <v>41</v>
      </c>
      <c r="F1114" t="s">
        <v>2013</v>
      </c>
      <c r="G1114" t="str">
        <f>"201304002054"</f>
        <v>201304002054</v>
      </c>
      <c r="H1114" t="s">
        <v>1861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30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47</v>
      </c>
      <c r="W1114">
        <v>329</v>
      </c>
      <c r="Z1114">
        <v>0</v>
      </c>
      <c r="AA1114" t="s">
        <v>2010</v>
      </c>
    </row>
    <row r="1115" spans="1:27" x14ac:dyDescent="0.25">
      <c r="H1115" t="s">
        <v>31</v>
      </c>
    </row>
    <row r="1116" spans="1:27" x14ac:dyDescent="0.25">
      <c r="A1116">
        <v>555</v>
      </c>
      <c r="B1116">
        <v>3217</v>
      </c>
      <c r="C1116" t="s">
        <v>2014</v>
      </c>
      <c r="D1116" t="s">
        <v>276</v>
      </c>
      <c r="E1116" t="s">
        <v>225</v>
      </c>
      <c r="F1116" t="s">
        <v>2015</v>
      </c>
      <c r="G1116" t="str">
        <f>"201506003038"</f>
        <v>201506003038</v>
      </c>
      <c r="H1116" t="s">
        <v>1431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70</v>
      </c>
      <c r="O1116">
        <v>30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79</v>
      </c>
      <c r="W1116">
        <v>553</v>
      </c>
      <c r="Z1116">
        <v>0</v>
      </c>
      <c r="AA1116" t="s">
        <v>2016</v>
      </c>
    </row>
    <row r="1117" spans="1:27" x14ac:dyDescent="0.25">
      <c r="H1117">
        <v>215</v>
      </c>
    </row>
    <row r="1118" spans="1:27" x14ac:dyDescent="0.25">
      <c r="A1118">
        <v>556</v>
      </c>
      <c r="B1118">
        <v>2305</v>
      </c>
      <c r="C1118" t="s">
        <v>2017</v>
      </c>
      <c r="D1118" t="s">
        <v>158</v>
      </c>
      <c r="E1118" t="s">
        <v>64</v>
      </c>
      <c r="F1118" t="s">
        <v>2018</v>
      </c>
      <c r="G1118" t="str">
        <f>"00015121"</f>
        <v>00015121</v>
      </c>
      <c r="H1118">
        <v>990</v>
      </c>
      <c r="I1118">
        <v>0</v>
      </c>
      <c r="J1118">
        <v>0</v>
      </c>
      <c r="K1118">
        <v>0</v>
      </c>
      <c r="L1118">
        <v>200</v>
      </c>
      <c r="M1118">
        <v>0</v>
      </c>
      <c r="N1118">
        <v>70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</v>
      </c>
      <c r="W1118">
        <v>56</v>
      </c>
      <c r="Z1118">
        <v>0</v>
      </c>
      <c r="AA1118">
        <v>1316</v>
      </c>
    </row>
    <row r="1119" spans="1:27" x14ac:dyDescent="0.25">
      <c r="H1119">
        <v>215</v>
      </c>
    </row>
    <row r="1120" spans="1:27" x14ac:dyDescent="0.25">
      <c r="A1120">
        <v>557</v>
      </c>
      <c r="B1120">
        <v>702</v>
      </c>
      <c r="C1120" t="s">
        <v>2019</v>
      </c>
      <c r="D1120" t="s">
        <v>2020</v>
      </c>
      <c r="E1120" t="s">
        <v>114</v>
      </c>
      <c r="F1120" t="s">
        <v>2021</v>
      </c>
      <c r="G1120" t="str">
        <f>"201304005600"</f>
        <v>201304005600</v>
      </c>
      <c r="H1120" t="s">
        <v>2022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0</v>
      </c>
      <c r="P1120">
        <v>70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27</v>
      </c>
      <c r="W1120">
        <v>189</v>
      </c>
      <c r="Z1120">
        <v>0</v>
      </c>
      <c r="AA1120" t="s">
        <v>2023</v>
      </c>
    </row>
    <row r="1121" spans="1:27" x14ac:dyDescent="0.25">
      <c r="H1121" t="s">
        <v>1103</v>
      </c>
    </row>
    <row r="1122" spans="1:27" x14ac:dyDescent="0.25">
      <c r="A1122">
        <v>558</v>
      </c>
      <c r="B1122">
        <v>3019</v>
      </c>
      <c r="C1122" t="s">
        <v>2024</v>
      </c>
      <c r="D1122" t="s">
        <v>289</v>
      </c>
      <c r="E1122" t="s">
        <v>41</v>
      </c>
      <c r="F1122" t="s">
        <v>2025</v>
      </c>
      <c r="G1122" t="str">
        <f>"00013939"</f>
        <v>00013939</v>
      </c>
      <c r="H1122" t="s">
        <v>154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20</v>
      </c>
      <c r="W1122">
        <v>140</v>
      </c>
      <c r="Z1122">
        <v>0</v>
      </c>
      <c r="AA1122" t="s">
        <v>2026</v>
      </c>
    </row>
    <row r="1123" spans="1:27" x14ac:dyDescent="0.25">
      <c r="H1123" t="s">
        <v>1973</v>
      </c>
    </row>
    <row r="1124" spans="1:27" x14ac:dyDescent="0.25">
      <c r="A1124">
        <v>559</v>
      </c>
      <c r="B1124">
        <v>1011</v>
      </c>
      <c r="C1124" t="s">
        <v>2027</v>
      </c>
      <c r="D1124" t="s">
        <v>390</v>
      </c>
      <c r="E1124" t="s">
        <v>41</v>
      </c>
      <c r="F1124" t="s">
        <v>2028</v>
      </c>
      <c r="G1124" t="str">
        <f>"201304000009"</f>
        <v>201304000009</v>
      </c>
      <c r="H1124" t="s">
        <v>623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50</v>
      </c>
      <c r="O1124">
        <v>30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39</v>
      </c>
      <c r="W1124">
        <v>273</v>
      </c>
      <c r="Z1124">
        <v>0</v>
      </c>
      <c r="AA1124" t="s">
        <v>2026</v>
      </c>
    </row>
    <row r="1125" spans="1:27" x14ac:dyDescent="0.25">
      <c r="H1125" t="s">
        <v>38</v>
      </c>
    </row>
    <row r="1126" spans="1:27" x14ac:dyDescent="0.25">
      <c r="A1126">
        <v>560</v>
      </c>
      <c r="B1126">
        <v>3054</v>
      </c>
      <c r="C1126" t="s">
        <v>2029</v>
      </c>
      <c r="D1126" t="s">
        <v>2030</v>
      </c>
      <c r="E1126" t="s">
        <v>200</v>
      </c>
      <c r="F1126" t="s">
        <v>2031</v>
      </c>
      <c r="G1126" t="str">
        <f>"201303000839"</f>
        <v>201303000839</v>
      </c>
      <c r="H1126" t="s">
        <v>558</v>
      </c>
      <c r="I1126">
        <v>0</v>
      </c>
      <c r="J1126">
        <v>0</v>
      </c>
      <c r="K1126">
        <v>0</v>
      </c>
      <c r="L1126">
        <v>200</v>
      </c>
      <c r="M1126">
        <v>0</v>
      </c>
      <c r="N1126">
        <v>70</v>
      </c>
      <c r="O1126">
        <v>50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35</v>
      </c>
      <c r="W1126">
        <v>245</v>
      </c>
      <c r="Z1126">
        <v>0</v>
      </c>
      <c r="AA1126" t="s">
        <v>2032</v>
      </c>
    </row>
    <row r="1127" spans="1:27" x14ac:dyDescent="0.25">
      <c r="H1127" t="s">
        <v>19</v>
      </c>
    </row>
    <row r="1128" spans="1:27" x14ac:dyDescent="0.25">
      <c r="A1128">
        <v>561</v>
      </c>
      <c r="B1128">
        <v>1203</v>
      </c>
      <c r="C1128" t="s">
        <v>2033</v>
      </c>
      <c r="D1128" t="s">
        <v>276</v>
      </c>
      <c r="E1128" t="s">
        <v>41</v>
      </c>
      <c r="F1128" t="s">
        <v>2034</v>
      </c>
      <c r="G1128" t="str">
        <f>"201303000850"</f>
        <v>201303000850</v>
      </c>
      <c r="H1128" t="s">
        <v>1355</v>
      </c>
      <c r="I1128">
        <v>0</v>
      </c>
      <c r="J1128">
        <v>0</v>
      </c>
      <c r="K1128">
        <v>0</v>
      </c>
      <c r="L1128">
        <v>0</v>
      </c>
      <c r="M1128">
        <v>100</v>
      </c>
      <c r="N1128">
        <v>70</v>
      </c>
      <c r="O1128">
        <v>50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54</v>
      </c>
      <c r="W1128">
        <v>378</v>
      </c>
      <c r="Z1128">
        <v>2</v>
      </c>
      <c r="AA1128" t="s">
        <v>2032</v>
      </c>
    </row>
    <row r="1129" spans="1:27" x14ac:dyDescent="0.25">
      <c r="H1129" t="s">
        <v>89</v>
      </c>
    </row>
    <row r="1130" spans="1:27" x14ac:dyDescent="0.25">
      <c r="A1130">
        <v>562</v>
      </c>
      <c r="B1130">
        <v>937</v>
      </c>
      <c r="C1130" t="s">
        <v>2035</v>
      </c>
      <c r="D1130" t="s">
        <v>276</v>
      </c>
      <c r="E1130" t="s">
        <v>875</v>
      </c>
      <c r="F1130" t="s">
        <v>2036</v>
      </c>
      <c r="G1130" t="str">
        <f>"201304001574"</f>
        <v>201304001574</v>
      </c>
      <c r="H1130" t="s">
        <v>604</v>
      </c>
      <c r="I1130">
        <v>0</v>
      </c>
      <c r="J1130">
        <v>0</v>
      </c>
      <c r="K1130">
        <v>0</v>
      </c>
      <c r="L1130">
        <v>200</v>
      </c>
      <c r="M1130">
        <v>0</v>
      </c>
      <c r="N1130">
        <v>70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33</v>
      </c>
      <c r="W1130">
        <v>231</v>
      </c>
      <c r="Z1130">
        <v>0</v>
      </c>
      <c r="AA1130" t="s">
        <v>2037</v>
      </c>
    </row>
    <row r="1131" spans="1:27" x14ac:dyDescent="0.25">
      <c r="H1131" t="s">
        <v>298</v>
      </c>
    </row>
    <row r="1132" spans="1:27" x14ac:dyDescent="0.25">
      <c r="A1132">
        <v>563</v>
      </c>
      <c r="B1132">
        <v>395</v>
      </c>
      <c r="C1132" t="s">
        <v>2038</v>
      </c>
      <c r="D1132" t="s">
        <v>235</v>
      </c>
      <c r="E1132" t="s">
        <v>158</v>
      </c>
      <c r="F1132" t="s">
        <v>2039</v>
      </c>
      <c r="G1132" t="str">
        <f>"00014366"</f>
        <v>00014366</v>
      </c>
      <c r="H1132" t="s">
        <v>2040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30</v>
      </c>
      <c r="S1132">
        <v>0</v>
      </c>
      <c r="T1132">
        <v>0</v>
      </c>
      <c r="U1132">
        <v>0</v>
      </c>
      <c r="V1132">
        <v>179</v>
      </c>
      <c r="W1132">
        <v>588</v>
      </c>
      <c r="Z1132">
        <v>0</v>
      </c>
      <c r="AA1132" t="s">
        <v>2041</v>
      </c>
    </row>
    <row r="1133" spans="1:27" x14ac:dyDescent="0.25">
      <c r="H1133" t="s">
        <v>298</v>
      </c>
    </row>
    <row r="1134" spans="1:27" x14ac:dyDescent="0.25">
      <c r="A1134">
        <v>564</v>
      </c>
      <c r="B1134">
        <v>3306</v>
      </c>
      <c r="C1134" t="s">
        <v>2042</v>
      </c>
      <c r="D1134" t="s">
        <v>168</v>
      </c>
      <c r="E1134" t="s">
        <v>128</v>
      </c>
      <c r="F1134" t="s">
        <v>2043</v>
      </c>
      <c r="G1134" t="str">
        <f>"201402005014"</f>
        <v>201402005014</v>
      </c>
      <c r="H1134" t="s">
        <v>1331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79</v>
      </c>
      <c r="W1134">
        <v>553</v>
      </c>
      <c r="Z1134">
        <v>0</v>
      </c>
      <c r="AA1134" t="s">
        <v>2044</v>
      </c>
    </row>
    <row r="1135" spans="1:27" x14ac:dyDescent="0.25">
      <c r="H1135" t="s">
        <v>2045</v>
      </c>
    </row>
    <row r="1136" spans="1:27" x14ac:dyDescent="0.25">
      <c r="A1136">
        <v>565</v>
      </c>
      <c r="B1136">
        <v>1599</v>
      </c>
      <c r="C1136" t="s">
        <v>2046</v>
      </c>
      <c r="D1136" t="s">
        <v>41</v>
      </c>
      <c r="E1136" t="s">
        <v>284</v>
      </c>
      <c r="F1136" t="s">
        <v>2047</v>
      </c>
      <c r="G1136" t="str">
        <f>"201410008110"</f>
        <v>201410008110</v>
      </c>
      <c r="H1136" t="s">
        <v>675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70</v>
      </c>
      <c r="O1136">
        <v>0</v>
      </c>
      <c r="P1136">
        <v>50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29</v>
      </c>
      <c r="W1136">
        <v>203</v>
      </c>
      <c r="Z1136">
        <v>0</v>
      </c>
      <c r="AA1136" t="s">
        <v>2048</v>
      </c>
    </row>
    <row r="1137" spans="1:27" x14ac:dyDescent="0.25">
      <c r="H1137" t="s">
        <v>31</v>
      </c>
    </row>
    <row r="1138" spans="1:27" x14ac:dyDescent="0.25">
      <c r="A1138">
        <v>566</v>
      </c>
      <c r="B1138">
        <v>987</v>
      </c>
      <c r="C1138" t="s">
        <v>2049</v>
      </c>
      <c r="D1138" t="s">
        <v>1032</v>
      </c>
      <c r="E1138" t="s">
        <v>129</v>
      </c>
      <c r="F1138" t="s">
        <v>2050</v>
      </c>
      <c r="G1138" t="str">
        <f>"00014503"</f>
        <v>00014503</v>
      </c>
      <c r="H1138" t="s">
        <v>350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70</v>
      </c>
      <c r="O1138">
        <v>30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56</v>
      </c>
      <c r="W1138">
        <v>392</v>
      </c>
      <c r="Z1138">
        <v>0</v>
      </c>
      <c r="AA1138" t="s">
        <v>2051</v>
      </c>
    </row>
    <row r="1139" spans="1:27" x14ac:dyDescent="0.25">
      <c r="H1139" t="s">
        <v>889</v>
      </c>
    </row>
    <row r="1140" spans="1:27" x14ac:dyDescent="0.25">
      <c r="A1140">
        <v>567</v>
      </c>
      <c r="B1140">
        <v>1761</v>
      </c>
      <c r="C1140" t="s">
        <v>1298</v>
      </c>
      <c r="D1140" t="s">
        <v>519</v>
      </c>
      <c r="E1140" t="s">
        <v>1085</v>
      </c>
      <c r="F1140" t="s">
        <v>2052</v>
      </c>
      <c r="G1140" t="str">
        <f>"201504000250"</f>
        <v>201504000250</v>
      </c>
      <c r="H1140">
        <v>693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85</v>
      </c>
      <c r="W1140">
        <v>588</v>
      </c>
      <c r="Z1140">
        <v>0</v>
      </c>
      <c r="AA1140">
        <v>1311</v>
      </c>
    </row>
    <row r="1141" spans="1:27" x14ac:dyDescent="0.25">
      <c r="H1141" t="s">
        <v>25</v>
      </c>
    </row>
    <row r="1142" spans="1:27" x14ac:dyDescent="0.25">
      <c r="A1142">
        <v>568</v>
      </c>
      <c r="B1142">
        <v>3166</v>
      </c>
      <c r="C1142" t="s">
        <v>2053</v>
      </c>
      <c r="D1142" t="s">
        <v>213</v>
      </c>
      <c r="E1142" t="s">
        <v>235</v>
      </c>
      <c r="F1142" t="s">
        <v>2054</v>
      </c>
      <c r="G1142" t="str">
        <f>"201304001530"</f>
        <v>201304001530</v>
      </c>
      <c r="H1142" t="s">
        <v>2040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70</v>
      </c>
      <c r="O1142">
        <v>30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78</v>
      </c>
      <c r="W1142">
        <v>546</v>
      </c>
      <c r="Z1142">
        <v>0</v>
      </c>
      <c r="AA1142" t="s">
        <v>2055</v>
      </c>
    </row>
    <row r="1143" spans="1:27" x14ac:dyDescent="0.25">
      <c r="H1143" t="s">
        <v>223</v>
      </c>
    </row>
    <row r="1144" spans="1:27" x14ac:dyDescent="0.25">
      <c r="A1144">
        <v>569</v>
      </c>
      <c r="B1144">
        <v>1893</v>
      </c>
      <c r="C1144" t="s">
        <v>1310</v>
      </c>
      <c r="D1144" t="s">
        <v>879</v>
      </c>
      <c r="E1144" t="s">
        <v>27</v>
      </c>
      <c r="F1144" t="s">
        <v>2056</v>
      </c>
      <c r="G1144" t="str">
        <f>"201303000449"</f>
        <v>201303000449</v>
      </c>
      <c r="H1144" t="s">
        <v>1710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50</v>
      </c>
      <c r="O1144">
        <v>30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Z1144">
        <v>0</v>
      </c>
      <c r="AA1144" t="s">
        <v>2057</v>
      </c>
    </row>
    <row r="1145" spans="1:27" x14ac:dyDescent="0.25">
      <c r="H1145" t="s">
        <v>298</v>
      </c>
    </row>
    <row r="1146" spans="1:27" x14ac:dyDescent="0.25">
      <c r="A1146">
        <v>570</v>
      </c>
      <c r="B1146">
        <v>1593</v>
      </c>
      <c r="C1146" t="s">
        <v>2058</v>
      </c>
      <c r="D1146" t="s">
        <v>348</v>
      </c>
      <c r="E1146" t="s">
        <v>2059</v>
      </c>
      <c r="F1146" t="s">
        <v>2060</v>
      </c>
      <c r="G1146" t="str">
        <f>"00013987"</f>
        <v>00013987</v>
      </c>
      <c r="H1146" t="s">
        <v>2061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24</v>
      </c>
      <c r="W1146">
        <v>168</v>
      </c>
      <c r="Z1146">
        <v>0</v>
      </c>
      <c r="AA1146" t="s">
        <v>2062</v>
      </c>
    </row>
    <row r="1147" spans="1:27" x14ac:dyDescent="0.25">
      <c r="H1147" t="s">
        <v>38</v>
      </c>
    </row>
    <row r="1148" spans="1:27" x14ac:dyDescent="0.25">
      <c r="A1148">
        <v>571</v>
      </c>
      <c r="B1148">
        <v>1941</v>
      </c>
      <c r="C1148" t="s">
        <v>1277</v>
      </c>
      <c r="D1148" t="s">
        <v>2063</v>
      </c>
      <c r="E1148" t="s">
        <v>64</v>
      </c>
      <c r="F1148" t="s">
        <v>2064</v>
      </c>
      <c r="G1148" t="str">
        <f>"201410005751"</f>
        <v>201410005751</v>
      </c>
      <c r="H1148" t="s">
        <v>1881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113</v>
      </c>
      <c r="W1148">
        <v>588</v>
      </c>
      <c r="Z1148">
        <v>0</v>
      </c>
      <c r="AA1148" t="s">
        <v>2062</v>
      </c>
    </row>
    <row r="1149" spans="1:27" x14ac:dyDescent="0.25">
      <c r="H1149" t="s">
        <v>298</v>
      </c>
    </row>
    <row r="1150" spans="1:27" x14ac:dyDescent="0.25">
      <c r="A1150">
        <v>572</v>
      </c>
      <c r="B1150">
        <v>167</v>
      </c>
      <c r="C1150" t="s">
        <v>2065</v>
      </c>
      <c r="D1150" t="s">
        <v>158</v>
      </c>
      <c r="E1150" t="s">
        <v>225</v>
      </c>
      <c r="F1150" t="s">
        <v>2066</v>
      </c>
      <c r="G1150" t="str">
        <f>"201409007189"</f>
        <v>201409007189</v>
      </c>
      <c r="H1150" t="s">
        <v>1261</v>
      </c>
      <c r="I1150">
        <v>0</v>
      </c>
      <c r="J1150">
        <v>0</v>
      </c>
      <c r="K1150">
        <v>0</v>
      </c>
      <c r="L1150">
        <v>200</v>
      </c>
      <c r="M1150">
        <v>0</v>
      </c>
      <c r="N1150">
        <v>50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45</v>
      </c>
      <c r="W1150">
        <v>315</v>
      </c>
      <c r="Z1150">
        <v>0</v>
      </c>
      <c r="AA1150" t="s">
        <v>2067</v>
      </c>
    </row>
    <row r="1151" spans="1:27" x14ac:dyDescent="0.25">
      <c r="H1151" t="s">
        <v>223</v>
      </c>
    </row>
    <row r="1152" spans="1:27" x14ac:dyDescent="0.25">
      <c r="A1152">
        <v>573</v>
      </c>
      <c r="B1152">
        <v>2268</v>
      </c>
      <c r="C1152" t="s">
        <v>157</v>
      </c>
      <c r="D1152" t="s">
        <v>41</v>
      </c>
      <c r="E1152" t="s">
        <v>64</v>
      </c>
      <c r="F1152" t="s">
        <v>2068</v>
      </c>
      <c r="G1152" t="str">
        <f>"00012749"</f>
        <v>00012749</v>
      </c>
      <c r="H1152" t="s">
        <v>306</v>
      </c>
      <c r="I1152">
        <v>0</v>
      </c>
      <c r="J1152">
        <v>0</v>
      </c>
      <c r="K1152">
        <v>0</v>
      </c>
      <c r="L1152">
        <v>260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17</v>
      </c>
      <c r="W1152">
        <v>119</v>
      </c>
      <c r="Z1152">
        <v>0</v>
      </c>
      <c r="AA1152" t="s">
        <v>2069</v>
      </c>
    </row>
    <row r="1153" spans="1:27" x14ac:dyDescent="0.25">
      <c r="H1153" t="s">
        <v>926</v>
      </c>
    </row>
    <row r="1154" spans="1:27" x14ac:dyDescent="0.25">
      <c r="A1154">
        <v>574</v>
      </c>
      <c r="B1154">
        <v>3213</v>
      </c>
      <c r="C1154" t="s">
        <v>2070</v>
      </c>
      <c r="D1154" t="s">
        <v>225</v>
      </c>
      <c r="E1154" t="s">
        <v>158</v>
      </c>
      <c r="F1154" t="s">
        <v>2071</v>
      </c>
      <c r="G1154" t="str">
        <f>"201511020081"</f>
        <v>201511020081</v>
      </c>
      <c r="H1154" t="s">
        <v>1096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131</v>
      </c>
      <c r="W1154">
        <v>588</v>
      </c>
      <c r="Z1154">
        <v>0</v>
      </c>
      <c r="AA1154" t="s">
        <v>2072</v>
      </c>
    </row>
    <row r="1155" spans="1:27" x14ac:dyDescent="0.25">
      <c r="H1155">
        <v>216</v>
      </c>
    </row>
    <row r="1156" spans="1:27" x14ac:dyDescent="0.25">
      <c r="A1156">
        <v>575</v>
      </c>
      <c r="B1156">
        <v>813</v>
      </c>
      <c r="C1156" t="s">
        <v>2073</v>
      </c>
      <c r="D1156" t="s">
        <v>64</v>
      </c>
      <c r="E1156" t="s">
        <v>70</v>
      </c>
      <c r="F1156" t="s">
        <v>2074</v>
      </c>
      <c r="G1156" t="str">
        <f>"200801005189"</f>
        <v>200801005189</v>
      </c>
      <c r="H1156">
        <v>616</v>
      </c>
      <c r="I1156">
        <v>0</v>
      </c>
      <c r="J1156">
        <v>0</v>
      </c>
      <c r="K1156">
        <v>0</v>
      </c>
      <c r="L1156">
        <v>0</v>
      </c>
      <c r="M1156">
        <v>100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172</v>
      </c>
      <c r="W1156">
        <v>588</v>
      </c>
      <c r="Z1156">
        <v>0</v>
      </c>
      <c r="AA1156">
        <v>1304</v>
      </c>
    </row>
    <row r="1157" spans="1:27" x14ac:dyDescent="0.25">
      <c r="H1157">
        <v>216</v>
      </c>
    </row>
    <row r="1158" spans="1:27" x14ac:dyDescent="0.25">
      <c r="A1158">
        <v>576</v>
      </c>
      <c r="B1158">
        <v>132</v>
      </c>
      <c r="C1158" t="s">
        <v>2075</v>
      </c>
      <c r="D1158" t="s">
        <v>1924</v>
      </c>
      <c r="E1158" t="s">
        <v>114</v>
      </c>
      <c r="F1158" t="s">
        <v>2076</v>
      </c>
      <c r="G1158" t="str">
        <f>"201304001584"</f>
        <v>201304001584</v>
      </c>
      <c r="H1158" t="s">
        <v>446</v>
      </c>
      <c r="I1158">
        <v>0</v>
      </c>
      <c r="J1158">
        <v>0</v>
      </c>
      <c r="K1158">
        <v>0</v>
      </c>
      <c r="L1158">
        <v>200</v>
      </c>
      <c r="M1158">
        <v>30</v>
      </c>
      <c r="N1158">
        <v>30</v>
      </c>
      <c r="O1158">
        <v>0</v>
      </c>
      <c r="P1158">
        <v>30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30</v>
      </c>
      <c r="W1158">
        <v>210</v>
      </c>
      <c r="Z1158">
        <v>0</v>
      </c>
      <c r="AA1158" t="s">
        <v>2077</v>
      </c>
    </row>
    <row r="1159" spans="1:27" x14ac:dyDescent="0.25">
      <c r="H1159" t="s">
        <v>854</v>
      </c>
    </row>
    <row r="1160" spans="1:27" x14ac:dyDescent="0.25">
      <c r="A1160">
        <v>577</v>
      </c>
      <c r="B1160">
        <v>1846</v>
      </c>
      <c r="C1160" t="s">
        <v>2078</v>
      </c>
      <c r="D1160" t="s">
        <v>2079</v>
      </c>
      <c r="E1160" t="s">
        <v>225</v>
      </c>
      <c r="F1160" t="s">
        <v>2080</v>
      </c>
      <c r="G1160" t="str">
        <f>"00015052"</f>
        <v>00015052</v>
      </c>
      <c r="H1160" t="s">
        <v>2081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70</v>
      </c>
      <c r="O1160">
        <v>0</v>
      </c>
      <c r="P1160">
        <v>30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18</v>
      </c>
      <c r="W1160">
        <v>126</v>
      </c>
      <c r="Z1160">
        <v>0</v>
      </c>
      <c r="AA1160" t="s">
        <v>2082</v>
      </c>
    </row>
    <row r="1161" spans="1:27" x14ac:dyDescent="0.25">
      <c r="H1161" t="s">
        <v>248</v>
      </c>
    </row>
    <row r="1162" spans="1:27" x14ac:dyDescent="0.25">
      <c r="A1162">
        <v>578</v>
      </c>
      <c r="B1162">
        <v>2297</v>
      </c>
      <c r="C1162" t="s">
        <v>2083</v>
      </c>
      <c r="D1162" t="s">
        <v>2084</v>
      </c>
      <c r="E1162" t="s">
        <v>158</v>
      </c>
      <c r="F1162" t="s">
        <v>2085</v>
      </c>
      <c r="G1162" t="str">
        <f>"00011604"</f>
        <v>00011604</v>
      </c>
      <c r="H1162" t="s">
        <v>597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211</v>
      </c>
      <c r="W1162">
        <v>588</v>
      </c>
      <c r="Z1162">
        <v>0</v>
      </c>
      <c r="AA1162" t="s">
        <v>2086</v>
      </c>
    </row>
    <row r="1163" spans="1:27" x14ac:dyDescent="0.25">
      <c r="H1163" t="s">
        <v>106</v>
      </c>
    </row>
    <row r="1164" spans="1:27" x14ac:dyDescent="0.25">
      <c r="A1164">
        <v>579</v>
      </c>
      <c r="B1164">
        <v>2561</v>
      </c>
      <c r="C1164" t="s">
        <v>2087</v>
      </c>
      <c r="D1164" t="s">
        <v>64</v>
      </c>
      <c r="E1164" t="s">
        <v>70</v>
      </c>
      <c r="F1164" t="s">
        <v>2088</v>
      </c>
      <c r="G1164" t="str">
        <f>"200910000321"</f>
        <v>200910000321</v>
      </c>
      <c r="H1164" t="s">
        <v>496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70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24</v>
      </c>
      <c r="W1164">
        <v>168</v>
      </c>
      <c r="Z1164">
        <v>0</v>
      </c>
      <c r="AA1164" t="s">
        <v>2089</v>
      </c>
    </row>
    <row r="1165" spans="1:27" x14ac:dyDescent="0.25">
      <c r="H1165" t="s">
        <v>659</v>
      </c>
    </row>
    <row r="1166" spans="1:27" x14ac:dyDescent="0.25">
      <c r="A1166">
        <v>580</v>
      </c>
      <c r="B1166">
        <v>1928</v>
      </c>
      <c r="C1166" t="s">
        <v>2090</v>
      </c>
      <c r="D1166" t="s">
        <v>1109</v>
      </c>
      <c r="E1166" t="s">
        <v>85</v>
      </c>
      <c r="F1166" t="s">
        <v>2091</v>
      </c>
      <c r="G1166" t="str">
        <f>"201303000025"</f>
        <v>201303000025</v>
      </c>
      <c r="H1166" t="s">
        <v>87</v>
      </c>
      <c r="I1166">
        <v>0</v>
      </c>
      <c r="J1166">
        <v>0</v>
      </c>
      <c r="K1166">
        <v>0</v>
      </c>
      <c r="L1166">
        <v>200</v>
      </c>
      <c r="M1166">
        <v>0</v>
      </c>
      <c r="N1166">
        <v>70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47</v>
      </c>
      <c r="W1166">
        <v>329</v>
      </c>
      <c r="Z1166">
        <v>0</v>
      </c>
      <c r="AA1166" t="s">
        <v>2092</v>
      </c>
    </row>
    <row r="1167" spans="1:27" x14ac:dyDescent="0.25">
      <c r="H1167" t="s">
        <v>248</v>
      </c>
    </row>
    <row r="1168" spans="1:27" x14ac:dyDescent="0.25">
      <c r="A1168">
        <v>581</v>
      </c>
      <c r="B1168">
        <v>2407</v>
      </c>
      <c r="C1168" t="s">
        <v>1106</v>
      </c>
      <c r="D1168" t="s">
        <v>490</v>
      </c>
      <c r="E1168" t="s">
        <v>879</v>
      </c>
      <c r="F1168" t="s">
        <v>2093</v>
      </c>
      <c r="G1168" t="str">
        <f>"201304000786"</f>
        <v>201304000786</v>
      </c>
      <c r="H1168" t="s">
        <v>36</v>
      </c>
      <c r="I1168">
        <v>0</v>
      </c>
      <c r="J1168">
        <v>0</v>
      </c>
      <c r="K1168">
        <v>0</v>
      </c>
      <c r="L1168">
        <v>200</v>
      </c>
      <c r="M1168">
        <v>0</v>
      </c>
      <c r="N1168">
        <v>70</v>
      </c>
      <c r="O1168">
        <v>0</v>
      </c>
      <c r="P1168">
        <v>50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26</v>
      </c>
      <c r="W1168">
        <v>182</v>
      </c>
      <c r="Z1168">
        <v>0</v>
      </c>
      <c r="AA1168" t="s">
        <v>2094</v>
      </c>
    </row>
    <row r="1169" spans="1:27" x14ac:dyDescent="0.25">
      <c r="H1169" t="s">
        <v>1497</v>
      </c>
    </row>
    <row r="1170" spans="1:27" x14ac:dyDescent="0.25">
      <c r="A1170">
        <v>582</v>
      </c>
      <c r="B1170">
        <v>1960</v>
      </c>
      <c r="C1170" t="s">
        <v>788</v>
      </c>
      <c r="D1170" t="s">
        <v>225</v>
      </c>
      <c r="E1170" t="s">
        <v>284</v>
      </c>
      <c r="F1170" t="s">
        <v>2095</v>
      </c>
      <c r="G1170" t="str">
        <f>"00013012"</f>
        <v>00013012</v>
      </c>
      <c r="H1170" t="s">
        <v>2096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54</v>
      </c>
      <c r="W1170">
        <v>378</v>
      </c>
      <c r="Z1170">
        <v>0</v>
      </c>
      <c r="AA1170" t="s">
        <v>2097</v>
      </c>
    </row>
    <row r="1171" spans="1:27" x14ac:dyDescent="0.25">
      <c r="H1171" t="s">
        <v>49</v>
      </c>
    </row>
    <row r="1172" spans="1:27" x14ac:dyDescent="0.25">
      <c r="A1172">
        <v>583</v>
      </c>
      <c r="B1172">
        <v>2883</v>
      </c>
      <c r="C1172" t="s">
        <v>2098</v>
      </c>
      <c r="D1172" t="s">
        <v>15</v>
      </c>
      <c r="E1172" t="s">
        <v>875</v>
      </c>
      <c r="F1172" t="s">
        <v>2099</v>
      </c>
      <c r="G1172" t="str">
        <f>"201406004338"</f>
        <v>201406004338</v>
      </c>
      <c r="H1172" t="s">
        <v>563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50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29</v>
      </c>
      <c r="W1172">
        <v>203</v>
      </c>
      <c r="Z1172">
        <v>0</v>
      </c>
      <c r="AA1172" t="s">
        <v>2100</v>
      </c>
    </row>
    <row r="1173" spans="1:27" x14ac:dyDescent="0.25">
      <c r="H1173" t="s">
        <v>237</v>
      </c>
    </row>
    <row r="1174" spans="1:27" x14ac:dyDescent="0.25">
      <c r="A1174">
        <v>584</v>
      </c>
      <c r="B1174">
        <v>859</v>
      </c>
      <c r="C1174" t="s">
        <v>2101</v>
      </c>
      <c r="D1174" t="s">
        <v>276</v>
      </c>
      <c r="E1174" t="s">
        <v>123</v>
      </c>
      <c r="F1174" t="s">
        <v>2102</v>
      </c>
      <c r="G1174" t="str">
        <f>"201304006290"</f>
        <v>201304006290</v>
      </c>
      <c r="H1174" t="s">
        <v>1151</v>
      </c>
      <c r="I1174">
        <v>0</v>
      </c>
      <c r="J1174">
        <v>0</v>
      </c>
      <c r="K1174">
        <v>0</v>
      </c>
      <c r="L1174">
        <v>200</v>
      </c>
      <c r="M1174">
        <v>0</v>
      </c>
      <c r="N1174">
        <v>50</v>
      </c>
      <c r="O1174">
        <v>30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45</v>
      </c>
      <c r="W1174">
        <v>315</v>
      </c>
      <c r="Z1174">
        <v>0</v>
      </c>
      <c r="AA1174" t="s">
        <v>2103</v>
      </c>
    </row>
    <row r="1175" spans="1:27" x14ac:dyDescent="0.25">
      <c r="H1175" t="s">
        <v>248</v>
      </c>
    </row>
    <row r="1176" spans="1:27" x14ac:dyDescent="0.25">
      <c r="A1176">
        <v>585</v>
      </c>
      <c r="B1176">
        <v>899</v>
      </c>
      <c r="C1176" t="s">
        <v>2104</v>
      </c>
      <c r="D1176" t="s">
        <v>225</v>
      </c>
      <c r="E1176" t="s">
        <v>533</v>
      </c>
      <c r="F1176" t="s">
        <v>2105</v>
      </c>
      <c r="G1176" t="str">
        <f>"200802012171"</f>
        <v>200802012171</v>
      </c>
      <c r="H1176" t="s">
        <v>2106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69</v>
      </c>
      <c r="W1176">
        <v>483</v>
      </c>
      <c r="Z1176">
        <v>2</v>
      </c>
      <c r="AA1176" t="s">
        <v>2107</v>
      </c>
    </row>
    <row r="1177" spans="1:27" x14ac:dyDescent="0.25">
      <c r="H1177" t="s">
        <v>106</v>
      </c>
    </row>
    <row r="1178" spans="1:27" x14ac:dyDescent="0.25">
      <c r="A1178">
        <v>586</v>
      </c>
      <c r="B1178">
        <v>1371</v>
      </c>
      <c r="C1178" t="s">
        <v>2108</v>
      </c>
      <c r="D1178" t="s">
        <v>678</v>
      </c>
      <c r="E1178" t="s">
        <v>533</v>
      </c>
      <c r="F1178" t="s">
        <v>2109</v>
      </c>
      <c r="G1178" t="str">
        <f>"200712000735"</f>
        <v>200712000735</v>
      </c>
      <c r="H1178" t="s">
        <v>739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74</v>
      </c>
      <c r="W1178">
        <v>518</v>
      </c>
      <c r="Z1178">
        <v>0</v>
      </c>
      <c r="AA1178" t="s">
        <v>2110</v>
      </c>
    </row>
    <row r="1179" spans="1:27" x14ac:dyDescent="0.25">
      <c r="H1179" t="s">
        <v>298</v>
      </c>
    </row>
    <row r="1180" spans="1:27" x14ac:dyDescent="0.25">
      <c r="A1180">
        <v>587</v>
      </c>
      <c r="B1180">
        <v>150</v>
      </c>
      <c r="C1180" t="s">
        <v>2111</v>
      </c>
      <c r="D1180" t="s">
        <v>2112</v>
      </c>
      <c r="E1180" t="s">
        <v>2113</v>
      </c>
      <c r="F1180" t="s">
        <v>2114</v>
      </c>
      <c r="G1180" t="str">
        <f>"201304001703"</f>
        <v>201304001703</v>
      </c>
      <c r="H1180" t="s">
        <v>576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50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37</v>
      </c>
      <c r="W1180">
        <v>259</v>
      </c>
      <c r="Z1180">
        <v>0</v>
      </c>
      <c r="AA1180" t="s">
        <v>2115</v>
      </c>
    </row>
    <row r="1181" spans="1:27" x14ac:dyDescent="0.25">
      <c r="H1181" t="s">
        <v>248</v>
      </c>
    </row>
    <row r="1182" spans="1:27" x14ac:dyDescent="0.25">
      <c r="A1182">
        <v>588</v>
      </c>
      <c r="B1182">
        <v>3094</v>
      </c>
      <c r="C1182" t="s">
        <v>2116</v>
      </c>
      <c r="D1182" t="s">
        <v>2117</v>
      </c>
      <c r="E1182" t="s">
        <v>188</v>
      </c>
      <c r="F1182" t="s">
        <v>2118</v>
      </c>
      <c r="G1182" t="str">
        <f>"201303000600"</f>
        <v>201303000600</v>
      </c>
      <c r="H1182" t="s">
        <v>840</v>
      </c>
      <c r="I1182">
        <v>0</v>
      </c>
      <c r="J1182">
        <v>0</v>
      </c>
      <c r="K1182">
        <v>0</v>
      </c>
      <c r="L1182">
        <v>0</v>
      </c>
      <c r="M1182">
        <v>100</v>
      </c>
      <c r="N1182">
        <v>50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61</v>
      </c>
      <c r="W1182">
        <v>427</v>
      </c>
      <c r="Z1182">
        <v>0</v>
      </c>
      <c r="AA1182" t="s">
        <v>2119</v>
      </c>
    </row>
    <row r="1183" spans="1:27" x14ac:dyDescent="0.25">
      <c r="H1183" t="s">
        <v>78</v>
      </c>
    </row>
    <row r="1184" spans="1:27" x14ac:dyDescent="0.25">
      <c r="A1184">
        <v>589</v>
      </c>
      <c r="B1184">
        <v>792</v>
      </c>
      <c r="C1184" t="s">
        <v>2120</v>
      </c>
      <c r="D1184" t="s">
        <v>284</v>
      </c>
      <c r="E1184" t="s">
        <v>225</v>
      </c>
      <c r="F1184" t="s">
        <v>2121</v>
      </c>
      <c r="G1184" t="str">
        <f>"201402004490"</f>
        <v>201402004490</v>
      </c>
      <c r="H1184" t="s">
        <v>1211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203</v>
      </c>
      <c r="W1184">
        <v>588</v>
      </c>
      <c r="Z1184">
        <v>0</v>
      </c>
      <c r="AA1184" t="s">
        <v>2119</v>
      </c>
    </row>
    <row r="1185" spans="1:27" x14ac:dyDescent="0.25">
      <c r="H1185" t="s">
        <v>2045</v>
      </c>
    </row>
    <row r="1186" spans="1:27" x14ac:dyDescent="0.25">
      <c r="A1186">
        <v>590</v>
      </c>
      <c r="B1186">
        <v>1840</v>
      </c>
      <c r="C1186" t="s">
        <v>242</v>
      </c>
      <c r="D1186" t="s">
        <v>548</v>
      </c>
      <c r="E1186" t="s">
        <v>225</v>
      </c>
      <c r="F1186" t="s">
        <v>2122</v>
      </c>
      <c r="G1186" t="str">
        <f>"201304003776"</f>
        <v>201304003776</v>
      </c>
      <c r="H1186" t="s">
        <v>576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34</v>
      </c>
      <c r="W1186">
        <v>238</v>
      </c>
      <c r="Z1186">
        <v>0</v>
      </c>
      <c r="AA1186" t="s">
        <v>2123</v>
      </c>
    </row>
    <row r="1187" spans="1:27" x14ac:dyDescent="0.25">
      <c r="H1187" t="s">
        <v>357</v>
      </c>
    </row>
    <row r="1188" spans="1:27" x14ac:dyDescent="0.25">
      <c r="A1188">
        <v>591</v>
      </c>
      <c r="B1188">
        <v>885</v>
      </c>
      <c r="C1188" t="s">
        <v>2124</v>
      </c>
      <c r="D1188" t="s">
        <v>33</v>
      </c>
      <c r="E1188" t="s">
        <v>85</v>
      </c>
      <c r="F1188" t="s">
        <v>2125</v>
      </c>
      <c r="G1188" t="str">
        <f>"201406008991"</f>
        <v>201406008991</v>
      </c>
      <c r="H1188" t="s">
        <v>2126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42</v>
      </c>
      <c r="W1188">
        <v>294</v>
      </c>
      <c r="Z1188">
        <v>0</v>
      </c>
      <c r="AA1188" t="s">
        <v>2127</v>
      </c>
    </row>
    <row r="1189" spans="1:27" x14ac:dyDescent="0.25">
      <c r="H1189" t="s">
        <v>49</v>
      </c>
    </row>
    <row r="1190" spans="1:27" x14ac:dyDescent="0.25">
      <c r="A1190">
        <v>592</v>
      </c>
      <c r="B1190">
        <v>3261</v>
      </c>
      <c r="C1190" t="s">
        <v>2128</v>
      </c>
      <c r="D1190" t="s">
        <v>2129</v>
      </c>
      <c r="E1190" t="s">
        <v>41</v>
      </c>
      <c r="F1190" t="s">
        <v>2130</v>
      </c>
      <c r="G1190" t="str">
        <f>"00013886"</f>
        <v>00013886</v>
      </c>
      <c r="H1190" t="s">
        <v>322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30</v>
      </c>
      <c r="R1190">
        <v>0</v>
      </c>
      <c r="S1190">
        <v>0</v>
      </c>
      <c r="T1190">
        <v>0</v>
      </c>
      <c r="U1190">
        <v>0</v>
      </c>
      <c r="V1190">
        <v>59</v>
      </c>
      <c r="W1190">
        <v>413</v>
      </c>
      <c r="Z1190">
        <v>2</v>
      </c>
      <c r="AA1190" t="s">
        <v>2131</v>
      </c>
    </row>
    <row r="1191" spans="1:27" x14ac:dyDescent="0.25">
      <c r="H1191">
        <v>216</v>
      </c>
    </row>
    <row r="1192" spans="1:27" x14ac:dyDescent="0.25">
      <c r="A1192">
        <v>593</v>
      </c>
      <c r="B1192">
        <v>1198</v>
      </c>
      <c r="C1192" t="s">
        <v>2132</v>
      </c>
      <c r="D1192" t="s">
        <v>2133</v>
      </c>
      <c r="E1192" t="s">
        <v>225</v>
      </c>
      <c r="F1192" t="s">
        <v>2134</v>
      </c>
      <c r="G1192" t="str">
        <f>"200807000874"</f>
        <v>200807000874</v>
      </c>
      <c r="H1192" t="s">
        <v>110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50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146</v>
      </c>
      <c r="W1192">
        <v>588</v>
      </c>
      <c r="Z1192">
        <v>0</v>
      </c>
      <c r="AA1192" t="s">
        <v>2131</v>
      </c>
    </row>
    <row r="1193" spans="1:27" x14ac:dyDescent="0.25">
      <c r="H1193" t="s">
        <v>106</v>
      </c>
    </row>
    <row r="1194" spans="1:27" x14ac:dyDescent="0.25">
      <c r="A1194">
        <v>594</v>
      </c>
      <c r="B1194">
        <v>1945</v>
      </c>
      <c r="C1194" t="s">
        <v>2135</v>
      </c>
      <c r="D1194" t="s">
        <v>85</v>
      </c>
      <c r="E1194" t="s">
        <v>2136</v>
      </c>
      <c r="F1194" t="s">
        <v>2137</v>
      </c>
      <c r="G1194" t="str">
        <f>"201405000594"</f>
        <v>201405000594</v>
      </c>
      <c r="H1194" t="s">
        <v>1622</v>
      </c>
      <c r="I1194">
        <v>0</v>
      </c>
      <c r="J1194">
        <v>0</v>
      </c>
      <c r="K1194">
        <v>0</v>
      </c>
      <c r="L1194">
        <v>200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25</v>
      </c>
      <c r="W1194">
        <v>175</v>
      </c>
      <c r="Z1194">
        <v>0</v>
      </c>
      <c r="AA1194" t="s">
        <v>2138</v>
      </c>
    </row>
    <row r="1195" spans="1:27" x14ac:dyDescent="0.25">
      <c r="H1195" t="s">
        <v>78</v>
      </c>
    </row>
    <row r="1196" spans="1:27" x14ac:dyDescent="0.25">
      <c r="A1196">
        <v>595</v>
      </c>
      <c r="B1196">
        <v>96</v>
      </c>
      <c r="C1196" t="s">
        <v>2139</v>
      </c>
      <c r="D1196" t="s">
        <v>33</v>
      </c>
      <c r="E1196" t="s">
        <v>15</v>
      </c>
      <c r="F1196" t="s">
        <v>2140</v>
      </c>
      <c r="G1196" t="str">
        <f>"201511005113"</f>
        <v>201511005113</v>
      </c>
      <c r="H1196" t="s">
        <v>1144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156</v>
      </c>
      <c r="W1196">
        <v>588</v>
      </c>
      <c r="Z1196">
        <v>0</v>
      </c>
      <c r="AA1196" t="s">
        <v>2141</v>
      </c>
    </row>
    <row r="1197" spans="1:27" x14ac:dyDescent="0.25">
      <c r="H1197" t="s">
        <v>25</v>
      </c>
    </row>
    <row r="1198" spans="1:27" x14ac:dyDescent="0.25">
      <c r="A1198">
        <v>596</v>
      </c>
      <c r="B1198">
        <v>907</v>
      </c>
      <c r="C1198" t="s">
        <v>2142</v>
      </c>
      <c r="D1198" t="s">
        <v>151</v>
      </c>
      <c r="E1198" t="s">
        <v>123</v>
      </c>
      <c r="F1198" t="s">
        <v>2143</v>
      </c>
      <c r="G1198" t="str">
        <f>"201506002733"</f>
        <v>201506002733</v>
      </c>
      <c r="H1198" t="s">
        <v>570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70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36</v>
      </c>
      <c r="W1198">
        <v>252</v>
      </c>
      <c r="Z1198">
        <v>0</v>
      </c>
      <c r="AA1198" t="s">
        <v>2144</v>
      </c>
    </row>
    <row r="1199" spans="1:27" x14ac:dyDescent="0.25">
      <c r="H1199" t="s">
        <v>659</v>
      </c>
    </row>
    <row r="1200" spans="1:27" x14ac:dyDescent="0.25">
      <c r="A1200">
        <v>597</v>
      </c>
      <c r="B1200">
        <v>1664</v>
      </c>
      <c r="C1200" t="s">
        <v>2145</v>
      </c>
      <c r="D1200" t="s">
        <v>250</v>
      </c>
      <c r="E1200" t="s">
        <v>1251</v>
      </c>
      <c r="F1200" t="s">
        <v>2146</v>
      </c>
      <c r="G1200" t="str">
        <f>"201412005837"</f>
        <v>201412005837</v>
      </c>
      <c r="H1200" t="s">
        <v>87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115</v>
      </c>
      <c r="W1200">
        <v>588</v>
      </c>
      <c r="Z1200">
        <v>0</v>
      </c>
      <c r="AA1200" t="s">
        <v>2147</v>
      </c>
    </row>
    <row r="1201" spans="1:27" x14ac:dyDescent="0.25">
      <c r="H1201" t="s">
        <v>659</v>
      </c>
    </row>
    <row r="1202" spans="1:27" x14ac:dyDescent="0.25">
      <c r="A1202">
        <v>598</v>
      </c>
      <c r="B1202">
        <v>2549</v>
      </c>
      <c r="C1202" t="s">
        <v>2148</v>
      </c>
      <c r="D1202" t="s">
        <v>33</v>
      </c>
      <c r="E1202" t="s">
        <v>41</v>
      </c>
      <c r="F1202" t="s">
        <v>2149</v>
      </c>
      <c r="G1202" t="str">
        <f>"201304003436"</f>
        <v>201304003436</v>
      </c>
      <c r="H1202" t="s">
        <v>588</v>
      </c>
      <c r="I1202">
        <v>0</v>
      </c>
      <c r="J1202">
        <v>0</v>
      </c>
      <c r="K1202">
        <v>0</v>
      </c>
      <c r="L1202">
        <v>200</v>
      </c>
      <c r="M1202">
        <v>0</v>
      </c>
      <c r="N1202">
        <v>70</v>
      </c>
      <c r="O1202">
        <v>30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29</v>
      </c>
      <c r="W1202">
        <v>203</v>
      </c>
      <c r="Z1202">
        <v>1</v>
      </c>
      <c r="AA1202" t="s">
        <v>2150</v>
      </c>
    </row>
    <row r="1203" spans="1:27" x14ac:dyDescent="0.25">
      <c r="H1203" t="s">
        <v>223</v>
      </c>
    </row>
    <row r="1204" spans="1:27" x14ac:dyDescent="0.25">
      <c r="A1204">
        <v>599</v>
      </c>
      <c r="B1204">
        <v>1695</v>
      </c>
      <c r="C1204" t="s">
        <v>2151</v>
      </c>
      <c r="D1204" t="s">
        <v>2152</v>
      </c>
      <c r="E1204" t="s">
        <v>225</v>
      </c>
      <c r="F1204" t="s">
        <v>2153</v>
      </c>
      <c r="G1204" t="str">
        <f>"200802007025"</f>
        <v>200802007025</v>
      </c>
      <c r="H1204" t="s">
        <v>662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50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84</v>
      </c>
      <c r="W1204">
        <v>588</v>
      </c>
      <c r="Z1204">
        <v>0</v>
      </c>
      <c r="AA1204" t="s">
        <v>2154</v>
      </c>
    </row>
    <row r="1205" spans="1:27" x14ac:dyDescent="0.25">
      <c r="H1205" t="s">
        <v>78</v>
      </c>
    </row>
    <row r="1206" spans="1:27" x14ac:dyDescent="0.25">
      <c r="A1206">
        <v>600</v>
      </c>
      <c r="B1206">
        <v>2701</v>
      </c>
      <c r="C1206" t="s">
        <v>2155</v>
      </c>
      <c r="D1206" t="s">
        <v>58</v>
      </c>
      <c r="E1206" t="s">
        <v>85</v>
      </c>
      <c r="F1206" t="s">
        <v>2156</v>
      </c>
      <c r="G1206" t="str">
        <f>"00012087"</f>
        <v>00012087</v>
      </c>
      <c r="H1206" t="s">
        <v>1903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136</v>
      </c>
      <c r="W1206">
        <v>588</v>
      </c>
      <c r="Z1206">
        <v>2</v>
      </c>
      <c r="AA1206" t="s">
        <v>2157</v>
      </c>
    </row>
    <row r="1207" spans="1:27" x14ac:dyDescent="0.25">
      <c r="H1207" t="s">
        <v>106</v>
      </c>
    </row>
    <row r="1208" spans="1:27" x14ac:dyDescent="0.25">
      <c r="A1208">
        <v>601</v>
      </c>
      <c r="B1208">
        <v>1184</v>
      </c>
      <c r="C1208" t="s">
        <v>2158</v>
      </c>
      <c r="D1208" t="s">
        <v>2159</v>
      </c>
      <c r="E1208" t="s">
        <v>85</v>
      </c>
      <c r="F1208" t="s">
        <v>2160</v>
      </c>
      <c r="G1208" t="str">
        <f>"00011337"</f>
        <v>00011337</v>
      </c>
      <c r="H1208" t="s">
        <v>1903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266</v>
      </c>
      <c r="W1208">
        <v>588</v>
      </c>
      <c r="Z1208">
        <v>0</v>
      </c>
      <c r="AA1208" t="s">
        <v>2157</v>
      </c>
    </row>
    <row r="1209" spans="1:27" x14ac:dyDescent="0.25">
      <c r="H1209">
        <v>215</v>
      </c>
    </row>
    <row r="1210" spans="1:27" x14ac:dyDescent="0.25">
      <c r="A1210">
        <v>602</v>
      </c>
      <c r="B1210">
        <v>789</v>
      </c>
      <c r="C1210" t="s">
        <v>2161</v>
      </c>
      <c r="D1210" t="s">
        <v>1575</v>
      </c>
      <c r="E1210" t="s">
        <v>158</v>
      </c>
      <c r="F1210" t="s">
        <v>2162</v>
      </c>
      <c r="G1210" t="str">
        <f>"200811001065"</f>
        <v>200811001065</v>
      </c>
      <c r="H1210" t="s">
        <v>1331</v>
      </c>
      <c r="I1210">
        <v>0</v>
      </c>
      <c r="J1210">
        <v>0</v>
      </c>
      <c r="K1210">
        <v>0</v>
      </c>
      <c r="L1210">
        <v>200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41</v>
      </c>
      <c r="W1210">
        <v>287</v>
      </c>
      <c r="Z1210">
        <v>0</v>
      </c>
      <c r="AA1210" t="s">
        <v>2163</v>
      </c>
    </row>
    <row r="1211" spans="1:27" x14ac:dyDescent="0.25">
      <c r="H1211" t="s">
        <v>223</v>
      </c>
    </row>
    <row r="1212" spans="1:27" x14ac:dyDescent="0.25">
      <c r="A1212">
        <v>603</v>
      </c>
      <c r="B1212">
        <v>2071</v>
      </c>
      <c r="C1212" t="s">
        <v>2164</v>
      </c>
      <c r="D1212" t="s">
        <v>1104</v>
      </c>
      <c r="E1212" t="s">
        <v>158</v>
      </c>
      <c r="F1212" t="s">
        <v>2165</v>
      </c>
      <c r="G1212" t="str">
        <f>"200802007824"</f>
        <v>200802007824</v>
      </c>
      <c r="H1212" t="s">
        <v>930</v>
      </c>
      <c r="I1212">
        <v>0</v>
      </c>
      <c r="J1212">
        <v>0</v>
      </c>
      <c r="K1212">
        <v>0</v>
      </c>
      <c r="L1212">
        <v>0</v>
      </c>
      <c r="M1212">
        <v>100</v>
      </c>
      <c r="N1212">
        <v>70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60</v>
      </c>
      <c r="W1212">
        <v>420</v>
      </c>
      <c r="Z1212">
        <v>0</v>
      </c>
      <c r="AA1212" t="s">
        <v>2163</v>
      </c>
    </row>
    <row r="1213" spans="1:27" x14ac:dyDescent="0.25">
      <c r="H1213" t="s">
        <v>106</v>
      </c>
    </row>
    <row r="1214" spans="1:27" x14ac:dyDescent="0.25">
      <c r="A1214">
        <v>604</v>
      </c>
      <c r="B1214">
        <v>2566</v>
      </c>
      <c r="C1214" t="s">
        <v>2166</v>
      </c>
      <c r="D1214" t="s">
        <v>379</v>
      </c>
      <c r="E1214" t="s">
        <v>41</v>
      </c>
      <c r="F1214" t="s">
        <v>2167</v>
      </c>
      <c r="G1214" t="str">
        <f>"201506000530"</f>
        <v>201506000530</v>
      </c>
      <c r="H1214" t="s">
        <v>67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0</v>
      </c>
      <c r="P1214">
        <v>30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66</v>
      </c>
      <c r="W1214">
        <v>462</v>
      </c>
      <c r="Z1214">
        <v>0</v>
      </c>
      <c r="AA1214" t="s">
        <v>2168</v>
      </c>
    </row>
    <row r="1215" spans="1:27" x14ac:dyDescent="0.25">
      <c r="H1215" t="s">
        <v>298</v>
      </c>
    </row>
    <row r="1216" spans="1:27" x14ac:dyDescent="0.25">
      <c r="A1216">
        <v>605</v>
      </c>
      <c r="B1216">
        <v>2922</v>
      </c>
      <c r="C1216" t="s">
        <v>100</v>
      </c>
      <c r="D1216" t="s">
        <v>2169</v>
      </c>
      <c r="E1216" t="s">
        <v>85</v>
      </c>
      <c r="F1216" t="s">
        <v>2170</v>
      </c>
      <c r="G1216" t="str">
        <f>"00012327"</f>
        <v>00012327</v>
      </c>
      <c r="H1216" t="s">
        <v>2171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Z1216">
        <v>0</v>
      </c>
      <c r="AA1216" t="s">
        <v>2172</v>
      </c>
    </row>
    <row r="1217" spans="1:27" x14ac:dyDescent="0.25">
      <c r="H1217" t="s">
        <v>298</v>
      </c>
    </row>
    <row r="1218" spans="1:27" x14ac:dyDescent="0.25">
      <c r="A1218">
        <v>606</v>
      </c>
      <c r="B1218">
        <v>1197</v>
      </c>
      <c r="C1218" t="s">
        <v>2173</v>
      </c>
      <c r="D1218" t="s">
        <v>168</v>
      </c>
      <c r="E1218" t="s">
        <v>64</v>
      </c>
      <c r="F1218" t="s">
        <v>2174</v>
      </c>
      <c r="G1218" t="str">
        <f>"201304003146"</f>
        <v>201304003146</v>
      </c>
      <c r="H1218" t="s">
        <v>763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70</v>
      </c>
      <c r="W1218">
        <v>490</v>
      </c>
      <c r="Z1218">
        <v>0</v>
      </c>
      <c r="AA1218" t="s">
        <v>2175</v>
      </c>
    </row>
    <row r="1219" spans="1:27" x14ac:dyDescent="0.25">
      <c r="H1219">
        <v>215</v>
      </c>
    </row>
    <row r="1220" spans="1:27" x14ac:dyDescent="0.25">
      <c r="A1220">
        <v>607</v>
      </c>
      <c r="B1220">
        <v>3263</v>
      </c>
      <c r="C1220" t="s">
        <v>2176</v>
      </c>
      <c r="D1220" t="s">
        <v>1456</v>
      </c>
      <c r="E1220" t="s">
        <v>64</v>
      </c>
      <c r="F1220" t="s">
        <v>2177</v>
      </c>
      <c r="G1220" t="str">
        <f>"00013949"</f>
        <v>00013949</v>
      </c>
      <c r="H1220" t="s">
        <v>930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256</v>
      </c>
      <c r="W1220">
        <v>588</v>
      </c>
      <c r="Z1220">
        <v>2</v>
      </c>
      <c r="AA1220" t="s">
        <v>2178</v>
      </c>
    </row>
    <row r="1221" spans="1:27" x14ac:dyDescent="0.25">
      <c r="H1221">
        <v>216</v>
      </c>
    </row>
    <row r="1222" spans="1:27" x14ac:dyDescent="0.25">
      <c r="A1222">
        <v>608</v>
      </c>
      <c r="B1222">
        <v>953</v>
      </c>
      <c r="C1222" t="s">
        <v>2179</v>
      </c>
      <c r="D1222" t="s">
        <v>490</v>
      </c>
      <c r="E1222" t="s">
        <v>14</v>
      </c>
      <c r="F1222" t="s">
        <v>2180</v>
      </c>
      <c r="G1222" t="str">
        <f>"00011107"</f>
        <v>00011107</v>
      </c>
      <c r="H1222" t="s">
        <v>535</v>
      </c>
      <c r="I1222">
        <v>0</v>
      </c>
      <c r="J1222">
        <v>0</v>
      </c>
      <c r="K1222">
        <v>0</v>
      </c>
      <c r="L1222">
        <v>200</v>
      </c>
      <c r="M1222">
        <v>0</v>
      </c>
      <c r="N1222">
        <v>70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26</v>
      </c>
      <c r="W1222">
        <v>182</v>
      </c>
      <c r="Z1222">
        <v>0</v>
      </c>
      <c r="AA1222" t="s">
        <v>2181</v>
      </c>
    </row>
    <row r="1223" spans="1:27" x14ac:dyDescent="0.25">
      <c r="H1223" t="s">
        <v>248</v>
      </c>
    </row>
    <row r="1224" spans="1:27" x14ac:dyDescent="0.25">
      <c r="A1224">
        <v>609</v>
      </c>
      <c r="B1224">
        <v>1017</v>
      </c>
      <c r="C1224" t="s">
        <v>2182</v>
      </c>
      <c r="D1224" t="s">
        <v>519</v>
      </c>
      <c r="E1224" t="s">
        <v>235</v>
      </c>
      <c r="F1224" t="s">
        <v>2183</v>
      </c>
      <c r="G1224" t="str">
        <f>"201304006314"</f>
        <v>201304006314</v>
      </c>
      <c r="H1224" t="s">
        <v>531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133</v>
      </c>
      <c r="W1224">
        <v>588</v>
      </c>
      <c r="Z1224">
        <v>1</v>
      </c>
      <c r="AA1224" t="s">
        <v>2184</v>
      </c>
    </row>
    <row r="1225" spans="1:27" x14ac:dyDescent="0.25">
      <c r="H1225">
        <v>213</v>
      </c>
    </row>
    <row r="1226" spans="1:27" x14ac:dyDescent="0.25">
      <c r="A1226">
        <v>610</v>
      </c>
      <c r="B1226">
        <v>127</v>
      </c>
      <c r="C1226" t="s">
        <v>2185</v>
      </c>
      <c r="D1226" t="s">
        <v>2186</v>
      </c>
      <c r="E1226" t="s">
        <v>85</v>
      </c>
      <c r="F1226" t="s">
        <v>2187</v>
      </c>
      <c r="G1226" t="str">
        <f>"201405001422"</f>
        <v>201405001422</v>
      </c>
      <c r="H1226">
        <v>858</v>
      </c>
      <c r="I1226">
        <v>0</v>
      </c>
      <c r="J1226">
        <v>0</v>
      </c>
      <c r="K1226">
        <v>0</v>
      </c>
      <c r="L1226">
        <v>200</v>
      </c>
      <c r="M1226">
        <v>0</v>
      </c>
      <c r="N1226">
        <v>70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22</v>
      </c>
      <c r="W1226">
        <v>154</v>
      </c>
      <c r="Z1226">
        <v>0</v>
      </c>
      <c r="AA1226">
        <v>1282</v>
      </c>
    </row>
    <row r="1227" spans="1:27" x14ac:dyDescent="0.25">
      <c r="H1227" t="s">
        <v>38</v>
      </c>
    </row>
    <row r="1228" spans="1:27" x14ac:dyDescent="0.25">
      <c r="A1228">
        <v>611</v>
      </c>
      <c r="B1228">
        <v>1699</v>
      </c>
      <c r="C1228" t="s">
        <v>2188</v>
      </c>
      <c r="D1228" t="s">
        <v>151</v>
      </c>
      <c r="E1228" t="s">
        <v>2189</v>
      </c>
      <c r="F1228" t="s">
        <v>2190</v>
      </c>
      <c r="G1228" t="str">
        <f>"201304004294"</f>
        <v>201304004294</v>
      </c>
      <c r="H1228" t="s">
        <v>531</v>
      </c>
      <c r="I1228">
        <v>0</v>
      </c>
      <c r="J1228">
        <v>0</v>
      </c>
      <c r="K1228">
        <v>0</v>
      </c>
      <c r="L1228">
        <v>200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51</v>
      </c>
      <c r="W1228">
        <v>357</v>
      </c>
      <c r="Z1228">
        <v>0</v>
      </c>
      <c r="AA1228" t="s">
        <v>2191</v>
      </c>
    </row>
    <row r="1229" spans="1:27" x14ac:dyDescent="0.25">
      <c r="H1229" t="s">
        <v>298</v>
      </c>
    </row>
    <row r="1230" spans="1:27" x14ac:dyDescent="0.25">
      <c r="A1230">
        <v>612</v>
      </c>
      <c r="B1230">
        <v>2699</v>
      </c>
      <c r="C1230" t="s">
        <v>2192</v>
      </c>
      <c r="D1230" t="s">
        <v>219</v>
      </c>
      <c r="E1230" t="s">
        <v>128</v>
      </c>
      <c r="F1230" t="s">
        <v>2193</v>
      </c>
      <c r="G1230" t="str">
        <f>"00013626"</f>
        <v>00013626</v>
      </c>
      <c r="H1230" t="s">
        <v>110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30</v>
      </c>
      <c r="R1230">
        <v>0</v>
      </c>
      <c r="S1230">
        <v>0</v>
      </c>
      <c r="T1230">
        <v>0</v>
      </c>
      <c r="U1230">
        <v>0</v>
      </c>
      <c r="V1230">
        <v>80</v>
      </c>
      <c r="W1230">
        <v>560</v>
      </c>
      <c r="Z1230">
        <v>0</v>
      </c>
      <c r="AA1230" t="s">
        <v>2194</v>
      </c>
    </row>
    <row r="1231" spans="1:27" x14ac:dyDescent="0.25">
      <c r="H1231">
        <v>215</v>
      </c>
    </row>
    <row r="1232" spans="1:27" x14ac:dyDescent="0.25">
      <c r="A1232">
        <v>613</v>
      </c>
      <c r="B1232">
        <v>2725</v>
      </c>
      <c r="C1232" t="s">
        <v>2195</v>
      </c>
      <c r="D1232" t="s">
        <v>235</v>
      </c>
      <c r="E1232" t="s">
        <v>64</v>
      </c>
      <c r="F1232" t="s">
        <v>2196</v>
      </c>
      <c r="G1232" t="str">
        <f>"200802000210"</f>
        <v>200802000210</v>
      </c>
      <c r="H1232" t="s">
        <v>1214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151</v>
      </c>
      <c r="W1232">
        <v>588</v>
      </c>
      <c r="Z1232">
        <v>0</v>
      </c>
      <c r="AA1232" t="s">
        <v>2197</v>
      </c>
    </row>
    <row r="1233" spans="1:27" x14ac:dyDescent="0.25">
      <c r="H1233" t="s">
        <v>25</v>
      </c>
    </row>
    <row r="1234" spans="1:27" x14ac:dyDescent="0.25">
      <c r="A1234">
        <v>614</v>
      </c>
      <c r="B1234">
        <v>631</v>
      </c>
      <c r="C1234" t="s">
        <v>2198</v>
      </c>
      <c r="D1234" t="s">
        <v>505</v>
      </c>
      <c r="E1234" t="s">
        <v>574</v>
      </c>
      <c r="F1234" t="s">
        <v>2199</v>
      </c>
      <c r="G1234" t="str">
        <f>"201402007547"</f>
        <v>201402007547</v>
      </c>
      <c r="H1234" t="s">
        <v>1066</v>
      </c>
      <c r="I1234">
        <v>0</v>
      </c>
      <c r="J1234">
        <v>0</v>
      </c>
      <c r="K1234">
        <v>0</v>
      </c>
      <c r="L1234">
        <v>0</v>
      </c>
      <c r="M1234">
        <v>100</v>
      </c>
      <c r="N1234">
        <v>70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55</v>
      </c>
      <c r="W1234">
        <v>385</v>
      </c>
      <c r="Z1234">
        <v>0</v>
      </c>
      <c r="AA1234" t="s">
        <v>2200</v>
      </c>
    </row>
    <row r="1235" spans="1:27" x14ac:dyDescent="0.25">
      <c r="H1235" t="s">
        <v>106</v>
      </c>
    </row>
    <row r="1236" spans="1:27" x14ac:dyDescent="0.25">
      <c r="A1236">
        <v>615</v>
      </c>
      <c r="B1236">
        <v>707</v>
      </c>
      <c r="C1236" t="s">
        <v>2201</v>
      </c>
      <c r="D1236" t="s">
        <v>304</v>
      </c>
      <c r="E1236" t="s">
        <v>64</v>
      </c>
      <c r="F1236" t="s">
        <v>2202</v>
      </c>
      <c r="G1236" t="str">
        <f>"201502001367"</f>
        <v>201502001367</v>
      </c>
      <c r="H1236" t="s">
        <v>441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37</v>
      </c>
      <c r="W1236">
        <v>259</v>
      </c>
      <c r="Z1236">
        <v>0</v>
      </c>
      <c r="AA1236" t="s">
        <v>2203</v>
      </c>
    </row>
    <row r="1237" spans="1:27" x14ac:dyDescent="0.25">
      <c r="H1237" t="s">
        <v>2204</v>
      </c>
    </row>
    <row r="1238" spans="1:27" x14ac:dyDescent="0.25">
      <c r="A1238">
        <v>616</v>
      </c>
      <c r="B1238">
        <v>401</v>
      </c>
      <c r="C1238" t="s">
        <v>2205</v>
      </c>
      <c r="D1238" t="s">
        <v>362</v>
      </c>
      <c r="E1238" t="s">
        <v>85</v>
      </c>
      <c r="F1238" t="s">
        <v>2206</v>
      </c>
      <c r="G1238" t="str">
        <f>"200810000509"</f>
        <v>200810000509</v>
      </c>
      <c r="H1238" t="s">
        <v>110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164</v>
      </c>
      <c r="W1238">
        <v>588</v>
      </c>
      <c r="Z1238">
        <v>0</v>
      </c>
      <c r="AA1238" t="s">
        <v>2207</v>
      </c>
    </row>
    <row r="1239" spans="1:27" x14ac:dyDescent="0.25">
      <c r="H1239" t="s">
        <v>25</v>
      </c>
    </row>
    <row r="1240" spans="1:27" x14ac:dyDescent="0.25">
      <c r="A1240">
        <v>617</v>
      </c>
      <c r="B1240">
        <v>44</v>
      </c>
      <c r="C1240" t="s">
        <v>2208</v>
      </c>
      <c r="D1240" t="s">
        <v>390</v>
      </c>
      <c r="E1240" t="s">
        <v>15</v>
      </c>
      <c r="F1240" t="s">
        <v>2209</v>
      </c>
      <c r="G1240" t="str">
        <f>"201510000432"</f>
        <v>201510000432</v>
      </c>
      <c r="H1240" t="s">
        <v>1096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116</v>
      </c>
      <c r="W1240">
        <v>588</v>
      </c>
      <c r="Z1240">
        <v>0</v>
      </c>
      <c r="AA1240" t="s">
        <v>2210</v>
      </c>
    </row>
    <row r="1241" spans="1:27" x14ac:dyDescent="0.25">
      <c r="H1241" t="s">
        <v>659</v>
      </c>
    </row>
    <row r="1242" spans="1:27" x14ac:dyDescent="0.25">
      <c r="A1242">
        <v>618</v>
      </c>
      <c r="B1242">
        <v>1039</v>
      </c>
      <c r="C1242" t="s">
        <v>2211</v>
      </c>
      <c r="D1242" t="s">
        <v>353</v>
      </c>
      <c r="E1242" t="s">
        <v>41</v>
      </c>
      <c r="F1242" t="s">
        <v>2212</v>
      </c>
      <c r="G1242" t="str">
        <f>"201512000360"</f>
        <v>201512000360</v>
      </c>
      <c r="H1242" t="s">
        <v>2213</v>
      </c>
      <c r="I1242">
        <v>0</v>
      </c>
      <c r="J1242">
        <v>0</v>
      </c>
      <c r="K1242">
        <v>0</v>
      </c>
      <c r="L1242">
        <v>200</v>
      </c>
      <c r="M1242">
        <v>0</v>
      </c>
      <c r="N1242">
        <v>70</v>
      </c>
      <c r="O1242">
        <v>70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36</v>
      </c>
      <c r="W1242">
        <v>252</v>
      </c>
      <c r="Z1242">
        <v>0</v>
      </c>
      <c r="AA1242" t="s">
        <v>2214</v>
      </c>
    </row>
    <row r="1243" spans="1:27" x14ac:dyDescent="0.25">
      <c r="H1243">
        <v>213</v>
      </c>
    </row>
    <row r="1244" spans="1:27" x14ac:dyDescent="0.25">
      <c r="A1244">
        <v>619</v>
      </c>
      <c r="B1244">
        <v>2643</v>
      </c>
      <c r="C1244" t="s">
        <v>2215</v>
      </c>
      <c r="D1244" t="s">
        <v>2216</v>
      </c>
      <c r="E1244" t="s">
        <v>64</v>
      </c>
      <c r="F1244" t="s">
        <v>2217</v>
      </c>
      <c r="G1244" t="str">
        <f>"00012887"</f>
        <v>00012887</v>
      </c>
      <c r="H1244" t="s">
        <v>2218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30</v>
      </c>
      <c r="R1244">
        <v>0</v>
      </c>
      <c r="S1244">
        <v>0</v>
      </c>
      <c r="T1244">
        <v>0</v>
      </c>
      <c r="U1244">
        <v>0</v>
      </c>
      <c r="V1244">
        <v>46</v>
      </c>
      <c r="W1244">
        <v>322</v>
      </c>
      <c r="Z1244">
        <v>0</v>
      </c>
      <c r="AA1244" t="s">
        <v>2219</v>
      </c>
    </row>
    <row r="1245" spans="1:27" x14ac:dyDescent="0.25">
      <c r="H1245" t="s">
        <v>298</v>
      </c>
    </row>
    <row r="1246" spans="1:27" x14ac:dyDescent="0.25">
      <c r="A1246">
        <v>620</v>
      </c>
      <c r="B1246">
        <v>2729</v>
      </c>
      <c r="C1246" t="s">
        <v>2220</v>
      </c>
      <c r="D1246" t="s">
        <v>519</v>
      </c>
      <c r="E1246" t="s">
        <v>85</v>
      </c>
      <c r="F1246" t="s">
        <v>2221</v>
      </c>
      <c r="G1246" t="str">
        <f>"201410009834"</f>
        <v>201410009834</v>
      </c>
      <c r="H1246" t="s">
        <v>897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70</v>
      </c>
      <c r="O1246">
        <v>30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30</v>
      </c>
      <c r="W1246">
        <v>210</v>
      </c>
      <c r="Z1246">
        <v>0</v>
      </c>
      <c r="AA1246" t="s">
        <v>2222</v>
      </c>
    </row>
    <row r="1247" spans="1:27" x14ac:dyDescent="0.25">
      <c r="H1247" t="s">
        <v>31</v>
      </c>
    </row>
    <row r="1248" spans="1:27" x14ac:dyDescent="0.25">
      <c r="A1248">
        <v>621</v>
      </c>
      <c r="B1248">
        <v>2744</v>
      </c>
      <c r="C1248" t="s">
        <v>2223</v>
      </c>
      <c r="D1248" t="s">
        <v>499</v>
      </c>
      <c r="E1248" t="s">
        <v>320</v>
      </c>
      <c r="F1248" t="s">
        <v>2224</v>
      </c>
      <c r="G1248" t="str">
        <f>"201506003978"</f>
        <v>201506003978</v>
      </c>
      <c r="H1248" t="s">
        <v>2225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Z1248">
        <v>0</v>
      </c>
      <c r="AA1248" t="s">
        <v>2226</v>
      </c>
    </row>
    <row r="1249" spans="1:27" x14ac:dyDescent="0.25">
      <c r="H1249" t="s">
        <v>38</v>
      </c>
    </row>
    <row r="1250" spans="1:27" x14ac:dyDescent="0.25">
      <c r="A1250">
        <v>622</v>
      </c>
      <c r="B1250">
        <v>1147</v>
      </c>
      <c r="C1250" t="s">
        <v>2227</v>
      </c>
      <c r="D1250" t="s">
        <v>51</v>
      </c>
      <c r="E1250" t="s">
        <v>158</v>
      </c>
      <c r="F1250" t="s">
        <v>2228</v>
      </c>
      <c r="G1250" t="str">
        <f>"201410009125"</f>
        <v>201410009125</v>
      </c>
      <c r="H1250" t="s">
        <v>1585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81</v>
      </c>
      <c r="W1250">
        <v>567</v>
      </c>
      <c r="Z1250">
        <v>1</v>
      </c>
      <c r="AA1250" t="s">
        <v>2229</v>
      </c>
    </row>
    <row r="1251" spans="1:27" x14ac:dyDescent="0.25">
      <c r="H1251" t="s">
        <v>904</v>
      </c>
    </row>
    <row r="1252" spans="1:27" x14ac:dyDescent="0.25">
      <c r="A1252">
        <v>623</v>
      </c>
      <c r="B1252">
        <v>936</v>
      </c>
      <c r="C1252" t="s">
        <v>2230</v>
      </c>
      <c r="D1252" t="s">
        <v>2231</v>
      </c>
      <c r="E1252" t="s">
        <v>574</v>
      </c>
      <c r="F1252" t="s">
        <v>2232</v>
      </c>
      <c r="G1252" t="str">
        <f>"201406000197"</f>
        <v>201406000197</v>
      </c>
      <c r="H1252">
        <v>737</v>
      </c>
      <c r="I1252">
        <v>0</v>
      </c>
      <c r="J1252">
        <v>0</v>
      </c>
      <c r="K1252">
        <v>0</v>
      </c>
      <c r="L1252">
        <v>200</v>
      </c>
      <c r="M1252">
        <v>0</v>
      </c>
      <c r="N1252">
        <v>70</v>
      </c>
      <c r="O1252">
        <v>0</v>
      </c>
      <c r="P1252">
        <v>50</v>
      </c>
      <c r="Q1252">
        <v>50</v>
      </c>
      <c r="R1252">
        <v>0</v>
      </c>
      <c r="S1252">
        <v>50</v>
      </c>
      <c r="T1252">
        <v>0</v>
      </c>
      <c r="U1252">
        <v>0</v>
      </c>
      <c r="V1252">
        <v>16</v>
      </c>
      <c r="W1252">
        <v>112</v>
      </c>
      <c r="Z1252">
        <v>0</v>
      </c>
      <c r="AA1252">
        <v>1269</v>
      </c>
    </row>
    <row r="1253" spans="1:27" x14ac:dyDescent="0.25">
      <c r="H1253" t="s">
        <v>248</v>
      </c>
    </row>
    <row r="1254" spans="1:27" x14ac:dyDescent="0.25">
      <c r="A1254">
        <v>624</v>
      </c>
      <c r="B1254">
        <v>853</v>
      </c>
      <c r="C1254" t="s">
        <v>2233</v>
      </c>
      <c r="D1254" t="s">
        <v>257</v>
      </c>
      <c r="E1254" t="s">
        <v>583</v>
      </c>
      <c r="F1254" t="s">
        <v>2234</v>
      </c>
      <c r="G1254" t="str">
        <f>"00013287"</f>
        <v>00013287</v>
      </c>
      <c r="H1254" t="s">
        <v>311</v>
      </c>
      <c r="I1254">
        <v>0</v>
      </c>
      <c r="J1254">
        <v>0</v>
      </c>
      <c r="K1254">
        <v>0</v>
      </c>
      <c r="L1254">
        <v>200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19</v>
      </c>
      <c r="W1254">
        <v>133</v>
      </c>
      <c r="Z1254">
        <v>0</v>
      </c>
      <c r="AA1254" t="s">
        <v>2235</v>
      </c>
    </row>
    <row r="1255" spans="1:27" x14ac:dyDescent="0.25">
      <c r="H1255" t="s">
        <v>2236</v>
      </c>
    </row>
    <row r="1256" spans="1:27" x14ac:dyDescent="0.25">
      <c r="A1256">
        <v>625</v>
      </c>
      <c r="B1256">
        <v>807</v>
      </c>
      <c r="C1256" t="s">
        <v>2237</v>
      </c>
      <c r="D1256" t="s">
        <v>58</v>
      </c>
      <c r="E1256" t="s">
        <v>41</v>
      </c>
      <c r="F1256" t="s">
        <v>2238</v>
      </c>
      <c r="G1256" t="str">
        <f>"00014098"</f>
        <v>00014098</v>
      </c>
      <c r="H1256" t="s">
        <v>2239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57</v>
      </c>
      <c r="W1256">
        <v>399</v>
      </c>
      <c r="Z1256">
        <v>0</v>
      </c>
      <c r="AA1256" t="s">
        <v>2240</v>
      </c>
    </row>
    <row r="1257" spans="1:27" x14ac:dyDescent="0.25">
      <c r="H1257" t="s">
        <v>298</v>
      </c>
    </row>
    <row r="1258" spans="1:27" x14ac:dyDescent="0.25">
      <c r="A1258">
        <v>626</v>
      </c>
      <c r="B1258">
        <v>597</v>
      </c>
      <c r="C1258" t="s">
        <v>2241</v>
      </c>
      <c r="D1258" t="s">
        <v>2242</v>
      </c>
      <c r="E1258" t="s">
        <v>404</v>
      </c>
      <c r="F1258" t="s">
        <v>2243</v>
      </c>
      <c r="G1258" t="str">
        <f>"201304003083"</f>
        <v>201304003083</v>
      </c>
      <c r="H1258">
        <v>715</v>
      </c>
      <c r="I1258">
        <v>0</v>
      </c>
      <c r="J1258">
        <v>0</v>
      </c>
      <c r="K1258">
        <v>0</v>
      </c>
      <c r="L1258">
        <v>200</v>
      </c>
      <c r="M1258">
        <v>0</v>
      </c>
      <c r="N1258">
        <v>50</v>
      </c>
      <c r="O1258">
        <v>70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33</v>
      </c>
      <c r="W1258">
        <v>231</v>
      </c>
      <c r="Z1258">
        <v>0</v>
      </c>
      <c r="AA1258">
        <v>1266</v>
      </c>
    </row>
    <row r="1259" spans="1:27" x14ac:dyDescent="0.25">
      <c r="H1259" t="s">
        <v>357</v>
      </c>
    </row>
    <row r="1260" spans="1:27" x14ac:dyDescent="0.25">
      <c r="A1260">
        <v>627</v>
      </c>
      <c r="B1260">
        <v>1235</v>
      </c>
      <c r="C1260" t="s">
        <v>2244</v>
      </c>
      <c r="D1260" t="s">
        <v>2245</v>
      </c>
      <c r="E1260" t="s">
        <v>41</v>
      </c>
      <c r="F1260" t="s">
        <v>2246</v>
      </c>
      <c r="G1260" t="str">
        <f>"201506000743"</f>
        <v>201506000743</v>
      </c>
      <c r="H1260" t="s">
        <v>739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70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31</v>
      </c>
      <c r="W1260">
        <v>217</v>
      </c>
      <c r="Z1260">
        <v>2</v>
      </c>
      <c r="AA1260" t="s">
        <v>2247</v>
      </c>
    </row>
    <row r="1261" spans="1:27" x14ac:dyDescent="0.25">
      <c r="H1261" t="s">
        <v>19</v>
      </c>
    </row>
    <row r="1262" spans="1:27" x14ac:dyDescent="0.25">
      <c r="A1262">
        <v>628</v>
      </c>
      <c r="B1262">
        <v>198</v>
      </c>
      <c r="C1262" t="s">
        <v>2248</v>
      </c>
      <c r="D1262" t="s">
        <v>891</v>
      </c>
      <c r="E1262" t="s">
        <v>41</v>
      </c>
      <c r="F1262" t="s">
        <v>2249</v>
      </c>
      <c r="G1262" t="str">
        <f>"201103000129"</f>
        <v>201103000129</v>
      </c>
      <c r="H1262" t="s">
        <v>1816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105</v>
      </c>
      <c r="W1262">
        <v>588</v>
      </c>
      <c r="Z1262">
        <v>1</v>
      </c>
      <c r="AA1262" t="s">
        <v>2250</v>
      </c>
    </row>
    <row r="1263" spans="1:27" x14ac:dyDescent="0.25">
      <c r="H1263" t="s">
        <v>78</v>
      </c>
    </row>
    <row r="1264" spans="1:27" x14ac:dyDescent="0.25">
      <c r="A1264">
        <v>629</v>
      </c>
      <c r="B1264">
        <v>1077</v>
      </c>
      <c r="C1264" t="s">
        <v>2251</v>
      </c>
      <c r="D1264" t="s">
        <v>2252</v>
      </c>
      <c r="E1264" t="s">
        <v>158</v>
      </c>
      <c r="F1264" t="s">
        <v>2253</v>
      </c>
      <c r="G1264" t="str">
        <f>"201303000599"</f>
        <v>201303000599</v>
      </c>
      <c r="H1264">
        <v>781</v>
      </c>
      <c r="I1264">
        <v>0</v>
      </c>
      <c r="J1264">
        <v>0</v>
      </c>
      <c r="K1264">
        <v>0</v>
      </c>
      <c r="L1264">
        <v>200</v>
      </c>
      <c r="M1264">
        <v>0</v>
      </c>
      <c r="N1264">
        <v>70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30</v>
      </c>
      <c r="W1264">
        <v>210</v>
      </c>
      <c r="Z1264">
        <v>0</v>
      </c>
      <c r="AA1264">
        <v>1261</v>
      </c>
    </row>
    <row r="1265" spans="1:27" x14ac:dyDescent="0.25">
      <c r="H1265" t="s">
        <v>280</v>
      </c>
    </row>
    <row r="1266" spans="1:27" x14ac:dyDescent="0.25">
      <c r="A1266">
        <v>630</v>
      </c>
      <c r="B1266">
        <v>266</v>
      </c>
      <c r="C1266" t="s">
        <v>2254</v>
      </c>
      <c r="D1266" t="s">
        <v>647</v>
      </c>
      <c r="E1266" t="s">
        <v>387</v>
      </c>
      <c r="F1266" t="s">
        <v>2255</v>
      </c>
      <c r="G1266" t="str">
        <f>"201511015744"</f>
        <v>201511015744</v>
      </c>
      <c r="H1266" t="s">
        <v>1096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82</v>
      </c>
      <c r="W1266">
        <v>574</v>
      </c>
      <c r="Z1266">
        <v>1</v>
      </c>
      <c r="AA1266" t="s">
        <v>2256</v>
      </c>
    </row>
    <row r="1267" spans="1:27" x14ac:dyDescent="0.25">
      <c r="H1267" t="s">
        <v>78</v>
      </c>
    </row>
    <row r="1268" spans="1:27" x14ac:dyDescent="0.25">
      <c r="A1268">
        <v>631</v>
      </c>
      <c r="B1268">
        <v>3265</v>
      </c>
      <c r="C1268" t="s">
        <v>2257</v>
      </c>
      <c r="D1268" t="s">
        <v>194</v>
      </c>
      <c r="E1268" t="s">
        <v>404</v>
      </c>
      <c r="F1268" t="s">
        <v>2258</v>
      </c>
      <c r="G1268" t="str">
        <f>"201405001918"</f>
        <v>201405001918</v>
      </c>
      <c r="H1268" t="s">
        <v>1436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84</v>
      </c>
      <c r="W1268">
        <v>588</v>
      </c>
      <c r="Z1268">
        <v>0</v>
      </c>
      <c r="AA1268" t="s">
        <v>2256</v>
      </c>
    </row>
    <row r="1269" spans="1:27" x14ac:dyDescent="0.25">
      <c r="H1269" t="s">
        <v>298</v>
      </c>
    </row>
    <row r="1270" spans="1:27" x14ac:dyDescent="0.25">
      <c r="A1270">
        <v>632</v>
      </c>
      <c r="B1270">
        <v>3029</v>
      </c>
      <c r="C1270" t="s">
        <v>1985</v>
      </c>
      <c r="D1270" t="s">
        <v>151</v>
      </c>
      <c r="E1270" t="s">
        <v>14</v>
      </c>
      <c r="F1270" t="s">
        <v>2259</v>
      </c>
      <c r="G1270" t="str">
        <f>"201406009926"</f>
        <v>201406009926</v>
      </c>
      <c r="H1270">
        <v>726</v>
      </c>
      <c r="I1270">
        <v>0</v>
      </c>
      <c r="J1270">
        <v>0</v>
      </c>
      <c r="K1270">
        <v>0</v>
      </c>
      <c r="L1270">
        <v>200</v>
      </c>
      <c r="M1270">
        <v>0</v>
      </c>
      <c r="N1270">
        <v>30</v>
      </c>
      <c r="O1270">
        <v>0</v>
      </c>
      <c r="P1270">
        <v>30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39</v>
      </c>
      <c r="W1270">
        <v>273</v>
      </c>
      <c r="Z1270">
        <v>0</v>
      </c>
      <c r="AA1270">
        <v>1259</v>
      </c>
    </row>
    <row r="1271" spans="1:27" x14ac:dyDescent="0.25">
      <c r="H1271" t="s">
        <v>223</v>
      </c>
    </row>
    <row r="1272" spans="1:27" x14ac:dyDescent="0.25">
      <c r="A1272">
        <v>633</v>
      </c>
      <c r="B1272">
        <v>3269</v>
      </c>
      <c r="C1272" t="s">
        <v>2260</v>
      </c>
      <c r="D1272" t="s">
        <v>2261</v>
      </c>
      <c r="E1272" t="s">
        <v>235</v>
      </c>
      <c r="F1272" t="s">
        <v>2262</v>
      </c>
      <c r="G1272" t="str">
        <f>"201409004717"</f>
        <v>201409004717</v>
      </c>
      <c r="H1272" t="s">
        <v>2263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Z1272">
        <v>0</v>
      </c>
      <c r="AA1272" t="s">
        <v>2264</v>
      </c>
    </row>
    <row r="1273" spans="1:27" x14ac:dyDescent="0.25">
      <c r="H1273" t="s">
        <v>729</v>
      </c>
    </row>
    <row r="1274" spans="1:27" x14ac:dyDescent="0.25">
      <c r="A1274">
        <v>634</v>
      </c>
      <c r="B1274">
        <v>452</v>
      </c>
      <c r="C1274" t="s">
        <v>2265</v>
      </c>
      <c r="D1274" t="s">
        <v>64</v>
      </c>
      <c r="E1274" t="s">
        <v>225</v>
      </c>
      <c r="F1274" t="s">
        <v>2266</v>
      </c>
      <c r="G1274" t="str">
        <f>"201303001029"</f>
        <v>201303001029</v>
      </c>
      <c r="H1274" t="s">
        <v>643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19</v>
      </c>
      <c r="W1274">
        <v>133</v>
      </c>
      <c r="Z1274">
        <v>0</v>
      </c>
      <c r="AA1274" t="s">
        <v>2267</v>
      </c>
    </row>
    <row r="1275" spans="1:27" x14ac:dyDescent="0.25">
      <c r="H1275" t="s">
        <v>357</v>
      </c>
    </row>
    <row r="1276" spans="1:27" x14ac:dyDescent="0.25">
      <c r="A1276">
        <v>635</v>
      </c>
      <c r="B1276">
        <v>3273</v>
      </c>
      <c r="C1276" t="s">
        <v>2268</v>
      </c>
      <c r="D1276" t="s">
        <v>796</v>
      </c>
      <c r="E1276" t="s">
        <v>64</v>
      </c>
      <c r="F1276" t="s">
        <v>2269</v>
      </c>
      <c r="G1276" t="str">
        <f>"201601000635"</f>
        <v>201601000635</v>
      </c>
      <c r="H1276" t="s">
        <v>1890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Z1276">
        <v>0</v>
      </c>
      <c r="AA1276" t="s">
        <v>2270</v>
      </c>
    </row>
    <row r="1277" spans="1:27" x14ac:dyDescent="0.25">
      <c r="H1277" t="s">
        <v>659</v>
      </c>
    </row>
    <row r="1278" spans="1:27" x14ac:dyDescent="0.25">
      <c r="A1278">
        <v>636</v>
      </c>
      <c r="B1278">
        <v>505</v>
      </c>
      <c r="C1278" t="s">
        <v>2271</v>
      </c>
      <c r="D1278" t="s">
        <v>1353</v>
      </c>
      <c r="E1278" t="s">
        <v>123</v>
      </c>
      <c r="F1278" t="s">
        <v>2272</v>
      </c>
      <c r="G1278" t="str">
        <f>"201402009912"</f>
        <v>201402009912</v>
      </c>
      <c r="H1278" t="s">
        <v>191</v>
      </c>
      <c r="I1278">
        <v>0</v>
      </c>
      <c r="J1278">
        <v>0</v>
      </c>
      <c r="K1278">
        <v>200</v>
      </c>
      <c r="L1278">
        <v>200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Z1278">
        <v>0</v>
      </c>
      <c r="AA1278" t="s">
        <v>2273</v>
      </c>
    </row>
    <row r="1279" spans="1:27" x14ac:dyDescent="0.25">
      <c r="H1279">
        <v>215</v>
      </c>
    </row>
    <row r="1280" spans="1:27" x14ac:dyDescent="0.25">
      <c r="A1280">
        <v>637</v>
      </c>
      <c r="B1280">
        <v>1179</v>
      </c>
      <c r="C1280" t="s">
        <v>2274</v>
      </c>
      <c r="D1280" t="s">
        <v>151</v>
      </c>
      <c r="E1280" t="s">
        <v>753</v>
      </c>
      <c r="F1280" t="s">
        <v>2275</v>
      </c>
      <c r="G1280" t="str">
        <f>"201402011396"</f>
        <v>201402011396</v>
      </c>
      <c r="H1280" t="s">
        <v>1386</v>
      </c>
      <c r="I1280">
        <v>0</v>
      </c>
      <c r="J1280">
        <v>0</v>
      </c>
      <c r="K1280">
        <v>0</v>
      </c>
      <c r="L1280">
        <v>200</v>
      </c>
      <c r="M1280">
        <v>0</v>
      </c>
      <c r="N1280">
        <v>70</v>
      </c>
      <c r="O1280">
        <v>70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11</v>
      </c>
      <c r="W1280">
        <v>77</v>
      </c>
      <c r="Z1280">
        <v>0</v>
      </c>
      <c r="AA1280" t="s">
        <v>2276</v>
      </c>
    </row>
    <row r="1281" spans="1:27" x14ac:dyDescent="0.25">
      <c r="H1281" t="s">
        <v>31</v>
      </c>
    </row>
    <row r="1282" spans="1:27" x14ac:dyDescent="0.25">
      <c r="A1282">
        <v>638</v>
      </c>
      <c r="B1282">
        <v>1114</v>
      </c>
      <c r="C1282" t="s">
        <v>2277</v>
      </c>
      <c r="D1282" t="s">
        <v>1203</v>
      </c>
      <c r="E1282" t="s">
        <v>108</v>
      </c>
      <c r="F1282" t="s">
        <v>2278</v>
      </c>
      <c r="G1282" t="str">
        <f>"201304001690"</f>
        <v>201304001690</v>
      </c>
      <c r="H1282">
        <v>759</v>
      </c>
      <c r="I1282">
        <v>0</v>
      </c>
      <c r="J1282">
        <v>0</v>
      </c>
      <c r="K1282">
        <v>0</v>
      </c>
      <c r="L1282">
        <v>260</v>
      </c>
      <c r="M1282">
        <v>0</v>
      </c>
      <c r="N1282">
        <v>70</v>
      </c>
      <c r="O1282">
        <v>70</v>
      </c>
      <c r="P1282">
        <v>0</v>
      </c>
      <c r="Q1282">
        <v>0</v>
      </c>
      <c r="R1282">
        <v>50</v>
      </c>
      <c r="S1282">
        <v>0</v>
      </c>
      <c r="T1282">
        <v>0</v>
      </c>
      <c r="U1282">
        <v>0</v>
      </c>
      <c r="V1282">
        <v>6</v>
      </c>
      <c r="W1282">
        <v>42</v>
      </c>
      <c r="Z1282">
        <v>0</v>
      </c>
      <c r="AA1282">
        <v>1251</v>
      </c>
    </row>
    <row r="1283" spans="1:27" x14ac:dyDescent="0.25">
      <c r="H1283" t="s">
        <v>19</v>
      </c>
    </row>
    <row r="1284" spans="1:27" x14ac:dyDescent="0.25">
      <c r="A1284">
        <v>639</v>
      </c>
      <c r="B1284">
        <v>978</v>
      </c>
      <c r="C1284" t="s">
        <v>2279</v>
      </c>
      <c r="D1284" t="s">
        <v>2280</v>
      </c>
      <c r="E1284" t="s">
        <v>64</v>
      </c>
      <c r="F1284" t="s">
        <v>2281</v>
      </c>
      <c r="G1284" t="str">
        <f>"201402011958"</f>
        <v>201402011958</v>
      </c>
      <c r="H1284" t="s">
        <v>1402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175</v>
      </c>
      <c r="W1284">
        <v>588</v>
      </c>
      <c r="Z1284">
        <v>0</v>
      </c>
      <c r="AA1284" t="s">
        <v>2282</v>
      </c>
    </row>
    <row r="1285" spans="1:27" x14ac:dyDescent="0.25">
      <c r="H1285" t="s">
        <v>25</v>
      </c>
    </row>
    <row r="1286" spans="1:27" x14ac:dyDescent="0.25">
      <c r="A1286">
        <v>640</v>
      </c>
      <c r="B1286">
        <v>2949</v>
      </c>
      <c r="C1286" t="s">
        <v>2283</v>
      </c>
      <c r="D1286" t="s">
        <v>2284</v>
      </c>
      <c r="E1286" t="s">
        <v>188</v>
      </c>
      <c r="F1286" t="s">
        <v>2285</v>
      </c>
      <c r="G1286" t="str">
        <f>"201411001731"</f>
        <v>201411001731</v>
      </c>
      <c r="H1286" t="s">
        <v>1123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71</v>
      </c>
      <c r="W1286">
        <v>497</v>
      </c>
      <c r="Z1286">
        <v>0</v>
      </c>
      <c r="AA1286" t="s">
        <v>2286</v>
      </c>
    </row>
    <row r="1287" spans="1:27" x14ac:dyDescent="0.25">
      <c r="H1287">
        <v>215</v>
      </c>
    </row>
    <row r="1288" spans="1:27" x14ac:dyDescent="0.25">
      <c r="A1288">
        <v>641</v>
      </c>
      <c r="B1288">
        <v>1216</v>
      </c>
      <c r="C1288" t="s">
        <v>2287</v>
      </c>
      <c r="D1288" t="s">
        <v>158</v>
      </c>
      <c r="E1288" t="s">
        <v>108</v>
      </c>
      <c r="F1288" t="s">
        <v>2288</v>
      </c>
      <c r="G1288" t="str">
        <f>"201406013101"</f>
        <v>201406013101</v>
      </c>
      <c r="H1288" t="s">
        <v>915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71</v>
      </c>
      <c r="W1288">
        <v>497</v>
      </c>
      <c r="Z1288">
        <v>0</v>
      </c>
      <c r="AA1288" t="s">
        <v>2289</v>
      </c>
    </row>
    <row r="1289" spans="1:27" x14ac:dyDescent="0.25">
      <c r="H1289" t="s">
        <v>78</v>
      </c>
    </row>
    <row r="1290" spans="1:27" x14ac:dyDescent="0.25">
      <c r="A1290">
        <v>642</v>
      </c>
      <c r="B1290">
        <v>2749</v>
      </c>
      <c r="C1290" t="s">
        <v>2290</v>
      </c>
      <c r="D1290" t="s">
        <v>85</v>
      </c>
      <c r="E1290" t="s">
        <v>2291</v>
      </c>
      <c r="F1290" t="s">
        <v>2292</v>
      </c>
      <c r="G1290" t="str">
        <f>"201412005354"</f>
        <v>201412005354</v>
      </c>
      <c r="H1290" t="s">
        <v>946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68</v>
      </c>
      <c r="W1290">
        <v>476</v>
      </c>
      <c r="Z1290">
        <v>0</v>
      </c>
      <c r="AA1290" t="s">
        <v>2293</v>
      </c>
    </row>
    <row r="1291" spans="1:27" x14ac:dyDescent="0.25">
      <c r="H1291">
        <v>215</v>
      </c>
    </row>
    <row r="1292" spans="1:27" x14ac:dyDescent="0.25">
      <c r="A1292">
        <v>643</v>
      </c>
      <c r="B1292">
        <v>2536</v>
      </c>
      <c r="C1292" t="s">
        <v>2294</v>
      </c>
      <c r="D1292" t="s">
        <v>647</v>
      </c>
      <c r="E1292" t="s">
        <v>225</v>
      </c>
      <c r="F1292" t="s">
        <v>2295</v>
      </c>
      <c r="G1292" t="str">
        <f>"201406013646"</f>
        <v>201406013646</v>
      </c>
      <c r="H1292" t="s">
        <v>649</v>
      </c>
      <c r="I1292">
        <v>0</v>
      </c>
      <c r="J1292">
        <v>0</v>
      </c>
      <c r="K1292">
        <v>0</v>
      </c>
      <c r="L1292">
        <v>200</v>
      </c>
      <c r="M1292">
        <v>0</v>
      </c>
      <c r="N1292">
        <v>70</v>
      </c>
      <c r="O1292">
        <v>0</v>
      </c>
      <c r="P1292">
        <v>50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18</v>
      </c>
      <c r="W1292">
        <v>126</v>
      </c>
      <c r="Z1292">
        <v>0</v>
      </c>
      <c r="AA1292" t="s">
        <v>2296</v>
      </c>
    </row>
    <row r="1293" spans="1:27" x14ac:dyDescent="0.25">
      <c r="H1293" t="s">
        <v>49</v>
      </c>
    </row>
    <row r="1294" spans="1:27" x14ac:dyDescent="0.25">
      <c r="A1294">
        <v>644</v>
      </c>
      <c r="B1294">
        <v>1056</v>
      </c>
      <c r="C1294" t="s">
        <v>2297</v>
      </c>
      <c r="D1294" t="s">
        <v>1575</v>
      </c>
      <c r="E1294" t="s">
        <v>14</v>
      </c>
      <c r="F1294" t="s">
        <v>2298</v>
      </c>
      <c r="G1294" t="str">
        <f>"201409001620"</f>
        <v>201409001620</v>
      </c>
      <c r="H1294" t="s">
        <v>2299</v>
      </c>
      <c r="I1294">
        <v>0</v>
      </c>
      <c r="J1294">
        <v>0</v>
      </c>
      <c r="K1294">
        <v>0</v>
      </c>
      <c r="L1294">
        <v>260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30</v>
      </c>
      <c r="S1294">
        <v>0</v>
      </c>
      <c r="T1294">
        <v>0</v>
      </c>
      <c r="U1294">
        <v>0</v>
      </c>
      <c r="V1294">
        <v>0</v>
      </c>
      <c r="W1294">
        <v>0</v>
      </c>
      <c r="Z1294">
        <v>0</v>
      </c>
      <c r="AA1294" t="s">
        <v>2300</v>
      </c>
    </row>
    <row r="1295" spans="1:27" x14ac:dyDescent="0.25">
      <c r="H1295">
        <v>213</v>
      </c>
    </row>
    <row r="1296" spans="1:27" x14ac:dyDescent="0.25">
      <c r="A1296">
        <v>645</v>
      </c>
      <c r="B1296">
        <v>2829</v>
      </c>
      <c r="C1296" t="s">
        <v>2301</v>
      </c>
      <c r="D1296" t="s">
        <v>41</v>
      </c>
      <c r="E1296" t="s">
        <v>85</v>
      </c>
      <c r="F1296" t="s">
        <v>2302</v>
      </c>
      <c r="G1296" t="str">
        <f>"201304000087"</f>
        <v>201304000087</v>
      </c>
      <c r="H1296" t="s">
        <v>110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215</v>
      </c>
      <c r="W1296">
        <v>588</v>
      </c>
      <c r="Z1296">
        <v>0</v>
      </c>
      <c r="AA1296" t="s">
        <v>2303</v>
      </c>
    </row>
    <row r="1297" spans="1:27" x14ac:dyDescent="0.25">
      <c r="H1297" t="s">
        <v>298</v>
      </c>
    </row>
    <row r="1298" spans="1:27" x14ac:dyDescent="0.25">
      <c r="A1298">
        <v>646</v>
      </c>
      <c r="B1298">
        <v>1677</v>
      </c>
      <c r="C1298" t="s">
        <v>2304</v>
      </c>
      <c r="D1298" t="s">
        <v>158</v>
      </c>
      <c r="E1298" t="s">
        <v>2305</v>
      </c>
      <c r="F1298" t="s">
        <v>2306</v>
      </c>
      <c r="G1298" t="str">
        <f>"201410003682"</f>
        <v>201410003682</v>
      </c>
      <c r="H1298">
        <v>825</v>
      </c>
      <c r="I1298">
        <v>150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34</v>
      </c>
      <c r="W1298">
        <v>238</v>
      </c>
      <c r="Z1298">
        <v>0</v>
      </c>
      <c r="AA1298">
        <v>1243</v>
      </c>
    </row>
    <row r="1299" spans="1:27" x14ac:dyDescent="0.25">
      <c r="H1299" t="s">
        <v>25</v>
      </c>
    </row>
    <row r="1300" spans="1:27" x14ac:dyDescent="0.25">
      <c r="A1300">
        <v>647</v>
      </c>
      <c r="B1300">
        <v>1060</v>
      </c>
      <c r="C1300" t="s">
        <v>2307</v>
      </c>
      <c r="D1300" t="s">
        <v>33</v>
      </c>
      <c r="E1300" t="s">
        <v>235</v>
      </c>
      <c r="F1300" t="s">
        <v>2308</v>
      </c>
      <c r="G1300" t="str">
        <f>"201410011673"</f>
        <v>201410011673</v>
      </c>
      <c r="H1300" t="s">
        <v>516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50</v>
      </c>
      <c r="O1300">
        <v>30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48</v>
      </c>
      <c r="W1300">
        <v>336</v>
      </c>
      <c r="Z1300">
        <v>0</v>
      </c>
      <c r="AA1300" t="s">
        <v>2309</v>
      </c>
    </row>
    <row r="1301" spans="1:27" x14ac:dyDescent="0.25">
      <c r="H1301">
        <v>215</v>
      </c>
    </row>
    <row r="1302" spans="1:27" x14ac:dyDescent="0.25">
      <c r="A1302">
        <v>648</v>
      </c>
      <c r="B1302">
        <v>2868</v>
      </c>
      <c r="C1302" t="s">
        <v>2310</v>
      </c>
      <c r="D1302" t="s">
        <v>2311</v>
      </c>
      <c r="E1302" t="s">
        <v>284</v>
      </c>
      <c r="F1302" t="s">
        <v>2312</v>
      </c>
      <c r="G1302" t="str">
        <f>"200801006055"</f>
        <v>200801006055</v>
      </c>
      <c r="H1302" t="s">
        <v>2313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171</v>
      </c>
      <c r="W1302">
        <v>588</v>
      </c>
      <c r="Z1302">
        <v>0</v>
      </c>
      <c r="AA1302" t="s">
        <v>2314</v>
      </c>
    </row>
    <row r="1303" spans="1:27" x14ac:dyDescent="0.25">
      <c r="H1303">
        <v>213</v>
      </c>
    </row>
    <row r="1304" spans="1:27" x14ac:dyDescent="0.25">
      <c r="A1304">
        <v>649</v>
      </c>
      <c r="B1304">
        <v>1943</v>
      </c>
      <c r="C1304" t="s">
        <v>1310</v>
      </c>
      <c r="D1304" t="s">
        <v>276</v>
      </c>
      <c r="E1304" t="s">
        <v>533</v>
      </c>
      <c r="F1304" t="s">
        <v>2315</v>
      </c>
      <c r="G1304" t="str">
        <f>"00014527"</f>
        <v>00014527</v>
      </c>
      <c r="H1304" t="s">
        <v>2313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84</v>
      </c>
      <c r="W1304">
        <v>588</v>
      </c>
      <c r="Z1304">
        <v>0</v>
      </c>
      <c r="AA1304" t="s">
        <v>2314</v>
      </c>
    </row>
    <row r="1305" spans="1:27" x14ac:dyDescent="0.25">
      <c r="H1305">
        <v>215</v>
      </c>
    </row>
    <row r="1306" spans="1:27" x14ac:dyDescent="0.25">
      <c r="A1306">
        <v>650</v>
      </c>
      <c r="B1306">
        <v>1151</v>
      </c>
      <c r="C1306" t="s">
        <v>2316</v>
      </c>
      <c r="D1306" t="s">
        <v>2317</v>
      </c>
      <c r="E1306" t="s">
        <v>188</v>
      </c>
      <c r="F1306" t="s">
        <v>2318</v>
      </c>
      <c r="G1306" t="str">
        <f>"00004407"</f>
        <v>00004407</v>
      </c>
      <c r="H1306">
        <v>770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70</v>
      </c>
      <c r="O1306">
        <v>0</v>
      </c>
      <c r="P1306">
        <v>0</v>
      </c>
      <c r="Q1306">
        <v>50</v>
      </c>
      <c r="R1306">
        <v>0</v>
      </c>
      <c r="S1306">
        <v>0</v>
      </c>
      <c r="T1306">
        <v>0</v>
      </c>
      <c r="U1306">
        <v>0</v>
      </c>
      <c r="V1306">
        <v>50</v>
      </c>
      <c r="W1306">
        <v>350</v>
      </c>
      <c r="Z1306">
        <v>0</v>
      </c>
      <c r="AA1306">
        <v>1240</v>
      </c>
    </row>
    <row r="1307" spans="1:27" x14ac:dyDescent="0.25">
      <c r="H1307">
        <v>215</v>
      </c>
    </row>
    <row r="1308" spans="1:27" x14ac:dyDescent="0.25">
      <c r="A1308">
        <v>651</v>
      </c>
      <c r="B1308">
        <v>2619</v>
      </c>
      <c r="C1308" t="s">
        <v>2319</v>
      </c>
      <c r="D1308" t="s">
        <v>2320</v>
      </c>
      <c r="E1308" t="s">
        <v>753</v>
      </c>
      <c r="F1308" t="s">
        <v>2321</v>
      </c>
      <c r="G1308" t="str">
        <f>"201511014285"</f>
        <v>201511014285</v>
      </c>
      <c r="H1308" t="s">
        <v>29</v>
      </c>
      <c r="I1308">
        <v>0</v>
      </c>
      <c r="J1308">
        <v>0</v>
      </c>
      <c r="K1308">
        <v>0</v>
      </c>
      <c r="L1308">
        <v>200</v>
      </c>
      <c r="M1308">
        <v>0</v>
      </c>
      <c r="N1308">
        <v>70</v>
      </c>
      <c r="O1308">
        <v>30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Z1308">
        <v>0</v>
      </c>
      <c r="AA1308" t="s">
        <v>2322</v>
      </c>
    </row>
    <row r="1309" spans="1:27" x14ac:dyDescent="0.25">
      <c r="H1309" t="s">
        <v>31</v>
      </c>
    </row>
    <row r="1310" spans="1:27" x14ac:dyDescent="0.25">
      <c r="A1310">
        <v>652</v>
      </c>
      <c r="B1310">
        <v>2220</v>
      </c>
      <c r="C1310" t="s">
        <v>2323</v>
      </c>
      <c r="D1310" t="s">
        <v>2324</v>
      </c>
      <c r="E1310" t="s">
        <v>2325</v>
      </c>
      <c r="F1310" t="s">
        <v>2326</v>
      </c>
      <c r="G1310" t="str">
        <f>"201304003610"</f>
        <v>201304003610</v>
      </c>
      <c r="H1310" t="s">
        <v>2327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135</v>
      </c>
      <c r="W1310">
        <v>588</v>
      </c>
      <c r="Z1310">
        <v>0</v>
      </c>
      <c r="AA1310" t="s">
        <v>2328</v>
      </c>
    </row>
    <row r="1311" spans="1:27" x14ac:dyDescent="0.25">
      <c r="H1311">
        <v>215</v>
      </c>
    </row>
    <row r="1312" spans="1:27" x14ac:dyDescent="0.25">
      <c r="A1312">
        <v>653</v>
      </c>
      <c r="B1312">
        <v>771</v>
      </c>
      <c r="C1312" t="s">
        <v>339</v>
      </c>
      <c r="D1312" t="s">
        <v>2329</v>
      </c>
      <c r="E1312" t="s">
        <v>158</v>
      </c>
      <c r="F1312" t="s">
        <v>2330</v>
      </c>
      <c r="G1312" t="str">
        <f>"201304001350"</f>
        <v>201304001350</v>
      </c>
      <c r="H1312" t="s">
        <v>2126</v>
      </c>
      <c r="I1312">
        <v>0</v>
      </c>
      <c r="J1312">
        <v>0</v>
      </c>
      <c r="K1312">
        <v>0</v>
      </c>
      <c r="L1312">
        <v>200</v>
      </c>
      <c r="M1312">
        <v>0</v>
      </c>
      <c r="N1312">
        <v>70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28</v>
      </c>
      <c r="W1312">
        <v>196</v>
      </c>
      <c r="Z1312">
        <v>1</v>
      </c>
      <c r="AA1312" t="s">
        <v>2331</v>
      </c>
    </row>
    <row r="1313" spans="1:27" x14ac:dyDescent="0.25">
      <c r="H1313" t="s">
        <v>293</v>
      </c>
    </row>
    <row r="1314" spans="1:27" x14ac:dyDescent="0.25">
      <c r="A1314">
        <v>654</v>
      </c>
      <c r="B1314">
        <v>786</v>
      </c>
      <c r="C1314" t="s">
        <v>2332</v>
      </c>
      <c r="D1314" t="s">
        <v>168</v>
      </c>
      <c r="E1314" t="s">
        <v>64</v>
      </c>
      <c r="F1314" t="s">
        <v>2333</v>
      </c>
      <c r="G1314" t="str">
        <f>"201303000337"</f>
        <v>201303000337</v>
      </c>
      <c r="H1314" t="s">
        <v>42</v>
      </c>
      <c r="I1314">
        <v>0</v>
      </c>
      <c r="J1314">
        <v>0</v>
      </c>
      <c r="K1314">
        <v>0</v>
      </c>
      <c r="L1314">
        <v>200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35</v>
      </c>
      <c r="W1314">
        <v>245</v>
      </c>
      <c r="Z1314">
        <v>0</v>
      </c>
      <c r="AA1314" t="s">
        <v>2334</v>
      </c>
    </row>
    <row r="1315" spans="1:27" x14ac:dyDescent="0.25">
      <c r="H1315" t="s">
        <v>248</v>
      </c>
    </row>
    <row r="1316" spans="1:27" x14ac:dyDescent="0.25">
      <c r="A1316">
        <v>655</v>
      </c>
      <c r="B1316">
        <v>2747</v>
      </c>
      <c r="C1316" t="s">
        <v>2335</v>
      </c>
      <c r="D1316" t="s">
        <v>152</v>
      </c>
      <c r="E1316" t="s">
        <v>284</v>
      </c>
      <c r="F1316" t="s">
        <v>2336</v>
      </c>
      <c r="G1316" t="str">
        <f>"201406002679"</f>
        <v>201406002679</v>
      </c>
      <c r="H1316" t="s">
        <v>1167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70</v>
      </c>
      <c r="O1316">
        <v>30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12</v>
      </c>
      <c r="W1316">
        <v>84</v>
      </c>
      <c r="Z1316">
        <v>0</v>
      </c>
      <c r="AA1316" t="s">
        <v>2337</v>
      </c>
    </row>
    <row r="1317" spans="1:27" x14ac:dyDescent="0.25">
      <c r="H1317" t="s">
        <v>25</v>
      </c>
    </row>
    <row r="1318" spans="1:27" x14ac:dyDescent="0.25">
      <c r="A1318">
        <v>656</v>
      </c>
      <c r="B1318">
        <v>2334</v>
      </c>
      <c r="C1318" t="s">
        <v>2338</v>
      </c>
      <c r="D1318" t="s">
        <v>14</v>
      </c>
      <c r="E1318" t="s">
        <v>64</v>
      </c>
      <c r="F1318" t="s">
        <v>2339</v>
      </c>
      <c r="G1318" t="str">
        <f>"200801001665"</f>
        <v>200801001665</v>
      </c>
      <c r="H1318" t="s">
        <v>1014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30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54</v>
      </c>
      <c r="W1318">
        <v>378</v>
      </c>
      <c r="Z1318">
        <v>0</v>
      </c>
      <c r="AA1318" t="s">
        <v>2340</v>
      </c>
    </row>
    <row r="1319" spans="1:27" x14ac:dyDescent="0.25">
      <c r="H1319" t="s">
        <v>78</v>
      </c>
    </row>
    <row r="1320" spans="1:27" x14ac:dyDescent="0.25">
      <c r="A1320">
        <v>657</v>
      </c>
      <c r="B1320">
        <v>785</v>
      </c>
      <c r="C1320" t="s">
        <v>756</v>
      </c>
      <c r="D1320" t="s">
        <v>875</v>
      </c>
      <c r="E1320" t="s">
        <v>59</v>
      </c>
      <c r="F1320" t="s">
        <v>2341</v>
      </c>
      <c r="G1320" t="str">
        <f>"201201000129"</f>
        <v>201201000129</v>
      </c>
      <c r="H1320" t="s">
        <v>1211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50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39</v>
      </c>
      <c r="W1320">
        <v>273</v>
      </c>
      <c r="Z1320">
        <v>1</v>
      </c>
      <c r="AA1320" t="s">
        <v>2342</v>
      </c>
    </row>
    <row r="1321" spans="1:27" x14ac:dyDescent="0.25">
      <c r="H1321" t="s">
        <v>31</v>
      </c>
    </row>
    <row r="1322" spans="1:27" x14ac:dyDescent="0.25">
      <c r="A1322">
        <v>658</v>
      </c>
      <c r="B1322">
        <v>3361</v>
      </c>
      <c r="C1322" t="s">
        <v>2343</v>
      </c>
      <c r="D1322" t="s">
        <v>2344</v>
      </c>
      <c r="E1322" t="s">
        <v>2345</v>
      </c>
      <c r="F1322" t="s">
        <v>2346</v>
      </c>
      <c r="G1322" t="str">
        <f>"201506002336"</f>
        <v>201506002336</v>
      </c>
      <c r="H1322" t="s">
        <v>371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0</v>
      </c>
      <c r="P1322">
        <v>30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46</v>
      </c>
      <c r="W1322">
        <v>322</v>
      </c>
      <c r="Z1322">
        <v>0</v>
      </c>
      <c r="AA1322" t="s">
        <v>2347</v>
      </c>
    </row>
    <row r="1323" spans="1:27" x14ac:dyDescent="0.25">
      <c r="H1323" t="s">
        <v>25</v>
      </c>
    </row>
    <row r="1324" spans="1:27" x14ac:dyDescent="0.25">
      <c r="A1324">
        <v>659</v>
      </c>
      <c r="B1324">
        <v>86</v>
      </c>
      <c r="C1324" t="s">
        <v>2348</v>
      </c>
      <c r="D1324" t="s">
        <v>1353</v>
      </c>
      <c r="E1324" t="s">
        <v>85</v>
      </c>
      <c r="F1324" t="s">
        <v>2349</v>
      </c>
      <c r="G1324" t="str">
        <f>"201409003532"</f>
        <v>201409003532</v>
      </c>
      <c r="H1324" t="s">
        <v>2350</v>
      </c>
      <c r="I1324">
        <v>0</v>
      </c>
      <c r="J1324">
        <v>0</v>
      </c>
      <c r="K1324">
        <v>0</v>
      </c>
      <c r="L1324">
        <v>200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5</v>
      </c>
      <c r="W1324">
        <v>35</v>
      </c>
      <c r="Z1324">
        <v>0</v>
      </c>
      <c r="AA1324" t="s">
        <v>2351</v>
      </c>
    </row>
    <row r="1325" spans="1:27" x14ac:dyDescent="0.25">
      <c r="H1325" t="s">
        <v>38</v>
      </c>
    </row>
    <row r="1326" spans="1:27" x14ac:dyDescent="0.25">
      <c r="A1326">
        <v>660</v>
      </c>
      <c r="B1326">
        <v>619</v>
      </c>
      <c r="C1326" t="s">
        <v>426</v>
      </c>
      <c r="D1326" t="s">
        <v>2352</v>
      </c>
      <c r="E1326" t="s">
        <v>2353</v>
      </c>
      <c r="F1326" t="s">
        <v>2354</v>
      </c>
      <c r="G1326" t="str">
        <f>"201407000190"</f>
        <v>201407000190</v>
      </c>
      <c r="H1326" t="s">
        <v>558</v>
      </c>
      <c r="I1326">
        <v>0</v>
      </c>
      <c r="J1326">
        <v>0</v>
      </c>
      <c r="K1326">
        <v>0</v>
      </c>
      <c r="L1326">
        <v>200</v>
      </c>
      <c r="M1326">
        <v>0</v>
      </c>
      <c r="N1326">
        <v>50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33</v>
      </c>
      <c r="W1326">
        <v>231</v>
      </c>
      <c r="Z1326">
        <v>0</v>
      </c>
      <c r="AA1326" t="s">
        <v>2351</v>
      </c>
    </row>
    <row r="1327" spans="1:27" x14ac:dyDescent="0.25">
      <c r="H1327" t="s">
        <v>49</v>
      </c>
    </row>
    <row r="1328" spans="1:27" x14ac:dyDescent="0.25">
      <c r="A1328">
        <v>661</v>
      </c>
      <c r="B1328">
        <v>3053</v>
      </c>
      <c r="C1328" t="s">
        <v>2355</v>
      </c>
      <c r="D1328" t="s">
        <v>2356</v>
      </c>
      <c r="E1328" t="s">
        <v>41</v>
      </c>
      <c r="F1328" t="s">
        <v>2357</v>
      </c>
      <c r="G1328" t="str">
        <f>"201409002074"</f>
        <v>201409002074</v>
      </c>
      <c r="H1328">
        <v>792</v>
      </c>
      <c r="I1328">
        <v>0</v>
      </c>
      <c r="J1328">
        <v>0</v>
      </c>
      <c r="K1328">
        <v>0</v>
      </c>
      <c r="L1328">
        <v>200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24</v>
      </c>
      <c r="W1328">
        <v>168</v>
      </c>
      <c r="Z1328">
        <v>0</v>
      </c>
      <c r="AA1328">
        <v>1230</v>
      </c>
    </row>
    <row r="1329" spans="1:27" x14ac:dyDescent="0.25">
      <c r="H1329" t="s">
        <v>729</v>
      </c>
    </row>
    <row r="1330" spans="1:27" x14ac:dyDescent="0.25">
      <c r="A1330">
        <v>662</v>
      </c>
      <c r="B1330">
        <v>1659</v>
      </c>
      <c r="C1330" t="s">
        <v>2358</v>
      </c>
      <c r="D1330" t="s">
        <v>353</v>
      </c>
      <c r="E1330" t="s">
        <v>2359</v>
      </c>
      <c r="F1330" t="s">
        <v>2360</v>
      </c>
      <c r="G1330" t="str">
        <f>"201303001020"</f>
        <v>201303001020</v>
      </c>
      <c r="H1330" t="s">
        <v>371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70</v>
      </c>
      <c r="O1330">
        <v>0</v>
      </c>
      <c r="P1330">
        <v>0</v>
      </c>
      <c r="Q1330">
        <v>30</v>
      </c>
      <c r="R1330">
        <v>30</v>
      </c>
      <c r="S1330">
        <v>0</v>
      </c>
      <c r="T1330">
        <v>0</v>
      </c>
      <c r="U1330">
        <v>0</v>
      </c>
      <c r="V1330">
        <v>13</v>
      </c>
      <c r="W1330">
        <v>91</v>
      </c>
      <c r="Z1330">
        <v>0</v>
      </c>
      <c r="AA1330" t="s">
        <v>2361</v>
      </c>
    </row>
    <row r="1331" spans="1:27" x14ac:dyDescent="0.25">
      <c r="H1331" t="s">
        <v>357</v>
      </c>
    </row>
    <row r="1332" spans="1:27" x14ac:dyDescent="0.25">
      <c r="A1332">
        <v>663</v>
      </c>
      <c r="B1332">
        <v>1449</v>
      </c>
      <c r="C1332" t="s">
        <v>2362</v>
      </c>
      <c r="D1332" t="s">
        <v>58</v>
      </c>
      <c r="E1332" t="s">
        <v>499</v>
      </c>
      <c r="F1332" t="s">
        <v>2363</v>
      </c>
      <c r="G1332" t="str">
        <f>"201304005515"</f>
        <v>201304005515</v>
      </c>
      <c r="H1332" t="s">
        <v>550</v>
      </c>
      <c r="I1332">
        <v>0</v>
      </c>
      <c r="J1332">
        <v>0</v>
      </c>
      <c r="K1332">
        <v>0</v>
      </c>
      <c r="L1332">
        <v>0</v>
      </c>
      <c r="M1332">
        <v>100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38</v>
      </c>
      <c r="W1332">
        <v>266</v>
      </c>
      <c r="Z1332">
        <v>0</v>
      </c>
      <c r="AA1332" t="s">
        <v>2364</v>
      </c>
    </row>
    <row r="1333" spans="1:27" x14ac:dyDescent="0.25">
      <c r="H1333" t="s">
        <v>357</v>
      </c>
    </row>
    <row r="1334" spans="1:27" x14ac:dyDescent="0.25">
      <c r="A1334">
        <v>664</v>
      </c>
      <c r="B1334">
        <v>1867</v>
      </c>
      <c r="C1334" t="s">
        <v>2365</v>
      </c>
      <c r="D1334" t="s">
        <v>2366</v>
      </c>
      <c r="E1334" t="s">
        <v>284</v>
      </c>
      <c r="F1334" t="s">
        <v>2367</v>
      </c>
      <c r="G1334" t="str">
        <f>"00012513"</f>
        <v>00012513</v>
      </c>
      <c r="H1334" t="s">
        <v>2368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149</v>
      </c>
      <c r="W1334">
        <v>588</v>
      </c>
      <c r="Z1334">
        <v>0</v>
      </c>
      <c r="AA1334" t="s">
        <v>2369</v>
      </c>
    </row>
    <row r="1335" spans="1:27" x14ac:dyDescent="0.25">
      <c r="H1335" t="s">
        <v>298</v>
      </c>
    </row>
    <row r="1336" spans="1:27" x14ac:dyDescent="0.25">
      <c r="A1336">
        <v>665</v>
      </c>
      <c r="B1336">
        <v>2497</v>
      </c>
      <c r="C1336" t="s">
        <v>2370</v>
      </c>
      <c r="D1336" t="s">
        <v>41</v>
      </c>
      <c r="E1336" t="s">
        <v>85</v>
      </c>
      <c r="F1336" t="s">
        <v>2371</v>
      </c>
      <c r="G1336" t="str">
        <f>"201409004519"</f>
        <v>201409004519</v>
      </c>
      <c r="H1336" t="s">
        <v>1976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50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67</v>
      </c>
      <c r="W1336">
        <v>469</v>
      </c>
      <c r="Z1336">
        <v>0</v>
      </c>
      <c r="AA1336" t="s">
        <v>2372</v>
      </c>
    </row>
    <row r="1337" spans="1:27" x14ac:dyDescent="0.25">
      <c r="H1337" t="s">
        <v>25</v>
      </c>
    </row>
    <row r="1338" spans="1:27" x14ac:dyDescent="0.25">
      <c r="A1338">
        <v>666</v>
      </c>
      <c r="B1338">
        <v>490</v>
      </c>
      <c r="C1338" t="s">
        <v>2373</v>
      </c>
      <c r="D1338" t="s">
        <v>114</v>
      </c>
      <c r="E1338" t="s">
        <v>1089</v>
      </c>
      <c r="F1338" t="s">
        <v>2374</v>
      </c>
      <c r="G1338" t="str">
        <f>"201410002241"</f>
        <v>201410002241</v>
      </c>
      <c r="H1338" t="s">
        <v>2375</v>
      </c>
      <c r="I1338">
        <v>0</v>
      </c>
      <c r="J1338">
        <v>0</v>
      </c>
      <c r="K1338">
        <v>0</v>
      </c>
      <c r="L1338">
        <v>200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16</v>
      </c>
      <c r="W1338">
        <v>112</v>
      </c>
      <c r="Z1338">
        <v>0</v>
      </c>
      <c r="AA1338" t="s">
        <v>2376</v>
      </c>
    </row>
    <row r="1339" spans="1:27" x14ac:dyDescent="0.25">
      <c r="H1339" t="s">
        <v>31</v>
      </c>
    </row>
    <row r="1340" spans="1:27" x14ac:dyDescent="0.25">
      <c r="A1340">
        <v>667</v>
      </c>
      <c r="B1340">
        <v>1091</v>
      </c>
      <c r="C1340" t="s">
        <v>2377</v>
      </c>
      <c r="D1340" t="s">
        <v>151</v>
      </c>
      <c r="E1340" t="s">
        <v>64</v>
      </c>
      <c r="F1340" t="s">
        <v>2378</v>
      </c>
      <c r="G1340" t="str">
        <f>"201404000039"</f>
        <v>201404000039</v>
      </c>
      <c r="H1340">
        <v>660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30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72</v>
      </c>
      <c r="W1340">
        <v>504</v>
      </c>
      <c r="Z1340">
        <v>0</v>
      </c>
      <c r="AA1340">
        <v>1224</v>
      </c>
    </row>
    <row r="1341" spans="1:27" x14ac:dyDescent="0.25">
      <c r="H1341" t="s">
        <v>1973</v>
      </c>
    </row>
    <row r="1342" spans="1:27" x14ac:dyDescent="0.25">
      <c r="A1342">
        <v>668</v>
      </c>
      <c r="B1342">
        <v>913</v>
      </c>
      <c r="C1342" t="s">
        <v>2379</v>
      </c>
      <c r="D1342" t="s">
        <v>158</v>
      </c>
      <c r="E1342" t="s">
        <v>123</v>
      </c>
      <c r="F1342" t="s">
        <v>2380</v>
      </c>
      <c r="G1342" t="str">
        <f>"201506001877"</f>
        <v>201506001877</v>
      </c>
      <c r="H1342" t="s">
        <v>950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50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65</v>
      </c>
      <c r="W1342">
        <v>455</v>
      </c>
      <c r="Z1342">
        <v>0</v>
      </c>
      <c r="AA1342" t="s">
        <v>2381</v>
      </c>
    </row>
    <row r="1343" spans="1:27" x14ac:dyDescent="0.25">
      <c r="H1343">
        <v>215</v>
      </c>
    </row>
    <row r="1344" spans="1:27" x14ac:dyDescent="0.25">
      <c r="A1344">
        <v>669</v>
      </c>
      <c r="B1344">
        <v>1044</v>
      </c>
      <c r="C1344" t="s">
        <v>2382</v>
      </c>
      <c r="D1344" t="s">
        <v>64</v>
      </c>
      <c r="E1344" t="s">
        <v>694</v>
      </c>
      <c r="F1344" t="s">
        <v>2383</v>
      </c>
      <c r="G1344" t="str">
        <f>"201409005890"</f>
        <v>201409005890</v>
      </c>
      <c r="H1344" t="s">
        <v>1402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80</v>
      </c>
      <c r="W1344">
        <v>560</v>
      </c>
      <c r="Z1344">
        <v>0</v>
      </c>
      <c r="AA1344" t="s">
        <v>2384</v>
      </c>
    </row>
    <row r="1345" spans="1:27" x14ac:dyDescent="0.25">
      <c r="H1345">
        <v>215</v>
      </c>
    </row>
    <row r="1346" spans="1:27" x14ac:dyDescent="0.25">
      <c r="A1346">
        <v>670</v>
      </c>
      <c r="B1346">
        <v>979</v>
      </c>
      <c r="C1346" t="s">
        <v>436</v>
      </c>
      <c r="D1346" t="s">
        <v>41</v>
      </c>
      <c r="E1346" t="s">
        <v>1614</v>
      </c>
      <c r="F1346" t="s">
        <v>2385</v>
      </c>
      <c r="G1346" t="str">
        <f>"00005227"</f>
        <v>00005227</v>
      </c>
      <c r="H1346" t="s">
        <v>2386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299</v>
      </c>
      <c r="W1346">
        <v>588</v>
      </c>
      <c r="Z1346">
        <v>2</v>
      </c>
      <c r="AA1346" t="s">
        <v>2387</v>
      </c>
    </row>
    <row r="1347" spans="1:27" x14ac:dyDescent="0.25">
      <c r="H1347" t="s">
        <v>25</v>
      </c>
    </row>
    <row r="1348" spans="1:27" x14ac:dyDescent="0.25">
      <c r="A1348">
        <v>671</v>
      </c>
      <c r="B1348">
        <v>1183</v>
      </c>
      <c r="C1348" t="s">
        <v>2388</v>
      </c>
      <c r="D1348" t="s">
        <v>41</v>
      </c>
      <c r="E1348" t="s">
        <v>722</v>
      </c>
      <c r="F1348" t="s">
        <v>2389</v>
      </c>
      <c r="G1348" t="str">
        <f>"201412005037"</f>
        <v>201412005037</v>
      </c>
      <c r="H1348" t="s">
        <v>131</v>
      </c>
      <c r="I1348">
        <v>0</v>
      </c>
      <c r="J1348">
        <v>0</v>
      </c>
      <c r="K1348">
        <v>0</v>
      </c>
      <c r="L1348">
        <v>260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36</v>
      </c>
      <c r="W1348">
        <v>252</v>
      </c>
      <c r="Z1348">
        <v>0</v>
      </c>
      <c r="AA1348" t="s">
        <v>2390</v>
      </c>
    </row>
    <row r="1349" spans="1:27" x14ac:dyDescent="0.25">
      <c r="H1349" t="s">
        <v>248</v>
      </c>
    </row>
    <row r="1350" spans="1:27" x14ac:dyDescent="0.25">
      <c r="A1350">
        <v>672</v>
      </c>
      <c r="B1350">
        <v>582</v>
      </c>
      <c r="C1350" t="s">
        <v>400</v>
      </c>
      <c r="D1350" t="s">
        <v>404</v>
      </c>
      <c r="E1350" t="s">
        <v>235</v>
      </c>
      <c r="F1350" t="s">
        <v>2391</v>
      </c>
      <c r="G1350" t="str">
        <f>"201506000231"</f>
        <v>201506000231</v>
      </c>
      <c r="H1350" t="s">
        <v>110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76</v>
      </c>
      <c r="W1350">
        <v>532</v>
      </c>
      <c r="Z1350">
        <v>0</v>
      </c>
      <c r="AA1350" t="s">
        <v>2392</v>
      </c>
    </row>
    <row r="1351" spans="1:27" x14ac:dyDescent="0.25">
      <c r="H1351" t="s">
        <v>106</v>
      </c>
    </row>
    <row r="1352" spans="1:27" x14ac:dyDescent="0.25">
      <c r="A1352">
        <v>673</v>
      </c>
      <c r="B1352">
        <v>73</v>
      </c>
      <c r="C1352" t="s">
        <v>987</v>
      </c>
      <c r="D1352" t="s">
        <v>2393</v>
      </c>
      <c r="E1352" t="s">
        <v>41</v>
      </c>
      <c r="F1352" t="s">
        <v>2394</v>
      </c>
      <c r="G1352" t="str">
        <f>"201304006213"</f>
        <v>201304006213</v>
      </c>
      <c r="H1352" t="s">
        <v>232</v>
      </c>
      <c r="I1352">
        <v>0</v>
      </c>
      <c r="J1352">
        <v>0</v>
      </c>
      <c r="K1352">
        <v>0</v>
      </c>
      <c r="L1352">
        <v>200</v>
      </c>
      <c r="M1352">
        <v>0</v>
      </c>
      <c r="N1352">
        <v>70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11</v>
      </c>
      <c r="W1352">
        <v>77</v>
      </c>
      <c r="Z1352">
        <v>0</v>
      </c>
      <c r="AA1352" t="s">
        <v>2395</v>
      </c>
    </row>
    <row r="1353" spans="1:27" x14ac:dyDescent="0.25">
      <c r="H1353" t="s">
        <v>280</v>
      </c>
    </row>
    <row r="1354" spans="1:27" x14ac:dyDescent="0.25">
      <c r="A1354">
        <v>674</v>
      </c>
      <c r="B1354">
        <v>162</v>
      </c>
      <c r="C1354" t="s">
        <v>2396</v>
      </c>
      <c r="D1354" t="s">
        <v>284</v>
      </c>
      <c r="E1354" t="s">
        <v>1085</v>
      </c>
      <c r="F1354" t="s">
        <v>2397</v>
      </c>
      <c r="G1354" t="str">
        <f>"201402009124"</f>
        <v>201402009124</v>
      </c>
      <c r="H1354">
        <v>682</v>
      </c>
      <c r="I1354">
        <v>150</v>
      </c>
      <c r="J1354">
        <v>0</v>
      </c>
      <c r="K1354">
        <v>0</v>
      </c>
      <c r="L1354">
        <v>0</v>
      </c>
      <c r="M1354">
        <v>0</v>
      </c>
      <c r="N1354">
        <v>50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48</v>
      </c>
      <c r="W1354">
        <v>336</v>
      </c>
      <c r="Z1354">
        <v>0</v>
      </c>
      <c r="AA1354">
        <v>1218</v>
      </c>
    </row>
    <row r="1355" spans="1:27" x14ac:dyDescent="0.25">
      <c r="H1355" t="s">
        <v>293</v>
      </c>
    </row>
    <row r="1356" spans="1:27" x14ac:dyDescent="0.25">
      <c r="A1356">
        <v>675</v>
      </c>
      <c r="B1356">
        <v>3364</v>
      </c>
      <c r="C1356" t="s">
        <v>2398</v>
      </c>
      <c r="D1356" t="s">
        <v>538</v>
      </c>
      <c r="E1356" t="s">
        <v>64</v>
      </c>
      <c r="F1356" t="s">
        <v>2399</v>
      </c>
      <c r="G1356" t="str">
        <f>"201304004445"</f>
        <v>201304004445</v>
      </c>
      <c r="H1356" t="s">
        <v>662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71</v>
      </c>
      <c r="W1356">
        <v>497</v>
      </c>
      <c r="Z1356">
        <v>0</v>
      </c>
      <c r="AA1356" t="s">
        <v>2400</v>
      </c>
    </row>
    <row r="1357" spans="1:27" x14ac:dyDescent="0.25">
      <c r="H1357" t="s">
        <v>659</v>
      </c>
    </row>
    <row r="1358" spans="1:27" x14ac:dyDescent="0.25">
      <c r="A1358">
        <v>676</v>
      </c>
      <c r="B1358">
        <v>759</v>
      </c>
      <c r="C1358" t="s">
        <v>2401</v>
      </c>
      <c r="D1358" t="s">
        <v>151</v>
      </c>
      <c r="E1358" t="s">
        <v>284</v>
      </c>
      <c r="F1358" t="s">
        <v>2402</v>
      </c>
      <c r="G1358" t="str">
        <f>"201304005227"</f>
        <v>201304005227</v>
      </c>
      <c r="H1358">
        <v>792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70</v>
      </c>
      <c r="O1358">
        <v>50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15</v>
      </c>
      <c r="W1358">
        <v>105</v>
      </c>
      <c r="Z1358">
        <v>0</v>
      </c>
      <c r="AA1358">
        <v>1217</v>
      </c>
    </row>
    <row r="1359" spans="1:27" x14ac:dyDescent="0.25">
      <c r="H1359" t="s">
        <v>898</v>
      </c>
    </row>
    <row r="1360" spans="1:27" x14ac:dyDescent="0.25">
      <c r="A1360">
        <v>677</v>
      </c>
      <c r="B1360">
        <v>2394</v>
      </c>
      <c r="C1360" t="s">
        <v>2403</v>
      </c>
      <c r="D1360" t="s">
        <v>1737</v>
      </c>
      <c r="E1360" t="s">
        <v>235</v>
      </c>
      <c r="F1360" t="s">
        <v>2404</v>
      </c>
      <c r="G1360" t="str">
        <f>"201406011341"</f>
        <v>201406011341</v>
      </c>
      <c r="H1360" t="s">
        <v>342</v>
      </c>
      <c r="I1360">
        <v>0</v>
      </c>
      <c r="J1360">
        <v>0</v>
      </c>
      <c r="K1360">
        <v>0</v>
      </c>
      <c r="L1360">
        <v>260</v>
      </c>
      <c r="M1360">
        <v>0</v>
      </c>
      <c r="N1360">
        <v>50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19</v>
      </c>
      <c r="W1360">
        <v>133</v>
      </c>
      <c r="Z1360">
        <v>0</v>
      </c>
      <c r="AA1360" t="s">
        <v>2405</v>
      </c>
    </row>
    <row r="1361" spans="1:27" x14ac:dyDescent="0.25">
      <c r="H1361" t="s">
        <v>248</v>
      </c>
    </row>
    <row r="1362" spans="1:27" x14ac:dyDescent="0.25">
      <c r="A1362">
        <v>678</v>
      </c>
      <c r="B1362">
        <v>3331</v>
      </c>
      <c r="C1362" t="s">
        <v>2406</v>
      </c>
      <c r="D1362" t="s">
        <v>58</v>
      </c>
      <c r="E1362" t="s">
        <v>348</v>
      </c>
      <c r="F1362" t="s">
        <v>2407</v>
      </c>
      <c r="G1362" t="str">
        <f>"201406014829"</f>
        <v>201406014829</v>
      </c>
      <c r="H1362" t="s">
        <v>1167</v>
      </c>
      <c r="I1362">
        <v>0</v>
      </c>
      <c r="J1362">
        <v>0</v>
      </c>
      <c r="K1362">
        <v>0</v>
      </c>
      <c r="L1362">
        <v>200</v>
      </c>
      <c r="M1362">
        <v>30</v>
      </c>
      <c r="N1362">
        <v>70</v>
      </c>
      <c r="O1362">
        <v>30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5</v>
      </c>
      <c r="W1362">
        <v>35</v>
      </c>
      <c r="Z1362">
        <v>0</v>
      </c>
      <c r="AA1362" t="s">
        <v>2408</v>
      </c>
    </row>
    <row r="1363" spans="1:27" x14ac:dyDescent="0.25">
      <c r="H1363" t="s">
        <v>38</v>
      </c>
    </row>
    <row r="1364" spans="1:27" x14ac:dyDescent="0.25">
      <c r="A1364">
        <v>679</v>
      </c>
      <c r="B1364">
        <v>2233</v>
      </c>
      <c r="C1364" t="s">
        <v>2409</v>
      </c>
      <c r="D1364" t="s">
        <v>194</v>
      </c>
      <c r="E1364" t="s">
        <v>225</v>
      </c>
      <c r="F1364" t="s">
        <v>2410</v>
      </c>
      <c r="G1364" t="str">
        <f>"201406009961"</f>
        <v>201406009961</v>
      </c>
      <c r="H1364" t="s">
        <v>1004</v>
      </c>
      <c r="I1364">
        <v>0</v>
      </c>
      <c r="J1364">
        <v>0</v>
      </c>
      <c r="K1364">
        <v>0</v>
      </c>
      <c r="L1364">
        <v>0</v>
      </c>
      <c r="M1364">
        <v>100</v>
      </c>
      <c r="N1364">
        <v>30</v>
      </c>
      <c r="O1364">
        <v>0</v>
      </c>
      <c r="P1364">
        <v>30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43</v>
      </c>
      <c r="W1364">
        <v>301</v>
      </c>
      <c r="Z1364">
        <v>0</v>
      </c>
      <c r="AA1364" t="s">
        <v>2411</v>
      </c>
    </row>
    <row r="1365" spans="1:27" x14ac:dyDescent="0.25">
      <c r="H1365" t="s">
        <v>223</v>
      </c>
    </row>
    <row r="1366" spans="1:27" x14ac:dyDescent="0.25">
      <c r="A1366">
        <v>680</v>
      </c>
      <c r="B1366">
        <v>161</v>
      </c>
      <c r="C1366" t="s">
        <v>2412</v>
      </c>
      <c r="D1366" t="s">
        <v>276</v>
      </c>
      <c r="E1366" t="s">
        <v>41</v>
      </c>
      <c r="F1366" t="s">
        <v>2413</v>
      </c>
      <c r="G1366" t="str">
        <f>"201304000586"</f>
        <v>201304000586</v>
      </c>
      <c r="H1366" t="s">
        <v>1367</v>
      </c>
      <c r="I1366">
        <v>0</v>
      </c>
      <c r="J1366">
        <v>0</v>
      </c>
      <c r="K1366">
        <v>0</v>
      </c>
      <c r="L1366">
        <v>260</v>
      </c>
      <c r="M1366">
        <v>0</v>
      </c>
      <c r="N1366">
        <v>70</v>
      </c>
      <c r="O1366">
        <v>30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2</v>
      </c>
      <c r="W1366">
        <v>14</v>
      </c>
      <c r="Z1366">
        <v>0</v>
      </c>
      <c r="AA1366" t="s">
        <v>2414</v>
      </c>
    </row>
    <row r="1367" spans="1:27" x14ac:dyDescent="0.25">
      <c r="H1367" t="s">
        <v>248</v>
      </c>
    </row>
    <row r="1368" spans="1:27" x14ac:dyDescent="0.25">
      <c r="A1368">
        <v>681</v>
      </c>
      <c r="B1368">
        <v>2551</v>
      </c>
      <c r="C1368" t="s">
        <v>2415</v>
      </c>
      <c r="D1368" t="s">
        <v>369</v>
      </c>
      <c r="E1368" t="s">
        <v>65</v>
      </c>
      <c r="F1368" t="s">
        <v>2416</v>
      </c>
      <c r="G1368" t="str">
        <f>"201410009535"</f>
        <v>201410009535</v>
      </c>
      <c r="H1368" t="s">
        <v>1270</v>
      </c>
      <c r="I1368">
        <v>0</v>
      </c>
      <c r="J1368">
        <v>0</v>
      </c>
      <c r="K1368">
        <v>0</v>
      </c>
      <c r="L1368">
        <v>200</v>
      </c>
      <c r="M1368">
        <v>0</v>
      </c>
      <c r="N1368">
        <v>70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14</v>
      </c>
      <c r="W1368">
        <v>98</v>
      </c>
      <c r="Z1368">
        <v>0</v>
      </c>
      <c r="AA1368" t="s">
        <v>2417</v>
      </c>
    </row>
    <row r="1369" spans="1:27" x14ac:dyDescent="0.25">
      <c r="H1369" t="s">
        <v>19</v>
      </c>
    </row>
    <row r="1370" spans="1:27" x14ac:dyDescent="0.25">
      <c r="A1370">
        <v>682</v>
      </c>
      <c r="B1370">
        <v>1267</v>
      </c>
      <c r="C1370" t="s">
        <v>2418</v>
      </c>
      <c r="D1370" t="s">
        <v>85</v>
      </c>
      <c r="E1370" t="s">
        <v>64</v>
      </c>
      <c r="F1370" t="s">
        <v>2419</v>
      </c>
      <c r="G1370" t="str">
        <f>"201410006701"</f>
        <v>201410006701</v>
      </c>
      <c r="H1370" t="s">
        <v>1037</v>
      </c>
      <c r="I1370">
        <v>0</v>
      </c>
      <c r="J1370">
        <v>0</v>
      </c>
      <c r="K1370">
        <v>0</v>
      </c>
      <c r="L1370">
        <v>200</v>
      </c>
      <c r="M1370">
        <v>0</v>
      </c>
      <c r="N1370">
        <v>50</v>
      </c>
      <c r="O1370">
        <v>0</v>
      </c>
      <c r="P1370">
        <v>0</v>
      </c>
      <c r="Q1370">
        <v>50</v>
      </c>
      <c r="R1370">
        <v>0</v>
      </c>
      <c r="S1370">
        <v>0</v>
      </c>
      <c r="T1370">
        <v>0</v>
      </c>
      <c r="U1370">
        <v>0</v>
      </c>
      <c r="V1370">
        <v>27</v>
      </c>
      <c r="W1370">
        <v>189</v>
      </c>
      <c r="Z1370">
        <v>0</v>
      </c>
      <c r="AA1370" t="s">
        <v>2417</v>
      </c>
    </row>
    <row r="1371" spans="1:27" x14ac:dyDescent="0.25">
      <c r="H1371" t="s">
        <v>223</v>
      </c>
    </row>
    <row r="1372" spans="1:27" x14ac:dyDescent="0.25">
      <c r="A1372">
        <v>683</v>
      </c>
      <c r="B1372">
        <v>1240</v>
      </c>
      <c r="C1372" t="s">
        <v>2420</v>
      </c>
      <c r="D1372" t="s">
        <v>41</v>
      </c>
      <c r="E1372" t="s">
        <v>284</v>
      </c>
      <c r="F1372" t="s">
        <v>2421</v>
      </c>
      <c r="G1372" t="str">
        <f>"00014698"</f>
        <v>00014698</v>
      </c>
      <c r="H1372" t="s">
        <v>110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69</v>
      </c>
      <c r="W1372">
        <v>483</v>
      </c>
      <c r="Z1372">
        <v>1</v>
      </c>
      <c r="AA1372" t="s">
        <v>2422</v>
      </c>
    </row>
    <row r="1373" spans="1:27" x14ac:dyDescent="0.25">
      <c r="H1373" t="s">
        <v>25</v>
      </c>
    </row>
    <row r="1374" spans="1:27" x14ac:dyDescent="0.25">
      <c r="A1374">
        <v>684</v>
      </c>
      <c r="B1374">
        <v>3199</v>
      </c>
      <c r="C1374" t="s">
        <v>2423</v>
      </c>
      <c r="D1374" t="s">
        <v>64</v>
      </c>
      <c r="E1374" t="s">
        <v>85</v>
      </c>
      <c r="F1374" t="s">
        <v>2424</v>
      </c>
      <c r="G1374" t="str">
        <f>"00014699"</f>
        <v>00014699</v>
      </c>
      <c r="H1374">
        <v>550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228</v>
      </c>
      <c r="W1374">
        <v>588</v>
      </c>
      <c r="Z1374">
        <v>0</v>
      </c>
      <c r="AA1374">
        <v>1208</v>
      </c>
    </row>
    <row r="1375" spans="1:27" x14ac:dyDescent="0.25">
      <c r="H1375" t="s">
        <v>38</v>
      </c>
    </row>
    <row r="1376" spans="1:27" x14ac:dyDescent="0.25">
      <c r="A1376">
        <v>685</v>
      </c>
      <c r="B1376">
        <v>2889</v>
      </c>
      <c r="C1376" t="s">
        <v>2425</v>
      </c>
      <c r="D1376" t="s">
        <v>2426</v>
      </c>
      <c r="E1376" t="s">
        <v>235</v>
      </c>
      <c r="F1376" t="s">
        <v>2427</v>
      </c>
      <c r="G1376" t="str">
        <f>"201304005288"</f>
        <v>201304005288</v>
      </c>
      <c r="H1376" t="s">
        <v>1123</v>
      </c>
      <c r="I1376">
        <v>0</v>
      </c>
      <c r="J1376">
        <v>0</v>
      </c>
      <c r="K1376">
        <v>0</v>
      </c>
      <c r="L1376">
        <v>200</v>
      </c>
      <c r="M1376">
        <v>0</v>
      </c>
      <c r="N1376">
        <v>50</v>
      </c>
      <c r="O1376">
        <v>0</v>
      </c>
      <c r="P1376">
        <v>50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32</v>
      </c>
      <c r="W1376">
        <v>224</v>
      </c>
      <c r="Z1376">
        <v>0</v>
      </c>
      <c r="AA1376" t="s">
        <v>2428</v>
      </c>
    </row>
    <row r="1377" spans="1:27" x14ac:dyDescent="0.25">
      <c r="H1377" t="s">
        <v>31</v>
      </c>
    </row>
    <row r="1378" spans="1:27" x14ac:dyDescent="0.25">
      <c r="A1378">
        <v>686</v>
      </c>
      <c r="B1378">
        <v>2689</v>
      </c>
      <c r="C1378" t="s">
        <v>2429</v>
      </c>
      <c r="D1378" t="s">
        <v>2020</v>
      </c>
      <c r="E1378" t="s">
        <v>41</v>
      </c>
      <c r="F1378" t="s">
        <v>2430</v>
      </c>
      <c r="G1378" t="str">
        <f>"00008258"</f>
        <v>00008258</v>
      </c>
      <c r="H1378" t="s">
        <v>67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70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49</v>
      </c>
      <c r="W1378">
        <v>343</v>
      </c>
      <c r="Z1378">
        <v>0</v>
      </c>
      <c r="AA1378" t="s">
        <v>2431</v>
      </c>
    </row>
    <row r="1379" spans="1:27" x14ac:dyDescent="0.25">
      <c r="H1379">
        <v>215</v>
      </c>
    </row>
    <row r="1380" spans="1:27" x14ac:dyDescent="0.25">
      <c r="A1380">
        <v>687</v>
      </c>
      <c r="B1380">
        <v>2331</v>
      </c>
      <c r="C1380" t="s">
        <v>2432</v>
      </c>
      <c r="D1380" t="s">
        <v>235</v>
      </c>
      <c r="E1380" t="s">
        <v>41</v>
      </c>
      <c r="F1380" t="s">
        <v>2433</v>
      </c>
      <c r="G1380" t="str">
        <f>"201406015333"</f>
        <v>201406015333</v>
      </c>
      <c r="H1380">
        <v>759</v>
      </c>
      <c r="I1380">
        <v>150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38</v>
      </c>
      <c r="W1380">
        <v>266</v>
      </c>
      <c r="Z1380">
        <v>1</v>
      </c>
      <c r="AA1380">
        <v>1205</v>
      </c>
    </row>
    <row r="1381" spans="1:27" x14ac:dyDescent="0.25">
      <c r="H1381" t="s">
        <v>298</v>
      </c>
    </row>
    <row r="1382" spans="1:27" x14ac:dyDescent="0.25">
      <c r="A1382">
        <v>688</v>
      </c>
      <c r="B1382">
        <v>213</v>
      </c>
      <c r="C1382" t="s">
        <v>2434</v>
      </c>
      <c r="D1382" t="s">
        <v>461</v>
      </c>
      <c r="E1382" t="s">
        <v>235</v>
      </c>
      <c r="F1382" t="s">
        <v>2435</v>
      </c>
      <c r="G1382" t="str">
        <f>"201406012720"</f>
        <v>201406012720</v>
      </c>
      <c r="H1382" t="s">
        <v>1861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70</v>
      </c>
      <c r="O1382">
        <v>0</v>
      </c>
      <c r="P1382">
        <v>0</v>
      </c>
      <c r="Q1382">
        <v>0</v>
      </c>
      <c r="R1382">
        <v>50</v>
      </c>
      <c r="S1382">
        <v>0</v>
      </c>
      <c r="T1382">
        <v>0</v>
      </c>
      <c r="U1382">
        <v>0</v>
      </c>
      <c r="V1382">
        <v>28</v>
      </c>
      <c r="W1382">
        <v>196</v>
      </c>
      <c r="Z1382">
        <v>0</v>
      </c>
      <c r="AA1382" t="s">
        <v>2436</v>
      </c>
    </row>
    <row r="1383" spans="1:27" x14ac:dyDescent="0.25">
      <c r="H1383" t="s">
        <v>223</v>
      </c>
    </row>
    <row r="1384" spans="1:27" x14ac:dyDescent="0.25">
      <c r="A1384">
        <v>689</v>
      </c>
      <c r="B1384">
        <v>589</v>
      </c>
      <c r="C1384" t="s">
        <v>2437</v>
      </c>
      <c r="D1384" t="s">
        <v>151</v>
      </c>
      <c r="E1384" t="s">
        <v>85</v>
      </c>
      <c r="F1384" t="s">
        <v>2438</v>
      </c>
      <c r="G1384" t="str">
        <f>"201506000202"</f>
        <v>201506000202</v>
      </c>
      <c r="H1384" t="s">
        <v>29</v>
      </c>
      <c r="I1384">
        <v>0</v>
      </c>
      <c r="J1384">
        <v>0</v>
      </c>
      <c r="K1384">
        <v>0</v>
      </c>
      <c r="L1384">
        <v>200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5</v>
      </c>
      <c r="W1384">
        <v>35</v>
      </c>
      <c r="Z1384">
        <v>0</v>
      </c>
      <c r="AA1384" t="s">
        <v>2439</v>
      </c>
    </row>
    <row r="1385" spans="1:27" x14ac:dyDescent="0.25">
      <c r="H1385" t="s">
        <v>248</v>
      </c>
    </row>
    <row r="1386" spans="1:27" x14ac:dyDescent="0.25">
      <c r="A1386">
        <v>690</v>
      </c>
      <c r="B1386">
        <v>183</v>
      </c>
      <c r="C1386" t="s">
        <v>2440</v>
      </c>
      <c r="D1386" t="s">
        <v>158</v>
      </c>
      <c r="E1386" t="s">
        <v>41</v>
      </c>
      <c r="F1386" t="s">
        <v>2441</v>
      </c>
      <c r="G1386" t="str">
        <f>"00010885"</f>
        <v>00010885</v>
      </c>
      <c r="H1386" t="s">
        <v>1391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0</v>
      </c>
      <c r="P1386">
        <v>0</v>
      </c>
      <c r="Q1386">
        <v>0</v>
      </c>
      <c r="R1386">
        <v>30</v>
      </c>
      <c r="S1386">
        <v>0</v>
      </c>
      <c r="T1386">
        <v>0</v>
      </c>
      <c r="U1386">
        <v>0</v>
      </c>
      <c r="V1386">
        <v>51</v>
      </c>
      <c r="W1386">
        <v>357</v>
      </c>
      <c r="Z1386">
        <v>0</v>
      </c>
      <c r="AA1386" t="s">
        <v>2442</v>
      </c>
    </row>
    <row r="1387" spans="1:27" x14ac:dyDescent="0.25">
      <c r="H1387">
        <v>216</v>
      </c>
    </row>
    <row r="1388" spans="1:27" x14ac:dyDescent="0.25">
      <c r="A1388">
        <v>691</v>
      </c>
      <c r="B1388">
        <v>1655</v>
      </c>
      <c r="C1388" t="s">
        <v>113</v>
      </c>
      <c r="D1388" t="s">
        <v>2443</v>
      </c>
      <c r="E1388" t="s">
        <v>595</v>
      </c>
      <c r="F1388" t="s">
        <v>2444</v>
      </c>
      <c r="G1388" t="str">
        <f>"00011428"</f>
        <v>00011428</v>
      </c>
      <c r="H1388" t="s">
        <v>2445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210</v>
      </c>
      <c r="W1388">
        <v>588</v>
      </c>
      <c r="Z1388">
        <v>0</v>
      </c>
      <c r="AA1388" t="s">
        <v>2446</v>
      </c>
    </row>
    <row r="1389" spans="1:27" x14ac:dyDescent="0.25">
      <c r="H1389" t="s">
        <v>904</v>
      </c>
    </row>
    <row r="1390" spans="1:27" x14ac:dyDescent="0.25">
      <c r="A1390">
        <v>692</v>
      </c>
      <c r="B1390">
        <v>1485</v>
      </c>
      <c r="C1390" t="s">
        <v>691</v>
      </c>
      <c r="D1390" t="s">
        <v>2447</v>
      </c>
      <c r="E1390" t="s">
        <v>129</v>
      </c>
      <c r="F1390" t="s">
        <v>2448</v>
      </c>
      <c r="G1390" t="str">
        <f>"201511043570"</f>
        <v>201511043570</v>
      </c>
      <c r="H1390" t="s">
        <v>2449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64</v>
      </c>
      <c r="W1390">
        <v>448</v>
      </c>
      <c r="Z1390">
        <v>0</v>
      </c>
      <c r="AA1390" t="s">
        <v>2450</v>
      </c>
    </row>
    <row r="1391" spans="1:27" x14ac:dyDescent="0.25">
      <c r="H1391" t="s">
        <v>25</v>
      </c>
    </row>
    <row r="1392" spans="1:27" x14ac:dyDescent="0.25">
      <c r="A1392">
        <v>693</v>
      </c>
      <c r="B1392">
        <v>2954</v>
      </c>
      <c r="C1392" t="s">
        <v>2451</v>
      </c>
      <c r="D1392" t="s">
        <v>2452</v>
      </c>
      <c r="E1392" t="s">
        <v>499</v>
      </c>
      <c r="F1392" t="s">
        <v>2453</v>
      </c>
      <c r="G1392" t="str">
        <f>"201406003109"</f>
        <v>201406003109</v>
      </c>
      <c r="H1392" t="s">
        <v>120</v>
      </c>
      <c r="I1392">
        <v>150</v>
      </c>
      <c r="J1392">
        <v>0</v>
      </c>
      <c r="K1392">
        <v>0</v>
      </c>
      <c r="L1392">
        <v>200</v>
      </c>
      <c r="M1392">
        <v>0</v>
      </c>
      <c r="N1392">
        <v>70</v>
      </c>
      <c r="O1392">
        <v>30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Z1392">
        <v>0</v>
      </c>
      <c r="AA1392" t="s">
        <v>2454</v>
      </c>
    </row>
    <row r="1393" spans="1:27" x14ac:dyDescent="0.25">
      <c r="H1393" t="s">
        <v>38</v>
      </c>
    </row>
    <row r="1394" spans="1:27" x14ac:dyDescent="0.25">
      <c r="A1394">
        <v>694</v>
      </c>
      <c r="B1394">
        <v>2251</v>
      </c>
      <c r="C1394" t="s">
        <v>2455</v>
      </c>
      <c r="D1394" t="s">
        <v>1019</v>
      </c>
      <c r="E1394" t="s">
        <v>41</v>
      </c>
      <c r="F1394" t="s">
        <v>2456</v>
      </c>
      <c r="G1394" t="str">
        <f>"201304005504"</f>
        <v>201304005504</v>
      </c>
      <c r="H1394" t="s">
        <v>1996</v>
      </c>
      <c r="I1394">
        <v>150</v>
      </c>
      <c r="J1394">
        <v>0</v>
      </c>
      <c r="K1394">
        <v>0</v>
      </c>
      <c r="L1394">
        <v>200</v>
      </c>
      <c r="M1394">
        <v>0</v>
      </c>
      <c r="N1394">
        <v>50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16</v>
      </c>
      <c r="W1394">
        <v>112</v>
      </c>
      <c r="Z1394">
        <v>0</v>
      </c>
      <c r="AA1394" t="s">
        <v>2457</v>
      </c>
    </row>
    <row r="1395" spans="1:27" x14ac:dyDescent="0.25">
      <c r="H1395" t="s">
        <v>293</v>
      </c>
    </row>
    <row r="1396" spans="1:27" x14ac:dyDescent="0.25">
      <c r="A1396">
        <v>695</v>
      </c>
      <c r="B1396">
        <v>1663</v>
      </c>
      <c r="C1396" t="s">
        <v>330</v>
      </c>
      <c r="D1396" t="s">
        <v>41</v>
      </c>
      <c r="E1396" t="s">
        <v>235</v>
      </c>
      <c r="F1396" t="s">
        <v>2458</v>
      </c>
      <c r="G1396" t="str">
        <f>"201406000967"</f>
        <v>201406000967</v>
      </c>
      <c r="H1396" t="s">
        <v>807</v>
      </c>
      <c r="I1396">
        <v>0</v>
      </c>
      <c r="J1396">
        <v>0</v>
      </c>
      <c r="K1396">
        <v>0</v>
      </c>
      <c r="L1396">
        <v>200</v>
      </c>
      <c r="M1396">
        <v>30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27</v>
      </c>
      <c r="W1396">
        <v>189</v>
      </c>
      <c r="Z1396">
        <v>0</v>
      </c>
      <c r="AA1396" t="s">
        <v>2459</v>
      </c>
    </row>
    <row r="1397" spans="1:27" x14ac:dyDescent="0.25">
      <c r="H1397" t="s">
        <v>31</v>
      </c>
    </row>
    <row r="1398" spans="1:27" x14ac:dyDescent="0.25">
      <c r="A1398">
        <v>696</v>
      </c>
      <c r="B1398">
        <v>1053</v>
      </c>
      <c r="C1398" t="s">
        <v>2460</v>
      </c>
      <c r="D1398" t="s">
        <v>2461</v>
      </c>
      <c r="E1398" t="s">
        <v>64</v>
      </c>
      <c r="F1398" t="s">
        <v>2462</v>
      </c>
      <c r="G1398" t="str">
        <f>"201406002157"</f>
        <v>201406002157</v>
      </c>
      <c r="H1398" t="s">
        <v>2463</v>
      </c>
      <c r="I1398">
        <v>0</v>
      </c>
      <c r="J1398">
        <v>0</v>
      </c>
      <c r="K1398">
        <v>0</v>
      </c>
      <c r="L1398">
        <v>200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1</v>
      </c>
      <c r="W1398">
        <v>7</v>
      </c>
      <c r="Z1398">
        <v>0</v>
      </c>
      <c r="AA1398" t="s">
        <v>2464</v>
      </c>
    </row>
    <row r="1399" spans="1:27" x14ac:dyDescent="0.25">
      <c r="H1399" t="s">
        <v>1624</v>
      </c>
    </row>
    <row r="1400" spans="1:27" x14ac:dyDescent="0.25">
      <c r="A1400">
        <v>697</v>
      </c>
      <c r="B1400">
        <v>3346</v>
      </c>
      <c r="C1400" t="s">
        <v>2465</v>
      </c>
      <c r="D1400" t="s">
        <v>2466</v>
      </c>
      <c r="E1400" t="s">
        <v>304</v>
      </c>
      <c r="F1400" t="s">
        <v>2467</v>
      </c>
      <c r="G1400" t="str">
        <f>"201402005009"</f>
        <v>201402005009</v>
      </c>
      <c r="H1400">
        <v>803</v>
      </c>
      <c r="I1400">
        <v>0</v>
      </c>
      <c r="J1400">
        <v>0</v>
      </c>
      <c r="K1400">
        <v>0</v>
      </c>
      <c r="L1400">
        <v>200</v>
      </c>
      <c r="M1400">
        <v>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17</v>
      </c>
      <c r="W1400">
        <v>119</v>
      </c>
      <c r="Z1400">
        <v>0</v>
      </c>
      <c r="AA1400">
        <v>1192</v>
      </c>
    </row>
    <row r="1401" spans="1:27" x14ac:dyDescent="0.25">
      <c r="H1401" t="s">
        <v>248</v>
      </c>
    </row>
    <row r="1402" spans="1:27" x14ac:dyDescent="0.25">
      <c r="A1402">
        <v>698</v>
      </c>
      <c r="B1402">
        <v>2799</v>
      </c>
      <c r="C1402" t="s">
        <v>2468</v>
      </c>
      <c r="D1402" t="s">
        <v>2469</v>
      </c>
      <c r="E1402" t="s">
        <v>1155</v>
      </c>
      <c r="F1402" t="s">
        <v>2470</v>
      </c>
      <c r="G1402" t="str">
        <f>"201511023718"</f>
        <v>201511023718</v>
      </c>
      <c r="H1402" t="s">
        <v>2471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50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13</v>
      </c>
      <c r="W1402">
        <v>91</v>
      </c>
      <c r="Z1402">
        <v>0</v>
      </c>
      <c r="AA1402" t="s">
        <v>2472</v>
      </c>
    </row>
    <row r="1403" spans="1:27" x14ac:dyDescent="0.25">
      <c r="H1403" t="s">
        <v>38</v>
      </c>
    </row>
    <row r="1404" spans="1:27" x14ac:dyDescent="0.25">
      <c r="A1404">
        <v>699</v>
      </c>
      <c r="B1404">
        <v>1738</v>
      </c>
      <c r="C1404" t="s">
        <v>2473</v>
      </c>
      <c r="D1404" t="s">
        <v>182</v>
      </c>
      <c r="E1404" t="s">
        <v>387</v>
      </c>
      <c r="F1404" t="s">
        <v>2474</v>
      </c>
      <c r="G1404" t="str">
        <f>"201511008943"</f>
        <v>201511008943</v>
      </c>
      <c r="H1404" t="s">
        <v>2126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60</v>
      </c>
      <c r="W1404">
        <v>420</v>
      </c>
      <c r="Z1404">
        <v>0</v>
      </c>
      <c r="AA1404" t="s">
        <v>2475</v>
      </c>
    </row>
    <row r="1405" spans="1:27" x14ac:dyDescent="0.25">
      <c r="H1405" t="s">
        <v>1044</v>
      </c>
    </row>
    <row r="1406" spans="1:27" x14ac:dyDescent="0.25">
      <c r="A1406">
        <v>700</v>
      </c>
      <c r="B1406">
        <v>65</v>
      </c>
      <c r="C1406" t="s">
        <v>881</v>
      </c>
      <c r="D1406" t="s">
        <v>168</v>
      </c>
      <c r="E1406" t="s">
        <v>41</v>
      </c>
      <c r="F1406" t="s">
        <v>2476</v>
      </c>
      <c r="G1406" t="str">
        <f>"201304001898"</f>
        <v>201304001898</v>
      </c>
      <c r="H1406" t="s">
        <v>614</v>
      </c>
      <c r="I1406">
        <v>0</v>
      </c>
      <c r="J1406">
        <v>0</v>
      </c>
      <c r="K1406">
        <v>0</v>
      </c>
      <c r="L1406">
        <v>200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27</v>
      </c>
      <c r="W1406">
        <v>189</v>
      </c>
      <c r="Z1406">
        <v>0</v>
      </c>
      <c r="AA1406" t="s">
        <v>2477</v>
      </c>
    </row>
    <row r="1407" spans="1:27" x14ac:dyDescent="0.25">
      <c r="H1407" t="s">
        <v>25</v>
      </c>
    </row>
    <row r="1408" spans="1:27" x14ac:dyDescent="0.25">
      <c r="A1408">
        <v>701</v>
      </c>
      <c r="B1408">
        <v>3016</v>
      </c>
      <c r="C1408" t="s">
        <v>2478</v>
      </c>
      <c r="D1408" t="s">
        <v>2479</v>
      </c>
      <c r="E1408" t="s">
        <v>225</v>
      </c>
      <c r="F1408" t="s">
        <v>2480</v>
      </c>
      <c r="G1408" t="str">
        <f>"00013005"</f>
        <v>00013005</v>
      </c>
      <c r="H1408" t="s">
        <v>23</v>
      </c>
      <c r="I1408">
        <v>0</v>
      </c>
      <c r="J1408">
        <v>0</v>
      </c>
      <c r="K1408">
        <v>0</v>
      </c>
      <c r="L1408">
        <v>200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Z1408">
        <v>0</v>
      </c>
      <c r="AA1408" t="s">
        <v>2481</v>
      </c>
    </row>
    <row r="1409" spans="1:27" x14ac:dyDescent="0.25">
      <c r="H1409">
        <v>216</v>
      </c>
    </row>
    <row r="1410" spans="1:27" x14ac:dyDescent="0.25">
      <c r="A1410">
        <v>702</v>
      </c>
      <c r="B1410">
        <v>1876</v>
      </c>
      <c r="C1410" t="s">
        <v>2482</v>
      </c>
      <c r="D1410" t="s">
        <v>703</v>
      </c>
      <c r="E1410" t="s">
        <v>2483</v>
      </c>
      <c r="F1410" t="s">
        <v>2484</v>
      </c>
      <c r="G1410" t="str">
        <f>"00012893"</f>
        <v>00012893</v>
      </c>
      <c r="H1410">
        <v>957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23</v>
      </c>
      <c r="W1410">
        <v>161</v>
      </c>
      <c r="Z1410">
        <v>0</v>
      </c>
      <c r="AA1410">
        <v>1188</v>
      </c>
    </row>
    <row r="1411" spans="1:27" x14ac:dyDescent="0.25">
      <c r="H1411">
        <v>215</v>
      </c>
    </row>
    <row r="1412" spans="1:27" x14ac:dyDescent="0.25">
      <c r="A1412">
        <v>703</v>
      </c>
      <c r="B1412">
        <v>2858</v>
      </c>
      <c r="C1412" t="s">
        <v>2485</v>
      </c>
      <c r="D1412" t="s">
        <v>2486</v>
      </c>
      <c r="E1412" t="s">
        <v>2487</v>
      </c>
      <c r="F1412" t="s">
        <v>2488</v>
      </c>
      <c r="G1412" t="str">
        <f>"00013763"</f>
        <v>00013763</v>
      </c>
      <c r="H1412">
        <v>726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70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56</v>
      </c>
      <c r="W1412">
        <v>392</v>
      </c>
      <c r="Z1412">
        <v>0</v>
      </c>
      <c r="AA1412">
        <v>1188</v>
      </c>
    </row>
    <row r="1413" spans="1:27" x14ac:dyDescent="0.25">
      <c r="H1413" t="s">
        <v>645</v>
      </c>
    </row>
    <row r="1414" spans="1:27" x14ac:dyDescent="0.25">
      <c r="A1414">
        <v>704</v>
      </c>
      <c r="B1414">
        <v>2930</v>
      </c>
      <c r="C1414" t="s">
        <v>2489</v>
      </c>
      <c r="D1414" t="s">
        <v>561</v>
      </c>
      <c r="E1414" t="s">
        <v>2490</v>
      </c>
      <c r="F1414" t="s">
        <v>2491</v>
      </c>
      <c r="G1414" t="str">
        <f>"201406007810"</f>
        <v>201406007810</v>
      </c>
      <c r="H1414" t="s">
        <v>2492</v>
      </c>
      <c r="I1414">
        <v>0</v>
      </c>
      <c r="J1414">
        <v>0</v>
      </c>
      <c r="K1414">
        <v>0</v>
      </c>
      <c r="L1414">
        <v>200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5</v>
      </c>
      <c r="W1414">
        <v>35</v>
      </c>
      <c r="Z1414">
        <v>0</v>
      </c>
      <c r="AA1414" t="s">
        <v>2493</v>
      </c>
    </row>
    <row r="1415" spans="1:27" x14ac:dyDescent="0.25">
      <c r="H1415" t="s">
        <v>38</v>
      </c>
    </row>
    <row r="1416" spans="1:27" x14ac:dyDescent="0.25">
      <c r="A1416">
        <v>705</v>
      </c>
      <c r="B1416">
        <v>2264</v>
      </c>
      <c r="C1416" t="s">
        <v>2494</v>
      </c>
      <c r="D1416" t="s">
        <v>2495</v>
      </c>
      <c r="E1416" t="s">
        <v>158</v>
      </c>
      <c r="F1416" t="s">
        <v>2496</v>
      </c>
      <c r="G1416" t="str">
        <f>"201506003722"</f>
        <v>201506003722</v>
      </c>
      <c r="H1416" t="s">
        <v>2497</v>
      </c>
      <c r="I1416">
        <v>0</v>
      </c>
      <c r="J1416">
        <v>0</v>
      </c>
      <c r="K1416">
        <v>0</v>
      </c>
      <c r="L1416">
        <v>200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2</v>
      </c>
      <c r="W1416">
        <v>14</v>
      </c>
      <c r="Z1416">
        <v>0</v>
      </c>
      <c r="AA1416" t="s">
        <v>2498</v>
      </c>
    </row>
    <row r="1417" spans="1:27" x14ac:dyDescent="0.25">
      <c r="H1417">
        <v>216</v>
      </c>
    </row>
    <row r="1418" spans="1:27" x14ac:dyDescent="0.25">
      <c r="A1418">
        <v>706</v>
      </c>
      <c r="B1418">
        <v>2940</v>
      </c>
      <c r="C1418" t="s">
        <v>2499</v>
      </c>
      <c r="D1418" t="s">
        <v>58</v>
      </c>
      <c r="E1418" t="s">
        <v>85</v>
      </c>
      <c r="F1418" t="s">
        <v>2500</v>
      </c>
      <c r="G1418" t="str">
        <f>"201511034459"</f>
        <v>201511034459</v>
      </c>
      <c r="H1418" t="s">
        <v>1014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70</v>
      </c>
      <c r="O1418">
        <v>0</v>
      </c>
      <c r="P1418">
        <v>50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16</v>
      </c>
      <c r="W1418">
        <v>112</v>
      </c>
      <c r="Z1418">
        <v>0</v>
      </c>
      <c r="AA1418" t="s">
        <v>2501</v>
      </c>
    </row>
    <row r="1419" spans="1:27" x14ac:dyDescent="0.25">
      <c r="H1419" t="s">
        <v>19</v>
      </c>
    </row>
    <row r="1420" spans="1:27" x14ac:dyDescent="0.25">
      <c r="A1420">
        <v>707</v>
      </c>
      <c r="B1420">
        <v>857</v>
      </c>
      <c r="C1420" t="s">
        <v>2502</v>
      </c>
      <c r="D1420" t="s">
        <v>158</v>
      </c>
      <c r="E1420" t="s">
        <v>235</v>
      </c>
      <c r="F1420" t="s">
        <v>2503</v>
      </c>
      <c r="G1420" t="str">
        <f>"201304000860"</f>
        <v>201304000860</v>
      </c>
      <c r="H1420">
        <v>704</v>
      </c>
      <c r="I1420">
        <v>0</v>
      </c>
      <c r="J1420">
        <v>0</v>
      </c>
      <c r="K1420">
        <v>0</v>
      </c>
      <c r="L1420">
        <v>200</v>
      </c>
      <c r="M1420">
        <v>0</v>
      </c>
      <c r="N1420">
        <v>70</v>
      </c>
      <c r="O1420">
        <v>0</v>
      </c>
      <c r="P1420">
        <v>50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23</v>
      </c>
      <c r="W1420">
        <v>161</v>
      </c>
      <c r="Z1420">
        <v>0</v>
      </c>
      <c r="AA1420">
        <v>1185</v>
      </c>
    </row>
    <row r="1421" spans="1:27" x14ac:dyDescent="0.25">
      <c r="H1421" t="s">
        <v>38</v>
      </c>
    </row>
    <row r="1422" spans="1:27" x14ac:dyDescent="0.25">
      <c r="A1422">
        <v>708</v>
      </c>
      <c r="B1422">
        <v>38</v>
      </c>
      <c r="C1422" t="s">
        <v>2504</v>
      </c>
      <c r="D1422" t="s">
        <v>284</v>
      </c>
      <c r="E1422" t="s">
        <v>41</v>
      </c>
      <c r="F1422" t="s">
        <v>2505</v>
      </c>
      <c r="G1422" t="str">
        <f>"00010550"</f>
        <v>00010550</v>
      </c>
      <c r="H1422" t="s">
        <v>322</v>
      </c>
      <c r="I1422">
        <v>0</v>
      </c>
      <c r="J1422">
        <v>0</v>
      </c>
      <c r="K1422">
        <v>0</v>
      </c>
      <c r="L1422">
        <v>200</v>
      </c>
      <c r="M1422">
        <v>0</v>
      </c>
      <c r="N1422">
        <v>70</v>
      </c>
      <c r="O1422">
        <v>0</v>
      </c>
      <c r="P1422">
        <v>50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6</v>
      </c>
      <c r="W1422">
        <v>42</v>
      </c>
      <c r="Z1422">
        <v>0</v>
      </c>
      <c r="AA1422" t="s">
        <v>2506</v>
      </c>
    </row>
    <row r="1423" spans="1:27" x14ac:dyDescent="0.25">
      <c r="H1423" t="s">
        <v>31</v>
      </c>
    </row>
    <row r="1424" spans="1:27" x14ac:dyDescent="0.25">
      <c r="A1424">
        <v>709</v>
      </c>
      <c r="B1424">
        <v>2719</v>
      </c>
      <c r="C1424" t="s">
        <v>2507</v>
      </c>
      <c r="D1424" t="s">
        <v>387</v>
      </c>
      <c r="E1424" t="s">
        <v>70</v>
      </c>
      <c r="F1424" t="s">
        <v>2508</v>
      </c>
      <c r="G1424" t="str">
        <f>"201303000782"</f>
        <v>201303000782</v>
      </c>
      <c r="H1424" t="s">
        <v>510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5</v>
      </c>
      <c r="W1424">
        <v>35</v>
      </c>
      <c r="Z1424">
        <v>0</v>
      </c>
      <c r="AA1424" t="s">
        <v>2509</v>
      </c>
    </row>
    <row r="1425" spans="1:27" x14ac:dyDescent="0.25">
      <c r="H1425" t="s">
        <v>31</v>
      </c>
    </row>
    <row r="1426" spans="1:27" x14ac:dyDescent="0.25">
      <c r="A1426">
        <v>710</v>
      </c>
      <c r="B1426">
        <v>1565</v>
      </c>
      <c r="C1426" t="s">
        <v>2510</v>
      </c>
      <c r="D1426" t="s">
        <v>58</v>
      </c>
      <c r="E1426" t="s">
        <v>158</v>
      </c>
      <c r="F1426" t="s">
        <v>2511</v>
      </c>
      <c r="G1426" t="str">
        <f>"201406009459"</f>
        <v>201406009459</v>
      </c>
      <c r="H1426" t="s">
        <v>410</v>
      </c>
      <c r="I1426">
        <v>0</v>
      </c>
      <c r="J1426">
        <v>0</v>
      </c>
      <c r="K1426">
        <v>0</v>
      </c>
      <c r="L1426">
        <v>200</v>
      </c>
      <c r="M1426">
        <v>0</v>
      </c>
      <c r="N1426">
        <v>70</v>
      </c>
      <c r="O1426">
        <v>70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8</v>
      </c>
      <c r="W1426">
        <v>56</v>
      </c>
      <c r="Z1426">
        <v>0</v>
      </c>
      <c r="AA1426" t="s">
        <v>2512</v>
      </c>
    </row>
    <row r="1427" spans="1:27" x14ac:dyDescent="0.25">
      <c r="H1427" t="s">
        <v>38</v>
      </c>
    </row>
    <row r="1428" spans="1:27" x14ac:dyDescent="0.25">
      <c r="A1428">
        <v>711</v>
      </c>
      <c r="B1428">
        <v>3152</v>
      </c>
      <c r="C1428" t="s">
        <v>2513</v>
      </c>
      <c r="D1428" t="s">
        <v>40</v>
      </c>
      <c r="E1428" t="s">
        <v>85</v>
      </c>
      <c r="F1428" t="s">
        <v>2514</v>
      </c>
      <c r="G1428" t="str">
        <f>"201406002708"</f>
        <v>201406002708</v>
      </c>
      <c r="H1428" t="s">
        <v>2515</v>
      </c>
      <c r="I1428">
        <v>0</v>
      </c>
      <c r="J1428">
        <v>0</v>
      </c>
      <c r="K1428">
        <v>0</v>
      </c>
      <c r="L1428">
        <v>200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36</v>
      </c>
      <c r="W1428">
        <v>252</v>
      </c>
      <c r="Z1428">
        <v>1</v>
      </c>
      <c r="AA1428" t="s">
        <v>2516</v>
      </c>
    </row>
    <row r="1429" spans="1:27" x14ac:dyDescent="0.25">
      <c r="H1429" t="s">
        <v>1098</v>
      </c>
    </row>
    <row r="1430" spans="1:27" x14ac:dyDescent="0.25">
      <c r="A1430">
        <v>712</v>
      </c>
      <c r="B1430">
        <v>2283</v>
      </c>
      <c r="C1430" t="s">
        <v>2517</v>
      </c>
      <c r="D1430" t="s">
        <v>2518</v>
      </c>
      <c r="E1430" t="s">
        <v>158</v>
      </c>
      <c r="F1430" t="s">
        <v>2519</v>
      </c>
      <c r="G1430" t="str">
        <f>"201406003582"</f>
        <v>201406003582</v>
      </c>
      <c r="H1430" t="s">
        <v>897</v>
      </c>
      <c r="I1430">
        <v>0</v>
      </c>
      <c r="J1430">
        <v>0</v>
      </c>
      <c r="K1430">
        <v>0</v>
      </c>
      <c r="L1430">
        <v>200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31</v>
      </c>
      <c r="W1430">
        <v>217</v>
      </c>
      <c r="Z1430">
        <v>0</v>
      </c>
      <c r="AA1430" t="s">
        <v>2520</v>
      </c>
    </row>
    <row r="1431" spans="1:27" x14ac:dyDescent="0.25">
      <c r="H1431" t="s">
        <v>223</v>
      </c>
    </row>
    <row r="1432" spans="1:27" x14ac:dyDescent="0.25">
      <c r="A1432">
        <v>713</v>
      </c>
      <c r="B1432">
        <v>156</v>
      </c>
      <c r="C1432" t="s">
        <v>2521</v>
      </c>
      <c r="D1432" t="s">
        <v>2522</v>
      </c>
      <c r="E1432" t="s">
        <v>1085</v>
      </c>
      <c r="F1432" t="s">
        <v>2523</v>
      </c>
      <c r="G1432" t="str">
        <f>"201511015886"</f>
        <v>201511015886</v>
      </c>
      <c r="H1432">
        <v>781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70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18</v>
      </c>
      <c r="W1432">
        <v>126</v>
      </c>
      <c r="Z1432">
        <v>0</v>
      </c>
      <c r="AA1432">
        <v>1177</v>
      </c>
    </row>
    <row r="1433" spans="1:27" x14ac:dyDescent="0.25">
      <c r="H1433" t="s">
        <v>223</v>
      </c>
    </row>
    <row r="1434" spans="1:27" x14ac:dyDescent="0.25">
      <c r="A1434">
        <v>714</v>
      </c>
      <c r="B1434">
        <v>2681</v>
      </c>
      <c r="C1434" t="s">
        <v>2524</v>
      </c>
      <c r="D1434" t="s">
        <v>225</v>
      </c>
      <c r="E1434" t="s">
        <v>14</v>
      </c>
      <c r="F1434" t="s">
        <v>2525</v>
      </c>
      <c r="G1434" t="str">
        <f>"201506001248"</f>
        <v>201506001248</v>
      </c>
      <c r="H1434" t="s">
        <v>315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52</v>
      </c>
      <c r="W1434">
        <v>364</v>
      </c>
      <c r="Z1434">
        <v>0</v>
      </c>
      <c r="AA1434" t="s">
        <v>2526</v>
      </c>
    </row>
    <row r="1435" spans="1:27" x14ac:dyDescent="0.25">
      <c r="H1435" t="s">
        <v>78</v>
      </c>
    </row>
    <row r="1436" spans="1:27" x14ac:dyDescent="0.25">
      <c r="A1436">
        <v>715</v>
      </c>
      <c r="B1436">
        <v>2553</v>
      </c>
      <c r="C1436" t="s">
        <v>2527</v>
      </c>
      <c r="D1436" t="s">
        <v>1138</v>
      </c>
      <c r="E1436" t="s">
        <v>2528</v>
      </c>
      <c r="F1436" t="s">
        <v>2529</v>
      </c>
      <c r="G1436" t="str">
        <f>"201408000054"</f>
        <v>201408000054</v>
      </c>
      <c r="H1436" t="s">
        <v>1622</v>
      </c>
      <c r="I1436">
        <v>0</v>
      </c>
      <c r="J1436">
        <v>0</v>
      </c>
      <c r="K1436">
        <v>0</v>
      </c>
      <c r="L1436">
        <v>0</v>
      </c>
      <c r="M1436">
        <v>100</v>
      </c>
      <c r="N1436">
        <v>50</v>
      </c>
      <c r="O1436">
        <v>30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21</v>
      </c>
      <c r="W1436">
        <v>147</v>
      </c>
      <c r="Z1436">
        <v>0</v>
      </c>
      <c r="AA1436" t="s">
        <v>2530</v>
      </c>
    </row>
    <row r="1437" spans="1:27" x14ac:dyDescent="0.25">
      <c r="H1437" t="s">
        <v>2531</v>
      </c>
    </row>
    <row r="1438" spans="1:27" x14ac:dyDescent="0.25">
      <c r="A1438">
        <v>716</v>
      </c>
      <c r="B1438">
        <v>1071</v>
      </c>
      <c r="C1438" t="s">
        <v>715</v>
      </c>
      <c r="D1438" t="s">
        <v>2532</v>
      </c>
      <c r="E1438" t="s">
        <v>85</v>
      </c>
      <c r="F1438" t="s">
        <v>2533</v>
      </c>
      <c r="G1438" t="str">
        <f>"201402008354"</f>
        <v>201402008354</v>
      </c>
      <c r="H1438" t="s">
        <v>976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70</v>
      </c>
      <c r="V1438">
        <v>42</v>
      </c>
      <c r="W1438">
        <v>294</v>
      </c>
      <c r="Z1438">
        <v>0</v>
      </c>
      <c r="AA1438" t="s">
        <v>2534</v>
      </c>
    </row>
    <row r="1439" spans="1:27" x14ac:dyDescent="0.25">
      <c r="H1439" t="s">
        <v>106</v>
      </c>
    </row>
    <row r="1440" spans="1:27" x14ac:dyDescent="0.25">
      <c r="A1440">
        <v>717</v>
      </c>
      <c r="B1440">
        <v>416</v>
      </c>
      <c r="C1440" t="s">
        <v>2535</v>
      </c>
      <c r="D1440" t="s">
        <v>219</v>
      </c>
      <c r="E1440" t="s">
        <v>41</v>
      </c>
      <c r="F1440" t="s">
        <v>2536</v>
      </c>
      <c r="G1440" t="str">
        <f>"201406015538"</f>
        <v>201406015538</v>
      </c>
      <c r="H1440" t="s">
        <v>269</v>
      </c>
      <c r="I1440">
        <v>0</v>
      </c>
      <c r="J1440">
        <v>0</v>
      </c>
      <c r="K1440">
        <v>0</v>
      </c>
      <c r="L1440">
        <v>200</v>
      </c>
      <c r="M1440">
        <v>0</v>
      </c>
      <c r="N1440">
        <v>70</v>
      </c>
      <c r="O1440">
        <v>0</v>
      </c>
      <c r="P1440">
        <v>30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17</v>
      </c>
      <c r="W1440">
        <v>119</v>
      </c>
      <c r="Z1440">
        <v>0</v>
      </c>
      <c r="AA1440" t="s">
        <v>2537</v>
      </c>
    </row>
    <row r="1441" spans="1:27" x14ac:dyDescent="0.25">
      <c r="H1441" t="s">
        <v>31</v>
      </c>
    </row>
    <row r="1442" spans="1:27" x14ac:dyDescent="0.25">
      <c r="A1442">
        <v>718</v>
      </c>
      <c r="B1442">
        <v>337</v>
      </c>
      <c r="C1442" t="s">
        <v>2538</v>
      </c>
      <c r="D1442" t="s">
        <v>647</v>
      </c>
      <c r="E1442" t="s">
        <v>85</v>
      </c>
      <c r="F1442" t="s">
        <v>2539</v>
      </c>
      <c r="G1442" t="str">
        <f>"201410010418"</f>
        <v>201410010418</v>
      </c>
      <c r="H1442" t="s">
        <v>657</v>
      </c>
      <c r="I1442">
        <v>150</v>
      </c>
      <c r="J1442">
        <v>0</v>
      </c>
      <c r="K1442">
        <v>0</v>
      </c>
      <c r="L1442">
        <v>200</v>
      </c>
      <c r="M1442">
        <v>0</v>
      </c>
      <c r="N1442">
        <v>70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Z1442">
        <v>0</v>
      </c>
      <c r="AA1442" t="s">
        <v>2540</v>
      </c>
    </row>
    <row r="1443" spans="1:27" x14ac:dyDescent="0.25">
      <c r="H1443" t="s">
        <v>2541</v>
      </c>
    </row>
    <row r="1444" spans="1:27" x14ac:dyDescent="0.25">
      <c r="A1444">
        <v>719</v>
      </c>
      <c r="B1444">
        <v>963</v>
      </c>
      <c r="C1444" t="s">
        <v>1678</v>
      </c>
      <c r="D1444" t="s">
        <v>219</v>
      </c>
      <c r="E1444" t="s">
        <v>225</v>
      </c>
      <c r="F1444" t="s">
        <v>2542</v>
      </c>
      <c r="G1444" t="str">
        <f>"201406003309"</f>
        <v>201406003309</v>
      </c>
      <c r="H1444">
        <v>792</v>
      </c>
      <c r="I1444">
        <v>0</v>
      </c>
      <c r="J1444">
        <v>0</v>
      </c>
      <c r="K1444">
        <v>0</v>
      </c>
      <c r="L1444">
        <v>260</v>
      </c>
      <c r="M1444">
        <v>0</v>
      </c>
      <c r="N1444">
        <v>70</v>
      </c>
      <c r="O1444">
        <v>50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Z1444">
        <v>0</v>
      </c>
      <c r="AA1444">
        <v>1172</v>
      </c>
    </row>
    <row r="1445" spans="1:27" x14ac:dyDescent="0.25">
      <c r="H1445" t="s">
        <v>49</v>
      </c>
    </row>
    <row r="1446" spans="1:27" x14ac:dyDescent="0.25">
      <c r="A1446">
        <v>720</v>
      </c>
      <c r="B1446">
        <v>2845</v>
      </c>
      <c r="C1446" t="s">
        <v>882</v>
      </c>
      <c r="D1446" t="s">
        <v>2543</v>
      </c>
      <c r="E1446" t="s">
        <v>123</v>
      </c>
      <c r="F1446" t="s">
        <v>2544</v>
      </c>
      <c r="G1446" t="str">
        <f>"201512002546"</f>
        <v>201512002546</v>
      </c>
      <c r="H1446" t="s">
        <v>1004</v>
      </c>
      <c r="I1446">
        <v>150</v>
      </c>
      <c r="J1446">
        <v>0</v>
      </c>
      <c r="K1446">
        <v>0</v>
      </c>
      <c r="L1446">
        <v>200</v>
      </c>
      <c r="M1446">
        <v>0</v>
      </c>
      <c r="N1446">
        <v>70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Z1446">
        <v>0</v>
      </c>
      <c r="AA1446" t="s">
        <v>2545</v>
      </c>
    </row>
    <row r="1447" spans="1:27" x14ac:dyDescent="0.25">
      <c r="H1447" t="s">
        <v>31</v>
      </c>
    </row>
    <row r="1448" spans="1:27" x14ac:dyDescent="0.25">
      <c r="A1448">
        <v>721</v>
      </c>
      <c r="B1448">
        <v>2591</v>
      </c>
      <c r="C1448" t="s">
        <v>2546</v>
      </c>
      <c r="D1448" t="s">
        <v>151</v>
      </c>
      <c r="E1448" t="s">
        <v>225</v>
      </c>
      <c r="F1448" t="s">
        <v>2547</v>
      </c>
      <c r="G1448" t="str">
        <f>"201406013534"</f>
        <v>201406013534</v>
      </c>
      <c r="H1448" t="s">
        <v>191</v>
      </c>
      <c r="I1448">
        <v>0</v>
      </c>
      <c r="J1448">
        <v>0</v>
      </c>
      <c r="K1448">
        <v>0</v>
      </c>
      <c r="L1448">
        <v>200</v>
      </c>
      <c r="M1448">
        <v>0</v>
      </c>
      <c r="N1448">
        <v>70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11</v>
      </c>
      <c r="W1448">
        <v>77</v>
      </c>
      <c r="Z1448">
        <v>0</v>
      </c>
      <c r="AA1448" t="s">
        <v>2548</v>
      </c>
    </row>
    <row r="1449" spans="1:27" x14ac:dyDescent="0.25">
      <c r="H1449" t="s">
        <v>1098</v>
      </c>
    </row>
    <row r="1450" spans="1:27" x14ac:dyDescent="0.25">
      <c r="A1450">
        <v>722</v>
      </c>
      <c r="B1450">
        <v>154</v>
      </c>
      <c r="C1450" t="s">
        <v>2549</v>
      </c>
      <c r="D1450" t="s">
        <v>1737</v>
      </c>
      <c r="E1450" t="s">
        <v>235</v>
      </c>
      <c r="F1450" t="s">
        <v>2550</v>
      </c>
      <c r="G1450" t="str">
        <f>"201409002385"</f>
        <v>201409002385</v>
      </c>
      <c r="H1450" t="s">
        <v>1350</v>
      </c>
      <c r="I1450">
        <v>0</v>
      </c>
      <c r="J1450">
        <v>0</v>
      </c>
      <c r="K1450">
        <v>0</v>
      </c>
      <c r="L1450">
        <v>200</v>
      </c>
      <c r="M1450">
        <v>0</v>
      </c>
      <c r="N1450">
        <v>70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36</v>
      </c>
      <c r="W1450">
        <v>252</v>
      </c>
      <c r="Z1450">
        <v>0</v>
      </c>
      <c r="AA1450" t="s">
        <v>2551</v>
      </c>
    </row>
    <row r="1451" spans="1:27" x14ac:dyDescent="0.25">
      <c r="H1451" t="s">
        <v>38</v>
      </c>
    </row>
    <row r="1452" spans="1:27" x14ac:dyDescent="0.25">
      <c r="A1452">
        <v>723</v>
      </c>
      <c r="B1452">
        <v>407</v>
      </c>
      <c r="C1452" t="s">
        <v>2552</v>
      </c>
      <c r="D1452" t="s">
        <v>538</v>
      </c>
      <c r="E1452" t="s">
        <v>158</v>
      </c>
      <c r="F1452" t="s">
        <v>2553</v>
      </c>
      <c r="G1452" t="str">
        <f>"201303000820"</f>
        <v>201303000820</v>
      </c>
      <c r="H1452" t="s">
        <v>2554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Z1452">
        <v>0</v>
      </c>
      <c r="AA1452" t="s">
        <v>2551</v>
      </c>
    </row>
    <row r="1453" spans="1:27" x14ac:dyDescent="0.25">
      <c r="H1453">
        <v>215</v>
      </c>
    </row>
    <row r="1454" spans="1:27" x14ac:dyDescent="0.25">
      <c r="A1454">
        <v>724</v>
      </c>
      <c r="B1454">
        <v>1573</v>
      </c>
      <c r="C1454" t="s">
        <v>2555</v>
      </c>
      <c r="D1454" t="s">
        <v>64</v>
      </c>
      <c r="E1454" t="s">
        <v>383</v>
      </c>
      <c r="F1454" t="s">
        <v>2556</v>
      </c>
      <c r="G1454" t="str">
        <f>"201406004676"</f>
        <v>201406004676</v>
      </c>
      <c r="H1454">
        <v>715</v>
      </c>
      <c r="I1454">
        <v>0</v>
      </c>
      <c r="J1454">
        <v>0</v>
      </c>
      <c r="K1454">
        <v>0</v>
      </c>
      <c r="L1454">
        <v>200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32</v>
      </c>
      <c r="W1454">
        <v>224</v>
      </c>
      <c r="Z1454">
        <v>0</v>
      </c>
      <c r="AA1454">
        <v>1169</v>
      </c>
    </row>
    <row r="1455" spans="1:27" x14ac:dyDescent="0.25">
      <c r="H1455" t="s">
        <v>926</v>
      </c>
    </row>
    <row r="1456" spans="1:27" x14ac:dyDescent="0.25">
      <c r="A1456">
        <v>725</v>
      </c>
      <c r="B1456">
        <v>2350</v>
      </c>
      <c r="C1456" t="s">
        <v>2557</v>
      </c>
      <c r="D1456" t="s">
        <v>114</v>
      </c>
      <c r="E1456" t="s">
        <v>64</v>
      </c>
      <c r="F1456" t="s">
        <v>2558</v>
      </c>
      <c r="G1456" t="str">
        <f>"201406002542"</f>
        <v>201406002542</v>
      </c>
      <c r="H1456">
        <v>803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42</v>
      </c>
      <c r="W1456">
        <v>294</v>
      </c>
      <c r="Z1456">
        <v>1</v>
      </c>
      <c r="AA1456">
        <v>1167</v>
      </c>
    </row>
    <row r="1457" spans="1:27" x14ac:dyDescent="0.25">
      <c r="H1457" t="s">
        <v>78</v>
      </c>
    </row>
    <row r="1458" spans="1:27" x14ac:dyDescent="0.25">
      <c r="A1458">
        <v>726</v>
      </c>
      <c r="B1458">
        <v>2003</v>
      </c>
      <c r="C1458" t="s">
        <v>2559</v>
      </c>
      <c r="D1458" t="s">
        <v>347</v>
      </c>
      <c r="E1458" t="s">
        <v>1085</v>
      </c>
      <c r="F1458" t="s">
        <v>2560</v>
      </c>
      <c r="G1458" t="str">
        <f>"200801008209"</f>
        <v>200801008209</v>
      </c>
      <c r="H1458" t="s">
        <v>1466</v>
      </c>
      <c r="I1458">
        <v>0</v>
      </c>
      <c r="J1458">
        <v>0</v>
      </c>
      <c r="K1458">
        <v>200</v>
      </c>
      <c r="L1458">
        <v>200</v>
      </c>
      <c r="M1458">
        <v>0</v>
      </c>
      <c r="N1458">
        <v>50</v>
      </c>
      <c r="O1458">
        <v>70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Z1458">
        <v>0</v>
      </c>
      <c r="AA1458" t="s">
        <v>2561</v>
      </c>
    </row>
    <row r="1459" spans="1:27" x14ac:dyDescent="0.25">
      <c r="H1459" t="s">
        <v>106</v>
      </c>
    </row>
    <row r="1460" spans="1:27" x14ac:dyDescent="0.25">
      <c r="A1460">
        <v>727</v>
      </c>
      <c r="B1460">
        <v>2963</v>
      </c>
      <c r="C1460" t="s">
        <v>2562</v>
      </c>
      <c r="D1460" t="s">
        <v>45</v>
      </c>
      <c r="E1460" t="s">
        <v>41</v>
      </c>
      <c r="F1460" t="s">
        <v>2563</v>
      </c>
      <c r="G1460" t="str">
        <f>"201409006214"</f>
        <v>201409006214</v>
      </c>
      <c r="H1460" t="s">
        <v>563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70</v>
      </c>
      <c r="O1460">
        <v>50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Z1460">
        <v>0</v>
      </c>
      <c r="AA1460" t="s">
        <v>2564</v>
      </c>
    </row>
    <row r="1461" spans="1:27" x14ac:dyDescent="0.25">
      <c r="H1461">
        <v>215</v>
      </c>
    </row>
    <row r="1462" spans="1:27" x14ac:dyDescent="0.25">
      <c r="A1462">
        <v>728</v>
      </c>
      <c r="B1462">
        <v>3214</v>
      </c>
      <c r="C1462" t="s">
        <v>2565</v>
      </c>
      <c r="D1462" t="s">
        <v>194</v>
      </c>
      <c r="E1462" t="s">
        <v>189</v>
      </c>
      <c r="F1462" t="s">
        <v>2566</v>
      </c>
      <c r="G1462" t="str">
        <f>"00014242"</f>
        <v>00014242</v>
      </c>
      <c r="H1462" t="s">
        <v>563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70</v>
      </c>
      <c r="O1462">
        <v>50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Z1462">
        <v>0</v>
      </c>
      <c r="AA1462" t="s">
        <v>2564</v>
      </c>
    </row>
    <row r="1463" spans="1:27" x14ac:dyDescent="0.25">
      <c r="H1463" t="s">
        <v>317</v>
      </c>
    </row>
    <row r="1464" spans="1:27" x14ac:dyDescent="0.25">
      <c r="A1464">
        <v>729</v>
      </c>
      <c r="B1464">
        <v>177</v>
      </c>
      <c r="C1464" t="s">
        <v>2567</v>
      </c>
      <c r="D1464" t="s">
        <v>2568</v>
      </c>
      <c r="E1464" t="s">
        <v>2569</v>
      </c>
      <c r="F1464" t="s">
        <v>2570</v>
      </c>
      <c r="G1464" t="str">
        <f>"201306000032"</f>
        <v>201306000032</v>
      </c>
      <c r="H1464" t="s">
        <v>2571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70</v>
      </c>
      <c r="T1464">
        <v>0</v>
      </c>
      <c r="U1464">
        <v>0</v>
      </c>
      <c r="V1464">
        <v>5</v>
      </c>
      <c r="W1464">
        <v>35</v>
      </c>
      <c r="Z1464">
        <v>0</v>
      </c>
      <c r="AA1464" t="s">
        <v>2572</v>
      </c>
    </row>
    <row r="1465" spans="1:27" x14ac:dyDescent="0.25">
      <c r="H1465">
        <v>215</v>
      </c>
    </row>
    <row r="1466" spans="1:27" x14ac:dyDescent="0.25">
      <c r="A1466">
        <v>730</v>
      </c>
      <c r="B1466">
        <v>3126</v>
      </c>
      <c r="C1466" t="s">
        <v>2573</v>
      </c>
      <c r="D1466" t="s">
        <v>2574</v>
      </c>
      <c r="E1466" t="s">
        <v>875</v>
      </c>
      <c r="F1466" t="s">
        <v>2575</v>
      </c>
      <c r="G1466" t="str">
        <f>"201406001298"</f>
        <v>201406001298</v>
      </c>
      <c r="H1466">
        <v>748</v>
      </c>
      <c r="I1466">
        <v>0</v>
      </c>
      <c r="J1466">
        <v>0</v>
      </c>
      <c r="K1466">
        <v>0</v>
      </c>
      <c r="L1466">
        <v>200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21</v>
      </c>
      <c r="W1466">
        <v>147</v>
      </c>
      <c r="Z1466">
        <v>0</v>
      </c>
      <c r="AA1466">
        <v>1165</v>
      </c>
    </row>
    <row r="1467" spans="1:27" x14ac:dyDescent="0.25">
      <c r="H1467" t="s">
        <v>223</v>
      </c>
    </row>
    <row r="1468" spans="1:27" x14ac:dyDescent="0.25">
      <c r="A1468">
        <v>731</v>
      </c>
      <c r="B1468">
        <v>1518</v>
      </c>
      <c r="C1468" t="s">
        <v>2576</v>
      </c>
      <c r="D1468" t="s">
        <v>533</v>
      </c>
      <c r="E1468" t="s">
        <v>41</v>
      </c>
      <c r="F1468" t="s">
        <v>2577</v>
      </c>
      <c r="G1468" t="str">
        <f>"00012258"</f>
        <v>00012258</v>
      </c>
      <c r="H1468" t="s">
        <v>1014</v>
      </c>
      <c r="I1468">
        <v>0</v>
      </c>
      <c r="J1468">
        <v>0</v>
      </c>
      <c r="K1468">
        <v>0</v>
      </c>
      <c r="L1468">
        <v>200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20</v>
      </c>
      <c r="W1468">
        <v>140</v>
      </c>
      <c r="Z1468">
        <v>0</v>
      </c>
      <c r="AA1468" t="s">
        <v>2578</v>
      </c>
    </row>
    <row r="1469" spans="1:27" x14ac:dyDescent="0.25">
      <c r="H1469" t="s">
        <v>38</v>
      </c>
    </row>
    <row r="1470" spans="1:27" x14ac:dyDescent="0.25">
      <c r="A1470">
        <v>732</v>
      </c>
      <c r="B1470">
        <v>2420</v>
      </c>
      <c r="C1470" t="s">
        <v>2579</v>
      </c>
      <c r="D1470" t="s">
        <v>45</v>
      </c>
      <c r="E1470" t="s">
        <v>225</v>
      </c>
      <c r="F1470" t="s">
        <v>2580</v>
      </c>
      <c r="G1470" t="str">
        <f>"00011879"</f>
        <v>00011879</v>
      </c>
      <c r="H1470" t="s">
        <v>2581</v>
      </c>
      <c r="I1470">
        <v>0</v>
      </c>
      <c r="J1470">
        <v>0</v>
      </c>
      <c r="K1470">
        <v>0</v>
      </c>
      <c r="L1470">
        <v>0</v>
      </c>
      <c r="M1470">
        <v>100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Z1470">
        <v>0</v>
      </c>
      <c r="AA1470" t="s">
        <v>2582</v>
      </c>
    </row>
    <row r="1471" spans="1:27" x14ac:dyDescent="0.25">
      <c r="H1471" t="s">
        <v>38</v>
      </c>
    </row>
    <row r="1472" spans="1:27" x14ac:dyDescent="0.25">
      <c r="A1472">
        <v>733</v>
      </c>
      <c r="B1472">
        <v>1729</v>
      </c>
      <c r="C1472" t="s">
        <v>2583</v>
      </c>
      <c r="D1472" t="s">
        <v>319</v>
      </c>
      <c r="E1472" t="s">
        <v>64</v>
      </c>
      <c r="F1472" t="s">
        <v>2584</v>
      </c>
      <c r="G1472" t="str">
        <f>"201402000094"</f>
        <v>201402000094</v>
      </c>
      <c r="H1472" t="s">
        <v>1101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64</v>
      </c>
      <c r="W1472">
        <v>448</v>
      </c>
      <c r="Z1472">
        <v>1</v>
      </c>
      <c r="AA1472" t="s">
        <v>2582</v>
      </c>
    </row>
    <row r="1473" spans="1:27" x14ac:dyDescent="0.25">
      <c r="H1473" t="s">
        <v>25</v>
      </c>
    </row>
    <row r="1474" spans="1:27" x14ac:dyDescent="0.25">
      <c r="A1474">
        <v>734</v>
      </c>
      <c r="B1474">
        <v>1336</v>
      </c>
      <c r="C1474" t="s">
        <v>2585</v>
      </c>
      <c r="D1474" t="s">
        <v>2012</v>
      </c>
      <c r="E1474" t="s">
        <v>1187</v>
      </c>
      <c r="F1474" t="s">
        <v>2586</v>
      </c>
      <c r="G1474" t="str">
        <f>"201406008713"</f>
        <v>201406008713</v>
      </c>
      <c r="H1474" t="s">
        <v>1996</v>
      </c>
      <c r="I1474">
        <v>150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30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38</v>
      </c>
      <c r="W1474">
        <v>266</v>
      </c>
      <c r="Z1474">
        <v>0</v>
      </c>
      <c r="AA1474" t="s">
        <v>2587</v>
      </c>
    </row>
    <row r="1475" spans="1:27" x14ac:dyDescent="0.25">
      <c r="H1475" t="s">
        <v>645</v>
      </c>
    </row>
    <row r="1476" spans="1:27" x14ac:dyDescent="0.25">
      <c r="A1476">
        <v>735</v>
      </c>
      <c r="B1476">
        <v>2668</v>
      </c>
      <c r="C1476" t="s">
        <v>2588</v>
      </c>
      <c r="D1476" t="s">
        <v>235</v>
      </c>
      <c r="E1476" t="s">
        <v>85</v>
      </c>
      <c r="F1476" t="s">
        <v>2589</v>
      </c>
      <c r="G1476" t="str">
        <f>"201409000880"</f>
        <v>201409000880</v>
      </c>
      <c r="H1476" t="s">
        <v>811</v>
      </c>
      <c r="I1476">
        <v>0</v>
      </c>
      <c r="J1476">
        <v>0</v>
      </c>
      <c r="K1476">
        <v>0</v>
      </c>
      <c r="L1476">
        <v>200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22</v>
      </c>
      <c r="W1476">
        <v>154</v>
      </c>
      <c r="Z1476">
        <v>0</v>
      </c>
      <c r="AA1476" t="s">
        <v>2590</v>
      </c>
    </row>
    <row r="1477" spans="1:27" x14ac:dyDescent="0.25">
      <c r="H1477" t="s">
        <v>19</v>
      </c>
    </row>
    <row r="1478" spans="1:27" x14ac:dyDescent="0.25">
      <c r="A1478">
        <v>736</v>
      </c>
      <c r="B1478">
        <v>2084</v>
      </c>
      <c r="C1478" t="s">
        <v>2591</v>
      </c>
      <c r="D1478" t="s">
        <v>647</v>
      </c>
      <c r="E1478" t="s">
        <v>14</v>
      </c>
      <c r="F1478" t="s">
        <v>2592</v>
      </c>
      <c r="G1478" t="str">
        <f>"00001920"</f>
        <v>00001920</v>
      </c>
      <c r="H1478" t="s">
        <v>315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55</v>
      </c>
      <c r="W1478">
        <v>385</v>
      </c>
      <c r="Z1478">
        <v>0</v>
      </c>
      <c r="AA1478" t="s">
        <v>2593</v>
      </c>
    </row>
    <row r="1479" spans="1:27" x14ac:dyDescent="0.25">
      <c r="H1479" t="s">
        <v>2531</v>
      </c>
    </row>
    <row r="1480" spans="1:27" x14ac:dyDescent="0.25">
      <c r="A1480">
        <v>737</v>
      </c>
      <c r="B1480">
        <v>18</v>
      </c>
      <c r="C1480" t="s">
        <v>2594</v>
      </c>
      <c r="D1480" t="s">
        <v>85</v>
      </c>
      <c r="E1480" t="s">
        <v>2595</v>
      </c>
      <c r="F1480" t="s">
        <v>2596</v>
      </c>
      <c r="G1480" t="str">
        <f>"00002034"</f>
        <v>00002034</v>
      </c>
      <c r="H1480" t="s">
        <v>1391</v>
      </c>
      <c r="I1480">
        <v>0</v>
      </c>
      <c r="J1480">
        <v>0</v>
      </c>
      <c r="K1480">
        <v>0</v>
      </c>
      <c r="L1480">
        <v>200</v>
      </c>
      <c r="M1480">
        <v>0</v>
      </c>
      <c r="N1480">
        <v>30</v>
      </c>
      <c r="O1480">
        <v>50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19</v>
      </c>
      <c r="W1480">
        <v>133</v>
      </c>
      <c r="Z1480">
        <v>2</v>
      </c>
      <c r="AA1480" t="s">
        <v>2597</v>
      </c>
    </row>
    <row r="1481" spans="1:27" x14ac:dyDescent="0.25">
      <c r="H1481" t="s">
        <v>31</v>
      </c>
    </row>
    <row r="1482" spans="1:27" x14ac:dyDescent="0.25">
      <c r="A1482">
        <v>738</v>
      </c>
      <c r="B1482">
        <v>556</v>
      </c>
      <c r="C1482" t="s">
        <v>2598</v>
      </c>
      <c r="D1482" t="s">
        <v>40</v>
      </c>
      <c r="E1482" t="s">
        <v>753</v>
      </c>
      <c r="F1482" t="s">
        <v>2599</v>
      </c>
      <c r="G1482" t="str">
        <f>"201412005275"</f>
        <v>201412005275</v>
      </c>
      <c r="H1482" t="s">
        <v>286</v>
      </c>
      <c r="I1482">
        <v>0</v>
      </c>
      <c r="J1482">
        <v>0</v>
      </c>
      <c r="K1482">
        <v>0</v>
      </c>
      <c r="L1482">
        <v>200</v>
      </c>
      <c r="M1482">
        <v>0</v>
      </c>
      <c r="N1482">
        <v>70</v>
      </c>
      <c r="O1482">
        <v>0</v>
      </c>
      <c r="P1482">
        <v>0</v>
      </c>
      <c r="Q1482">
        <v>0</v>
      </c>
      <c r="R1482">
        <v>50</v>
      </c>
      <c r="S1482">
        <v>0</v>
      </c>
      <c r="T1482">
        <v>30</v>
      </c>
      <c r="U1482">
        <v>0</v>
      </c>
      <c r="V1482">
        <v>0</v>
      </c>
      <c r="W1482">
        <v>0</v>
      </c>
      <c r="Z1482">
        <v>1</v>
      </c>
      <c r="AA1482" t="s">
        <v>2600</v>
      </c>
    </row>
    <row r="1483" spans="1:27" x14ac:dyDescent="0.25">
      <c r="H1483" t="s">
        <v>38</v>
      </c>
    </row>
    <row r="1484" spans="1:27" x14ac:dyDescent="0.25">
      <c r="A1484">
        <v>739</v>
      </c>
      <c r="B1484">
        <v>491</v>
      </c>
      <c r="C1484" t="s">
        <v>2601</v>
      </c>
      <c r="D1484" t="s">
        <v>2602</v>
      </c>
      <c r="E1484" t="s">
        <v>41</v>
      </c>
      <c r="F1484" t="s">
        <v>2603</v>
      </c>
      <c r="G1484" t="str">
        <f>"201412001635"</f>
        <v>201412001635</v>
      </c>
      <c r="H1484" t="s">
        <v>950</v>
      </c>
      <c r="I1484">
        <v>0</v>
      </c>
      <c r="J1484">
        <v>0</v>
      </c>
      <c r="K1484">
        <v>0</v>
      </c>
      <c r="L1484">
        <v>200</v>
      </c>
      <c r="M1484">
        <v>0</v>
      </c>
      <c r="N1484">
        <v>70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24</v>
      </c>
      <c r="W1484">
        <v>168</v>
      </c>
      <c r="Z1484">
        <v>0</v>
      </c>
      <c r="AA1484" t="s">
        <v>2600</v>
      </c>
    </row>
    <row r="1485" spans="1:27" x14ac:dyDescent="0.25">
      <c r="H1485">
        <v>216</v>
      </c>
    </row>
    <row r="1486" spans="1:27" x14ac:dyDescent="0.25">
      <c r="A1486">
        <v>740</v>
      </c>
      <c r="B1486">
        <v>2132</v>
      </c>
      <c r="C1486" t="s">
        <v>2604</v>
      </c>
      <c r="D1486" t="s">
        <v>490</v>
      </c>
      <c r="E1486" t="s">
        <v>235</v>
      </c>
      <c r="F1486" t="s">
        <v>2605</v>
      </c>
      <c r="G1486" t="str">
        <f>"201504004060"</f>
        <v>201504004060</v>
      </c>
      <c r="H1486" t="s">
        <v>526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30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23</v>
      </c>
      <c r="W1486">
        <v>161</v>
      </c>
      <c r="Z1486">
        <v>0</v>
      </c>
      <c r="AA1486" t="s">
        <v>2606</v>
      </c>
    </row>
    <row r="1487" spans="1:27" x14ac:dyDescent="0.25">
      <c r="H1487">
        <v>215</v>
      </c>
    </row>
    <row r="1488" spans="1:27" x14ac:dyDescent="0.25">
      <c r="A1488">
        <v>741</v>
      </c>
      <c r="B1488">
        <v>1498</v>
      </c>
      <c r="C1488" t="s">
        <v>2607</v>
      </c>
      <c r="D1488" t="s">
        <v>1085</v>
      </c>
      <c r="E1488" t="s">
        <v>158</v>
      </c>
      <c r="F1488" t="s">
        <v>2608</v>
      </c>
      <c r="G1488" t="str">
        <f>"00009787"</f>
        <v>00009787</v>
      </c>
      <c r="H1488" t="s">
        <v>197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24</v>
      </c>
      <c r="W1488">
        <v>168</v>
      </c>
      <c r="Z1488">
        <v>0</v>
      </c>
      <c r="AA1488" t="s">
        <v>2609</v>
      </c>
    </row>
    <row r="1489" spans="1:27" x14ac:dyDescent="0.25">
      <c r="H1489" t="s">
        <v>926</v>
      </c>
    </row>
    <row r="1490" spans="1:27" x14ac:dyDescent="0.25">
      <c r="A1490">
        <v>742</v>
      </c>
      <c r="B1490">
        <v>881</v>
      </c>
      <c r="C1490" t="s">
        <v>2610</v>
      </c>
      <c r="D1490" t="s">
        <v>41</v>
      </c>
      <c r="E1490" t="s">
        <v>225</v>
      </c>
      <c r="F1490" t="s">
        <v>2611</v>
      </c>
      <c r="G1490" t="str">
        <f>"201304003627"</f>
        <v>201304003627</v>
      </c>
      <c r="H1490" t="s">
        <v>824</v>
      </c>
      <c r="I1490">
        <v>0</v>
      </c>
      <c r="J1490">
        <v>0</v>
      </c>
      <c r="K1490">
        <v>0</v>
      </c>
      <c r="L1490">
        <v>200</v>
      </c>
      <c r="M1490">
        <v>0</v>
      </c>
      <c r="N1490">
        <v>70</v>
      </c>
      <c r="O1490">
        <v>30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13</v>
      </c>
      <c r="W1490">
        <v>91</v>
      </c>
      <c r="Z1490">
        <v>0</v>
      </c>
      <c r="AA1490" t="s">
        <v>2612</v>
      </c>
    </row>
    <row r="1491" spans="1:27" x14ac:dyDescent="0.25">
      <c r="H1491" t="s">
        <v>19</v>
      </c>
    </row>
    <row r="1492" spans="1:27" x14ac:dyDescent="0.25">
      <c r="A1492">
        <v>743</v>
      </c>
      <c r="B1492">
        <v>2941</v>
      </c>
      <c r="C1492" t="s">
        <v>2613</v>
      </c>
      <c r="D1492" t="s">
        <v>2614</v>
      </c>
      <c r="E1492" t="s">
        <v>284</v>
      </c>
      <c r="F1492" t="s">
        <v>2615</v>
      </c>
      <c r="G1492" t="str">
        <f>"201410002457"</f>
        <v>201410002457</v>
      </c>
      <c r="H1492">
        <v>748</v>
      </c>
      <c r="I1492">
        <v>0</v>
      </c>
      <c r="J1492">
        <v>0</v>
      </c>
      <c r="K1492">
        <v>0</v>
      </c>
      <c r="L1492">
        <v>200</v>
      </c>
      <c r="M1492">
        <v>0</v>
      </c>
      <c r="N1492">
        <v>50</v>
      </c>
      <c r="O1492">
        <v>0</v>
      </c>
      <c r="P1492">
        <v>30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18</v>
      </c>
      <c r="W1492">
        <v>126</v>
      </c>
      <c r="Z1492">
        <v>0</v>
      </c>
      <c r="AA1492">
        <v>1154</v>
      </c>
    </row>
    <row r="1493" spans="1:27" x14ac:dyDescent="0.25">
      <c r="H1493" t="s">
        <v>2616</v>
      </c>
    </row>
    <row r="1494" spans="1:27" x14ac:dyDescent="0.25">
      <c r="A1494">
        <v>744</v>
      </c>
      <c r="B1494">
        <v>817</v>
      </c>
      <c r="C1494" t="s">
        <v>2617</v>
      </c>
      <c r="D1494" t="s">
        <v>353</v>
      </c>
      <c r="E1494" t="s">
        <v>158</v>
      </c>
      <c r="F1494" t="s">
        <v>2618</v>
      </c>
      <c r="G1494" t="str">
        <f>"201409005040"</f>
        <v>201409005040</v>
      </c>
      <c r="H1494" t="s">
        <v>1214</v>
      </c>
      <c r="I1494">
        <v>0</v>
      </c>
      <c r="J1494">
        <v>0</v>
      </c>
      <c r="K1494">
        <v>0</v>
      </c>
      <c r="L1494">
        <v>200</v>
      </c>
      <c r="M1494">
        <v>0</v>
      </c>
      <c r="N1494">
        <v>70</v>
      </c>
      <c r="O1494">
        <v>0</v>
      </c>
      <c r="P1494">
        <v>0</v>
      </c>
      <c r="Q1494">
        <v>30</v>
      </c>
      <c r="R1494">
        <v>0</v>
      </c>
      <c r="S1494">
        <v>0</v>
      </c>
      <c r="T1494">
        <v>0</v>
      </c>
      <c r="U1494">
        <v>0</v>
      </c>
      <c r="V1494">
        <v>28</v>
      </c>
      <c r="W1494">
        <v>196</v>
      </c>
      <c r="Z1494">
        <v>0</v>
      </c>
      <c r="AA1494" t="s">
        <v>2619</v>
      </c>
    </row>
    <row r="1495" spans="1:27" x14ac:dyDescent="0.25">
      <c r="H1495" t="s">
        <v>357</v>
      </c>
    </row>
    <row r="1496" spans="1:27" x14ac:dyDescent="0.25">
      <c r="A1496">
        <v>745</v>
      </c>
      <c r="B1496">
        <v>930</v>
      </c>
      <c r="C1496" t="s">
        <v>2620</v>
      </c>
      <c r="D1496" t="s">
        <v>58</v>
      </c>
      <c r="E1496" t="s">
        <v>533</v>
      </c>
      <c r="F1496" t="s">
        <v>2621</v>
      </c>
      <c r="G1496" t="str">
        <f>"200809000167"</f>
        <v>200809000167</v>
      </c>
      <c r="H1496" t="s">
        <v>1223</v>
      </c>
      <c r="I1496">
        <v>0</v>
      </c>
      <c r="J1496">
        <v>0</v>
      </c>
      <c r="K1496">
        <v>0</v>
      </c>
      <c r="L1496">
        <v>200</v>
      </c>
      <c r="M1496">
        <v>0</v>
      </c>
      <c r="N1496">
        <v>70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6</v>
      </c>
      <c r="W1496">
        <v>42</v>
      </c>
      <c r="Z1496">
        <v>0</v>
      </c>
      <c r="AA1496" t="s">
        <v>2622</v>
      </c>
    </row>
    <row r="1497" spans="1:27" x14ac:dyDescent="0.25">
      <c r="H1497" t="s">
        <v>298</v>
      </c>
    </row>
    <row r="1498" spans="1:27" x14ac:dyDescent="0.25">
      <c r="A1498">
        <v>746</v>
      </c>
      <c r="B1498">
        <v>1034</v>
      </c>
      <c r="C1498" t="s">
        <v>2623</v>
      </c>
      <c r="D1498" t="s">
        <v>168</v>
      </c>
      <c r="E1498" t="s">
        <v>2624</v>
      </c>
      <c r="F1498" t="s">
        <v>2625</v>
      </c>
      <c r="G1498" t="str">
        <f>"00012411"</f>
        <v>00012411</v>
      </c>
      <c r="H1498">
        <v>1045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5</v>
      </c>
      <c r="W1498">
        <v>35</v>
      </c>
      <c r="Z1498">
        <v>0</v>
      </c>
      <c r="AA1498">
        <v>1150</v>
      </c>
    </row>
    <row r="1499" spans="1:27" x14ac:dyDescent="0.25">
      <c r="H1499" t="s">
        <v>1044</v>
      </c>
    </row>
    <row r="1500" spans="1:27" x14ac:dyDescent="0.25">
      <c r="A1500">
        <v>747</v>
      </c>
      <c r="B1500">
        <v>1295</v>
      </c>
      <c r="C1500" t="s">
        <v>2626</v>
      </c>
      <c r="D1500" t="s">
        <v>2627</v>
      </c>
      <c r="E1500" t="s">
        <v>169</v>
      </c>
      <c r="F1500" t="s">
        <v>2628</v>
      </c>
      <c r="G1500" t="str">
        <f>"00013994"</f>
        <v>00013994</v>
      </c>
      <c r="H1500" t="s">
        <v>2629</v>
      </c>
      <c r="I1500">
        <v>0</v>
      </c>
      <c r="J1500">
        <v>0</v>
      </c>
      <c r="K1500">
        <v>0</v>
      </c>
      <c r="L1500">
        <v>200</v>
      </c>
      <c r="M1500">
        <v>30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1</v>
      </c>
      <c r="W1500">
        <v>7</v>
      </c>
      <c r="Z1500">
        <v>0</v>
      </c>
      <c r="AA1500" t="s">
        <v>2630</v>
      </c>
    </row>
    <row r="1501" spans="1:27" x14ac:dyDescent="0.25">
      <c r="H1501" t="s">
        <v>854</v>
      </c>
    </row>
    <row r="1502" spans="1:27" x14ac:dyDescent="0.25">
      <c r="A1502">
        <v>748</v>
      </c>
      <c r="B1502">
        <v>2797</v>
      </c>
      <c r="C1502" t="s">
        <v>2631</v>
      </c>
      <c r="D1502" t="s">
        <v>284</v>
      </c>
      <c r="E1502" t="s">
        <v>158</v>
      </c>
      <c r="F1502" t="s">
        <v>2632</v>
      </c>
      <c r="G1502" t="str">
        <f>"201506000996"</f>
        <v>201506000996</v>
      </c>
      <c r="H1502" t="s">
        <v>592</v>
      </c>
      <c r="I1502">
        <v>0</v>
      </c>
      <c r="J1502">
        <v>0</v>
      </c>
      <c r="K1502">
        <v>0</v>
      </c>
      <c r="L1502">
        <v>200</v>
      </c>
      <c r="M1502">
        <v>30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12</v>
      </c>
      <c r="W1502">
        <v>84</v>
      </c>
      <c r="Z1502">
        <v>0</v>
      </c>
      <c r="AA1502" t="s">
        <v>2633</v>
      </c>
    </row>
    <row r="1503" spans="1:27" x14ac:dyDescent="0.25">
      <c r="H1503" t="s">
        <v>38</v>
      </c>
    </row>
    <row r="1504" spans="1:27" x14ac:dyDescent="0.25">
      <c r="A1504">
        <v>749</v>
      </c>
      <c r="B1504">
        <v>2507</v>
      </c>
      <c r="C1504" t="s">
        <v>2634</v>
      </c>
      <c r="D1504" t="s">
        <v>1194</v>
      </c>
      <c r="E1504" t="s">
        <v>158</v>
      </c>
      <c r="F1504" t="s">
        <v>2635</v>
      </c>
      <c r="G1504" t="str">
        <f>"201502003583"</f>
        <v>201502003583</v>
      </c>
      <c r="H1504">
        <v>836</v>
      </c>
      <c r="I1504">
        <v>0</v>
      </c>
      <c r="J1504">
        <v>0</v>
      </c>
      <c r="K1504">
        <v>0</v>
      </c>
      <c r="L1504">
        <v>200</v>
      </c>
      <c r="M1504">
        <v>0</v>
      </c>
      <c r="N1504">
        <v>70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6</v>
      </c>
      <c r="W1504">
        <v>42</v>
      </c>
      <c r="Z1504">
        <v>0</v>
      </c>
      <c r="AA1504">
        <v>1148</v>
      </c>
    </row>
    <row r="1505" spans="1:27" x14ac:dyDescent="0.25">
      <c r="H1505" t="s">
        <v>38</v>
      </c>
    </row>
    <row r="1506" spans="1:27" x14ac:dyDescent="0.25">
      <c r="A1506">
        <v>750</v>
      </c>
      <c r="B1506">
        <v>982</v>
      </c>
      <c r="C1506" t="s">
        <v>2636</v>
      </c>
      <c r="D1506" t="s">
        <v>2637</v>
      </c>
      <c r="E1506" t="s">
        <v>158</v>
      </c>
      <c r="F1506" t="s">
        <v>2638</v>
      </c>
      <c r="G1506" t="str">
        <f>"00014140"</f>
        <v>00014140</v>
      </c>
      <c r="H1506" t="s">
        <v>1371</v>
      </c>
      <c r="I1506">
        <v>0</v>
      </c>
      <c r="J1506">
        <v>0</v>
      </c>
      <c r="K1506">
        <v>0</v>
      </c>
      <c r="L1506">
        <v>0</v>
      </c>
      <c r="M1506">
        <v>100</v>
      </c>
      <c r="N1506">
        <v>70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34</v>
      </c>
      <c r="W1506">
        <v>238</v>
      </c>
      <c r="Z1506">
        <v>0</v>
      </c>
      <c r="AA1506" t="s">
        <v>2639</v>
      </c>
    </row>
    <row r="1507" spans="1:27" x14ac:dyDescent="0.25">
      <c r="H1507" t="s">
        <v>904</v>
      </c>
    </row>
    <row r="1508" spans="1:27" x14ac:dyDescent="0.25">
      <c r="A1508">
        <v>751</v>
      </c>
      <c r="B1508">
        <v>1982</v>
      </c>
      <c r="C1508" t="s">
        <v>2640</v>
      </c>
      <c r="D1508" t="s">
        <v>353</v>
      </c>
      <c r="E1508" t="s">
        <v>41</v>
      </c>
      <c r="F1508" t="s">
        <v>2641</v>
      </c>
      <c r="G1508" t="str">
        <f>"201409006666"</f>
        <v>201409006666</v>
      </c>
      <c r="H1508" t="s">
        <v>773</v>
      </c>
      <c r="I1508">
        <v>0</v>
      </c>
      <c r="J1508">
        <v>0</v>
      </c>
      <c r="K1508">
        <v>0</v>
      </c>
      <c r="L1508">
        <v>0</v>
      </c>
      <c r="M1508">
        <v>100</v>
      </c>
      <c r="N1508">
        <v>70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28</v>
      </c>
      <c r="W1508">
        <v>196</v>
      </c>
      <c r="Z1508">
        <v>0</v>
      </c>
      <c r="AA1508" t="s">
        <v>2642</v>
      </c>
    </row>
    <row r="1509" spans="1:27" x14ac:dyDescent="0.25">
      <c r="H1509" t="s">
        <v>25</v>
      </c>
    </row>
    <row r="1510" spans="1:27" x14ac:dyDescent="0.25">
      <c r="A1510">
        <v>752</v>
      </c>
      <c r="B1510">
        <v>547</v>
      </c>
      <c r="C1510" t="s">
        <v>2643</v>
      </c>
      <c r="D1510" t="s">
        <v>1178</v>
      </c>
      <c r="E1510" t="s">
        <v>753</v>
      </c>
      <c r="F1510" t="s">
        <v>2644</v>
      </c>
      <c r="G1510" t="str">
        <f>"00013161"</f>
        <v>00013161</v>
      </c>
      <c r="H1510" t="s">
        <v>2645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30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75</v>
      </c>
      <c r="W1510">
        <v>525</v>
      </c>
      <c r="Z1510">
        <v>0</v>
      </c>
      <c r="AA1510" t="s">
        <v>2646</v>
      </c>
    </row>
    <row r="1511" spans="1:27" x14ac:dyDescent="0.25">
      <c r="H1511">
        <v>216</v>
      </c>
    </row>
    <row r="1512" spans="1:27" x14ac:dyDescent="0.25">
      <c r="A1512">
        <v>753</v>
      </c>
      <c r="B1512">
        <v>3349</v>
      </c>
      <c r="C1512" t="s">
        <v>2647</v>
      </c>
      <c r="D1512" t="s">
        <v>387</v>
      </c>
      <c r="E1512" t="s">
        <v>128</v>
      </c>
      <c r="F1512" t="s">
        <v>2648</v>
      </c>
      <c r="G1512" t="str">
        <f>"201504001293"</f>
        <v>201504001293</v>
      </c>
      <c r="H1512">
        <v>770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70</v>
      </c>
      <c r="O1512">
        <v>0</v>
      </c>
      <c r="P1512">
        <v>0</v>
      </c>
      <c r="Q1512">
        <v>50</v>
      </c>
      <c r="R1512">
        <v>0</v>
      </c>
      <c r="S1512">
        <v>0</v>
      </c>
      <c r="T1512">
        <v>0</v>
      </c>
      <c r="U1512">
        <v>0</v>
      </c>
      <c r="V1512">
        <v>36</v>
      </c>
      <c r="W1512">
        <v>252</v>
      </c>
      <c r="Z1512">
        <v>0</v>
      </c>
      <c r="AA1512">
        <v>1142</v>
      </c>
    </row>
    <row r="1513" spans="1:27" x14ac:dyDescent="0.25">
      <c r="H1513">
        <v>215</v>
      </c>
    </row>
    <row r="1514" spans="1:27" x14ac:dyDescent="0.25">
      <c r="A1514">
        <v>754</v>
      </c>
      <c r="B1514">
        <v>795</v>
      </c>
      <c r="C1514" t="s">
        <v>2649</v>
      </c>
      <c r="D1514" t="s">
        <v>1823</v>
      </c>
      <c r="E1514" t="s">
        <v>753</v>
      </c>
      <c r="F1514" t="s">
        <v>2650</v>
      </c>
      <c r="G1514" t="str">
        <f>"201406018538"</f>
        <v>201406018538</v>
      </c>
      <c r="H1514">
        <v>748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70</v>
      </c>
      <c r="O1514">
        <v>30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42</v>
      </c>
      <c r="W1514">
        <v>294</v>
      </c>
      <c r="Z1514">
        <v>0</v>
      </c>
      <c r="AA1514">
        <v>1142</v>
      </c>
    </row>
    <row r="1515" spans="1:27" x14ac:dyDescent="0.25">
      <c r="H1515" t="s">
        <v>659</v>
      </c>
    </row>
    <row r="1516" spans="1:27" x14ac:dyDescent="0.25">
      <c r="A1516">
        <v>755</v>
      </c>
      <c r="B1516">
        <v>585</v>
      </c>
      <c r="C1516" t="s">
        <v>2651</v>
      </c>
      <c r="D1516" t="s">
        <v>108</v>
      </c>
      <c r="E1516" t="s">
        <v>64</v>
      </c>
      <c r="F1516" t="s">
        <v>2652</v>
      </c>
      <c r="G1516" t="str">
        <f>"201402010642"</f>
        <v>201402010642</v>
      </c>
      <c r="H1516">
        <v>627</v>
      </c>
      <c r="I1516">
        <v>0</v>
      </c>
      <c r="J1516">
        <v>0</v>
      </c>
      <c r="K1516">
        <v>0</v>
      </c>
      <c r="L1516">
        <v>200</v>
      </c>
      <c r="M1516">
        <v>0</v>
      </c>
      <c r="N1516">
        <v>70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35</v>
      </c>
      <c r="W1516">
        <v>245</v>
      </c>
      <c r="Z1516">
        <v>0</v>
      </c>
      <c r="AA1516">
        <v>1142</v>
      </c>
    </row>
    <row r="1517" spans="1:27" x14ac:dyDescent="0.25">
      <c r="H1517" t="s">
        <v>357</v>
      </c>
    </row>
    <row r="1518" spans="1:27" x14ac:dyDescent="0.25">
      <c r="A1518">
        <v>756</v>
      </c>
      <c r="B1518">
        <v>2722</v>
      </c>
      <c r="C1518" t="s">
        <v>2653</v>
      </c>
      <c r="D1518" t="s">
        <v>2654</v>
      </c>
      <c r="E1518" t="s">
        <v>114</v>
      </c>
      <c r="F1518" t="s">
        <v>2655</v>
      </c>
      <c r="G1518" t="str">
        <f>"201304002294"</f>
        <v>201304002294</v>
      </c>
      <c r="H1518" t="s">
        <v>1648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50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26</v>
      </c>
      <c r="W1518">
        <v>182</v>
      </c>
      <c r="Z1518">
        <v>0</v>
      </c>
      <c r="AA1518" t="s">
        <v>2656</v>
      </c>
    </row>
    <row r="1519" spans="1:27" x14ac:dyDescent="0.25">
      <c r="H1519" t="s">
        <v>223</v>
      </c>
    </row>
    <row r="1520" spans="1:27" x14ac:dyDescent="0.25">
      <c r="A1520">
        <v>757</v>
      </c>
      <c r="B1520">
        <v>513</v>
      </c>
      <c r="C1520" t="s">
        <v>2657</v>
      </c>
      <c r="D1520" t="s">
        <v>694</v>
      </c>
      <c r="E1520" t="s">
        <v>158</v>
      </c>
      <c r="F1520" t="s">
        <v>2658</v>
      </c>
      <c r="G1520" t="str">
        <f>"201406014741"</f>
        <v>201406014741</v>
      </c>
      <c r="H1520" t="s">
        <v>1628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58</v>
      </c>
      <c r="W1520">
        <v>406</v>
      </c>
      <c r="Z1520">
        <v>0</v>
      </c>
      <c r="AA1520" t="s">
        <v>2659</v>
      </c>
    </row>
    <row r="1521" spans="1:27" x14ac:dyDescent="0.25">
      <c r="H1521">
        <v>216</v>
      </c>
    </row>
    <row r="1522" spans="1:27" x14ac:dyDescent="0.25">
      <c r="A1522">
        <v>758</v>
      </c>
      <c r="B1522">
        <v>1512</v>
      </c>
      <c r="C1522" t="s">
        <v>2660</v>
      </c>
      <c r="D1522" t="s">
        <v>928</v>
      </c>
      <c r="E1522" t="s">
        <v>41</v>
      </c>
      <c r="F1522" t="s">
        <v>2661</v>
      </c>
      <c r="G1522" t="str">
        <f>"201304001052"</f>
        <v>201304001052</v>
      </c>
      <c r="H1522">
        <v>770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43</v>
      </c>
      <c r="W1522">
        <v>301</v>
      </c>
      <c r="Z1522">
        <v>0</v>
      </c>
      <c r="AA1522">
        <v>1141</v>
      </c>
    </row>
    <row r="1523" spans="1:27" x14ac:dyDescent="0.25">
      <c r="H1523" t="s">
        <v>2045</v>
      </c>
    </row>
    <row r="1524" spans="1:27" x14ac:dyDescent="0.25">
      <c r="A1524">
        <v>759</v>
      </c>
      <c r="B1524">
        <v>3057</v>
      </c>
      <c r="C1524" t="s">
        <v>2662</v>
      </c>
      <c r="D1524" t="s">
        <v>561</v>
      </c>
      <c r="E1524" t="s">
        <v>1085</v>
      </c>
      <c r="F1524" t="s">
        <v>2663</v>
      </c>
      <c r="G1524" t="str">
        <f>"201409006636"</f>
        <v>201409006636</v>
      </c>
      <c r="H1524" t="s">
        <v>441</v>
      </c>
      <c r="I1524">
        <v>0</v>
      </c>
      <c r="J1524">
        <v>0</v>
      </c>
      <c r="K1524">
        <v>0</v>
      </c>
      <c r="L1524">
        <v>200</v>
      </c>
      <c r="M1524">
        <v>0</v>
      </c>
      <c r="N1524">
        <v>70</v>
      </c>
      <c r="O1524">
        <v>30</v>
      </c>
      <c r="P1524">
        <v>0</v>
      </c>
      <c r="Q1524">
        <v>30</v>
      </c>
      <c r="R1524">
        <v>30</v>
      </c>
      <c r="S1524">
        <v>0</v>
      </c>
      <c r="T1524">
        <v>0</v>
      </c>
      <c r="U1524">
        <v>0</v>
      </c>
      <c r="V1524">
        <v>5</v>
      </c>
      <c r="W1524">
        <v>35</v>
      </c>
      <c r="Z1524">
        <v>0</v>
      </c>
      <c r="AA1524" t="s">
        <v>2664</v>
      </c>
    </row>
    <row r="1525" spans="1:27" x14ac:dyDescent="0.25">
      <c r="H1525" t="s">
        <v>659</v>
      </c>
    </row>
    <row r="1526" spans="1:27" x14ac:dyDescent="0.25">
      <c r="A1526">
        <v>760</v>
      </c>
      <c r="B1526">
        <v>2708</v>
      </c>
      <c r="C1526" t="s">
        <v>426</v>
      </c>
      <c r="D1526" t="s">
        <v>194</v>
      </c>
      <c r="E1526" t="s">
        <v>41</v>
      </c>
      <c r="F1526" t="s">
        <v>2665</v>
      </c>
      <c r="G1526" t="str">
        <f>"201406019056"</f>
        <v>201406019056</v>
      </c>
      <c r="H1526" t="s">
        <v>1648</v>
      </c>
      <c r="I1526">
        <v>0</v>
      </c>
      <c r="J1526">
        <v>0</v>
      </c>
      <c r="K1526">
        <v>0</v>
      </c>
      <c r="L1526">
        <v>200</v>
      </c>
      <c r="M1526">
        <v>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23</v>
      </c>
      <c r="W1526">
        <v>161</v>
      </c>
      <c r="Z1526">
        <v>0</v>
      </c>
      <c r="AA1526" t="s">
        <v>2666</v>
      </c>
    </row>
    <row r="1527" spans="1:27" x14ac:dyDescent="0.25">
      <c r="H1527" t="s">
        <v>854</v>
      </c>
    </row>
    <row r="1528" spans="1:27" x14ac:dyDescent="0.25">
      <c r="A1528">
        <v>761</v>
      </c>
      <c r="B1528">
        <v>688</v>
      </c>
      <c r="C1528" t="s">
        <v>2667</v>
      </c>
      <c r="D1528" t="s">
        <v>235</v>
      </c>
      <c r="E1528" t="s">
        <v>64</v>
      </c>
      <c r="F1528" t="s">
        <v>2668</v>
      </c>
      <c r="G1528" t="str">
        <f>"200802011645"</f>
        <v>200802011645</v>
      </c>
      <c r="H1528" t="s">
        <v>2313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69</v>
      </c>
      <c r="W1528">
        <v>483</v>
      </c>
      <c r="Z1528">
        <v>0</v>
      </c>
      <c r="AA1528" t="s">
        <v>2669</v>
      </c>
    </row>
    <row r="1529" spans="1:27" x14ac:dyDescent="0.25">
      <c r="H1529" t="s">
        <v>1000</v>
      </c>
    </row>
    <row r="1530" spans="1:27" x14ac:dyDescent="0.25">
      <c r="A1530">
        <v>762</v>
      </c>
      <c r="B1530">
        <v>352</v>
      </c>
      <c r="C1530" t="s">
        <v>2670</v>
      </c>
      <c r="D1530" t="s">
        <v>158</v>
      </c>
      <c r="E1530" t="s">
        <v>1866</v>
      </c>
      <c r="F1530" t="s">
        <v>2671</v>
      </c>
      <c r="G1530" t="str">
        <f>"201304005761"</f>
        <v>201304005761</v>
      </c>
      <c r="H1530">
        <v>902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30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29</v>
      </c>
      <c r="W1530">
        <v>203</v>
      </c>
      <c r="Z1530">
        <v>1</v>
      </c>
      <c r="AA1530">
        <v>1135</v>
      </c>
    </row>
    <row r="1531" spans="1:27" x14ac:dyDescent="0.25">
      <c r="H1531" t="s">
        <v>25</v>
      </c>
    </row>
    <row r="1532" spans="1:27" x14ac:dyDescent="0.25">
      <c r="A1532">
        <v>763</v>
      </c>
      <c r="B1532">
        <v>1728</v>
      </c>
      <c r="C1532" t="s">
        <v>2672</v>
      </c>
      <c r="D1532" t="s">
        <v>1154</v>
      </c>
      <c r="E1532" t="s">
        <v>41</v>
      </c>
      <c r="F1532" t="s">
        <v>2673</v>
      </c>
      <c r="G1532" t="str">
        <f>"200811000473"</f>
        <v>200811000473</v>
      </c>
      <c r="H1532" t="s">
        <v>1895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61</v>
      </c>
      <c r="W1532">
        <v>427</v>
      </c>
      <c r="Z1532">
        <v>0</v>
      </c>
      <c r="AA1532" t="s">
        <v>2674</v>
      </c>
    </row>
    <row r="1533" spans="1:27" x14ac:dyDescent="0.25">
      <c r="H1533">
        <v>215</v>
      </c>
    </row>
    <row r="1534" spans="1:27" x14ac:dyDescent="0.25">
      <c r="A1534">
        <v>764</v>
      </c>
      <c r="B1534">
        <v>725</v>
      </c>
      <c r="C1534" t="s">
        <v>2675</v>
      </c>
      <c r="D1534" t="s">
        <v>1076</v>
      </c>
      <c r="E1534" t="s">
        <v>64</v>
      </c>
      <c r="F1534" t="s">
        <v>2676</v>
      </c>
      <c r="G1534" t="str">
        <f>"201412004622"</f>
        <v>201412004622</v>
      </c>
      <c r="H1534">
        <v>715</v>
      </c>
      <c r="I1534">
        <v>0</v>
      </c>
      <c r="J1534">
        <v>0</v>
      </c>
      <c r="K1534">
        <v>0</v>
      </c>
      <c r="L1534">
        <v>200</v>
      </c>
      <c r="M1534">
        <v>0</v>
      </c>
      <c r="N1534">
        <v>70</v>
      </c>
      <c r="O1534">
        <v>0</v>
      </c>
      <c r="P1534">
        <v>30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17</v>
      </c>
      <c r="W1534">
        <v>119</v>
      </c>
      <c r="Z1534">
        <v>0</v>
      </c>
      <c r="AA1534">
        <v>1134</v>
      </c>
    </row>
    <row r="1535" spans="1:27" x14ac:dyDescent="0.25">
      <c r="H1535" t="s">
        <v>38</v>
      </c>
    </row>
    <row r="1536" spans="1:27" x14ac:dyDescent="0.25">
      <c r="A1536">
        <v>765</v>
      </c>
      <c r="B1536">
        <v>254</v>
      </c>
      <c r="C1536" t="s">
        <v>2677</v>
      </c>
      <c r="D1536" t="s">
        <v>58</v>
      </c>
      <c r="E1536" t="s">
        <v>2678</v>
      </c>
      <c r="F1536" t="s">
        <v>2679</v>
      </c>
      <c r="G1536" t="str">
        <f>"201504003730"</f>
        <v>201504003730</v>
      </c>
      <c r="H1536" t="s">
        <v>441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51</v>
      </c>
      <c r="W1536">
        <v>357</v>
      </c>
      <c r="Z1536">
        <v>0</v>
      </c>
      <c r="AA1536" t="s">
        <v>2680</v>
      </c>
    </row>
    <row r="1537" spans="1:27" x14ac:dyDescent="0.25">
      <c r="H1537" t="s">
        <v>25</v>
      </c>
    </row>
    <row r="1538" spans="1:27" x14ac:dyDescent="0.25">
      <c r="A1538">
        <v>766</v>
      </c>
      <c r="B1538">
        <v>372</v>
      </c>
      <c r="C1538" t="s">
        <v>2681</v>
      </c>
      <c r="D1538" t="s">
        <v>14</v>
      </c>
      <c r="E1538" t="s">
        <v>64</v>
      </c>
      <c r="F1538" t="s">
        <v>2682</v>
      </c>
      <c r="G1538" t="str">
        <f>"201402007257"</f>
        <v>201402007257</v>
      </c>
      <c r="H1538" t="s">
        <v>950</v>
      </c>
      <c r="I1538">
        <v>0</v>
      </c>
      <c r="J1538">
        <v>0</v>
      </c>
      <c r="K1538">
        <v>0</v>
      </c>
      <c r="L1538">
        <v>200</v>
      </c>
      <c r="M1538">
        <v>0</v>
      </c>
      <c r="N1538">
        <v>70</v>
      </c>
      <c r="O1538">
        <v>30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16</v>
      </c>
      <c r="W1538">
        <v>112</v>
      </c>
      <c r="Z1538">
        <v>0</v>
      </c>
      <c r="AA1538" t="s">
        <v>2683</v>
      </c>
    </row>
    <row r="1539" spans="1:27" x14ac:dyDescent="0.25">
      <c r="H1539" t="s">
        <v>248</v>
      </c>
    </row>
    <row r="1540" spans="1:27" x14ac:dyDescent="0.25">
      <c r="A1540">
        <v>767</v>
      </c>
      <c r="B1540">
        <v>839</v>
      </c>
      <c r="C1540" t="s">
        <v>2684</v>
      </c>
      <c r="D1540" t="s">
        <v>289</v>
      </c>
      <c r="E1540" t="s">
        <v>41</v>
      </c>
      <c r="F1540" t="s">
        <v>2685</v>
      </c>
      <c r="G1540" t="str">
        <f>"201406005740"</f>
        <v>201406005740</v>
      </c>
      <c r="H1540" t="s">
        <v>2686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64</v>
      </c>
      <c r="W1540">
        <v>448</v>
      </c>
      <c r="Z1540">
        <v>1</v>
      </c>
      <c r="AA1540" t="s">
        <v>2683</v>
      </c>
    </row>
    <row r="1541" spans="1:27" x14ac:dyDescent="0.25">
      <c r="H1541">
        <v>213</v>
      </c>
    </row>
    <row r="1542" spans="1:27" x14ac:dyDescent="0.25">
      <c r="A1542">
        <v>768</v>
      </c>
      <c r="B1542">
        <v>536</v>
      </c>
      <c r="C1542" t="s">
        <v>2687</v>
      </c>
      <c r="D1542" t="s">
        <v>2688</v>
      </c>
      <c r="E1542" t="s">
        <v>2689</v>
      </c>
      <c r="F1542" t="s">
        <v>2690</v>
      </c>
      <c r="G1542" t="str">
        <f>"00015014"</f>
        <v>00015014</v>
      </c>
      <c r="H1542" t="s">
        <v>120</v>
      </c>
      <c r="I1542">
        <v>150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30</v>
      </c>
      <c r="R1542">
        <v>0</v>
      </c>
      <c r="S1542">
        <v>0</v>
      </c>
      <c r="T1542">
        <v>0</v>
      </c>
      <c r="U1542">
        <v>0</v>
      </c>
      <c r="V1542">
        <v>29</v>
      </c>
      <c r="W1542">
        <v>203</v>
      </c>
      <c r="Z1542">
        <v>0</v>
      </c>
      <c r="AA1542" t="s">
        <v>2691</v>
      </c>
    </row>
    <row r="1543" spans="1:27" x14ac:dyDescent="0.25">
      <c r="H1543" t="s">
        <v>2692</v>
      </c>
    </row>
    <row r="1544" spans="1:27" x14ac:dyDescent="0.25">
      <c r="A1544">
        <v>769</v>
      </c>
      <c r="B1544">
        <v>1363</v>
      </c>
      <c r="C1544" t="s">
        <v>2693</v>
      </c>
      <c r="D1544" t="s">
        <v>1104</v>
      </c>
      <c r="E1544" t="s">
        <v>158</v>
      </c>
      <c r="F1544" t="s">
        <v>2694</v>
      </c>
      <c r="G1544" t="str">
        <f>"00009692"</f>
        <v>00009692</v>
      </c>
      <c r="H1544">
        <v>770</v>
      </c>
      <c r="I1544">
        <v>0</v>
      </c>
      <c r="J1544">
        <v>0</v>
      </c>
      <c r="K1544">
        <v>0</v>
      </c>
      <c r="L1544">
        <v>200</v>
      </c>
      <c r="M1544">
        <v>30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14</v>
      </c>
      <c r="W1544">
        <v>98</v>
      </c>
      <c r="Z1544">
        <v>0</v>
      </c>
      <c r="AA1544">
        <v>1128</v>
      </c>
    </row>
    <row r="1545" spans="1:27" x14ac:dyDescent="0.25">
      <c r="H1545" t="s">
        <v>31</v>
      </c>
    </row>
    <row r="1546" spans="1:27" x14ac:dyDescent="0.25">
      <c r="A1546">
        <v>770</v>
      </c>
      <c r="B1546">
        <v>1595</v>
      </c>
      <c r="C1546" t="s">
        <v>2695</v>
      </c>
      <c r="D1546" t="s">
        <v>2696</v>
      </c>
      <c r="E1546" t="s">
        <v>574</v>
      </c>
      <c r="F1546" t="s">
        <v>2697</v>
      </c>
      <c r="G1546" t="str">
        <f>"201506000111"</f>
        <v>201506000111</v>
      </c>
      <c r="H1546" t="s">
        <v>636</v>
      </c>
      <c r="I1546">
        <v>0</v>
      </c>
      <c r="J1546">
        <v>0</v>
      </c>
      <c r="K1546">
        <v>0</v>
      </c>
      <c r="L1546">
        <v>200</v>
      </c>
      <c r="M1546">
        <v>0</v>
      </c>
      <c r="N1546">
        <v>70</v>
      </c>
      <c r="O1546">
        <v>50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30</v>
      </c>
      <c r="V1546">
        <v>0</v>
      </c>
      <c r="W1546">
        <v>0</v>
      </c>
      <c r="Z1546">
        <v>0</v>
      </c>
      <c r="AA1546" t="s">
        <v>2698</v>
      </c>
    </row>
    <row r="1547" spans="1:27" x14ac:dyDescent="0.25">
      <c r="H1547" t="s">
        <v>38</v>
      </c>
    </row>
    <row r="1548" spans="1:27" x14ac:dyDescent="0.25">
      <c r="A1548">
        <v>771</v>
      </c>
      <c r="B1548">
        <v>99</v>
      </c>
      <c r="C1548" t="s">
        <v>2699</v>
      </c>
      <c r="D1548" t="s">
        <v>276</v>
      </c>
      <c r="E1548" t="s">
        <v>225</v>
      </c>
      <c r="F1548" t="s">
        <v>2700</v>
      </c>
      <c r="G1548" t="str">
        <f>"201402005659"</f>
        <v>201402005659</v>
      </c>
      <c r="H1548" t="s">
        <v>2701</v>
      </c>
      <c r="I1548">
        <v>0</v>
      </c>
      <c r="J1548">
        <v>0</v>
      </c>
      <c r="K1548">
        <v>0</v>
      </c>
      <c r="L1548">
        <v>200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Z1548">
        <v>0</v>
      </c>
      <c r="AA1548" t="s">
        <v>2702</v>
      </c>
    </row>
    <row r="1549" spans="1:27" x14ac:dyDescent="0.25">
      <c r="H1549" t="s">
        <v>377</v>
      </c>
    </row>
    <row r="1550" spans="1:27" x14ac:dyDescent="0.25">
      <c r="A1550">
        <v>772</v>
      </c>
      <c r="B1550">
        <v>2183</v>
      </c>
      <c r="C1550" t="s">
        <v>2703</v>
      </c>
      <c r="D1550" t="s">
        <v>1957</v>
      </c>
      <c r="E1550" t="s">
        <v>64</v>
      </c>
      <c r="F1550" t="s">
        <v>2704</v>
      </c>
      <c r="G1550" t="str">
        <f>"201304003153"</f>
        <v>201304003153</v>
      </c>
      <c r="H1550" t="s">
        <v>2705</v>
      </c>
      <c r="I1550">
        <v>0</v>
      </c>
      <c r="J1550">
        <v>0</v>
      </c>
      <c r="K1550">
        <v>0</v>
      </c>
      <c r="L1550">
        <v>200</v>
      </c>
      <c r="M1550">
        <v>0</v>
      </c>
      <c r="N1550">
        <v>30</v>
      </c>
      <c r="O1550">
        <v>0</v>
      </c>
      <c r="P1550">
        <v>0</v>
      </c>
      <c r="Q1550">
        <v>30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Z1550">
        <v>1</v>
      </c>
      <c r="AA1550" t="s">
        <v>2706</v>
      </c>
    </row>
    <row r="1551" spans="1:27" x14ac:dyDescent="0.25">
      <c r="H1551" t="s">
        <v>298</v>
      </c>
    </row>
    <row r="1552" spans="1:27" x14ac:dyDescent="0.25">
      <c r="A1552">
        <v>773</v>
      </c>
      <c r="B1552">
        <v>1549</v>
      </c>
      <c r="C1552" t="s">
        <v>2707</v>
      </c>
      <c r="D1552" t="s">
        <v>235</v>
      </c>
      <c r="E1552" t="s">
        <v>188</v>
      </c>
      <c r="F1552" t="s">
        <v>2708</v>
      </c>
      <c r="G1552" t="str">
        <f>"00012476"</f>
        <v>00012476</v>
      </c>
      <c r="H1552" t="s">
        <v>197</v>
      </c>
      <c r="I1552">
        <v>0</v>
      </c>
      <c r="J1552">
        <v>0</v>
      </c>
      <c r="K1552">
        <v>0</v>
      </c>
      <c r="L1552">
        <v>200</v>
      </c>
      <c r="M1552">
        <v>0</v>
      </c>
      <c r="N1552">
        <v>50</v>
      </c>
      <c r="O1552">
        <v>30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18</v>
      </c>
      <c r="W1552">
        <v>126</v>
      </c>
      <c r="Z1552">
        <v>0</v>
      </c>
      <c r="AA1552" t="s">
        <v>2709</v>
      </c>
    </row>
    <row r="1553" spans="1:27" x14ac:dyDescent="0.25">
      <c r="H1553" t="s">
        <v>38</v>
      </c>
    </row>
    <row r="1554" spans="1:27" x14ac:dyDescent="0.25">
      <c r="A1554">
        <v>774</v>
      </c>
      <c r="B1554">
        <v>449</v>
      </c>
      <c r="C1554" t="s">
        <v>2710</v>
      </c>
      <c r="D1554" t="s">
        <v>362</v>
      </c>
      <c r="E1554" t="s">
        <v>387</v>
      </c>
      <c r="F1554" t="s">
        <v>2711</v>
      </c>
      <c r="G1554" t="str">
        <f>"201410006268"</f>
        <v>201410006268</v>
      </c>
      <c r="H1554">
        <v>715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54</v>
      </c>
      <c r="W1554">
        <v>378</v>
      </c>
      <c r="Z1554">
        <v>0</v>
      </c>
      <c r="AA1554">
        <v>1123</v>
      </c>
    </row>
    <row r="1555" spans="1:27" x14ac:dyDescent="0.25">
      <c r="H1555" t="s">
        <v>659</v>
      </c>
    </row>
    <row r="1556" spans="1:27" x14ac:dyDescent="0.25">
      <c r="A1556">
        <v>775</v>
      </c>
      <c r="B1556">
        <v>2326</v>
      </c>
      <c r="C1556" t="s">
        <v>2712</v>
      </c>
      <c r="D1556" t="s">
        <v>129</v>
      </c>
      <c r="E1556" t="s">
        <v>85</v>
      </c>
      <c r="F1556" t="s">
        <v>2713</v>
      </c>
      <c r="G1556" t="str">
        <f>"00012577"</f>
        <v>00012577</v>
      </c>
      <c r="H1556" t="s">
        <v>453</v>
      </c>
      <c r="I1556">
        <v>0</v>
      </c>
      <c r="J1556">
        <v>0</v>
      </c>
      <c r="K1556">
        <v>0</v>
      </c>
      <c r="L1556">
        <v>200</v>
      </c>
      <c r="M1556">
        <v>0</v>
      </c>
      <c r="N1556">
        <v>70</v>
      </c>
      <c r="O1556">
        <v>30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12</v>
      </c>
      <c r="W1556">
        <v>84</v>
      </c>
      <c r="Z1556">
        <v>0</v>
      </c>
      <c r="AA1556" t="s">
        <v>2714</v>
      </c>
    </row>
    <row r="1557" spans="1:27" x14ac:dyDescent="0.25">
      <c r="H1557" t="s">
        <v>38</v>
      </c>
    </row>
    <row r="1558" spans="1:27" x14ac:dyDescent="0.25">
      <c r="A1558">
        <v>776</v>
      </c>
      <c r="B1558">
        <v>2447</v>
      </c>
      <c r="C1558" t="s">
        <v>2715</v>
      </c>
      <c r="D1558" t="s">
        <v>64</v>
      </c>
      <c r="E1558" t="s">
        <v>41</v>
      </c>
      <c r="F1558" t="s">
        <v>2716</v>
      </c>
      <c r="G1558" t="str">
        <f>"201409006038"</f>
        <v>201409006038</v>
      </c>
      <c r="H1558" t="s">
        <v>747</v>
      </c>
      <c r="I1558">
        <v>0</v>
      </c>
      <c r="J1558">
        <v>0</v>
      </c>
      <c r="K1558">
        <v>0</v>
      </c>
      <c r="L1558">
        <v>200</v>
      </c>
      <c r="M1558">
        <v>0</v>
      </c>
      <c r="N1558">
        <v>70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9</v>
      </c>
      <c r="W1558">
        <v>63</v>
      </c>
      <c r="Z1558">
        <v>0</v>
      </c>
      <c r="AA1558" t="s">
        <v>2717</v>
      </c>
    </row>
    <row r="1559" spans="1:27" x14ac:dyDescent="0.25">
      <c r="H1559" t="s">
        <v>729</v>
      </c>
    </row>
    <row r="1560" spans="1:27" x14ac:dyDescent="0.25">
      <c r="A1560">
        <v>777</v>
      </c>
      <c r="B1560">
        <v>82</v>
      </c>
      <c r="C1560" t="s">
        <v>2718</v>
      </c>
      <c r="D1560" t="s">
        <v>1085</v>
      </c>
      <c r="E1560" t="s">
        <v>1033</v>
      </c>
      <c r="F1560" t="s">
        <v>2719</v>
      </c>
      <c r="G1560" t="str">
        <f>"201304002125"</f>
        <v>201304002125</v>
      </c>
      <c r="H1560" t="s">
        <v>1096</v>
      </c>
      <c r="I1560">
        <v>0</v>
      </c>
      <c r="J1560">
        <v>0</v>
      </c>
      <c r="K1560">
        <v>0</v>
      </c>
      <c r="L1560">
        <v>200</v>
      </c>
      <c r="M1560">
        <v>0</v>
      </c>
      <c r="N1560">
        <v>70</v>
      </c>
      <c r="O1560">
        <v>0</v>
      </c>
      <c r="P1560">
        <v>30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19</v>
      </c>
      <c r="W1560">
        <v>133</v>
      </c>
      <c r="Z1560">
        <v>1</v>
      </c>
      <c r="AA1560" t="s">
        <v>2720</v>
      </c>
    </row>
    <row r="1561" spans="1:27" x14ac:dyDescent="0.25">
      <c r="H1561" t="s">
        <v>659</v>
      </c>
    </row>
    <row r="1562" spans="1:27" x14ac:dyDescent="0.25">
      <c r="A1562">
        <v>778</v>
      </c>
      <c r="B1562">
        <v>558</v>
      </c>
      <c r="C1562" t="s">
        <v>2721</v>
      </c>
      <c r="D1562" t="s">
        <v>519</v>
      </c>
      <c r="E1562" t="s">
        <v>1085</v>
      </c>
      <c r="F1562" t="s">
        <v>2722</v>
      </c>
      <c r="G1562" t="str">
        <f>"201304005403"</f>
        <v>201304005403</v>
      </c>
      <c r="H1562" t="s">
        <v>463</v>
      </c>
      <c r="I1562">
        <v>150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15</v>
      </c>
      <c r="W1562">
        <v>105</v>
      </c>
      <c r="Z1562">
        <v>0</v>
      </c>
      <c r="AA1562" t="s">
        <v>2723</v>
      </c>
    </row>
    <row r="1563" spans="1:27" x14ac:dyDescent="0.25">
      <c r="H1563" t="s">
        <v>1103</v>
      </c>
    </row>
    <row r="1564" spans="1:27" x14ac:dyDescent="0.25">
      <c r="A1564">
        <v>779</v>
      </c>
      <c r="B1564">
        <v>1800</v>
      </c>
      <c r="C1564" t="s">
        <v>2724</v>
      </c>
      <c r="D1564" t="s">
        <v>27</v>
      </c>
      <c r="E1564" t="s">
        <v>2725</v>
      </c>
      <c r="F1564" t="s">
        <v>2726</v>
      </c>
      <c r="G1564" t="str">
        <f>"00010945"</f>
        <v>00010945</v>
      </c>
      <c r="H1564">
        <v>847</v>
      </c>
      <c r="I1564">
        <v>0</v>
      </c>
      <c r="J1564">
        <v>0</v>
      </c>
      <c r="K1564">
        <v>0</v>
      </c>
      <c r="L1564">
        <v>200</v>
      </c>
      <c r="M1564">
        <v>0</v>
      </c>
      <c r="N1564">
        <v>70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Z1564">
        <v>0</v>
      </c>
      <c r="AA1564">
        <v>1117</v>
      </c>
    </row>
    <row r="1565" spans="1:27" x14ac:dyDescent="0.25">
      <c r="H1565" t="s">
        <v>38</v>
      </c>
    </row>
    <row r="1566" spans="1:27" x14ac:dyDescent="0.25">
      <c r="A1566">
        <v>780</v>
      </c>
      <c r="B1566">
        <v>1264</v>
      </c>
      <c r="C1566" t="s">
        <v>2727</v>
      </c>
      <c r="D1566" t="s">
        <v>151</v>
      </c>
      <c r="E1566" t="s">
        <v>200</v>
      </c>
      <c r="F1566" t="s">
        <v>2728</v>
      </c>
      <c r="G1566" t="str">
        <f>"201402012133"</f>
        <v>201402012133</v>
      </c>
      <c r="H1566">
        <v>847</v>
      </c>
      <c r="I1566">
        <v>0</v>
      </c>
      <c r="J1566">
        <v>0</v>
      </c>
      <c r="K1566">
        <v>0</v>
      </c>
      <c r="L1566">
        <v>0</v>
      </c>
      <c r="M1566">
        <v>100</v>
      </c>
      <c r="N1566">
        <v>70</v>
      </c>
      <c r="O1566">
        <v>70</v>
      </c>
      <c r="P1566">
        <v>0</v>
      </c>
      <c r="Q1566">
        <v>0</v>
      </c>
      <c r="R1566">
        <v>30</v>
      </c>
      <c r="S1566">
        <v>0</v>
      </c>
      <c r="T1566">
        <v>0</v>
      </c>
      <c r="U1566">
        <v>0</v>
      </c>
      <c r="V1566">
        <v>0</v>
      </c>
      <c r="W1566">
        <v>0</v>
      </c>
      <c r="Z1566">
        <v>0</v>
      </c>
      <c r="AA1566">
        <v>1117</v>
      </c>
    </row>
    <row r="1567" spans="1:27" x14ac:dyDescent="0.25">
      <c r="H1567">
        <v>213</v>
      </c>
    </row>
    <row r="1568" spans="1:27" x14ac:dyDescent="0.25">
      <c r="A1568">
        <v>781</v>
      </c>
      <c r="B1568">
        <v>621</v>
      </c>
      <c r="C1568" t="s">
        <v>2729</v>
      </c>
      <c r="D1568" t="s">
        <v>2216</v>
      </c>
      <c r="E1568" t="s">
        <v>108</v>
      </c>
      <c r="F1568" t="s">
        <v>2730</v>
      </c>
      <c r="G1568" t="str">
        <f>"201406008193"</f>
        <v>201406008193</v>
      </c>
      <c r="H1568">
        <v>770</v>
      </c>
      <c r="I1568">
        <v>0</v>
      </c>
      <c r="J1568">
        <v>0</v>
      </c>
      <c r="K1568">
        <v>0</v>
      </c>
      <c r="L1568">
        <v>200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21</v>
      </c>
      <c r="W1568">
        <v>147</v>
      </c>
      <c r="Z1568">
        <v>2</v>
      </c>
      <c r="AA1568">
        <v>1117</v>
      </c>
    </row>
    <row r="1569" spans="1:27" x14ac:dyDescent="0.25">
      <c r="H1569" t="s">
        <v>223</v>
      </c>
    </row>
    <row r="1570" spans="1:27" x14ac:dyDescent="0.25">
      <c r="A1570">
        <v>782</v>
      </c>
      <c r="B1570">
        <v>2180</v>
      </c>
      <c r="C1570" t="s">
        <v>2731</v>
      </c>
      <c r="D1570" t="s">
        <v>158</v>
      </c>
      <c r="E1570" t="s">
        <v>225</v>
      </c>
      <c r="F1570" t="s">
        <v>2732</v>
      </c>
      <c r="G1570" t="str">
        <f>"201405000794"</f>
        <v>201405000794</v>
      </c>
      <c r="H1570" t="s">
        <v>2515</v>
      </c>
      <c r="I1570">
        <v>0</v>
      </c>
      <c r="J1570">
        <v>0</v>
      </c>
      <c r="K1570">
        <v>0</v>
      </c>
      <c r="L1570">
        <v>200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27</v>
      </c>
      <c r="W1570">
        <v>189</v>
      </c>
      <c r="Z1570">
        <v>0</v>
      </c>
      <c r="AA1570" t="s">
        <v>2733</v>
      </c>
    </row>
    <row r="1571" spans="1:27" x14ac:dyDescent="0.25">
      <c r="H1571" t="s">
        <v>49</v>
      </c>
    </row>
    <row r="1572" spans="1:27" x14ac:dyDescent="0.25">
      <c r="A1572">
        <v>783</v>
      </c>
      <c r="B1572">
        <v>1536</v>
      </c>
      <c r="C1572" t="s">
        <v>2734</v>
      </c>
      <c r="D1572" t="s">
        <v>114</v>
      </c>
      <c r="E1572" t="s">
        <v>451</v>
      </c>
      <c r="F1572" t="s">
        <v>2735</v>
      </c>
      <c r="G1572" t="str">
        <f>"201406010714"</f>
        <v>201406010714</v>
      </c>
      <c r="H1572" t="s">
        <v>82</v>
      </c>
      <c r="I1572">
        <v>0</v>
      </c>
      <c r="J1572">
        <v>0</v>
      </c>
      <c r="K1572">
        <v>0</v>
      </c>
      <c r="L1572">
        <v>0</v>
      </c>
      <c r="M1572">
        <v>100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44</v>
      </c>
      <c r="W1572">
        <v>308</v>
      </c>
      <c r="Z1572">
        <v>0</v>
      </c>
      <c r="AA1572" t="s">
        <v>2736</v>
      </c>
    </row>
    <row r="1573" spans="1:27" x14ac:dyDescent="0.25">
      <c r="H1573" t="s">
        <v>25</v>
      </c>
    </row>
    <row r="1574" spans="1:27" x14ac:dyDescent="0.25">
      <c r="A1574">
        <v>784</v>
      </c>
      <c r="B1574">
        <v>285</v>
      </c>
      <c r="C1574" t="s">
        <v>2737</v>
      </c>
      <c r="D1574" t="s">
        <v>151</v>
      </c>
      <c r="E1574" t="s">
        <v>85</v>
      </c>
      <c r="F1574" t="s">
        <v>2738</v>
      </c>
      <c r="G1574" t="str">
        <f>"201406010501"</f>
        <v>201406010501</v>
      </c>
      <c r="H1574" t="s">
        <v>844</v>
      </c>
      <c r="I1574">
        <v>0</v>
      </c>
      <c r="J1574">
        <v>0</v>
      </c>
      <c r="K1574">
        <v>0</v>
      </c>
      <c r="L1574">
        <v>0</v>
      </c>
      <c r="M1574">
        <v>100</v>
      </c>
      <c r="N1574">
        <v>70</v>
      </c>
      <c r="O1574">
        <v>30</v>
      </c>
      <c r="P1574">
        <v>0</v>
      </c>
      <c r="Q1574">
        <v>0</v>
      </c>
      <c r="R1574">
        <v>30</v>
      </c>
      <c r="S1574">
        <v>0</v>
      </c>
      <c r="T1574">
        <v>0</v>
      </c>
      <c r="U1574">
        <v>0</v>
      </c>
      <c r="V1574">
        <v>24</v>
      </c>
      <c r="W1574">
        <v>168</v>
      </c>
      <c r="Z1574">
        <v>0</v>
      </c>
      <c r="AA1574" t="s">
        <v>2739</v>
      </c>
    </row>
    <row r="1575" spans="1:27" x14ac:dyDescent="0.25">
      <c r="H1575" t="s">
        <v>38</v>
      </c>
    </row>
    <row r="1576" spans="1:27" x14ac:dyDescent="0.25">
      <c r="A1576">
        <v>785</v>
      </c>
      <c r="B1576">
        <v>801</v>
      </c>
      <c r="C1576" t="s">
        <v>2740</v>
      </c>
      <c r="D1576" t="s">
        <v>284</v>
      </c>
      <c r="E1576" t="s">
        <v>123</v>
      </c>
      <c r="F1576" t="s">
        <v>2741</v>
      </c>
      <c r="G1576" t="str">
        <f>"00013756"</f>
        <v>00013756</v>
      </c>
      <c r="H1576" t="s">
        <v>2263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70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7</v>
      </c>
      <c r="W1576">
        <v>49</v>
      </c>
      <c r="Z1576">
        <v>0</v>
      </c>
      <c r="AA1576" t="s">
        <v>2742</v>
      </c>
    </row>
    <row r="1577" spans="1:27" x14ac:dyDescent="0.25">
      <c r="H1577">
        <v>215</v>
      </c>
    </row>
    <row r="1578" spans="1:27" x14ac:dyDescent="0.25">
      <c r="A1578">
        <v>786</v>
      </c>
      <c r="B1578">
        <v>233</v>
      </c>
      <c r="C1578" t="s">
        <v>2743</v>
      </c>
      <c r="D1578" t="s">
        <v>2744</v>
      </c>
      <c r="E1578" t="s">
        <v>2359</v>
      </c>
      <c r="F1578" t="s">
        <v>2745</v>
      </c>
      <c r="G1578" t="str">
        <f>"201406015165"</f>
        <v>201406015165</v>
      </c>
      <c r="H1578" t="s">
        <v>592</v>
      </c>
      <c r="I1578">
        <v>0</v>
      </c>
      <c r="J1578">
        <v>0</v>
      </c>
      <c r="K1578">
        <v>0</v>
      </c>
      <c r="L1578">
        <v>200</v>
      </c>
      <c r="M1578">
        <v>0</v>
      </c>
      <c r="N1578">
        <v>70</v>
      </c>
      <c r="O1578">
        <v>0</v>
      </c>
      <c r="P1578">
        <v>30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Z1578">
        <v>0</v>
      </c>
      <c r="AA1578" t="s">
        <v>2746</v>
      </c>
    </row>
    <row r="1579" spans="1:27" x14ac:dyDescent="0.25">
      <c r="H1579" t="s">
        <v>78</v>
      </c>
    </row>
    <row r="1580" spans="1:27" x14ac:dyDescent="0.25">
      <c r="A1580">
        <v>787</v>
      </c>
      <c r="B1580">
        <v>3123</v>
      </c>
      <c r="C1580" t="s">
        <v>2747</v>
      </c>
      <c r="D1580" t="s">
        <v>556</v>
      </c>
      <c r="E1580" t="s">
        <v>2748</v>
      </c>
      <c r="F1580" t="s">
        <v>2749</v>
      </c>
      <c r="G1580" t="str">
        <f>"201411000925"</f>
        <v>201411000925</v>
      </c>
      <c r="H1580">
        <v>847</v>
      </c>
      <c r="I1580">
        <v>0</v>
      </c>
      <c r="J1580">
        <v>0</v>
      </c>
      <c r="K1580">
        <v>0</v>
      </c>
      <c r="L1580">
        <v>0</v>
      </c>
      <c r="M1580">
        <v>100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18</v>
      </c>
      <c r="W1580">
        <v>126</v>
      </c>
      <c r="Z1580">
        <v>0</v>
      </c>
      <c r="AA1580">
        <v>1103</v>
      </c>
    </row>
    <row r="1581" spans="1:27" x14ac:dyDescent="0.25">
      <c r="H1581">
        <v>215</v>
      </c>
    </row>
    <row r="1582" spans="1:27" x14ac:dyDescent="0.25">
      <c r="A1582">
        <v>788</v>
      </c>
      <c r="B1582">
        <v>1594</v>
      </c>
      <c r="C1582" t="s">
        <v>2750</v>
      </c>
      <c r="D1582" t="s">
        <v>188</v>
      </c>
      <c r="E1582" t="s">
        <v>225</v>
      </c>
      <c r="F1582" t="s">
        <v>2751</v>
      </c>
      <c r="G1582" t="str">
        <f>"00011692"</f>
        <v>00011692</v>
      </c>
      <c r="H1582" t="s">
        <v>597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50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20</v>
      </c>
      <c r="W1582">
        <v>140</v>
      </c>
      <c r="Z1582">
        <v>0</v>
      </c>
      <c r="AA1582" t="s">
        <v>2752</v>
      </c>
    </row>
    <row r="1583" spans="1:27" x14ac:dyDescent="0.25">
      <c r="H1583" t="s">
        <v>38</v>
      </c>
    </row>
    <row r="1584" spans="1:27" x14ac:dyDescent="0.25">
      <c r="A1584">
        <v>789</v>
      </c>
      <c r="B1584">
        <v>1809</v>
      </c>
      <c r="C1584" t="s">
        <v>2753</v>
      </c>
      <c r="D1584" t="s">
        <v>58</v>
      </c>
      <c r="E1584" t="s">
        <v>85</v>
      </c>
      <c r="F1584" t="s">
        <v>2754</v>
      </c>
      <c r="G1584" t="str">
        <f>"00012466"</f>
        <v>00012466</v>
      </c>
      <c r="H1584" t="s">
        <v>1326</v>
      </c>
      <c r="I1584">
        <v>0</v>
      </c>
      <c r="J1584">
        <v>0</v>
      </c>
      <c r="K1584">
        <v>0</v>
      </c>
      <c r="L1584">
        <v>200</v>
      </c>
      <c r="M1584">
        <v>0</v>
      </c>
      <c r="N1584">
        <v>70</v>
      </c>
      <c r="O1584">
        <v>30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21</v>
      </c>
      <c r="W1584">
        <v>147</v>
      </c>
      <c r="Z1584">
        <v>0</v>
      </c>
      <c r="AA1584" t="s">
        <v>2755</v>
      </c>
    </row>
    <row r="1585" spans="1:27" x14ac:dyDescent="0.25">
      <c r="H1585" t="s">
        <v>38</v>
      </c>
    </row>
    <row r="1586" spans="1:27" x14ac:dyDescent="0.25">
      <c r="A1586">
        <v>790</v>
      </c>
      <c r="B1586">
        <v>1386</v>
      </c>
      <c r="C1586" t="s">
        <v>2756</v>
      </c>
      <c r="D1586" t="s">
        <v>1076</v>
      </c>
      <c r="E1586" t="s">
        <v>158</v>
      </c>
      <c r="F1586" t="s">
        <v>2757</v>
      </c>
      <c r="G1586" t="str">
        <f>"201411000690"</f>
        <v>201411000690</v>
      </c>
      <c r="H1586" t="s">
        <v>273</v>
      </c>
      <c r="I1586">
        <v>0</v>
      </c>
      <c r="J1586">
        <v>0</v>
      </c>
      <c r="K1586">
        <v>0</v>
      </c>
      <c r="L1586">
        <v>200</v>
      </c>
      <c r="M1586">
        <v>0</v>
      </c>
      <c r="N1586">
        <v>50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Z1586">
        <v>0</v>
      </c>
      <c r="AA1586" t="s">
        <v>2758</v>
      </c>
    </row>
    <row r="1587" spans="1:27" x14ac:dyDescent="0.25">
      <c r="H1587" t="s">
        <v>223</v>
      </c>
    </row>
    <row r="1588" spans="1:27" x14ac:dyDescent="0.25">
      <c r="A1588">
        <v>791</v>
      </c>
      <c r="B1588">
        <v>1237</v>
      </c>
      <c r="C1588" t="s">
        <v>2759</v>
      </c>
      <c r="D1588" t="s">
        <v>151</v>
      </c>
      <c r="E1588" t="s">
        <v>85</v>
      </c>
      <c r="F1588" t="s">
        <v>2760</v>
      </c>
      <c r="G1588" t="str">
        <f>"201409004036"</f>
        <v>201409004036</v>
      </c>
      <c r="H1588" t="s">
        <v>675</v>
      </c>
      <c r="I1588">
        <v>0</v>
      </c>
      <c r="J1588">
        <v>0</v>
      </c>
      <c r="K1588">
        <v>0</v>
      </c>
      <c r="L1588">
        <v>200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6</v>
      </c>
      <c r="W1588">
        <v>42</v>
      </c>
      <c r="Z1588">
        <v>0</v>
      </c>
      <c r="AA1588" t="s">
        <v>2761</v>
      </c>
    </row>
    <row r="1589" spans="1:27" x14ac:dyDescent="0.25">
      <c r="H1589" t="s">
        <v>1606</v>
      </c>
    </row>
    <row r="1590" spans="1:27" x14ac:dyDescent="0.25">
      <c r="A1590">
        <v>792</v>
      </c>
      <c r="B1590">
        <v>3097</v>
      </c>
      <c r="C1590" t="s">
        <v>2762</v>
      </c>
      <c r="D1590" t="s">
        <v>158</v>
      </c>
      <c r="E1590" t="s">
        <v>200</v>
      </c>
      <c r="F1590" t="s">
        <v>2763</v>
      </c>
      <c r="G1590" t="str">
        <f>"00012074"</f>
        <v>00012074</v>
      </c>
      <c r="H1590" t="s">
        <v>535</v>
      </c>
      <c r="I1590">
        <v>0</v>
      </c>
      <c r="J1590">
        <v>0</v>
      </c>
      <c r="K1590">
        <v>0</v>
      </c>
      <c r="L1590">
        <v>200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Z1590">
        <v>0</v>
      </c>
      <c r="AA1590" t="s">
        <v>2764</v>
      </c>
    </row>
    <row r="1591" spans="1:27" x14ac:dyDescent="0.25">
      <c r="H1591">
        <v>214</v>
      </c>
    </row>
    <row r="1592" spans="1:27" x14ac:dyDescent="0.25">
      <c r="A1592">
        <v>793</v>
      </c>
      <c r="B1592">
        <v>2945</v>
      </c>
      <c r="C1592" t="s">
        <v>2765</v>
      </c>
      <c r="D1592" t="s">
        <v>108</v>
      </c>
      <c r="E1592" t="s">
        <v>182</v>
      </c>
      <c r="F1592" t="s">
        <v>2766</v>
      </c>
      <c r="G1592" t="str">
        <f>"201406017748"</f>
        <v>201406017748</v>
      </c>
      <c r="H1592" t="s">
        <v>1144</v>
      </c>
      <c r="I1592">
        <v>0</v>
      </c>
      <c r="J1592">
        <v>0</v>
      </c>
      <c r="K1592">
        <v>0</v>
      </c>
      <c r="L1592">
        <v>200</v>
      </c>
      <c r="M1592">
        <v>0</v>
      </c>
      <c r="N1592">
        <v>70</v>
      </c>
      <c r="O1592">
        <v>0</v>
      </c>
      <c r="P1592">
        <v>30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18</v>
      </c>
      <c r="W1592">
        <v>126</v>
      </c>
      <c r="Z1592">
        <v>0</v>
      </c>
      <c r="AA1592" t="s">
        <v>2767</v>
      </c>
    </row>
    <row r="1593" spans="1:27" x14ac:dyDescent="0.25">
      <c r="H1593" t="s">
        <v>49</v>
      </c>
    </row>
    <row r="1594" spans="1:27" x14ac:dyDescent="0.25">
      <c r="A1594">
        <v>794</v>
      </c>
      <c r="B1594">
        <v>1559</v>
      </c>
      <c r="C1594" t="s">
        <v>1666</v>
      </c>
      <c r="D1594" t="s">
        <v>289</v>
      </c>
      <c r="E1594" t="s">
        <v>123</v>
      </c>
      <c r="F1594" t="s">
        <v>2768</v>
      </c>
      <c r="G1594" t="str">
        <f>"201406015296"</f>
        <v>201406015296</v>
      </c>
      <c r="H1594" t="s">
        <v>946</v>
      </c>
      <c r="I1594">
        <v>0</v>
      </c>
      <c r="J1594">
        <v>0</v>
      </c>
      <c r="K1594">
        <v>0</v>
      </c>
      <c r="L1594">
        <v>200</v>
      </c>
      <c r="M1594">
        <v>0</v>
      </c>
      <c r="N1594">
        <v>50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21</v>
      </c>
      <c r="W1594">
        <v>147</v>
      </c>
      <c r="Z1594">
        <v>0</v>
      </c>
      <c r="AA1594" t="s">
        <v>2769</v>
      </c>
    </row>
    <row r="1595" spans="1:27" x14ac:dyDescent="0.25">
      <c r="H1595" t="s">
        <v>729</v>
      </c>
    </row>
    <row r="1596" spans="1:27" x14ac:dyDescent="0.25">
      <c r="A1596">
        <v>795</v>
      </c>
      <c r="B1596">
        <v>745</v>
      </c>
      <c r="C1596" t="s">
        <v>2770</v>
      </c>
      <c r="D1596" t="s">
        <v>647</v>
      </c>
      <c r="E1596" t="s">
        <v>64</v>
      </c>
      <c r="F1596" t="s">
        <v>2771</v>
      </c>
      <c r="G1596" t="str">
        <f>"00012529"</f>
        <v>00012529</v>
      </c>
      <c r="H1596" t="s">
        <v>861</v>
      </c>
      <c r="I1596">
        <v>150</v>
      </c>
      <c r="J1596">
        <v>0</v>
      </c>
      <c r="K1596">
        <v>0</v>
      </c>
      <c r="L1596">
        <v>0</v>
      </c>
      <c r="M1596">
        <v>0</v>
      </c>
      <c r="N1596">
        <v>70</v>
      </c>
      <c r="O1596">
        <v>0</v>
      </c>
      <c r="P1596">
        <v>50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9</v>
      </c>
      <c r="W1596">
        <v>63</v>
      </c>
      <c r="Z1596">
        <v>1</v>
      </c>
      <c r="AA1596" t="s">
        <v>2772</v>
      </c>
    </row>
    <row r="1597" spans="1:27" x14ac:dyDescent="0.25">
      <c r="H1597" t="s">
        <v>2773</v>
      </c>
    </row>
    <row r="1598" spans="1:27" x14ac:dyDescent="0.25">
      <c r="A1598">
        <v>796</v>
      </c>
      <c r="B1598">
        <v>1250</v>
      </c>
      <c r="C1598" t="s">
        <v>2774</v>
      </c>
      <c r="D1598" t="s">
        <v>219</v>
      </c>
      <c r="E1598" t="s">
        <v>64</v>
      </c>
      <c r="F1598" t="s">
        <v>2775</v>
      </c>
      <c r="G1598" t="str">
        <f>"201304000332"</f>
        <v>201304000332</v>
      </c>
      <c r="H1598" t="s">
        <v>1326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70</v>
      </c>
      <c r="O1598">
        <v>0</v>
      </c>
      <c r="P1598">
        <v>0</v>
      </c>
      <c r="Q1598">
        <v>30</v>
      </c>
      <c r="R1598">
        <v>0</v>
      </c>
      <c r="S1598">
        <v>0</v>
      </c>
      <c r="T1598">
        <v>0</v>
      </c>
      <c r="U1598">
        <v>0</v>
      </c>
      <c r="V1598">
        <v>49</v>
      </c>
      <c r="W1598">
        <v>343</v>
      </c>
      <c r="Z1598">
        <v>0</v>
      </c>
      <c r="AA1598" t="s">
        <v>2772</v>
      </c>
    </row>
    <row r="1599" spans="1:27" x14ac:dyDescent="0.25">
      <c r="H1599" t="s">
        <v>298</v>
      </c>
    </row>
    <row r="1600" spans="1:27" x14ac:dyDescent="0.25">
      <c r="A1600">
        <v>797</v>
      </c>
      <c r="B1600">
        <v>1614</v>
      </c>
      <c r="C1600" t="s">
        <v>2776</v>
      </c>
      <c r="D1600" t="s">
        <v>200</v>
      </c>
      <c r="E1600" t="s">
        <v>85</v>
      </c>
      <c r="F1600" t="s">
        <v>2777</v>
      </c>
      <c r="G1600" t="str">
        <f>"201401001890"</f>
        <v>201401001890</v>
      </c>
      <c r="H1600" t="s">
        <v>510</v>
      </c>
      <c r="I1600">
        <v>150</v>
      </c>
      <c r="J1600">
        <v>0</v>
      </c>
      <c r="K1600">
        <v>0</v>
      </c>
      <c r="L1600">
        <v>0</v>
      </c>
      <c r="M1600">
        <v>0</v>
      </c>
      <c r="N1600">
        <v>70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Z1600">
        <v>0</v>
      </c>
      <c r="AA1600" t="s">
        <v>2778</v>
      </c>
    </row>
    <row r="1601" spans="1:27" x14ac:dyDescent="0.25">
      <c r="H1601" t="s">
        <v>25</v>
      </c>
    </row>
    <row r="1602" spans="1:27" x14ac:dyDescent="0.25">
      <c r="A1602">
        <v>798</v>
      </c>
      <c r="B1602">
        <v>2372</v>
      </c>
      <c r="C1602" t="s">
        <v>2779</v>
      </c>
      <c r="D1602" t="s">
        <v>647</v>
      </c>
      <c r="E1602" t="s">
        <v>2780</v>
      </c>
      <c r="F1602" t="s">
        <v>2781</v>
      </c>
      <c r="G1602" t="str">
        <f>"00013589"</f>
        <v>00013589</v>
      </c>
      <c r="H1602" t="s">
        <v>301</v>
      </c>
      <c r="I1602">
        <v>0</v>
      </c>
      <c r="J1602">
        <v>0</v>
      </c>
      <c r="K1602">
        <v>0</v>
      </c>
      <c r="L1602">
        <v>200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70</v>
      </c>
      <c r="V1602">
        <v>0</v>
      </c>
      <c r="W1602">
        <v>0</v>
      </c>
      <c r="Z1602">
        <v>0</v>
      </c>
      <c r="AA1602" t="s">
        <v>2782</v>
      </c>
    </row>
    <row r="1603" spans="1:27" x14ac:dyDescent="0.25">
      <c r="H1603" t="s">
        <v>49</v>
      </c>
    </row>
    <row r="1604" spans="1:27" x14ac:dyDescent="0.25">
      <c r="A1604">
        <v>799</v>
      </c>
      <c r="B1604">
        <v>3305</v>
      </c>
      <c r="C1604" t="s">
        <v>2783</v>
      </c>
      <c r="D1604" t="s">
        <v>2518</v>
      </c>
      <c r="E1604" t="s">
        <v>52</v>
      </c>
      <c r="F1604" t="s">
        <v>2784</v>
      </c>
      <c r="G1604" t="str">
        <f>"201406010475"</f>
        <v>201406010475</v>
      </c>
      <c r="H1604" t="s">
        <v>269</v>
      </c>
      <c r="I1604">
        <v>0</v>
      </c>
      <c r="J1604">
        <v>0</v>
      </c>
      <c r="K1604">
        <v>0</v>
      </c>
      <c r="L1604">
        <v>200</v>
      </c>
      <c r="M1604">
        <v>0</v>
      </c>
      <c r="N1604">
        <v>70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10</v>
      </c>
      <c r="W1604">
        <v>70</v>
      </c>
      <c r="Z1604">
        <v>0</v>
      </c>
      <c r="AA1604" t="s">
        <v>2785</v>
      </c>
    </row>
    <row r="1605" spans="1:27" x14ac:dyDescent="0.25">
      <c r="H1605" t="s">
        <v>237</v>
      </c>
    </row>
    <row r="1606" spans="1:27" x14ac:dyDescent="0.25">
      <c r="A1606">
        <v>800</v>
      </c>
      <c r="B1606">
        <v>1784</v>
      </c>
      <c r="C1606" t="s">
        <v>2786</v>
      </c>
      <c r="D1606" t="s">
        <v>519</v>
      </c>
      <c r="E1606" t="s">
        <v>284</v>
      </c>
      <c r="F1606" t="s">
        <v>2787</v>
      </c>
      <c r="G1606" t="str">
        <f>"201406018792"</f>
        <v>201406018792</v>
      </c>
      <c r="H1606" t="s">
        <v>429</v>
      </c>
      <c r="I1606">
        <v>0</v>
      </c>
      <c r="J1606">
        <v>0</v>
      </c>
      <c r="K1606">
        <v>0</v>
      </c>
      <c r="L1606">
        <v>200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6</v>
      </c>
      <c r="W1606">
        <v>42</v>
      </c>
      <c r="Z1606">
        <v>2</v>
      </c>
      <c r="AA1606" t="s">
        <v>2788</v>
      </c>
    </row>
    <row r="1607" spans="1:27" x14ac:dyDescent="0.25">
      <c r="H1607" t="s">
        <v>482</v>
      </c>
    </row>
    <row r="1608" spans="1:27" x14ac:dyDescent="0.25">
      <c r="A1608">
        <v>801</v>
      </c>
      <c r="B1608">
        <v>1797</v>
      </c>
      <c r="C1608" t="s">
        <v>2789</v>
      </c>
      <c r="D1608" t="s">
        <v>58</v>
      </c>
      <c r="E1608" t="s">
        <v>108</v>
      </c>
      <c r="F1608" t="s">
        <v>2790</v>
      </c>
      <c r="G1608" t="str">
        <f>"201410009774"</f>
        <v>201410009774</v>
      </c>
      <c r="H1608" t="s">
        <v>1054</v>
      </c>
      <c r="I1608">
        <v>0</v>
      </c>
      <c r="J1608">
        <v>0</v>
      </c>
      <c r="K1608">
        <v>0</v>
      </c>
      <c r="L1608">
        <v>260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Z1608">
        <v>0</v>
      </c>
      <c r="AA1608" t="s">
        <v>2791</v>
      </c>
    </row>
    <row r="1609" spans="1:27" x14ac:dyDescent="0.25">
      <c r="H1609" t="s">
        <v>89</v>
      </c>
    </row>
    <row r="1610" spans="1:27" x14ac:dyDescent="0.25">
      <c r="A1610">
        <v>802</v>
      </c>
      <c r="B1610">
        <v>704</v>
      </c>
      <c r="C1610" t="s">
        <v>1060</v>
      </c>
      <c r="D1610" t="s">
        <v>1076</v>
      </c>
      <c r="E1610" t="s">
        <v>64</v>
      </c>
      <c r="F1610" t="s">
        <v>2792</v>
      </c>
      <c r="G1610" t="str">
        <f>"201304001107"</f>
        <v>201304001107</v>
      </c>
      <c r="H1610">
        <v>715</v>
      </c>
      <c r="I1610">
        <v>0</v>
      </c>
      <c r="J1610">
        <v>0</v>
      </c>
      <c r="K1610">
        <v>0</v>
      </c>
      <c r="L1610">
        <v>200</v>
      </c>
      <c r="M1610">
        <v>0</v>
      </c>
      <c r="N1610">
        <v>70</v>
      </c>
      <c r="O1610">
        <v>50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8</v>
      </c>
      <c r="W1610">
        <v>56</v>
      </c>
      <c r="Z1610">
        <v>0</v>
      </c>
      <c r="AA1610">
        <v>1091</v>
      </c>
    </row>
    <row r="1611" spans="1:27" x14ac:dyDescent="0.25">
      <c r="H1611" t="s">
        <v>31</v>
      </c>
    </row>
    <row r="1612" spans="1:27" x14ac:dyDescent="0.25">
      <c r="A1612">
        <v>803</v>
      </c>
      <c r="B1612">
        <v>2810</v>
      </c>
      <c r="C1612" t="s">
        <v>2793</v>
      </c>
      <c r="D1612" t="s">
        <v>41</v>
      </c>
      <c r="E1612" t="s">
        <v>64</v>
      </c>
      <c r="F1612" t="s">
        <v>2794</v>
      </c>
      <c r="G1612" t="str">
        <f>"201304003166"</f>
        <v>201304003166</v>
      </c>
      <c r="H1612" t="s">
        <v>1211</v>
      </c>
      <c r="I1612">
        <v>0</v>
      </c>
      <c r="J1612">
        <v>0</v>
      </c>
      <c r="K1612">
        <v>0</v>
      </c>
      <c r="L1612">
        <v>200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16</v>
      </c>
      <c r="W1612">
        <v>112</v>
      </c>
      <c r="Z1612">
        <v>0</v>
      </c>
      <c r="AA1612" t="s">
        <v>2795</v>
      </c>
    </row>
    <row r="1613" spans="1:27" x14ac:dyDescent="0.25">
      <c r="H1613" t="s">
        <v>729</v>
      </c>
    </row>
    <row r="1614" spans="1:27" x14ac:dyDescent="0.25">
      <c r="A1614">
        <v>804</v>
      </c>
      <c r="B1614">
        <v>2828</v>
      </c>
      <c r="C1614" t="s">
        <v>2796</v>
      </c>
      <c r="D1614" t="s">
        <v>276</v>
      </c>
      <c r="E1614" t="s">
        <v>14</v>
      </c>
      <c r="F1614" t="s">
        <v>2797</v>
      </c>
      <c r="G1614" t="str">
        <f>"201406000147"</f>
        <v>201406000147</v>
      </c>
      <c r="H1614">
        <v>858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23</v>
      </c>
      <c r="W1614">
        <v>161</v>
      </c>
      <c r="Z1614">
        <v>0</v>
      </c>
      <c r="AA1614">
        <v>1089</v>
      </c>
    </row>
    <row r="1615" spans="1:27" x14ac:dyDescent="0.25">
      <c r="H1615" t="s">
        <v>854</v>
      </c>
    </row>
    <row r="1616" spans="1:27" x14ac:dyDescent="0.25">
      <c r="A1616">
        <v>805</v>
      </c>
      <c r="B1616">
        <v>638</v>
      </c>
      <c r="C1616" t="s">
        <v>2798</v>
      </c>
      <c r="D1616" t="s">
        <v>276</v>
      </c>
      <c r="E1616" t="s">
        <v>1072</v>
      </c>
      <c r="F1616" t="s">
        <v>2799</v>
      </c>
      <c r="G1616" t="str">
        <f>"201304002692"</f>
        <v>201304002692</v>
      </c>
      <c r="H1616">
        <v>803</v>
      </c>
      <c r="I1616">
        <v>0</v>
      </c>
      <c r="J1616">
        <v>0</v>
      </c>
      <c r="K1616">
        <v>0</v>
      </c>
      <c r="L1616">
        <v>0</v>
      </c>
      <c r="M1616">
        <v>100</v>
      </c>
      <c r="N1616">
        <v>70</v>
      </c>
      <c r="O1616">
        <v>50</v>
      </c>
      <c r="P1616">
        <v>0</v>
      </c>
      <c r="Q1616">
        <v>30</v>
      </c>
      <c r="R1616">
        <v>0</v>
      </c>
      <c r="S1616">
        <v>0</v>
      </c>
      <c r="T1616">
        <v>0</v>
      </c>
      <c r="U1616">
        <v>0</v>
      </c>
      <c r="V1616">
        <v>5</v>
      </c>
      <c r="W1616">
        <v>35</v>
      </c>
      <c r="Z1616">
        <v>0</v>
      </c>
      <c r="AA1616">
        <v>1088</v>
      </c>
    </row>
    <row r="1617" spans="1:27" x14ac:dyDescent="0.25">
      <c r="H1617" t="s">
        <v>298</v>
      </c>
    </row>
    <row r="1618" spans="1:27" x14ac:dyDescent="0.25">
      <c r="A1618">
        <v>806</v>
      </c>
      <c r="B1618">
        <v>195</v>
      </c>
      <c r="C1618" t="s">
        <v>2800</v>
      </c>
      <c r="D1618" t="s">
        <v>1568</v>
      </c>
      <c r="E1618" t="s">
        <v>401</v>
      </c>
      <c r="F1618" t="s">
        <v>2801</v>
      </c>
      <c r="G1618" t="str">
        <f>"00011969"</f>
        <v>00011969</v>
      </c>
      <c r="H1618">
        <v>616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63</v>
      </c>
      <c r="W1618">
        <v>441</v>
      </c>
      <c r="Z1618">
        <v>0</v>
      </c>
      <c r="AA1618">
        <v>1087</v>
      </c>
    </row>
    <row r="1619" spans="1:27" x14ac:dyDescent="0.25">
      <c r="H1619">
        <v>215</v>
      </c>
    </row>
    <row r="1620" spans="1:27" x14ac:dyDescent="0.25">
      <c r="A1620">
        <v>807</v>
      </c>
      <c r="B1620">
        <v>426</v>
      </c>
      <c r="C1620" t="s">
        <v>2802</v>
      </c>
      <c r="D1620" t="s">
        <v>235</v>
      </c>
      <c r="E1620" t="s">
        <v>114</v>
      </c>
      <c r="F1620" t="s">
        <v>2803</v>
      </c>
      <c r="G1620" t="str">
        <f>"201506001051"</f>
        <v>201506001051</v>
      </c>
      <c r="H1620" t="s">
        <v>588</v>
      </c>
      <c r="I1620">
        <v>0</v>
      </c>
      <c r="J1620">
        <v>0</v>
      </c>
      <c r="K1620">
        <v>0</v>
      </c>
      <c r="L1620">
        <v>200</v>
      </c>
      <c r="M1620">
        <v>0</v>
      </c>
      <c r="N1620">
        <v>70</v>
      </c>
      <c r="O1620">
        <v>30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Z1620">
        <v>0</v>
      </c>
      <c r="AA1620" t="s">
        <v>2804</v>
      </c>
    </row>
    <row r="1621" spans="1:27" x14ac:dyDescent="0.25">
      <c r="H1621" t="s">
        <v>223</v>
      </c>
    </row>
    <row r="1622" spans="1:27" x14ac:dyDescent="0.25">
      <c r="A1622">
        <v>808</v>
      </c>
      <c r="B1622">
        <v>1429</v>
      </c>
      <c r="C1622" t="s">
        <v>2805</v>
      </c>
      <c r="D1622" t="s">
        <v>519</v>
      </c>
      <c r="E1622" t="s">
        <v>129</v>
      </c>
      <c r="F1622" t="s">
        <v>2806</v>
      </c>
      <c r="G1622" t="str">
        <f>"00014175"</f>
        <v>00014175</v>
      </c>
      <c r="H1622" t="s">
        <v>915</v>
      </c>
      <c r="I1622">
        <v>0</v>
      </c>
      <c r="J1622">
        <v>0</v>
      </c>
      <c r="K1622">
        <v>0</v>
      </c>
      <c r="L1622">
        <v>200</v>
      </c>
      <c r="M1622">
        <v>0</v>
      </c>
      <c r="N1622">
        <v>70</v>
      </c>
      <c r="O1622">
        <v>0</v>
      </c>
      <c r="P1622">
        <v>30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9</v>
      </c>
      <c r="W1622">
        <v>63</v>
      </c>
      <c r="Z1622">
        <v>0</v>
      </c>
      <c r="AA1622" t="s">
        <v>2807</v>
      </c>
    </row>
    <row r="1623" spans="1:27" x14ac:dyDescent="0.25">
      <c r="H1623" t="s">
        <v>38</v>
      </c>
    </row>
    <row r="1624" spans="1:27" x14ac:dyDescent="0.25">
      <c r="A1624">
        <v>809</v>
      </c>
      <c r="B1624">
        <v>2609</v>
      </c>
      <c r="C1624" t="s">
        <v>1134</v>
      </c>
      <c r="D1624" t="s">
        <v>647</v>
      </c>
      <c r="E1624" t="s">
        <v>583</v>
      </c>
      <c r="F1624" t="s">
        <v>2808</v>
      </c>
      <c r="G1624" t="str">
        <f>"201506000916"</f>
        <v>201506000916</v>
      </c>
      <c r="H1624" t="s">
        <v>592</v>
      </c>
      <c r="I1624">
        <v>0</v>
      </c>
      <c r="J1624">
        <v>0</v>
      </c>
      <c r="K1624">
        <v>0</v>
      </c>
      <c r="L1624">
        <v>200</v>
      </c>
      <c r="M1624">
        <v>0</v>
      </c>
      <c r="N1624">
        <v>30</v>
      </c>
      <c r="O1624">
        <v>0</v>
      </c>
      <c r="P1624">
        <v>50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Z1624">
        <v>0</v>
      </c>
      <c r="AA1624" t="s">
        <v>2809</v>
      </c>
    </row>
    <row r="1625" spans="1:27" x14ac:dyDescent="0.25">
      <c r="H1625" t="s">
        <v>298</v>
      </c>
    </row>
    <row r="1626" spans="1:27" x14ac:dyDescent="0.25">
      <c r="A1626">
        <v>810</v>
      </c>
      <c r="B1626">
        <v>3204</v>
      </c>
      <c r="C1626" t="s">
        <v>2810</v>
      </c>
      <c r="D1626" t="s">
        <v>123</v>
      </c>
      <c r="E1626" t="s">
        <v>188</v>
      </c>
      <c r="F1626" t="s">
        <v>2811</v>
      </c>
      <c r="G1626" t="str">
        <f>"00011838"</f>
        <v>00011838</v>
      </c>
      <c r="H1626" t="s">
        <v>246</v>
      </c>
      <c r="I1626">
        <v>0</v>
      </c>
      <c r="J1626">
        <v>0</v>
      </c>
      <c r="K1626">
        <v>0</v>
      </c>
      <c r="L1626">
        <v>200</v>
      </c>
      <c r="M1626">
        <v>0</v>
      </c>
      <c r="N1626">
        <v>50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Z1626">
        <v>0</v>
      </c>
      <c r="AA1626" t="s">
        <v>2812</v>
      </c>
    </row>
    <row r="1627" spans="1:27" x14ac:dyDescent="0.25">
      <c r="H1627" t="s">
        <v>223</v>
      </c>
    </row>
    <row r="1628" spans="1:27" x14ac:dyDescent="0.25">
      <c r="A1628">
        <v>811</v>
      </c>
      <c r="B1628">
        <v>485</v>
      </c>
      <c r="C1628" t="s">
        <v>2813</v>
      </c>
      <c r="D1628" t="s">
        <v>158</v>
      </c>
      <c r="E1628" t="s">
        <v>52</v>
      </c>
      <c r="F1628" t="s">
        <v>2814</v>
      </c>
      <c r="G1628" t="str">
        <f>"201406007332"</f>
        <v>201406007332</v>
      </c>
      <c r="H1628" t="s">
        <v>2815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59</v>
      </c>
      <c r="W1628">
        <v>413</v>
      </c>
      <c r="Z1628">
        <v>0</v>
      </c>
      <c r="AA1628" t="s">
        <v>2816</v>
      </c>
    </row>
    <row r="1629" spans="1:27" x14ac:dyDescent="0.25">
      <c r="H1629" t="s">
        <v>25</v>
      </c>
    </row>
    <row r="1630" spans="1:27" x14ac:dyDescent="0.25">
      <c r="A1630">
        <v>812</v>
      </c>
      <c r="B1630">
        <v>3332</v>
      </c>
      <c r="C1630" t="s">
        <v>2817</v>
      </c>
      <c r="D1630" t="s">
        <v>276</v>
      </c>
      <c r="E1630" t="s">
        <v>387</v>
      </c>
      <c r="F1630" t="s">
        <v>2818</v>
      </c>
      <c r="G1630" t="str">
        <f>"201409003079"</f>
        <v>201409003079</v>
      </c>
      <c r="H1630" t="s">
        <v>2819</v>
      </c>
      <c r="I1630">
        <v>0</v>
      </c>
      <c r="J1630">
        <v>0</v>
      </c>
      <c r="K1630">
        <v>0</v>
      </c>
      <c r="L1630">
        <v>200</v>
      </c>
      <c r="M1630">
        <v>0</v>
      </c>
      <c r="N1630">
        <v>70</v>
      </c>
      <c r="O1630">
        <v>0</v>
      </c>
      <c r="P1630">
        <v>0</v>
      </c>
      <c r="Q1630">
        <v>0</v>
      </c>
      <c r="R1630">
        <v>30</v>
      </c>
      <c r="S1630">
        <v>0</v>
      </c>
      <c r="T1630">
        <v>0</v>
      </c>
      <c r="U1630">
        <v>0</v>
      </c>
      <c r="V1630">
        <v>22</v>
      </c>
      <c r="W1630">
        <v>154</v>
      </c>
      <c r="Z1630">
        <v>0</v>
      </c>
      <c r="AA1630" t="s">
        <v>2816</v>
      </c>
    </row>
    <row r="1631" spans="1:27" x14ac:dyDescent="0.25">
      <c r="H1631" t="s">
        <v>248</v>
      </c>
    </row>
    <row r="1632" spans="1:27" x14ac:dyDescent="0.25">
      <c r="A1632">
        <v>813</v>
      </c>
      <c r="B1632">
        <v>2985</v>
      </c>
      <c r="C1632" t="s">
        <v>2820</v>
      </c>
      <c r="D1632" t="s">
        <v>168</v>
      </c>
      <c r="E1632" t="s">
        <v>2522</v>
      </c>
      <c r="F1632" t="s">
        <v>2821</v>
      </c>
      <c r="G1632" t="str">
        <f>"00013958"</f>
        <v>00013958</v>
      </c>
      <c r="H1632" t="s">
        <v>1211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30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39</v>
      </c>
      <c r="W1632">
        <v>273</v>
      </c>
      <c r="Z1632">
        <v>0</v>
      </c>
      <c r="AA1632" t="s">
        <v>2822</v>
      </c>
    </row>
    <row r="1633" spans="1:27" x14ac:dyDescent="0.25">
      <c r="H1633" t="s">
        <v>78</v>
      </c>
    </row>
    <row r="1634" spans="1:27" x14ac:dyDescent="0.25">
      <c r="A1634">
        <v>814</v>
      </c>
      <c r="B1634">
        <v>2665</v>
      </c>
      <c r="C1634" t="s">
        <v>2823</v>
      </c>
      <c r="D1634" t="s">
        <v>1187</v>
      </c>
      <c r="E1634" t="s">
        <v>225</v>
      </c>
      <c r="F1634" t="s">
        <v>2824</v>
      </c>
      <c r="G1634" t="str">
        <f>"201405001042"</f>
        <v>201405001042</v>
      </c>
      <c r="H1634" t="s">
        <v>371</v>
      </c>
      <c r="I1634">
        <v>0</v>
      </c>
      <c r="J1634">
        <v>0</v>
      </c>
      <c r="K1634">
        <v>0</v>
      </c>
      <c r="L1634">
        <v>200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6</v>
      </c>
      <c r="W1634">
        <v>42</v>
      </c>
      <c r="Z1634">
        <v>0</v>
      </c>
      <c r="AA1634" t="s">
        <v>2825</v>
      </c>
    </row>
    <row r="1635" spans="1:27" x14ac:dyDescent="0.25">
      <c r="H1635" t="s">
        <v>38</v>
      </c>
    </row>
    <row r="1636" spans="1:27" x14ac:dyDescent="0.25">
      <c r="A1636">
        <v>815</v>
      </c>
      <c r="B1636">
        <v>2483</v>
      </c>
      <c r="C1636" t="s">
        <v>2826</v>
      </c>
      <c r="D1636" t="s">
        <v>2827</v>
      </c>
      <c r="E1636" t="s">
        <v>1311</v>
      </c>
      <c r="F1636" t="s">
        <v>2828</v>
      </c>
      <c r="G1636" t="str">
        <f>"201406008578"</f>
        <v>201406008578</v>
      </c>
      <c r="H1636" t="s">
        <v>301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30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32</v>
      </c>
      <c r="W1636">
        <v>224</v>
      </c>
      <c r="Z1636">
        <v>0</v>
      </c>
      <c r="AA1636" t="s">
        <v>2829</v>
      </c>
    </row>
    <row r="1637" spans="1:27" x14ac:dyDescent="0.25">
      <c r="H1637">
        <v>213</v>
      </c>
    </row>
    <row r="1638" spans="1:27" x14ac:dyDescent="0.25">
      <c r="A1638">
        <v>816</v>
      </c>
      <c r="B1638">
        <v>643</v>
      </c>
      <c r="C1638" t="s">
        <v>2830</v>
      </c>
      <c r="D1638" t="s">
        <v>41</v>
      </c>
      <c r="E1638" t="s">
        <v>225</v>
      </c>
      <c r="F1638" t="s">
        <v>2831</v>
      </c>
      <c r="G1638" t="str">
        <f>"201410000651"</f>
        <v>201410000651</v>
      </c>
      <c r="H1638" t="s">
        <v>811</v>
      </c>
      <c r="I1638">
        <v>0</v>
      </c>
      <c r="J1638">
        <v>0</v>
      </c>
      <c r="K1638">
        <v>0</v>
      </c>
      <c r="L1638">
        <v>200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5</v>
      </c>
      <c r="W1638">
        <v>35</v>
      </c>
      <c r="Z1638">
        <v>0</v>
      </c>
      <c r="AA1638" t="s">
        <v>2832</v>
      </c>
    </row>
    <row r="1639" spans="1:27" x14ac:dyDescent="0.25">
      <c r="H1639" t="s">
        <v>223</v>
      </c>
    </row>
    <row r="1640" spans="1:27" x14ac:dyDescent="0.25">
      <c r="A1640">
        <v>817</v>
      </c>
      <c r="B1640">
        <v>186</v>
      </c>
      <c r="C1640" t="s">
        <v>2833</v>
      </c>
      <c r="D1640" t="s">
        <v>129</v>
      </c>
      <c r="E1640" t="s">
        <v>15</v>
      </c>
      <c r="F1640" t="s">
        <v>2834</v>
      </c>
      <c r="G1640" t="str">
        <f>"201406001680"</f>
        <v>201406001680</v>
      </c>
      <c r="H1640" t="s">
        <v>2835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5</v>
      </c>
      <c r="W1640">
        <v>35</v>
      </c>
      <c r="Z1640">
        <v>0</v>
      </c>
      <c r="AA1640" t="s">
        <v>2836</v>
      </c>
    </row>
    <row r="1641" spans="1:27" x14ac:dyDescent="0.25">
      <c r="H1641" t="s">
        <v>1000</v>
      </c>
    </row>
    <row r="1642" spans="1:27" x14ac:dyDescent="0.25">
      <c r="A1642">
        <v>818</v>
      </c>
      <c r="B1642">
        <v>636</v>
      </c>
      <c r="C1642" t="s">
        <v>2837</v>
      </c>
      <c r="D1642" t="s">
        <v>80</v>
      </c>
      <c r="E1642" t="s">
        <v>2838</v>
      </c>
      <c r="F1642" t="s">
        <v>2839</v>
      </c>
      <c r="G1642" t="str">
        <f>"201511022674"</f>
        <v>201511022674</v>
      </c>
      <c r="H1642" t="s">
        <v>773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50</v>
      </c>
      <c r="O1642">
        <v>0</v>
      </c>
      <c r="P1642">
        <v>0</v>
      </c>
      <c r="Q1642">
        <v>30</v>
      </c>
      <c r="R1642">
        <v>0</v>
      </c>
      <c r="S1642">
        <v>0</v>
      </c>
      <c r="T1642">
        <v>0</v>
      </c>
      <c r="U1642">
        <v>0</v>
      </c>
      <c r="V1642">
        <v>31</v>
      </c>
      <c r="W1642">
        <v>217</v>
      </c>
      <c r="Z1642">
        <v>1</v>
      </c>
      <c r="AA1642" t="s">
        <v>2840</v>
      </c>
    </row>
    <row r="1643" spans="1:27" x14ac:dyDescent="0.25">
      <c r="H1643">
        <v>215</v>
      </c>
    </row>
    <row r="1644" spans="1:27" x14ac:dyDescent="0.25">
      <c r="A1644">
        <v>819</v>
      </c>
      <c r="B1644">
        <v>2700</v>
      </c>
      <c r="C1644" t="s">
        <v>2841</v>
      </c>
      <c r="D1644" t="s">
        <v>2842</v>
      </c>
      <c r="E1644" t="s">
        <v>128</v>
      </c>
      <c r="F1644" t="s">
        <v>2843</v>
      </c>
      <c r="G1644" t="str">
        <f>"201506001452"</f>
        <v>201506001452</v>
      </c>
      <c r="H1644" t="s">
        <v>286</v>
      </c>
      <c r="I1644">
        <v>0</v>
      </c>
      <c r="J1644">
        <v>0</v>
      </c>
      <c r="K1644">
        <v>0</v>
      </c>
      <c r="L1644">
        <v>200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Z1644">
        <v>2</v>
      </c>
      <c r="AA1644" t="s">
        <v>2844</v>
      </c>
    </row>
    <row r="1645" spans="1:27" x14ac:dyDescent="0.25">
      <c r="H1645" t="s">
        <v>78</v>
      </c>
    </row>
    <row r="1646" spans="1:27" x14ac:dyDescent="0.25">
      <c r="A1646">
        <v>820</v>
      </c>
      <c r="B1646">
        <v>1692</v>
      </c>
      <c r="C1646" t="s">
        <v>2845</v>
      </c>
      <c r="D1646" t="s">
        <v>41</v>
      </c>
      <c r="E1646" t="s">
        <v>225</v>
      </c>
      <c r="F1646" t="s">
        <v>2846</v>
      </c>
      <c r="G1646" t="str">
        <f>"201504002487"</f>
        <v>201504002487</v>
      </c>
      <c r="H1646" t="s">
        <v>773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38</v>
      </c>
      <c r="W1646">
        <v>266</v>
      </c>
      <c r="Z1646">
        <v>0</v>
      </c>
      <c r="AA1646" t="s">
        <v>2847</v>
      </c>
    </row>
    <row r="1647" spans="1:27" x14ac:dyDescent="0.25">
      <c r="H1647" t="s">
        <v>106</v>
      </c>
    </row>
    <row r="1648" spans="1:27" x14ac:dyDescent="0.25">
      <c r="A1648">
        <v>821</v>
      </c>
      <c r="B1648">
        <v>863</v>
      </c>
      <c r="C1648" t="s">
        <v>2848</v>
      </c>
      <c r="D1648" t="s">
        <v>678</v>
      </c>
      <c r="E1648" t="s">
        <v>200</v>
      </c>
      <c r="F1648" t="s">
        <v>2849</v>
      </c>
      <c r="G1648" t="str">
        <f>"201406012851"</f>
        <v>201406012851</v>
      </c>
      <c r="H1648" t="s">
        <v>1391</v>
      </c>
      <c r="I1648">
        <v>0</v>
      </c>
      <c r="J1648">
        <v>0</v>
      </c>
      <c r="K1648">
        <v>0</v>
      </c>
      <c r="L1648">
        <v>0</v>
      </c>
      <c r="M1648">
        <v>100</v>
      </c>
      <c r="N1648">
        <v>50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26</v>
      </c>
      <c r="W1648">
        <v>182</v>
      </c>
      <c r="Z1648">
        <v>0</v>
      </c>
      <c r="AA1648" t="s">
        <v>2850</v>
      </c>
    </row>
    <row r="1649" spans="1:27" x14ac:dyDescent="0.25">
      <c r="H1649" t="s">
        <v>223</v>
      </c>
    </row>
    <row r="1650" spans="1:27" x14ac:dyDescent="0.25">
      <c r="A1650">
        <v>822</v>
      </c>
      <c r="B1650">
        <v>3174</v>
      </c>
      <c r="C1650" t="s">
        <v>2851</v>
      </c>
      <c r="D1650" t="s">
        <v>64</v>
      </c>
      <c r="E1650" t="s">
        <v>108</v>
      </c>
      <c r="F1650" t="s">
        <v>2852</v>
      </c>
      <c r="G1650" t="str">
        <f>"201406010773"</f>
        <v>201406010773</v>
      </c>
      <c r="H1650" t="s">
        <v>840</v>
      </c>
      <c r="I1650">
        <v>0</v>
      </c>
      <c r="J1650">
        <v>0</v>
      </c>
      <c r="K1650">
        <v>0</v>
      </c>
      <c r="L1650">
        <v>200</v>
      </c>
      <c r="M1650">
        <v>0</v>
      </c>
      <c r="N1650">
        <v>70</v>
      </c>
      <c r="O1650">
        <v>50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5</v>
      </c>
      <c r="W1650">
        <v>35</v>
      </c>
      <c r="Z1650">
        <v>1</v>
      </c>
      <c r="AA1650" t="s">
        <v>2853</v>
      </c>
    </row>
    <row r="1651" spans="1:27" x14ac:dyDescent="0.25">
      <c r="H1651" t="s">
        <v>49</v>
      </c>
    </row>
    <row r="1652" spans="1:27" x14ac:dyDescent="0.25">
      <c r="A1652">
        <v>823</v>
      </c>
      <c r="B1652">
        <v>804</v>
      </c>
      <c r="C1652" t="s">
        <v>324</v>
      </c>
      <c r="D1652" t="s">
        <v>304</v>
      </c>
      <c r="E1652" t="s">
        <v>1085</v>
      </c>
      <c r="F1652" t="s">
        <v>2854</v>
      </c>
      <c r="G1652" t="str">
        <f>"00012372"</f>
        <v>00012372</v>
      </c>
      <c r="H1652" t="s">
        <v>2040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30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50</v>
      </c>
      <c r="W1652">
        <v>350</v>
      </c>
      <c r="Z1652">
        <v>0</v>
      </c>
      <c r="AA1652" t="s">
        <v>2853</v>
      </c>
    </row>
    <row r="1653" spans="1:27" x14ac:dyDescent="0.25">
      <c r="H1653" t="s">
        <v>298</v>
      </c>
    </row>
    <row r="1654" spans="1:27" x14ac:dyDescent="0.25">
      <c r="A1654">
        <v>824</v>
      </c>
      <c r="B1654">
        <v>947</v>
      </c>
      <c r="C1654" t="s">
        <v>2014</v>
      </c>
      <c r="D1654" t="s">
        <v>319</v>
      </c>
      <c r="E1654" t="s">
        <v>2855</v>
      </c>
      <c r="F1654" t="s">
        <v>2856</v>
      </c>
      <c r="G1654" t="str">
        <f>"201406000758"</f>
        <v>201406000758</v>
      </c>
      <c r="H1654" t="s">
        <v>1030</v>
      </c>
      <c r="I1654">
        <v>0</v>
      </c>
      <c r="J1654">
        <v>0</v>
      </c>
      <c r="K1654">
        <v>0</v>
      </c>
      <c r="L1654">
        <v>200</v>
      </c>
      <c r="M1654">
        <v>0</v>
      </c>
      <c r="N1654">
        <v>70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11</v>
      </c>
      <c r="W1654">
        <v>77</v>
      </c>
      <c r="Z1654">
        <v>0</v>
      </c>
      <c r="AA1654" t="s">
        <v>2857</v>
      </c>
    </row>
    <row r="1655" spans="1:27" x14ac:dyDescent="0.25">
      <c r="H1655" t="s">
        <v>38</v>
      </c>
    </row>
    <row r="1656" spans="1:27" x14ac:dyDescent="0.25">
      <c r="A1656">
        <v>825</v>
      </c>
      <c r="B1656">
        <v>1571</v>
      </c>
      <c r="C1656" t="s">
        <v>2858</v>
      </c>
      <c r="D1656" t="s">
        <v>647</v>
      </c>
      <c r="E1656" t="s">
        <v>108</v>
      </c>
      <c r="F1656" t="s">
        <v>2859</v>
      </c>
      <c r="G1656" t="str">
        <f>"201406009482"</f>
        <v>201406009482</v>
      </c>
      <c r="H1656">
        <v>726</v>
      </c>
      <c r="I1656">
        <v>150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30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14</v>
      </c>
      <c r="W1656">
        <v>98</v>
      </c>
      <c r="Z1656">
        <v>1</v>
      </c>
      <c r="AA1656">
        <v>1074</v>
      </c>
    </row>
    <row r="1657" spans="1:27" x14ac:dyDescent="0.25">
      <c r="H1657" t="s">
        <v>293</v>
      </c>
    </row>
    <row r="1658" spans="1:27" x14ac:dyDescent="0.25">
      <c r="A1658">
        <v>826</v>
      </c>
      <c r="B1658">
        <v>3009</v>
      </c>
      <c r="C1658" t="s">
        <v>2860</v>
      </c>
      <c r="D1658" t="s">
        <v>490</v>
      </c>
      <c r="E1658" t="s">
        <v>284</v>
      </c>
      <c r="F1658" t="s">
        <v>2861</v>
      </c>
      <c r="G1658" t="str">
        <f>"201501000314"</f>
        <v>201501000314</v>
      </c>
      <c r="H1658" t="s">
        <v>42</v>
      </c>
      <c r="I1658">
        <v>0</v>
      </c>
      <c r="J1658">
        <v>0</v>
      </c>
      <c r="K1658">
        <v>0</v>
      </c>
      <c r="L1658">
        <v>200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2</v>
      </c>
      <c r="W1658">
        <v>14</v>
      </c>
      <c r="Z1658">
        <v>0</v>
      </c>
      <c r="AA1658" t="s">
        <v>2862</v>
      </c>
    </row>
    <row r="1659" spans="1:27" x14ac:dyDescent="0.25">
      <c r="H1659" t="s">
        <v>237</v>
      </c>
    </row>
    <row r="1660" spans="1:27" x14ac:dyDescent="0.25">
      <c r="A1660">
        <v>827</v>
      </c>
      <c r="B1660">
        <v>2329</v>
      </c>
      <c r="C1660" t="s">
        <v>2863</v>
      </c>
      <c r="D1660" t="s">
        <v>41</v>
      </c>
      <c r="E1660" t="s">
        <v>129</v>
      </c>
      <c r="F1660" t="s">
        <v>2864</v>
      </c>
      <c r="G1660" t="str">
        <f>"00013792"</f>
        <v>00013792</v>
      </c>
      <c r="H1660" t="s">
        <v>1300</v>
      </c>
      <c r="I1660">
        <v>0</v>
      </c>
      <c r="J1660">
        <v>0</v>
      </c>
      <c r="K1660">
        <v>0</v>
      </c>
      <c r="L1660">
        <v>200</v>
      </c>
      <c r="M1660">
        <v>0</v>
      </c>
      <c r="N1660">
        <v>50</v>
      </c>
      <c r="O1660">
        <v>0</v>
      </c>
      <c r="P1660">
        <v>30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0</v>
      </c>
      <c r="Z1660">
        <v>0</v>
      </c>
      <c r="AA1660" t="s">
        <v>2865</v>
      </c>
    </row>
    <row r="1661" spans="1:27" x14ac:dyDescent="0.25">
      <c r="H1661" t="s">
        <v>78</v>
      </c>
    </row>
    <row r="1662" spans="1:27" x14ac:dyDescent="0.25">
      <c r="A1662">
        <v>828</v>
      </c>
      <c r="B1662">
        <v>3320</v>
      </c>
      <c r="C1662" t="s">
        <v>2866</v>
      </c>
      <c r="D1662" t="s">
        <v>168</v>
      </c>
      <c r="E1662" t="s">
        <v>225</v>
      </c>
      <c r="F1662" t="s">
        <v>2867</v>
      </c>
      <c r="G1662" t="str">
        <f>"00013706"</f>
        <v>00013706</v>
      </c>
      <c r="H1662" t="s">
        <v>206</v>
      </c>
      <c r="I1662">
        <v>0</v>
      </c>
      <c r="J1662">
        <v>0</v>
      </c>
      <c r="K1662">
        <v>0</v>
      </c>
      <c r="L1662">
        <v>200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Z1662">
        <v>0</v>
      </c>
      <c r="AA1662" t="s">
        <v>2868</v>
      </c>
    </row>
    <row r="1663" spans="1:27" x14ac:dyDescent="0.25">
      <c r="H1663" t="s">
        <v>49</v>
      </c>
    </row>
    <row r="1664" spans="1:27" x14ac:dyDescent="0.25">
      <c r="A1664">
        <v>829</v>
      </c>
      <c r="B1664">
        <v>2978</v>
      </c>
      <c r="C1664" t="s">
        <v>200</v>
      </c>
      <c r="D1664" t="s">
        <v>235</v>
      </c>
      <c r="E1664" t="s">
        <v>14</v>
      </c>
      <c r="F1664" t="s">
        <v>2869</v>
      </c>
      <c r="G1664" t="str">
        <f>"201406005958"</f>
        <v>201406005958</v>
      </c>
      <c r="H1664" t="s">
        <v>657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45</v>
      </c>
      <c r="W1664">
        <v>315</v>
      </c>
      <c r="Z1664">
        <v>0</v>
      </c>
      <c r="AA1664" t="s">
        <v>2870</v>
      </c>
    </row>
    <row r="1665" spans="1:27" x14ac:dyDescent="0.25">
      <c r="H1665" t="s">
        <v>298</v>
      </c>
    </row>
    <row r="1666" spans="1:27" x14ac:dyDescent="0.25">
      <c r="A1666">
        <v>830</v>
      </c>
      <c r="B1666">
        <v>780</v>
      </c>
      <c r="C1666" t="s">
        <v>2871</v>
      </c>
      <c r="D1666" t="s">
        <v>169</v>
      </c>
      <c r="E1666" t="s">
        <v>27</v>
      </c>
      <c r="F1666" t="s">
        <v>2872</v>
      </c>
      <c r="G1666" t="str">
        <f>"201604004906"</f>
        <v>201604004906</v>
      </c>
      <c r="H1666" t="s">
        <v>419</v>
      </c>
      <c r="I1666">
        <v>0</v>
      </c>
      <c r="J1666">
        <v>0</v>
      </c>
      <c r="K1666">
        <v>0</v>
      </c>
      <c r="L1666">
        <v>200</v>
      </c>
      <c r="M1666">
        <v>0</v>
      </c>
      <c r="N1666">
        <v>70</v>
      </c>
      <c r="O1666">
        <v>30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Z1666">
        <v>0</v>
      </c>
      <c r="AA1666" t="s">
        <v>2873</v>
      </c>
    </row>
    <row r="1667" spans="1:27" x14ac:dyDescent="0.25">
      <c r="H1667" t="s">
        <v>38</v>
      </c>
    </row>
    <row r="1668" spans="1:27" x14ac:dyDescent="0.25">
      <c r="A1668">
        <v>831</v>
      </c>
      <c r="B1668">
        <v>91</v>
      </c>
      <c r="C1668" t="s">
        <v>2874</v>
      </c>
      <c r="D1668" t="s">
        <v>41</v>
      </c>
      <c r="E1668" t="s">
        <v>85</v>
      </c>
      <c r="F1668" t="s">
        <v>2875</v>
      </c>
      <c r="G1668" t="str">
        <f>"201402007096"</f>
        <v>201402007096</v>
      </c>
      <c r="H1668" t="s">
        <v>301</v>
      </c>
      <c r="I1668">
        <v>0</v>
      </c>
      <c r="J1668">
        <v>0</v>
      </c>
      <c r="K1668">
        <v>0</v>
      </c>
      <c r="L1668">
        <v>200</v>
      </c>
      <c r="M1668">
        <v>0</v>
      </c>
      <c r="N1668">
        <v>70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Z1668">
        <v>0</v>
      </c>
      <c r="AA1668" t="s">
        <v>2876</v>
      </c>
    </row>
    <row r="1669" spans="1:27" x14ac:dyDescent="0.25">
      <c r="H1669" t="s">
        <v>298</v>
      </c>
    </row>
    <row r="1670" spans="1:27" x14ac:dyDescent="0.25">
      <c r="A1670">
        <v>832</v>
      </c>
      <c r="B1670">
        <v>320</v>
      </c>
      <c r="C1670" t="s">
        <v>2877</v>
      </c>
      <c r="D1670" t="s">
        <v>96</v>
      </c>
      <c r="E1670" t="s">
        <v>2878</v>
      </c>
      <c r="F1670" t="s">
        <v>2879</v>
      </c>
      <c r="G1670" t="str">
        <f>"201406000017"</f>
        <v>201406000017</v>
      </c>
      <c r="H1670" t="s">
        <v>301</v>
      </c>
      <c r="I1670">
        <v>0</v>
      </c>
      <c r="J1670">
        <v>0</v>
      </c>
      <c r="K1670">
        <v>0</v>
      </c>
      <c r="L1670">
        <v>200</v>
      </c>
      <c r="M1670">
        <v>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Z1670">
        <v>1</v>
      </c>
      <c r="AA1670" t="s">
        <v>2876</v>
      </c>
    </row>
    <row r="1671" spans="1:27" x14ac:dyDescent="0.25">
      <c r="H1671" t="s">
        <v>854</v>
      </c>
    </row>
    <row r="1672" spans="1:27" x14ac:dyDescent="0.25">
      <c r="A1672">
        <v>833</v>
      </c>
      <c r="B1672">
        <v>1178</v>
      </c>
      <c r="C1672" t="s">
        <v>715</v>
      </c>
      <c r="D1672" t="s">
        <v>1575</v>
      </c>
      <c r="E1672" t="s">
        <v>225</v>
      </c>
      <c r="F1672" t="s">
        <v>2880</v>
      </c>
      <c r="G1672" t="str">
        <f>"201406004576"</f>
        <v>201406004576</v>
      </c>
      <c r="H1672" t="s">
        <v>739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31</v>
      </c>
      <c r="W1672">
        <v>217</v>
      </c>
      <c r="Z1672">
        <v>0</v>
      </c>
      <c r="AA1672" t="s">
        <v>2881</v>
      </c>
    </row>
    <row r="1673" spans="1:27" x14ac:dyDescent="0.25">
      <c r="H1673" t="s">
        <v>293</v>
      </c>
    </row>
    <row r="1674" spans="1:27" x14ac:dyDescent="0.25">
      <c r="A1674">
        <v>834</v>
      </c>
      <c r="B1674">
        <v>311</v>
      </c>
      <c r="C1674" t="s">
        <v>881</v>
      </c>
      <c r="D1674" t="s">
        <v>234</v>
      </c>
      <c r="E1674" t="s">
        <v>235</v>
      </c>
      <c r="F1674" t="s">
        <v>2882</v>
      </c>
      <c r="G1674" t="str">
        <f>"201601001382"</f>
        <v>201601001382</v>
      </c>
      <c r="H1674" t="s">
        <v>1282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24</v>
      </c>
      <c r="W1674">
        <v>168</v>
      </c>
      <c r="Z1674">
        <v>0</v>
      </c>
      <c r="AA1674" t="s">
        <v>2883</v>
      </c>
    </row>
    <row r="1675" spans="1:27" x14ac:dyDescent="0.25">
      <c r="H1675" t="s">
        <v>106</v>
      </c>
    </row>
    <row r="1676" spans="1:27" x14ac:dyDescent="0.25">
      <c r="A1676">
        <v>835</v>
      </c>
      <c r="B1676">
        <v>2593</v>
      </c>
      <c r="C1676" t="s">
        <v>2884</v>
      </c>
      <c r="D1676" t="s">
        <v>519</v>
      </c>
      <c r="E1676" t="s">
        <v>41</v>
      </c>
      <c r="F1676" t="s">
        <v>2885</v>
      </c>
      <c r="G1676" t="str">
        <f>"201406010847"</f>
        <v>201406010847</v>
      </c>
      <c r="H1676" t="s">
        <v>47</v>
      </c>
      <c r="I1676">
        <v>0</v>
      </c>
      <c r="J1676">
        <v>0</v>
      </c>
      <c r="K1676">
        <v>0</v>
      </c>
      <c r="L1676">
        <v>200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5</v>
      </c>
      <c r="W1676">
        <v>35</v>
      </c>
      <c r="Z1676">
        <v>2</v>
      </c>
      <c r="AA1676" t="s">
        <v>2886</v>
      </c>
    </row>
    <row r="1677" spans="1:27" x14ac:dyDescent="0.25">
      <c r="H1677">
        <v>214</v>
      </c>
    </row>
    <row r="1678" spans="1:27" x14ac:dyDescent="0.25">
      <c r="A1678">
        <v>836</v>
      </c>
      <c r="B1678">
        <v>2400</v>
      </c>
      <c r="C1678" t="s">
        <v>2887</v>
      </c>
      <c r="D1678" t="s">
        <v>65</v>
      </c>
      <c r="E1678" t="s">
        <v>14</v>
      </c>
      <c r="F1678" t="s">
        <v>2888</v>
      </c>
      <c r="G1678" t="str">
        <f>"00013393"</f>
        <v>00013393</v>
      </c>
      <c r="H1678" t="s">
        <v>976</v>
      </c>
      <c r="I1678">
        <v>0</v>
      </c>
      <c r="J1678">
        <v>0</v>
      </c>
      <c r="K1678">
        <v>0</v>
      </c>
      <c r="L1678">
        <v>200</v>
      </c>
      <c r="M1678">
        <v>30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3</v>
      </c>
      <c r="W1678">
        <v>21</v>
      </c>
      <c r="Z1678">
        <v>0</v>
      </c>
      <c r="AA1678" t="s">
        <v>2889</v>
      </c>
    </row>
    <row r="1679" spans="1:27" x14ac:dyDescent="0.25">
      <c r="H1679" t="s">
        <v>25</v>
      </c>
    </row>
    <row r="1680" spans="1:27" x14ac:dyDescent="0.25">
      <c r="A1680">
        <v>837</v>
      </c>
      <c r="B1680">
        <v>10</v>
      </c>
      <c r="C1680" t="s">
        <v>2890</v>
      </c>
      <c r="D1680" t="s">
        <v>2891</v>
      </c>
      <c r="E1680" t="s">
        <v>41</v>
      </c>
      <c r="F1680" t="s">
        <v>2892</v>
      </c>
      <c r="G1680" t="str">
        <f>"00010128"</f>
        <v>00010128</v>
      </c>
      <c r="H1680" t="s">
        <v>897</v>
      </c>
      <c r="I1680">
        <v>0</v>
      </c>
      <c r="J1680">
        <v>0</v>
      </c>
      <c r="K1680">
        <v>0</v>
      </c>
      <c r="L1680">
        <v>200</v>
      </c>
      <c r="M1680">
        <v>0</v>
      </c>
      <c r="N1680">
        <v>70</v>
      </c>
      <c r="O1680">
        <v>30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Z1680">
        <v>0</v>
      </c>
      <c r="AA1680" t="s">
        <v>2893</v>
      </c>
    </row>
    <row r="1681" spans="1:27" x14ac:dyDescent="0.25">
      <c r="H1681">
        <v>215</v>
      </c>
    </row>
    <row r="1682" spans="1:27" x14ac:dyDescent="0.25">
      <c r="A1682">
        <v>838</v>
      </c>
      <c r="B1682">
        <v>1730</v>
      </c>
      <c r="C1682" t="s">
        <v>983</v>
      </c>
      <c r="D1682" t="s">
        <v>33</v>
      </c>
      <c r="E1682" t="s">
        <v>1187</v>
      </c>
      <c r="F1682" t="s">
        <v>2894</v>
      </c>
      <c r="G1682" t="str">
        <f>"00010652"</f>
        <v>00010652</v>
      </c>
      <c r="H1682" t="s">
        <v>42</v>
      </c>
      <c r="I1682">
        <v>0</v>
      </c>
      <c r="J1682">
        <v>0</v>
      </c>
      <c r="K1682">
        <v>0</v>
      </c>
      <c r="L1682">
        <v>200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Z1682">
        <v>0</v>
      </c>
      <c r="AA1682" t="s">
        <v>2895</v>
      </c>
    </row>
    <row r="1683" spans="1:27" x14ac:dyDescent="0.25">
      <c r="H1683" t="s">
        <v>25</v>
      </c>
    </row>
    <row r="1684" spans="1:27" x14ac:dyDescent="0.25">
      <c r="A1684">
        <v>839</v>
      </c>
      <c r="B1684">
        <v>1260</v>
      </c>
      <c r="C1684" t="s">
        <v>2740</v>
      </c>
      <c r="D1684" t="s">
        <v>499</v>
      </c>
      <c r="E1684" t="s">
        <v>1178</v>
      </c>
      <c r="F1684" t="s">
        <v>2896</v>
      </c>
      <c r="G1684" t="str">
        <f>"201406006415"</f>
        <v>201406006415</v>
      </c>
      <c r="H1684" t="s">
        <v>1014</v>
      </c>
      <c r="I1684">
        <v>0</v>
      </c>
      <c r="J1684">
        <v>0</v>
      </c>
      <c r="K1684">
        <v>0</v>
      </c>
      <c r="L1684">
        <v>200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5</v>
      </c>
      <c r="W1684">
        <v>35</v>
      </c>
      <c r="Z1684">
        <v>0</v>
      </c>
      <c r="AA1684" t="s">
        <v>2897</v>
      </c>
    </row>
    <row r="1685" spans="1:27" x14ac:dyDescent="0.25">
      <c r="H1685" t="s">
        <v>248</v>
      </c>
    </row>
    <row r="1686" spans="1:27" x14ac:dyDescent="0.25">
      <c r="A1686">
        <v>840</v>
      </c>
      <c r="B1686">
        <v>684</v>
      </c>
      <c r="C1686" t="s">
        <v>2898</v>
      </c>
      <c r="D1686" t="s">
        <v>151</v>
      </c>
      <c r="E1686" t="s">
        <v>64</v>
      </c>
      <c r="F1686" t="s">
        <v>2899</v>
      </c>
      <c r="G1686" t="str">
        <f>"201406017234"</f>
        <v>201406017234</v>
      </c>
      <c r="H1686" t="s">
        <v>1014</v>
      </c>
      <c r="I1686">
        <v>0</v>
      </c>
      <c r="J1686">
        <v>0</v>
      </c>
      <c r="K1686">
        <v>0</v>
      </c>
      <c r="L1686">
        <v>200</v>
      </c>
      <c r="M1686">
        <v>0</v>
      </c>
      <c r="N1686">
        <v>70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5</v>
      </c>
      <c r="W1686">
        <v>35</v>
      </c>
      <c r="Z1686">
        <v>0</v>
      </c>
      <c r="AA1686" t="s">
        <v>2897</v>
      </c>
    </row>
    <row r="1687" spans="1:27" x14ac:dyDescent="0.25">
      <c r="H1687" t="s">
        <v>49</v>
      </c>
    </row>
    <row r="1688" spans="1:27" x14ac:dyDescent="0.25">
      <c r="A1688">
        <v>841</v>
      </c>
      <c r="B1688">
        <v>1469</v>
      </c>
      <c r="C1688" t="s">
        <v>2900</v>
      </c>
      <c r="D1688" t="s">
        <v>335</v>
      </c>
      <c r="E1688" t="s">
        <v>65</v>
      </c>
      <c r="F1688" t="s">
        <v>2901</v>
      </c>
      <c r="G1688" t="str">
        <f>"200802005875"</f>
        <v>200802005875</v>
      </c>
      <c r="H1688" t="s">
        <v>675</v>
      </c>
      <c r="I1688">
        <v>0</v>
      </c>
      <c r="J1688">
        <v>0</v>
      </c>
      <c r="K1688">
        <v>0</v>
      </c>
      <c r="L1688">
        <v>200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Z1688">
        <v>0</v>
      </c>
      <c r="AA1688" t="s">
        <v>2902</v>
      </c>
    </row>
    <row r="1689" spans="1:27" x14ac:dyDescent="0.25">
      <c r="H1689" t="s">
        <v>293</v>
      </c>
    </row>
    <row r="1690" spans="1:27" x14ac:dyDescent="0.25">
      <c r="A1690">
        <v>842</v>
      </c>
      <c r="B1690">
        <v>2814</v>
      </c>
      <c r="C1690" t="s">
        <v>2595</v>
      </c>
      <c r="D1690" t="s">
        <v>1194</v>
      </c>
      <c r="E1690" t="s">
        <v>304</v>
      </c>
      <c r="F1690" t="s">
        <v>2903</v>
      </c>
      <c r="G1690" t="str">
        <f>"00012265"</f>
        <v>00012265</v>
      </c>
      <c r="H1690" t="s">
        <v>2904</v>
      </c>
      <c r="I1690">
        <v>0</v>
      </c>
      <c r="J1690">
        <v>0</v>
      </c>
      <c r="K1690">
        <v>0</v>
      </c>
      <c r="L1690">
        <v>200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8</v>
      </c>
      <c r="W1690">
        <v>56</v>
      </c>
      <c r="Z1690">
        <v>0</v>
      </c>
      <c r="AA1690" t="s">
        <v>2905</v>
      </c>
    </row>
    <row r="1691" spans="1:27" x14ac:dyDescent="0.25">
      <c r="H1691" t="s">
        <v>248</v>
      </c>
    </row>
    <row r="1692" spans="1:27" x14ac:dyDescent="0.25">
      <c r="A1692">
        <v>843</v>
      </c>
      <c r="B1692">
        <v>2906</v>
      </c>
      <c r="C1692" t="s">
        <v>2906</v>
      </c>
      <c r="D1692" t="s">
        <v>2907</v>
      </c>
      <c r="E1692" t="s">
        <v>1970</v>
      </c>
      <c r="F1692" t="s">
        <v>2908</v>
      </c>
      <c r="G1692" t="str">
        <f>"201406001125"</f>
        <v>201406001125</v>
      </c>
      <c r="H1692" t="s">
        <v>1881</v>
      </c>
      <c r="I1692">
        <v>0</v>
      </c>
      <c r="J1692">
        <v>0</v>
      </c>
      <c r="K1692">
        <v>0</v>
      </c>
      <c r="L1692">
        <v>200</v>
      </c>
      <c r="M1692">
        <v>0</v>
      </c>
      <c r="N1692">
        <v>50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17</v>
      </c>
      <c r="W1692">
        <v>119</v>
      </c>
      <c r="Z1692">
        <v>0</v>
      </c>
      <c r="AA1692" t="s">
        <v>2909</v>
      </c>
    </row>
    <row r="1693" spans="1:27" x14ac:dyDescent="0.25">
      <c r="H1693" t="s">
        <v>31</v>
      </c>
    </row>
    <row r="1694" spans="1:27" x14ac:dyDescent="0.25">
      <c r="A1694">
        <v>844</v>
      </c>
      <c r="B1694">
        <v>556</v>
      </c>
      <c r="C1694" t="s">
        <v>2598</v>
      </c>
      <c r="D1694" t="s">
        <v>40</v>
      </c>
      <c r="E1694" t="s">
        <v>753</v>
      </c>
      <c r="F1694" t="s">
        <v>2599</v>
      </c>
      <c r="G1694" t="str">
        <f>"201412005275"</f>
        <v>201412005275</v>
      </c>
      <c r="H1694" t="s">
        <v>286</v>
      </c>
      <c r="I1694">
        <v>0</v>
      </c>
      <c r="J1694">
        <v>0</v>
      </c>
      <c r="K1694">
        <v>0</v>
      </c>
      <c r="L1694">
        <v>0</v>
      </c>
      <c r="M1694">
        <v>100</v>
      </c>
      <c r="N1694">
        <v>70</v>
      </c>
      <c r="O1694">
        <v>0</v>
      </c>
      <c r="P1694">
        <v>0</v>
      </c>
      <c r="Q1694">
        <v>0</v>
      </c>
      <c r="R1694">
        <v>50</v>
      </c>
      <c r="S1694">
        <v>0</v>
      </c>
      <c r="T1694">
        <v>30</v>
      </c>
      <c r="U1694">
        <v>0</v>
      </c>
      <c r="V1694">
        <v>0</v>
      </c>
      <c r="W1694">
        <v>0</v>
      </c>
      <c r="Z1694">
        <v>1</v>
      </c>
      <c r="AA1694" t="s">
        <v>2910</v>
      </c>
    </row>
    <row r="1695" spans="1:27" x14ac:dyDescent="0.25">
      <c r="H1695" t="s">
        <v>38</v>
      </c>
    </row>
    <row r="1696" spans="1:27" x14ac:dyDescent="0.25">
      <c r="A1696">
        <v>845</v>
      </c>
      <c r="B1696">
        <v>2664</v>
      </c>
      <c r="C1696" t="s">
        <v>2911</v>
      </c>
      <c r="D1696" t="s">
        <v>2912</v>
      </c>
      <c r="E1696" t="s">
        <v>188</v>
      </c>
      <c r="F1696" t="s">
        <v>2913</v>
      </c>
      <c r="G1696" t="str">
        <f>"201304004291"</f>
        <v>201304004291</v>
      </c>
      <c r="H1696">
        <v>605</v>
      </c>
      <c r="I1696">
        <v>0</v>
      </c>
      <c r="J1696">
        <v>0</v>
      </c>
      <c r="K1696">
        <v>0</v>
      </c>
      <c r="L1696">
        <v>0</v>
      </c>
      <c r="M1696">
        <v>100</v>
      </c>
      <c r="N1696">
        <v>50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43</v>
      </c>
      <c r="W1696">
        <v>301</v>
      </c>
      <c r="Z1696">
        <v>0</v>
      </c>
      <c r="AA1696">
        <v>1056</v>
      </c>
    </row>
    <row r="1697" spans="1:27" x14ac:dyDescent="0.25">
      <c r="H1697" t="s">
        <v>298</v>
      </c>
    </row>
    <row r="1698" spans="1:27" x14ac:dyDescent="0.25">
      <c r="A1698">
        <v>846</v>
      </c>
      <c r="B1698">
        <v>3142</v>
      </c>
      <c r="C1698" t="s">
        <v>2914</v>
      </c>
      <c r="D1698" t="s">
        <v>41</v>
      </c>
      <c r="E1698" t="s">
        <v>2915</v>
      </c>
      <c r="F1698" t="s">
        <v>2916</v>
      </c>
      <c r="G1698" t="str">
        <f>"201406010029"</f>
        <v>201406010029</v>
      </c>
      <c r="H1698" t="s">
        <v>1184</v>
      </c>
      <c r="I1698">
        <v>0</v>
      </c>
      <c r="J1698">
        <v>0</v>
      </c>
      <c r="K1698">
        <v>0</v>
      </c>
      <c r="L1698">
        <v>0</v>
      </c>
      <c r="M1698">
        <v>100</v>
      </c>
      <c r="N1698">
        <v>70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Z1698">
        <v>0</v>
      </c>
      <c r="AA1698" t="s">
        <v>2917</v>
      </c>
    </row>
    <row r="1699" spans="1:27" x14ac:dyDescent="0.25">
      <c r="H1699" t="s">
        <v>223</v>
      </c>
    </row>
    <row r="1700" spans="1:27" x14ac:dyDescent="0.25">
      <c r="A1700">
        <v>847</v>
      </c>
      <c r="B1700">
        <v>2813</v>
      </c>
      <c r="C1700" t="s">
        <v>2918</v>
      </c>
      <c r="D1700" t="s">
        <v>1076</v>
      </c>
      <c r="E1700" t="s">
        <v>128</v>
      </c>
      <c r="F1700" t="s">
        <v>2919</v>
      </c>
      <c r="G1700" t="str">
        <f>"201406008015"</f>
        <v>201406008015</v>
      </c>
      <c r="H1700" t="s">
        <v>649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50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29</v>
      </c>
      <c r="W1700">
        <v>203</v>
      </c>
      <c r="Z1700">
        <v>1</v>
      </c>
      <c r="AA1700" t="s">
        <v>2920</v>
      </c>
    </row>
    <row r="1701" spans="1:27" x14ac:dyDescent="0.25">
      <c r="H1701" t="s">
        <v>25</v>
      </c>
    </row>
    <row r="1702" spans="1:27" x14ac:dyDescent="0.25">
      <c r="A1702">
        <v>848</v>
      </c>
      <c r="B1702">
        <v>2381</v>
      </c>
      <c r="C1702" t="s">
        <v>2921</v>
      </c>
      <c r="D1702" t="s">
        <v>2522</v>
      </c>
      <c r="E1702" t="s">
        <v>225</v>
      </c>
      <c r="F1702" t="s">
        <v>2922</v>
      </c>
      <c r="G1702" t="str">
        <f>"201406010621"</f>
        <v>201406010621</v>
      </c>
      <c r="H1702" t="s">
        <v>2923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24</v>
      </c>
      <c r="W1702">
        <v>168</v>
      </c>
      <c r="Z1702">
        <v>0</v>
      </c>
      <c r="AA1702" t="s">
        <v>2924</v>
      </c>
    </row>
    <row r="1703" spans="1:27" x14ac:dyDescent="0.25">
      <c r="H1703" t="s">
        <v>926</v>
      </c>
    </row>
    <row r="1704" spans="1:27" x14ac:dyDescent="0.25">
      <c r="A1704">
        <v>849</v>
      </c>
      <c r="B1704">
        <v>775</v>
      </c>
      <c r="C1704" t="s">
        <v>2925</v>
      </c>
      <c r="D1704" t="s">
        <v>41</v>
      </c>
      <c r="E1704" t="s">
        <v>85</v>
      </c>
      <c r="F1704" t="s">
        <v>2926</v>
      </c>
      <c r="G1704" t="str">
        <f>"00015164"</f>
        <v>00015164</v>
      </c>
      <c r="H1704" t="s">
        <v>609</v>
      </c>
      <c r="I1704">
        <v>0</v>
      </c>
      <c r="J1704">
        <v>0</v>
      </c>
      <c r="K1704">
        <v>0</v>
      </c>
      <c r="L1704">
        <v>200</v>
      </c>
      <c r="M1704">
        <v>0</v>
      </c>
      <c r="N1704">
        <v>70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10</v>
      </c>
      <c r="W1704">
        <v>70</v>
      </c>
      <c r="Z1704">
        <v>0</v>
      </c>
      <c r="AA1704" t="s">
        <v>2927</v>
      </c>
    </row>
    <row r="1705" spans="1:27" x14ac:dyDescent="0.25">
      <c r="H1705" t="s">
        <v>38</v>
      </c>
    </row>
    <row r="1706" spans="1:27" x14ac:dyDescent="0.25">
      <c r="A1706">
        <v>850</v>
      </c>
      <c r="B1706">
        <v>606</v>
      </c>
      <c r="C1706" t="s">
        <v>547</v>
      </c>
      <c r="D1706" t="s">
        <v>1032</v>
      </c>
      <c r="E1706" t="s">
        <v>41</v>
      </c>
      <c r="F1706" t="s">
        <v>2928</v>
      </c>
      <c r="G1706" t="str">
        <f>"201504002404"</f>
        <v>201504002404</v>
      </c>
      <c r="H1706" t="s">
        <v>375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2</v>
      </c>
      <c r="W1706">
        <v>14</v>
      </c>
      <c r="Z1706">
        <v>0</v>
      </c>
      <c r="AA1706" t="s">
        <v>2929</v>
      </c>
    </row>
    <row r="1707" spans="1:27" x14ac:dyDescent="0.25">
      <c r="H1707">
        <v>216</v>
      </c>
    </row>
    <row r="1708" spans="1:27" x14ac:dyDescent="0.25">
      <c r="A1708">
        <v>851</v>
      </c>
      <c r="B1708">
        <v>2378</v>
      </c>
      <c r="C1708" t="s">
        <v>2930</v>
      </c>
      <c r="D1708" t="s">
        <v>151</v>
      </c>
      <c r="E1708" t="s">
        <v>158</v>
      </c>
      <c r="F1708" t="s">
        <v>2931</v>
      </c>
      <c r="G1708" t="str">
        <f>"200801009143"</f>
        <v>200801009143</v>
      </c>
      <c r="H1708" t="s">
        <v>727</v>
      </c>
      <c r="I1708">
        <v>0</v>
      </c>
      <c r="J1708">
        <v>0</v>
      </c>
      <c r="K1708">
        <v>0</v>
      </c>
      <c r="L1708">
        <v>200</v>
      </c>
      <c r="M1708">
        <v>0</v>
      </c>
      <c r="N1708">
        <v>50</v>
      </c>
      <c r="O1708">
        <v>30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5</v>
      </c>
      <c r="W1708">
        <v>35</v>
      </c>
      <c r="Z1708">
        <v>0</v>
      </c>
      <c r="AA1708" t="s">
        <v>2932</v>
      </c>
    </row>
    <row r="1709" spans="1:27" x14ac:dyDescent="0.25">
      <c r="H1709" t="s">
        <v>223</v>
      </c>
    </row>
    <row r="1710" spans="1:27" x14ac:dyDescent="0.25">
      <c r="A1710">
        <v>852</v>
      </c>
      <c r="B1710">
        <v>1012</v>
      </c>
      <c r="C1710" t="s">
        <v>2933</v>
      </c>
      <c r="D1710" t="s">
        <v>2934</v>
      </c>
      <c r="E1710" t="s">
        <v>1422</v>
      </c>
      <c r="F1710" t="s">
        <v>2935</v>
      </c>
      <c r="G1710" t="str">
        <f>"201406008331"</f>
        <v>201406008331</v>
      </c>
      <c r="H1710" t="s">
        <v>2106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33</v>
      </c>
      <c r="W1710">
        <v>231</v>
      </c>
      <c r="Z1710">
        <v>0</v>
      </c>
      <c r="AA1710" t="s">
        <v>2936</v>
      </c>
    </row>
    <row r="1711" spans="1:27" x14ac:dyDescent="0.25">
      <c r="H1711" t="s">
        <v>25</v>
      </c>
    </row>
    <row r="1712" spans="1:27" x14ac:dyDescent="0.25">
      <c r="A1712">
        <v>853</v>
      </c>
      <c r="B1712">
        <v>2645</v>
      </c>
      <c r="C1712" t="s">
        <v>2937</v>
      </c>
      <c r="D1712" t="s">
        <v>2855</v>
      </c>
      <c r="E1712" t="s">
        <v>875</v>
      </c>
      <c r="F1712" t="s">
        <v>2938</v>
      </c>
      <c r="G1712" t="str">
        <f>"00014740"</f>
        <v>00014740</v>
      </c>
      <c r="H1712" t="s">
        <v>811</v>
      </c>
      <c r="I1712">
        <v>0</v>
      </c>
      <c r="J1712">
        <v>0</v>
      </c>
      <c r="K1712">
        <v>0</v>
      </c>
      <c r="L1712">
        <v>200</v>
      </c>
      <c r="M1712">
        <v>0</v>
      </c>
      <c r="N1712">
        <v>70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Z1712">
        <v>0</v>
      </c>
      <c r="AA1712" t="s">
        <v>2939</v>
      </c>
    </row>
    <row r="1713" spans="1:27" x14ac:dyDescent="0.25">
      <c r="H1713" t="s">
        <v>49</v>
      </c>
    </row>
    <row r="1714" spans="1:27" x14ac:dyDescent="0.25">
      <c r="A1714">
        <v>854</v>
      </c>
      <c r="B1714">
        <v>3179</v>
      </c>
      <c r="C1714" t="s">
        <v>303</v>
      </c>
      <c r="D1714" t="s">
        <v>2030</v>
      </c>
      <c r="E1714" t="s">
        <v>41</v>
      </c>
      <c r="F1714" t="s">
        <v>2940</v>
      </c>
      <c r="G1714" t="str">
        <f>"200712002610"</f>
        <v>200712002610</v>
      </c>
      <c r="H1714">
        <v>748</v>
      </c>
      <c r="I1714">
        <v>0</v>
      </c>
      <c r="J1714">
        <v>0</v>
      </c>
      <c r="K1714">
        <v>0</v>
      </c>
      <c r="L1714">
        <v>0</v>
      </c>
      <c r="M1714">
        <v>100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28</v>
      </c>
      <c r="W1714">
        <v>196</v>
      </c>
      <c r="Z1714">
        <v>1</v>
      </c>
      <c r="AA1714">
        <v>1044</v>
      </c>
    </row>
    <row r="1715" spans="1:27" x14ac:dyDescent="0.25">
      <c r="H1715" t="s">
        <v>1000</v>
      </c>
    </row>
    <row r="1716" spans="1:27" x14ac:dyDescent="0.25">
      <c r="A1716">
        <v>855</v>
      </c>
      <c r="B1716">
        <v>3127</v>
      </c>
      <c r="C1716" t="s">
        <v>2941</v>
      </c>
      <c r="D1716" t="s">
        <v>65</v>
      </c>
      <c r="E1716" t="s">
        <v>188</v>
      </c>
      <c r="F1716" t="s">
        <v>2942</v>
      </c>
      <c r="G1716" t="str">
        <f>"00012498"</f>
        <v>00012498</v>
      </c>
      <c r="H1716" t="s">
        <v>657</v>
      </c>
      <c r="I1716">
        <v>0</v>
      </c>
      <c r="J1716">
        <v>0</v>
      </c>
      <c r="K1716">
        <v>0</v>
      </c>
      <c r="L1716">
        <v>200</v>
      </c>
      <c r="M1716">
        <v>0</v>
      </c>
      <c r="N1716">
        <v>70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3</v>
      </c>
      <c r="W1716">
        <v>21</v>
      </c>
      <c r="Z1716">
        <v>0</v>
      </c>
      <c r="AA1716" t="s">
        <v>2943</v>
      </c>
    </row>
    <row r="1717" spans="1:27" x14ac:dyDescent="0.25">
      <c r="H1717" t="s">
        <v>248</v>
      </c>
    </row>
    <row r="1718" spans="1:27" x14ac:dyDescent="0.25">
      <c r="A1718">
        <v>856</v>
      </c>
      <c r="B1718">
        <v>1822</v>
      </c>
      <c r="C1718" t="s">
        <v>2944</v>
      </c>
      <c r="D1718" t="s">
        <v>151</v>
      </c>
      <c r="E1718" t="s">
        <v>158</v>
      </c>
      <c r="F1718" t="s">
        <v>2945</v>
      </c>
      <c r="G1718" t="str">
        <f>"201506002963"</f>
        <v>201506002963</v>
      </c>
      <c r="H1718" t="s">
        <v>441</v>
      </c>
      <c r="I1718">
        <v>0</v>
      </c>
      <c r="J1718">
        <v>0</v>
      </c>
      <c r="K1718">
        <v>0</v>
      </c>
      <c r="L1718">
        <v>200</v>
      </c>
      <c r="M1718">
        <v>0</v>
      </c>
      <c r="N1718">
        <v>30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5</v>
      </c>
      <c r="W1718">
        <v>35</v>
      </c>
      <c r="Z1718">
        <v>0</v>
      </c>
      <c r="AA1718" t="s">
        <v>2946</v>
      </c>
    </row>
    <row r="1719" spans="1:27" x14ac:dyDescent="0.25">
      <c r="H1719" t="s">
        <v>223</v>
      </c>
    </row>
    <row r="1720" spans="1:27" x14ac:dyDescent="0.25">
      <c r="A1720">
        <v>857</v>
      </c>
      <c r="B1720">
        <v>611</v>
      </c>
      <c r="C1720" t="s">
        <v>2947</v>
      </c>
      <c r="D1720" t="s">
        <v>494</v>
      </c>
      <c r="E1720" t="s">
        <v>108</v>
      </c>
      <c r="F1720" t="s">
        <v>2948</v>
      </c>
      <c r="G1720" t="str">
        <f>"201511029862"</f>
        <v>201511029862</v>
      </c>
      <c r="H1720">
        <v>770</v>
      </c>
      <c r="I1720">
        <v>0</v>
      </c>
      <c r="J1720">
        <v>0</v>
      </c>
      <c r="K1720">
        <v>0</v>
      </c>
      <c r="L1720">
        <v>200</v>
      </c>
      <c r="M1720">
        <v>0</v>
      </c>
      <c r="N1720">
        <v>70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Z1720">
        <v>0</v>
      </c>
      <c r="AA1720">
        <v>1040</v>
      </c>
    </row>
    <row r="1721" spans="1:27" x14ac:dyDescent="0.25">
      <c r="H1721" t="s">
        <v>31</v>
      </c>
    </row>
    <row r="1722" spans="1:27" x14ac:dyDescent="0.25">
      <c r="A1722">
        <v>858</v>
      </c>
      <c r="B1722">
        <v>33</v>
      </c>
      <c r="C1722" t="s">
        <v>2949</v>
      </c>
      <c r="D1722" t="s">
        <v>123</v>
      </c>
      <c r="E1722" t="s">
        <v>235</v>
      </c>
      <c r="F1722" t="s">
        <v>2950</v>
      </c>
      <c r="G1722" t="str">
        <f>"00010857"</f>
        <v>00010857</v>
      </c>
      <c r="H1722" t="s">
        <v>291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70</v>
      </c>
      <c r="O1722">
        <v>30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6</v>
      </c>
      <c r="W1722">
        <v>42</v>
      </c>
      <c r="Z1722">
        <v>0</v>
      </c>
      <c r="AA1722" t="s">
        <v>2951</v>
      </c>
    </row>
    <row r="1723" spans="1:27" x14ac:dyDescent="0.25">
      <c r="H1723" t="s">
        <v>223</v>
      </c>
    </row>
    <row r="1724" spans="1:27" x14ac:dyDescent="0.25">
      <c r="A1724">
        <v>859</v>
      </c>
      <c r="B1724">
        <v>2724</v>
      </c>
      <c r="C1724" t="s">
        <v>2952</v>
      </c>
      <c r="D1724" t="s">
        <v>41</v>
      </c>
      <c r="E1724" t="s">
        <v>158</v>
      </c>
      <c r="F1724" t="s">
        <v>2953</v>
      </c>
      <c r="G1724" t="str">
        <f>"201406004325"</f>
        <v>201406004325</v>
      </c>
      <c r="H1724" t="s">
        <v>957</v>
      </c>
      <c r="I1724">
        <v>0</v>
      </c>
      <c r="J1724">
        <v>0</v>
      </c>
      <c r="K1724">
        <v>0</v>
      </c>
      <c r="L1724">
        <v>200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Z1724">
        <v>0</v>
      </c>
      <c r="AA1724" t="s">
        <v>2954</v>
      </c>
    </row>
    <row r="1725" spans="1:27" x14ac:dyDescent="0.25">
      <c r="H1725" t="s">
        <v>248</v>
      </c>
    </row>
    <row r="1726" spans="1:27" x14ac:dyDescent="0.25">
      <c r="A1726">
        <v>860</v>
      </c>
      <c r="B1726">
        <v>1770</v>
      </c>
      <c r="C1726" t="s">
        <v>2233</v>
      </c>
      <c r="D1726" t="s">
        <v>2955</v>
      </c>
      <c r="E1726" t="s">
        <v>816</v>
      </c>
      <c r="F1726" t="s">
        <v>2956</v>
      </c>
      <c r="G1726" t="str">
        <f>"201208000142"</f>
        <v>201208000142</v>
      </c>
      <c r="H1726" t="s">
        <v>2515</v>
      </c>
      <c r="I1726">
        <v>0</v>
      </c>
      <c r="J1726">
        <v>0</v>
      </c>
      <c r="K1726">
        <v>0</v>
      </c>
      <c r="L1726">
        <v>200</v>
      </c>
      <c r="M1726">
        <v>0</v>
      </c>
      <c r="N1726">
        <v>70</v>
      </c>
      <c r="O1726">
        <v>30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6</v>
      </c>
      <c r="W1726">
        <v>42</v>
      </c>
      <c r="Z1726">
        <v>0</v>
      </c>
      <c r="AA1726" t="s">
        <v>2957</v>
      </c>
    </row>
    <row r="1727" spans="1:27" x14ac:dyDescent="0.25">
      <c r="H1727" t="s">
        <v>25</v>
      </c>
    </row>
    <row r="1728" spans="1:27" x14ac:dyDescent="0.25">
      <c r="A1728">
        <v>861</v>
      </c>
      <c r="B1728">
        <v>282</v>
      </c>
      <c r="C1728" t="s">
        <v>2958</v>
      </c>
      <c r="D1728" t="s">
        <v>2959</v>
      </c>
      <c r="E1728" t="s">
        <v>284</v>
      </c>
      <c r="F1728" t="s">
        <v>2960</v>
      </c>
      <c r="G1728" t="str">
        <f>"201304003623"</f>
        <v>201304003623</v>
      </c>
      <c r="H1728" t="s">
        <v>636</v>
      </c>
      <c r="I1728">
        <v>0</v>
      </c>
      <c r="J1728">
        <v>0</v>
      </c>
      <c r="K1728">
        <v>0</v>
      </c>
      <c r="L1728">
        <v>200</v>
      </c>
      <c r="M1728">
        <v>0</v>
      </c>
      <c r="N1728">
        <v>30</v>
      </c>
      <c r="O1728">
        <v>30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Z1728">
        <v>0</v>
      </c>
      <c r="AA1728" t="s">
        <v>2961</v>
      </c>
    </row>
    <row r="1729" spans="1:27" x14ac:dyDescent="0.25">
      <c r="H1729" t="s">
        <v>293</v>
      </c>
    </row>
    <row r="1730" spans="1:27" x14ac:dyDescent="0.25">
      <c r="A1730">
        <v>862</v>
      </c>
      <c r="B1730">
        <v>3256</v>
      </c>
      <c r="C1730" t="s">
        <v>2962</v>
      </c>
      <c r="D1730" t="s">
        <v>1575</v>
      </c>
      <c r="E1730" t="s">
        <v>41</v>
      </c>
      <c r="F1730" t="s">
        <v>2963</v>
      </c>
      <c r="G1730" t="str">
        <f>"00013893"</f>
        <v>00013893</v>
      </c>
      <c r="H1730" t="s">
        <v>2964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50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Z1730">
        <v>2</v>
      </c>
      <c r="AA1730" t="s">
        <v>2965</v>
      </c>
    </row>
    <row r="1731" spans="1:27" x14ac:dyDescent="0.25">
      <c r="H1731" t="s">
        <v>19</v>
      </c>
    </row>
    <row r="1732" spans="1:27" x14ac:dyDescent="0.25">
      <c r="A1732">
        <v>863</v>
      </c>
      <c r="B1732">
        <v>238</v>
      </c>
      <c r="C1732" t="s">
        <v>2966</v>
      </c>
      <c r="D1732" t="s">
        <v>234</v>
      </c>
      <c r="E1732" t="s">
        <v>158</v>
      </c>
      <c r="F1732" t="s">
        <v>2967</v>
      </c>
      <c r="G1732" t="str">
        <f>"201504003229"</f>
        <v>201504003229</v>
      </c>
      <c r="H1732" t="s">
        <v>191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70</v>
      </c>
      <c r="O1732">
        <v>0</v>
      </c>
      <c r="P1732">
        <v>50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13</v>
      </c>
      <c r="W1732">
        <v>91</v>
      </c>
      <c r="Z1732">
        <v>2</v>
      </c>
      <c r="AA1732" t="s">
        <v>2968</v>
      </c>
    </row>
    <row r="1733" spans="1:27" x14ac:dyDescent="0.25">
      <c r="H1733" t="s">
        <v>38</v>
      </c>
    </row>
    <row r="1734" spans="1:27" x14ac:dyDescent="0.25">
      <c r="A1734">
        <v>864</v>
      </c>
      <c r="B1734">
        <v>1634</v>
      </c>
      <c r="C1734" t="s">
        <v>2969</v>
      </c>
      <c r="D1734" t="s">
        <v>41</v>
      </c>
      <c r="E1734" t="s">
        <v>2574</v>
      </c>
      <c r="F1734" t="s">
        <v>2970</v>
      </c>
      <c r="G1734" t="str">
        <f>"201402008566"</f>
        <v>201402008566</v>
      </c>
      <c r="H1734" t="s">
        <v>1054</v>
      </c>
      <c r="I1734">
        <v>0</v>
      </c>
      <c r="J1734">
        <v>0</v>
      </c>
      <c r="K1734">
        <v>0</v>
      </c>
      <c r="L1734">
        <v>200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Z1734">
        <v>0</v>
      </c>
      <c r="AA1734" t="s">
        <v>2971</v>
      </c>
    </row>
    <row r="1735" spans="1:27" x14ac:dyDescent="0.25">
      <c r="H1735" t="s">
        <v>223</v>
      </c>
    </row>
    <row r="1736" spans="1:27" x14ac:dyDescent="0.25">
      <c r="A1736">
        <v>865</v>
      </c>
      <c r="B1736">
        <v>3312</v>
      </c>
      <c r="C1736" t="s">
        <v>2972</v>
      </c>
      <c r="D1736" t="s">
        <v>58</v>
      </c>
      <c r="E1736" t="s">
        <v>64</v>
      </c>
      <c r="F1736" t="s">
        <v>2973</v>
      </c>
      <c r="G1736" t="str">
        <f>"201406012481"</f>
        <v>201406012481</v>
      </c>
      <c r="H1736">
        <v>671</v>
      </c>
      <c r="I1736">
        <v>0</v>
      </c>
      <c r="J1736">
        <v>0</v>
      </c>
      <c r="K1736">
        <v>0</v>
      </c>
      <c r="L1736">
        <v>260</v>
      </c>
      <c r="M1736">
        <v>0</v>
      </c>
      <c r="N1736">
        <v>70</v>
      </c>
      <c r="O1736">
        <v>30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Z1736">
        <v>0</v>
      </c>
      <c r="AA1736">
        <v>1031</v>
      </c>
    </row>
    <row r="1737" spans="1:27" x14ac:dyDescent="0.25">
      <c r="H1737" t="s">
        <v>25</v>
      </c>
    </row>
    <row r="1738" spans="1:27" x14ac:dyDescent="0.25">
      <c r="A1738">
        <v>866</v>
      </c>
      <c r="B1738">
        <v>2187</v>
      </c>
      <c r="C1738" t="s">
        <v>2974</v>
      </c>
      <c r="D1738" t="s">
        <v>2975</v>
      </c>
      <c r="E1738" t="s">
        <v>41</v>
      </c>
      <c r="F1738" t="s">
        <v>2976</v>
      </c>
      <c r="G1738" t="str">
        <f>"201406015565"</f>
        <v>201406015565</v>
      </c>
      <c r="H1738" t="s">
        <v>1585</v>
      </c>
      <c r="I1738">
        <v>0</v>
      </c>
      <c r="J1738">
        <v>0</v>
      </c>
      <c r="K1738">
        <v>0</v>
      </c>
      <c r="L1738">
        <v>200</v>
      </c>
      <c r="M1738">
        <v>0</v>
      </c>
      <c r="N1738">
        <v>30</v>
      </c>
      <c r="O1738">
        <v>0</v>
      </c>
      <c r="P1738">
        <v>30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14</v>
      </c>
      <c r="W1738">
        <v>98</v>
      </c>
      <c r="Z1738">
        <v>0</v>
      </c>
      <c r="AA1738" t="s">
        <v>2977</v>
      </c>
    </row>
    <row r="1739" spans="1:27" x14ac:dyDescent="0.25">
      <c r="H1739">
        <v>214</v>
      </c>
    </row>
    <row r="1740" spans="1:27" x14ac:dyDescent="0.25">
      <c r="A1740">
        <v>867</v>
      </c>
      <c r="B1740">
        <v>1226</v>
      </c>
      <c r="C1740" t="s">
        <v>2978</v>
      </c>
      <c r="D1740" t="s">
        <v>200</v>
      </c>
      <c r="E1740" t="s">
        <v>1187</v>
      </c>
      <c r="F1740" t="s">
        <v>2979</v>
      </c>
      <c r="G1740" t="str">
        <f>"00015116"</f>
        <v>00015116</v>
      </c>
      <c r="H1740">
        <v>682</v>
      </c>
      <c r="I1740">
        <v>0</v>
      </c>
      <c r="J1740">
        <v>0</v>
      </c>
      <c r="K1740">
        <v>0</v>
      </c>
      <c r="L1740">
        <v>200</v>
      </c>
      <c r="M1740">
        <v>0</v>
      </c>
      <c r="N1740">
        <v>50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14</v>
      </c>
      <c r="W1740">
        <v>98</v>
      </c>
      <c r="Z1740">
        <v>0</v>
      </c>
      <c r="AA1740">
        <v>1030</v>
      </c>
    </row>
    <row r="1741" spans="1:27" x14ac:dyDescent="0.25">
      <c r="H1741" t="s">
        <v>377</v>
      </c>
    </row>
    <row r="1742" spans="1:27" x14ac:dyDescent="0.25">
      <c r="A1742">
        <v>868</v>
      </c>
      <c r="B1742">
        <v>3259</v>
      </c>
      <c r="C1742" t="s">
        <v>2980</v>
      </c>
      <c r="D1742" t="s">
        <v>1138</v>
      </c>
      <c r="E1742" t="s">
        <v>225</v>
      </c>
      <c r="F1742" t="s">
        <v>2981</v>
      </c>
      <c r="G1742" t="str">
        <f>"201410003417"</f>
        <v>201410003417</v>
      </c>
      <c r="H1742" t="s">
        <v>2982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Z1742">
        <v>0</v>
      </c>
      <c r="AA1742" t="s">
        <v>2983</v>
      </c>
    </row>
    <row r="1743" spans="1:27" x14ac:dyDescent="0.25">
      <c r="H1743" t="s">
        <v>659</v>
      </c>
    </row>
    <row r="1744" spans="1:27" x14ac:dyDescent="0.25">
      <c r="A1744">
        <v>869</v>
      </c>
      <c r="B1744">
        <v>2984</v>
      </c>
      <c r="C1744" t="s">
        <v>2984</v>
      </c>
      <c r="D1744" t="s">
        <v>219</v>
      </c>
      <c r="E1744" t="s">
        <v>14</v>
      </c>
      <c r="F1744" t="s">
        <v>2985</v>
      </c>
      <c r="G1744" t="str">
        <f>"201406009468"</f>
        <v>201406009468</v>
      </c>
      <c r="H1744" t="s">
        <v>957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30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23</v>
      </c>
      <c r="W1744">
        <v>161</v>
      </c>
      <c r="Z1744">
        <v>0</v>
      </c>
      <c r="AA1744" t="s">
        <v>2983</v>
      </c>
    </row>
    <row r="1745" spans="1:27" x14ac:dyDescent="0.25">
      <c r="H1745" t="s">
        <v>106</v>
      </c>
    </row>
    <row r="1746" spans="1:27" x14ac:dyDescent="0.25">
      <c r="A1746">
        <v>870</v>
      </c>
      <c r="B1746">
        <v>1384</v>
      </c>
      <c r="C1746" t="s">
        <v>2986</v>
      </c>
      <c r="D1746" t="s">
        <v>85</v>
      </c>
      <c r="E1746" t="s">
        <v>2987</v>
      </c>
      <c r="F1746" t="s">
        <v>2988</v>
      </c>
      <c r="G1746" t="str">
        <f>"201304004700"</f>
        <v>201304004700</v>
      </c>
      <c r="H1746" t="s">
        <v>1648</v>
      </c>
      <c r="I1746">
        <v>0</v>
      </c>
      <c r="J1746">
        <v>0</v>
      </c>
      <c r="K1746">
        <v>0</v>
      </c>
      <c r="L1746">
        <v>200</v>
      </c>
      <c r="M1746">
        <v>0</v>
      </c>
      <c r="N1746">
        <v>70</v>
      </c>
      <c r="O1746">
        <v>0</v>
      </c>
      <c r="P1746">
        <v>50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Z1746">
        <v>0</v>
      </c>
      <c r="AA1746" t="s">
        <v>2989</v>
      </c>
    </row>
    <row r="1747" spans="1:27" x14ac:dyDescent="0.25">
      <c r="H1747" t="s">
        <v>223</v>
      </c>
    </row>
    <row r="1748" spans="1:27" x14ac:dyDescent="0.25">
      <c r="A1748">
        <v>871</v>
      </c>
      <c r="B1748">
        <v>2763</v>
      </c>
      <c r="C1748" t="s">
        <v>2990</v>
      </c>
      <c r="D1748" t="s">
        <v>41</v>
      </c>
      <c r="E1748" t="s">
        <v>235</v>
      </c>
      <c r="F1748" t="s">
        <v>2991</v>
      </c>
      <c r="G1748" t="str">
        <f>"200802003702"</f>
        <v>200802003702</v>
      </c>
      <c r="H1748" t="s">
        <v>531</v>
      </c>
      <c r="I1748">
        <v>0</v>
      </c>
      <c r="J1748">
        <v>0</v>
      </c>
      <c r="K1748">
        <v>0</v>
      </c>
      <c r="L1748">
        <v>200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15</v>
      </c>
      <c r="W1748">
        <v>105</v>
      </c>
      <c r="Z1748">
        <v>0</v>
      </c>
      <c r="AA1748" t="s">
        <v>2992</v>
      </c>
    </row>
    <row r="1749" spans="1:27" x14ac:dyDescent="0.25">
      <c r="H1749" t="s">
        <v>357</v>
      </c>
    </row>
    <row r="1750" spans="1:27" x14ac:dyDescent="0.25">
      <c r="A1750">
        <v>872</v>
      </c>
      <c r="B1750">
        <v>243</v>
      </c>
      <c r="C1750" t="s">
        <v>2993</v>
      </c>
      <c r="D1750" t="s">
        <v>64</v>
      </c>
      <c r="E1750" t="s">
        <v>235</v>
      </c>
      <c r="F1750" t="s">
        <v>2994</v>
      </c>
      <c r="G1750" t="str">
        <f>"201410005306"</f>
        <v>201410005306</v>
      </c>
      <c r="H1750" t="s">
        <v>1030</v>
      </c>
      <c r="I1750">
        <v>0</v>
      </c>
      <c r="J1750">
        <v>0</v>
      </c>
      <c r="K1750">
        <v>0</v>
      </c>
      <c r="L1750">
        <v>200</v>
      </c>
      <c r="M1750">
        <v>0</v>
      </c>
      <c r="N1750">
        <v>70</v>
      </c>
      <c r="O1750">
        <v>30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Z1750">
        <v>0</v>
      </c>
      <c r="AA1750" t="s">
        <v>2995</v>
      </c>
    </row>
    <row r="1751" spans="1:27" x14ac:dyDescent="0.25">
      <c r="H1751" t="s">
        <v>248</v>
      </c>
    </row>
    <row r="1752" spans="1:27" x14ac:dyDescent="0.25">
      <c r="A1752">
        <v>873</v>
      </c>
      <c r="B1752">
        <v>812</v>
      </c>
      <c r="C1752" t="s">
        <v>2996</v>
      </c>
      <c r="D1752" t="s">
        <v>70</v>
      </c>
      <c r="E1752" t="s">
        <v>235</v>
      </c>
      <c r="F1752" t="s">
        <v>2997</v>
      </c>
      <c r="G1752" t="str">
        <f>"201406000205"</f>
        <v>201406000205</v>
      </c>
      <c r="H1752" t="s">
        <v>1858</v>
      </c>
      <c r="I1752">
        <v>0</v>
      </c>
      <c r="J1752">
        <v>0</v>
      </c>
      <c r="K1752">
        <v>0</v>
      </c>
      <c r="L1752">
        <v>0</v>
      </c>
      <c r="M1752">
        <v>100</v>
      </c>
      <c r="N1752">
        <v>70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Z1752">
        <v>0</v>
      </c>
      <c r="AA1752" t="s">
        <v>2998</v>
      </c>
    </row>
    <row r="1753" spans="1:27" x14ac:dyDescent="0.25">
      <c r="H1753" t="s">
        <v>298</v>
      </c>
    </row>
    <row r="1754" spans="1:27" x14ac:dyDescent="0.25">
      <c r="A1754">
        <v>874</v>
      </c>
      <c r="B1754">
        <v>1988</v>
      </c>
      <c r="C1754" t="s">
        <v>2999</v>
      </c>
      <c r="D1754" t="s">
        <v>490</v>
      </c>
      <c r="E1754" t="s">
        <v>235</v>
      </c>
      <c r="F1754" t="s">
        <v>3000</v>
      </c>
      <c r="G1754" t="str">
        <f>"00012237"</f>
        <v>00012237</v>
      </c>
      <c r="H1754" t="s">
        <v>1808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50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7</v>
      </c>
      <c r="W1754">
        <v>49</v>
      </c>
      <c r="Z1754">
        <v>0</v>
      </c>
      <c r="AA1754" t="s">
        <v>3001</v>
      </c>
    </row>
    <row r="1755" spans="1:27" x14ac:dyDescent="0.25">
      <c r="H1755" t="s">
        <v>78</v>
      </c>
    </row>
    <row r="1756" spans="1:27" x14ac:dyDescent="0.25">
      <c r="A1756">
        <v>875</v>
      </c>
      <c r="B1756">
        <v>1904</v>
      </c>
      <c r="C1756" t="s">
        <v>3002</v>
      </c>
      <c r="D1756" t="s">
        <v>1203</v>
      </c>
      <c r="E1756" t="s">
        <v>108</v>
      </c>
      <c r="F1756" t="s">
        <v>3003</v>
      </c>
      <c r="G1756" t="str">
        <f>"201304002329"</f>
        <v>201304002329</v>
      </c>
      <c r="H1756" t="s">
        <v>824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70</v>
      </c>
      <c r="O1756">
        <v>0</v>
      </c>
      <c r="P1756">
        <v>50</v>
      </c>
      <c r="Q1756">
        <v>0</v>
      </c>
      <c r="R1756">
        <v>30</v>
      </c>
      <c r="S1756">
        <v>0</v>
      </c>
      <c r="T1756">
        <v>0</v>
      </c>
      <c r="U1756">
        <v>0</v>
      </c>
      <c r="V1756">
        <v>16</v>
      </c>
      <c r="W1756">
        <v>112</v>
      </c>
      <c r="Z1756">
        <v>0</v>
      </c>
      <c r="AA1756" t="s">
        <v>3004</v>
      </c>
    </row>
    <row r="1757" spans="1:27" x14ac:dyDescent="0.25">
      <c r="H1757" t="s">
        <v>106</v>
      </c>
    </row>
    <row r="1758" spans="1:27" x14ac:dyDescent="0.25">
      <c r="A1758">
        <v>876</v>
      </c>
      <c r="B1758">
        <v>166</v>
      </c>
      <c r="C1758" t="s">
        <v>3005</v>
      </c>
      <c r="D1758" t="s">
        <v>647</v>
      </c>
      <c r="E1758" t="s">
        <v>85</v>
      </c>
      <c r="F1758" t="s">
        <v>3006</v>
      </c>
      <c r="G1758" t="str">
        <f>"201304002080"</f>
        <v>201304002080</v>
      </c>
      <c r="H1758" t="s">
        <v>623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33</v>
      </c>
      <c r="W1758">
        <v>231</v>
      </c>
      <c r="Z1758">
        <v>0</v>
      </c>
      <c r="AA1758" t="s">
        <v>3007</v>
      </c>
    </row>
    <row r="1759" spans="1:27" x14ac:dyDescent="0.25">
      <c r="H1759">
        <v>215</v>
      </c>
    </row>
    <row r="1760" spans="1:27" x14ac:dyDescent="0.25">
      <c r="A1760">
        <v>877</v>
      </c>
      <c r="B1760">
        <v>55</v>
      </c>
      <c r="C1760" t="s">
        <v>3008</v>
      </c>
      <c r="D1760" t="s">
        <v>1012</v>
      </c>
      <c r="E1760" t="s">
        <v>188</v>
      </c>
      <c r="F1760" t="s">
        <v>3009</v>
      </c>
      <c r="G1760" t="str">
        <f>"201402005461"</f>
        <v>201402005461</v>
      </c>
      <c r="H1760" t="s">
        <v>67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70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4</v>
      </c>
      <c r="W1760">
        <v>28</v>
      </c>
      <c r="Z1760">
        <v>0</v>
      </c>
      <c r="AA1760" t="s">
        <v>3010</v>
      </c>
    </row>
    <row r="1761" spans="1:27" x14ac:dyDescent="0.25">
      <c r="H1761" t="s">
        <v>248</v>
      </c>
    </row>
    <row r="1762" spans="1:27" x14ac:dyDescent="0.25">
      <c r="A1762">
        <v>878</v>
      </c>
      <c r="B1762">
        <v>2618</v>
      </c>
      <c r="C1762" t="s">
        <v>3011</v>
      </c>
      <c r="D1762" t="s">
        <v>188</v>
      </c>
      <c r="E1762" t="s">
        <v>14</v>
      </c>
      <c r="F1762" t="s">
        <v>3012</v>
      </c>
      <c r="G1762" t="str">
        <f>"201406000580"</f>
        <v>201406000580</v>
      </c>
      <c r="H1762" t="s">
        <v>1004</v>
      </c>
      <c r="I1762">
        <v>0</v>
      </c>
      <c r="J1762">
        <v>0</v>
      </c>
      <c r="K1762">
        <v>0</v>
      </c>
      <c r="L1762">
        <v>200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Z1762">
        <v>0</v>
      </c>
      <c r="AA1762" t="s">
        <v>3013</v>
      </c>
    </row>
    <row r="1763" spans="1:27" x14ac:dyDescent="0.25">
      <c r="H1763" t="s">
        <v>223</v>
      </c>
    </row>
    <row r="1764" spans="1:27" x14ac:dyDescent="0.25">
      <c r="A1764">
        <v>879</v>
      </c>
      <c r="B1764">
        <v>1756</v>
      </c>
      <c r="C1764" t="s">
        <v>3014</v>
      </c>
      <c r="D1764" t="s">
        <v>33</v>
      </c>
      <c r="E1764" t="s">
        <v>27</v>
      </c>
      <c r="F1764" t="s">
        <v>3015</v>
      </c>
      <c r="G1764" t="str">
        <f>"201409002367"</f>
        <v>201409002367</v>
      </c>
      <c r="H1764">
        <v>781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30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20</v>
      </c>
      <c r="W1764">
        <v>140</v>
      </c>
      <c r="Z1764">
        <v>0</v>
      </c>
      <c r="AA1764">
        <v>1021</v>
      </c>
    </row>
    <row r="1765" spans="1:27" x14ac:dyDescent="0.25">
      <c r="H1765" t="s">
        <v>78</v>
      </c>
    </row>
    <row r="1766" spans="1:27" x14ac:dyDescent="0.25">
      <c r="A1766">
        <v>880</v>
      </c>
      <c r="B1766">
        <v>1275</v>
      </c>
      <c r="C1766" t="s">
        <v>3016</v>
      </c>
      <c r="D1766" t="s">
        <v>3017</v>
      </c>
      <c r="E1766" t="s">
        <v>41</v>
      </c>
      <c r="F1766" t="s">
        <v>3018</v>
      </c>
      <c r="G1766" t="str">
        <f>"00014328"</f>
        <v>00014328</v>
      </c>
      <c r="H1766" t="s">
        <v>727</v>
      </c>
      <c r="I1766">
        <v>150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70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Z1766">
        <v>0</v>
      </c>
      <c r="AA1766" t="s">
        <v>3019</v>
      </c>
    </row>
    <row r="1767" spans="1:27" x14ac:dyDescent="0.25">
      <c r="H1767" t="s">
        <v>3020</v>
      </c>
    </row>
    <row r="1768" spans="1:27" x14ac:dyDescent="0.25">
      <c r="A1768">
        <v>881</v>
      </c>
      <c r="B1768">
        <v>105</v>
      </c>
      <c r="C1768" t="s">
        <v>3021</v>
      </c>
      <c r="D1768" t="s">
        <v>3022</v>
      </c>
      <c r="E1768" t="s">
        <v>3023</v>
      </c>
      <c r="F1768" t="s">
        <v>3024</v>
      </c>
      <c r="G1768" t="str">
        <f>"00014790"</f>
        <v>00014790</v>
      </c>
      <c r="H1768" t="s">
        <v>315</v>
      </c>
      <c r="I1768">
        <v>0</v>
      </c>
      <c r="J1768">
        <v>0</v>
      </c>
      <c r="K1768">
        <v>0</v>
      </c>
      <c r="L1768">
        <v>0</v>
      </c>
      <c r="M1768">
        <v>100</v>
      </c>
      <c r="N1768">
        <v>70</v>
      </c>
      <c r="O1768">
        <v>0</v>
      </c>
      <c r="P1768">
        <v>0</v>
      </c>
      <c r="Q1768">
        <v>0</v>
      </c>
      <c r="R1768">
        <v>30</v>
      </c>
      <c r="S1768">
        <v>0</v>
      </c>
      <c r="T1768">
        <v>0</v>
      </c>
      <c r="U1768">
        <v>0</v>
      </c>
      <c r="V1768">
        <v>11</v>
      </c>
      <c r="W1768">
        <v>77</v>
      </c>
      <c r="Z1768">
        <v>0</v>
      </c>
      <c r="AA1768" t="s">
        <v>3025</v>
      </c>
    </row>
    <row r="1769" spans="1:27" x14ac:dyDescent="0.25">
      <c r="H1769">
        <v>215</v>
      </c>
    </row>
    <row r="1770" spans="1:27" x14ac:dyDescent="0.25">
      <c r="A1770">
        <v>882</v>
      </c>
      <c r="B1770">
        <v>2335</v>
      </c>
      <c r="C1770" t="s">
        <v>3026</v>
      </c>
      <c r="D1770" t="s">
        <v>401</v>
      </c>
      <c r="E1770" t="s">
        <v>1085</v>
      </c>
      <c r="F1770" t="s">
        <v>3027</v>
      </c>
      <c r="G1770" t="str">
        <f>"00012551"</f>
        <v>00012551</v>
      </c>
      <c r="H1770" t="s">
        <v>840</v>
      </c>
      <c r="I1770">
        <v>0</v>
      </c>
      <c r="J1770">
        <v>0</v>
      </c>
      <c r="K1770">
        <v>0</v>
      </c>
      <c r="L1770">
        <v>200</v>
      </c>
      <c r="M1770">
        <v>0</v>
      </c>
      <c r="N1770">
        <v>70</v>
      </c>
      <c r="O1770">
        <v>30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Z1770">
        <v>0</v>
      </c>
      <c r="AA1770" t="s">
        <v>3028</v>
      </c>
    </row>
    <row r="1771" spans="1:27" x14ac:dyDescent="0.25">
      <c r="H1771">
        <v>214</v>
      </c>
    </row>
    <row r="1772" spans="1:27" x14ac:dyDescent="0.25">
      <c r="A1772">
        <v>883</v>
      </c>
      <c r="B1772">
        <v>3303</v>
      </c>
      <c r="C1772" t="s">
        <v>3029</v>
      </c>
      <c r="D1772" t="s">
        <v>64</v>
      </c>
      <c r="E1772" t="s">
        <v>41</v>
      </c>
      <c r="F1772" t="s">
        <v>3030</v>
      </c>
      <c r="G1772" t="str">
        <f>"201410004415"</f>
        <v>201410004415</v>
      </c>
      <c r="H1772" t="s">
        <v>2213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44</v>
      </c>
      <c r="W1772">
        <v>308</v>
      </c>
      <c r="Z1772">
        <v>0</v>
      </c>
      <c r="AA1772" t="s">
        <v>3031</v>
      </c>
    </row>
    <row r="1773" spans="1:27" x14ac:dyDescent="0.25">
      <c r="H1773" t="s">
        <v>25</v>
      </c>
    </row>
    <row r="1774" spans="1:27" x14ac:dyDescent="0.25">
      <c r="A1774">
        <v>884</v>
      </c>
      <c r="B1774">
        <v>305</v>
      </c>
      <c r="C1774" t="s">
        <v>3032</v>
      </c>
      <c r="D1774" t="s">
        <v>1076</v>
      </c>
      <c r="E1774" t="s">
        <v>108</v>
      </c>
      <c r="F1774" t="s">
        <v>3033</v>
      </c>
      <c r="G1774" t="str">
        <f>"201502001284"</f>
        <v>201502001284</v>
      </c>
      <c r="H1774" t="s">
        <v>1030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30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33</v>
      </c>
      <c r="W1774">
        <v>231</v>
      </c>
      <c r="Z1774">
        <v>0</v>
      </c>
      <c r="AA1774" t="s">
        <v>3034</v>
      </c>
    </row>
    <row r="1775" spans="1:27" x14ac:dyDescent="0.25">
      <c r="H1775" t="s">
        <v>904</v>
      </c>
    </row>
    <row r="1776" spans="1:27" x14ac:dyDescent="0.25">
      <c r="A1776">
        <v>885</v>
      </c>
      <c r="B1776">
        <v>503</v>
      </c>
      <c r="C1776" t="s">
        <v>3035</v>
      </c>
      <c r="D1776" t="s">
        <v>64</v>
      </c>
      <c r="E1776" t="s">
        <v>2305</v>
      </c>
      <c r="F1776" t="s">
        <v>3036</v>
      </c>
      <c r="G1776" t="str">
        <f>"201511032494"</f>
        <v>201511032494</v>
      </c>
      <c r="H1776" t="s">
        <v>1123</v>
      </c>
      <c r="I1776">
        <v>0</v>
      </c>
      <c r="J1776">
        <v>0</v>
      </c>
      <c r="K1776">
        <v>0</v>
      </c>
      <c r="L1776">
        <v>200</v>
      </c>
      <c r="M1776">
        <v>0</v>
      </c>
      <c r="N1776">
        <v>70</v>
      </c>
      <c r="O1776">
        <v>0</v>
      </c>
      <c r="P1776">
        <v>30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5</v>
      </c>
      <c r="W1776">
        <v>35</v>
      </c>
      <c r="Z1776">
        <v>0</v>
      </c>
      <c r="AA1776" t="s">
        <v>3034</v>
      </c>
    </row>
    <row r="1777" spans="1:27" x14ac:dyDescent="0.25">
      <c r="H1777" t="s">
        <v>357</v>
      </c>
    </row>
    <row r="1778" spans="1:27" x14ac:dyDescent="0.25">
      <c r="A1778">
        <v>886</v>
      </c>
      <c r="B1778">
        <v>1517</v>
      </c>
      <c r="C1778" t="s">
        <v>3037</v>
      </c>
      <c r="D1778" t="s">
        <v>1251</v>
      </c>
      <c r="E1778" t="s">
        <v>41</v>
      </c>
      <c r="F1778" t="s">
        <v>3038</v>
      </c>
      <c r="G1778" t="str">
        <f>"201304005956"</f>
        <v>201304005956</v>
      </c>
      <c r="H1778">
        <v>748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Z1778">
        <v>0</v>
      </c>
      <c r="AA1778">
        <v>1018</v>
      </c>
    </row>
    <row r="1779" spans="1:27" x14ac:dyDescent="0.25">
      <c r="H1779" t="s">
        <v>223</v>
      </c>
    </row>
    <row r="1780" spans="1:27" x14ac:dyDescent="0.25">
      <c r="A1780">
        <v>887</v>
      </c>
      <c r="B1780">
        <v>609</v>
      </c>
      <c r="C1780" t="s">
        <v>3039</v>
      </c>
      <c r="D1780" t="s">
        <v>891</v>
      </c>
      <c r="E1780" t="s">
        <v>1085</v>
      </c>
      <c r="F1780" t="s">
        <v>3040</v>
      </c>
      <c r="G1780" t="str">
        <f>"201409006452"</f>
        <v>201409006452</v>
      </c>
      <c r="H1780" t="s">
        <v>131</v>
      </c>
      <c r="I1780">
        <v>0</v>
      </c>
      <c r="J1780">
        <v>0</v>
      </c>
      <c r="K1780">
        <v>0</v>
      </c>
      <c r="L1780">
        <v>0</v>
      </c>
      <c r="M1780">
        <v>100</v>
      </c>
      <c r="N1780">
        <v>70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24</v>
      </c>
      <c r="W1780">
        <v>168</v>
      </c>
      <c r="Z1780">
        <v>0</v>
      </c>
      <c r="AA1780" t="s">
        <v>3041</v>
      </c>
    </row>
    <row r="1781" spans="1:27" x14ac:dyDescent="0.25">
      <c r="H1781" t="s">
        <v>25</v>
      </c>
    </row>
    <row r="1782" spans="1:27" x14ac:dyDescent="0.25">
      <c r="A1782">
        <v>888</v>
      </c>
      <c r="B1782">
        <v>1629</v>
      </c>
      <c r="C1782" t="s">
        <v>3042</v>
      </c>
      <c r="D1782" t="s">
        <v>64</v>
      </c>
      <c r="E1782" t="s">
        <v>85</v>
      </c>
      <c r="F1782" t="s">
        <v>3043</v>
      </c>
      <c r="G1782" t="str">
        <f>"201402001320"</f>
        <v>201402001320</v>
      </c>
      <c r="H1782">
        <v>748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34</v>
      </c>
      <c r="W1782">
        <v>238</v>
      </c>
      <c r="Z1782">
        <v>0</v>
      </c>
      <c r="AA1782">
        <v>1016</v>
      </c>
    </row>
    <row r="1783" spans="1:27" x14ac:dyDescent="0.25">
      <c r="H1783">
        <v>216</v>
      </c>
    </row>
    <row r="1784" spans="1:27" x14ac:dyDescent="0.25">
      <c r="A1784">
        <v>889</v>
      </c>
      <c r="B1784">
        <v>2515</v>
      </c>
      <c r="C1784" t="s">
        <v>3044</v>
      </c>
      <c r="D1784" t="s">
        <v>158</v>
      </c>
      <c r="E1784" t="s">
        <v>14</v>
      </c>
      <c r="F1784" t="s">
        <v>3045</v>
      </c>
      <c r="G1784" t="str">
        <f>"201406017789"</f>
        <v>201406017789</v>
      </c>
      <c r="H1784" t="s">
        <v>563</v>
      </c>
      <c r="I1784">
        <v>0</v>
      </c>
      <c r="J1784">
        <v>0</v>
      </c>
      <c r="K1784">
        <v>0</v>
      </c>
      <c r="L1784">
        <v>0</v>
      </c>
      <c r="M1784">
        <v>100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Z1784">
        <v>0</v>
      </c>
      <c r="AA1784" t="s">
        <v>3046</v>
      </c>
    </row>
    <row r="1785" spans="1:27" x14ac:dyDescent="0.25">
      <c r="H1785" t="s">
        <v>106</v>
      </c>
    </row>
    <row r="1786" spans="1:27" x14ac:dyDescent="0.25">
      <c r="A1786">
        <v>890</v>
      </c>
      <c r="B1786">
        <v>691</v>
      </c>
      <c r="C1786" t="s">
        <v>3047</v>
      </c>
      <c r="D1786" t="s">
        <v>168</v>
      </c>
      <c r="E1786" t="s">
        <v>85</v>
      </c>
      <c r="F1786" t="s">
        <v>3048</v>
      </c>
      <c r="G1786" t="str">
        <f>"201410002915"</f>
        <v>201410002915</v>
      </c>
      <c r="H1786" t="s">
        <v>1929</v>
      </c>
      <c r="I1786">
        <v>0</v>
      </c>
      <c r="J1786">
        <v>0</v>
      </c>
      <c r="K1786">
        <v>0</v>
      </c>
      <c r="L1786">
        <v>0</v>
      </c>
      <c r="M1786">
        <v>100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29</v>
      </c>
      <c r="W1786">
        <v>203</v>
      </c>
      <c r="Z1786">
        <v>0</v>
      </c>
      <c r="AA1786" t="s">
        <v>3049</v>
      </c>
    </row>
    <row r="1787" spans="1:27" x14ac:dyDescent="0.25">
      <c r="H1787" t="s">
        <v>298</v>
      </c>
    </row>
    <row r="1788" spans="1:27" x14ac:dyDescent="0.25">
      <c r="A1788">
        <v>891</v>
      </c>
      <c r="B1788">
        <v>1033</v>
      </c>
      <c r="C1788" t="s">
        <v>1835</v>
      </c>
      <c r="D1788" t="s">
        <v>33</v>
      </c>
      <c r="E1788" t="s">
        <v>14</v>
      </c>
      <c r="F1788" t="s">
        <v>3050</v>
      </c>
      <c r="G1788" t="str">
        <f>"00013348"</f>
        <v>00013348</v>
      </c>
      <c r="H1788" t="s">
        <v>1054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30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27</v>
      </c>
      <c r="W1788">
        <v>189</v>
      </c>
      <c r="Z1788">
        <v>0</v>
      </c>
      <c r="AA1788" t="s">
        <v>3051</v>
      </c>
    </row>
    <row r="1789" spans="1:27" x14ac:dyDescent="0.25">
      <c r="H1789">
        <v>216</v>
      </c>
    </row>
    <row r="1790" spans="1:27" x14ac:dyDescent="0.25">
      <c r="A1790">
        <v>892</v>
      </c>
      <c r="B1790">
        <v>3063</v>
      </c>
      <c r="C1790" t="s">
        <v>3052</v>
      </c>
      <c r="D1790" t="s">
        <v>3053</v>
      </c>
      <c r="E1790" t="s">
        <v>879</v>
      </c>
      <c r="F1790" t="s">
        <v>3054</v>
      </c>
      <c r="G1790" t="str">
        <f>"201406013155"</f>
        <v>201406013155</v>
      </c>
      <c r="H1790" t="s">
        <v>3055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50</v>
      </c>
      <c r="O1790">
        <v>50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11</v>
      </c>
      <c r="W1790">
        <v>77</v>
      </c>
      <c r="Z1790">
        <v>0</v>
      </c>
      <c r="AA1790" t="s">
        <v>3056</v>
      </c>
    </row>
    <row r="1791" spans="1:27" x14ac:dyDescent="0.25">
      <c r="H1791" t="s">
        <v>357</v>
      </c>
    </row>
    <row r="1792" spans="1:27" x14ac:dyDescent="0.25">
      <c r="A1792">
        <v>893</v>
      </c>
      <c r="B1792">
        <v>2961</v>
      </c>
      <c r="C1792" t="s">
        <v>2952</v>
      </c>
      <c r="D1792" t="s">
        <v>64</v>
      </c>
      <c r="E1792" t="s">
        <v>14</v>
      </c>
      <c r="F1792" t="s">
        <v>3057</v>
      </c>
      <c r="G1792" t="str">
        <f>"201512005599"</f>
        <v>201512005599</v>
      </c>
      <c r="H1792" t="s">
        <v>1167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13</v>
      </c>
      <c r="W1792">
        <v>91</v>
      </c>
      <c r="Z1792">
        <v>0</v>
      </c>
      <c r="AA1792" t="s">
        <v>3058</v>
      </c>
    </row>
    <row r="1793" spans="1:27" x14ac:dyDescent="0.25">
      <c r="H1793">
        <v>215</v>
      </c>
    </row>
    <row r="1794" spans="1:27" x14ac:dyDescent="0.25">
      <c r="A1794">
        <v>894</v>
      </c>
      <c r="B1794">
        <v>1352</v>
      </c>
      <c r="C1794" t="s">
        <v>3059</v>
      </c>
      <c r="D1794" t="s">
        <v>1575</v>
      </c>
      <c r="E1794" t="s">
        <v>3060</v>
      </c>
      <c r="F1794" t="s">
        <v>3061</v>
      </c>
      <c r="G1794" t="str">
        <f>"201406000732"</f>
        <v>201406000732</v>
      </c>
      <c r="H1794" t="s">
        <v>342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24</v>
      </c>
      <c r="W1794">
        <v>168</v>
      </c>
      <c r="Z1794">
        <v>0</v>
      </c>
      <c r="AA1794" t="s">
        <v>3058</v>
      </c>
    </row>
    <row r="1795" spans="1:27" x14ac:dyDescent="0.25">
      <c r="H1795" t="s">
        <v>78</v>
      </c>
    </row>
    <row r="1796" spans="1:27" x14ac:dyDescent="0.25">
      <c r="A1796">
        <v>895</v>
      </c>
      <c r="B1796">
        <v>1220</v>
      </c>
      <c r="C1796" t="s">
        <v>3062</v>
      </c>
      <c r="D1796" t="s">
        <v>3063</v>
      </c>
      <c r="E1796" t="s">
        <v>3064</v>
      </c>
      <c r="F1796" t="s">
        <v>3065</v>
      </c>
      <c r="G1796" t="str">
        <f>"00010863"</f>
        <v>00010863</v>
      </c>
      <c r="H1796">
        <v>770</v>
      </c>
      <c r="I1796">
        <v>0</v>
      </c>
      <c r="J1796">
        <v>0</v>
      </c>
      <c r="K1796">
        <v>0</v>
      </c>
      <c r="L1796">
        <v>0</v>
      </c>
      <c r="M1796">
        <v>100</v>
      </c>
      <c r="N1796">
        <v>70</v>
      </c>
      <c r="O1796">
        <v>70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Z1796">
        <v>0</v>
      </c>
      <c r="AA1796">
        <v>1010</v>
      </c>
    </row>
    <row r="1797" spans="1:27" x14ac:dyDescent="0.25">
      <c r="H1797">
        <v>215</v>
      </c>
    </row>
    <row r="1798" spans="1:27" x14ac:dyDescent="0.25">
      <c r="A1798">
        <v>896</v>
      </c>
      <c r="B1798">
        <v>314</v>
      </c>
      <c r="C1798" t="s">
        <v>3066</v>
      </c>
      <c r="D1798" t="s">
        <v>319</v>
      </c>
      <c r="E1798" t="s">
        <v>64</v>
      </c>
      <c r="F1798" t="s">
        <v>3067</v>
      </c>
      <c r="G1798" t="str">
        <f>"201511020205"</f>
        <v>201511020205</v>
      </c>
      <c r="H1798" t="s">
        <v>3068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0</v>
      </c>
      <c r="Q1798">
        <v>30</v>
      </c>
      <c r="R1798">
        <v>0</v>
      </c>
      <c r="S1798">
        <v>0</v>
      </c>
      <c r="T1798">
        <v>0</v>
      </c>
      <c r="U1798">
        <v>0</v>
      </c>
      <c r="V1798">
        <v>7</v>
      </c>
      <c r="W1798">
        <v>49</v>
      </c>
      <c r="Z1798">
        <v>1</v>
      </c>
      <c r="AA1798" t="s">
        <v>3069</v>
      </c>
    </row>
    <row r="1799" spans="1:27" x14ac:dyDescent="0.25">
      <c r="H1799">
        <v>215</v>
      </c>
    </row>
    <row r="1800" spans="1:27" x14ac:dyDescent="0.25">
      <c r="A1800">
        <v>897</v>
      </c>
      <c r="B1800">
        <v>2109</v>
      </c>
      <c r="C1800" t="s">
        <v>3070</v>
      </c>
      <c r="D1800" t="s">
        <v>1639</v>
      </c>
      <c r="E1800" t="s">
        <v>2574</v>
      </c>
      <c r="F1800" t="s">
        <v>3071</v>
      </c>
      <c r="G1800" t="str">
        <f>"201303000461"</f>
        <v>201303000461</v>
      </c>
      <c r="H1800" t="s">
        <v>1078</v>
      </c>
      <c r="I1800">
        <v>0</v>
      </c>
      <c r="J1800">
        <v>0</v>
      </c>
      <c r="K1800">
        <v>0</v>
      </c>
      <c r="L1800">
        <v>200</v>
      </c>
      <c r="M1800">
        <v>0</v>
      </c>
      <c r="N1800">
        <v>70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Z1800">
        <v>0</v>
      </c>
      <c r="AA1800" t="s">
        <v>3069</v>
      </c>
    </row>
    <row r="1801" spans="1:27" x14ac:dyDescent="0.25">
      <c r="H1801" t="s">
        <v>248</v>
      </c>
    </row>
    <row r="1802" spans="1:27" x14ac:dyDescent="0.25">
      <c r="A1802">
        <v>898</v>
      </c>
      <c r="B1802">
        <v>2691</v>
      </c>
      <c r="C1802" t="s">
        <v>3072</v>
      </c>
      <c r="D1802" t="s">
        <v>3073</v>
      </c>
      <c r="E1802" t="s">
        <v>41</v>
      </c>
      <c r="F1802" t="s">
        <v>3074</v>
      </c>
      <c r="G1802" t="str">
        <f>"00015084"</f>
        <v>00015084</v>
      </c>
      <c r="H1802">
        <v>649</v>
      </c>
      <c r="I1802">
        <v>0</v>
      </c>
      <c r="J1802">
        <v>0</v>
      </c>
      <c r="K1802">
        <v>0</v>
      </c>
      <c r="L1802">
        <v>0</v>
      </c>
      <c r="M1802">
        <v>100</v>
      </c>
      <c r="N1802">
        <v>70</v>
      </c>
      <c r="O1802">
        <v>50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20</v>
      </c>
      <c r="W1802">
        <v>140</v>
      </c>
      <c r="Z1802">
        <v>0</v>
      </c>
      <c r="AA1802">
        <v>1009</v>
      </c>
    </row>
    <row r="1803" spans="1:27" x14ac:dyDescent="0.25">
      <c r="H1803" t="s">
        <v>49</v>
      </c>
    </row>
    <row r="1804" spans="1:27" x14ac:dyDescent="0.25">
      <c r="A1804">
        <v>899</v>
      </c>
      <c r="B1804">
        <v>816</v>
      </c>
      <c r="C1804" t="s">
        <v>3075</v>
      </c>
      <c r="D1804" t="s">
        <v>225</v>
      </c>
      <c r="E1804" t="s">
        <v>41</v>
      </c>
      <c r="F1804" t="s">
        <v>3076</v>
      </c>
      <c r="G1804" t="str">
        <f>"201405001220"</f>
        <v>201405001220</v>
      </c>
      <c r="H1804" t="s">
        <v>1628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70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33</v>
      </c>
      <c r="W1804">
        <v>231</v>
      </c>
      <c r="Z1804">
        <v>0</v>
      </c>
      <c r="AA1804" t="s">
        <v>3077</v>
      </c>
    </row>
    <row r="1805" spans="1:27" x14ac:dyDescent="0.25">
      <c r="H1805" t="s">
        <v>25</v>
      </c>
    </row>
    <row r="1806" spans="1:27" x14ac:dyDescent="0.25">
      <c r="A1806">
        <v>900</v>
      </c>
      <c r="B1806">
        <v>1793</v>
      </c>
      <c r="C1806" t="s">
        <v>3078</v>
      </c>
      <c r="D1806" t="s">
        <v>123</v>
      </c>
      <c r="E1806" t="s">
        <v>158</v>
      </c>
      <c r="F1806" t="s">
        <v>3079</v>
      </c>
      <c r="G1806" t="str">
        <f>"201411001804"</f>
        <v>201411001804</v>
      </c>
      <c r="H1806" t="s">
        <v>453</v>
      </c>
      <c r="I1806">
        <v>0</v>
      </c>
      <c r="J1806">
        <v>0</v>
      </c>
      <c r="K1806">
        <v>0</v>
      </c>
      <c r="L1806">
        <v>200</v>
      </c>
      <c r="M1806">
        <v>0</v>
      </c>
      <c r="N1806">
        <v>70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Z1806">
        <v>0</v>
      </c>
      <c r="AA1806" t="s">
        <v>3080</v>
      </c>
    </row>
    <row r="1807" spans="1:27" x14ac:dyDescent="0.25">
      <c r="H1807">
        <v>215</v>
      </c>
    </row>
    <row r="1808" spans="1:27" x14ac:dyDescent="0.25">
      <c r="A1808">
        <v>901</v>
      </c>
      <c r="B1808">
        <v>2285</v>
      </c>
      <c r="C1808" t="s">
        <v>3081</v>
      </c>
      <c r="D1808" t="s">
        <v>219</v>
      </c>
      <c r="E1808" t="s">
        <v>200</v>
      </c>
      <c r="F1808" t="s">
        <v>3082</v>
      </c>
      <c r="G1808" t="str">
        <f>"201512000502"</f>
        <v>201512000502</v>
      </c>
      <c r="H1808" t="s">
        <v>269</v>
      </c>
      <c r="I1808">
        <v>150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30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Z1808">
        <v>0</v>
      </c>
      <c r="AA1808" t="s">
        <v>3083</v>
      </c>
    </row>
    <row r="1809" spans="1:27" x14ac:dyDescent="0.25">
      <c r="H1809">
        <v>215</v>
      </c>
    </row>
    <row r="1810" spans="1:27" x14ac:dyDescent="0.25">
      <c r="A1810">
        <v>902</v>
      </c>
      <c r="B1810">
        <v>1675</v>
      </c>
      <c r="C1810" t="s">
        <v>426</v>
      </c>
      <c r="D1810" t="s">
        <v>80</v>
      </c>
      <c r="E1810" t="s">
        <v>108</v>
      </c>
      <c r="F1810" t="s">
        <v>3084</v>
      </c>
      <c r="G1810" t="str">
        <f>"201304003924"</f>
        <v>201304003924</v>
      </c>
      <c r="H1810" t="s">
        <v>1151</v>
      </c>
      <c r="I1810">
        <v>0</v>
      </c>
      <c r="J1810">
        <v>0</v>
      </c>
      <c r="K1810">
        <v>0</v>
      </c>
      <c r="L1810">
        <v>200</v>
      </c>
      <c r="M1810">
        <v>0</v>
      </c>
      <c r="N1810">
        <v>70</v>
      </c>
      <c r="O1810">
        <v>0</v>
      </c>
      <c r="P1810">
        <v>0</v>
      </c>
      <c r="Q1810">
        <v>30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0</v>
      </c>
      <c r="Z1810">
        <v>0</v>
      </c>
      <c r="AA1810" t="s">
        <v>3085</v>
      </c>
    </row>
    <row r="1811" spans="1:27" x14ac:dyDescent="0.25">
      <c r="H1811" t="s">
        <v>31</v>
      </c>
    </row>
    <row r="1812" spans="1:27" x14ac:dyDescent="0.25">
      <c r="A1812">
        <v>903</v>
      </c>
      <c r="B1812">
        <v>1796</v>
      </c>
      <c r="C1812" t="s">
        <v>3086</v>
      </c>
      <c r="D1812" t="s">
        <v>1126</v>
      </c>
      <c r="E1812" t="s">
        <v>123</v>
      </c>
      <c r="F1812" t="s">
        <v>3087</v>
      </c>
      <c r="G1812" t="str">
        <f>"200801011236"</f>
        <v>200801011236</v>
      </c>
      <c r="H1812" t="s">
        <v>410</v>
      </c>
      <c r="I1812">
        <v>150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Z1812">
        <v>0</v>
      </c>
      <c r="AA1812" t="s">
        <v>3088</v>
      </c>
    </row>
    <row r="1813" spans="1:27" x14ac:dyDescent="0.25">
      <c r="H1813" t="s">
        <v>2045</v>
      </c>
    </row>
    <row r="1814" spans="1:27" x14ac:dyDescent="0.25">
      <c r="A1814">
        <v>904</v>
      </c>
      <c r="B1814">
        <v>2236</v>
      </c>
      <c r="C1814" t="s">
        <v>3089</v>
      </c>
      <c r="D1814" t="s">
        <v>319</v>
      </c>
      <c r="E1814" t="s">
        <v>387</v>
      </c>
      <c r="F1814" t="s">
        <v>3090</v>
      </c>
      <c r="G1814" t="str">
        <f>"201304005424"</f>
        <v>201304005424</v>
      </c>
      <c r="H1814" t="s">
        <v>727</v>
      </c>
      <c r="I1814">
        <v>0</v>
      </c>
      <c r="J1814">
        <v>0</v>
      </c>
      <c r="K1814">
        <v>0</v>
      </c>
      <c r="L1814">
        <v>200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0</v>
      </c>
      <c r="Z1814">
        <v>0</v>
      </c>
      <c r="AA1814" t="s">
        <v>3091</v>
      </c>
    </row>
    <row r="1815" spans="1:27" x14ac:dyDescent="0.25">
      <c r="H1815" t="s">
        <v>38</v>
      </c>
    </row>
    <row r="1816" spans="1:27" x14ac:dyDescent="0.25">
      <c r="A1816">
        <v>905</v>
      </c>
      <c r="B1816">
        <v>1740</v>
      </c>
      <c r="C1816" t="s">
        <v>3092</v>
      </c>
      <c r="D1816" t="s">
        <v>276</v>
      </c>
      <c r="E1816" t="s">
        <v>158</v>
      </c>
      <c r="F1816" t="s">
        <v>3093</v>
      </c>
      <c r="G1816" t="str">
        <f>"201410002415"</f>
        <v>201410002415</v>
      </c>
      <c r="H1816">
        <v>660</v>
      </c>
      <c r="I1816">
        <v>0</v>
      </c>
      <c r="J1816">
        <v>0</v>
      </c>
      <c r="K1816">
        <v>0</v>
      </c>
      <c r="L1816">
        <v>200</v>
      </c>
      <c r="M1816">
        <v>0</v>
      </c>
      <c r="N1816">
        <v>70</v>
      </c>
      <c r="O1816">
        <v>70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Z1816">
        <v>0</v>
      </c>
      <c r="AA1816">
        <v>1000</v>
      </c>
    </row>
    <row r="1817" spans="1:27" x14ac:dyDescent="0.25">
      <c r="H1817">
        <v>215</v>
      </c>
    </row>
    <row r="1818" spans="1:27" x14ac:dyDescent="0.25">
      <c r="A1818">
        <v>906</v>
      </c>
      <c r="B1818">
        <v>1826</v>
      </c>
      <c r="C1818" t="s">
        <v>3094</v>
      </c>
      <c r="D1818" t="s">
        <v>158</v>
      </c>
      <c r="E1818" t="s">
        <v>387</v>
      </c>
      <c r="F1818" t="s">
        <v>3095</v>
      </c>
      <c r="G1818" t="str">
        <f>"00012319"</f>
        <v>00012319</v>
      </c>
      <c r="H1818" t="s">
        <v>1929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70</v>
      </c>
      <c r="O1818">
        <v>0</v>
      </c>
      <c r="P1818">
        <v>50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Z1818">
        <v>0</v>
      </c>
      <c r="AA1818" t="s">
        <v>3096</v>
      </c>
    </row>
    <row r="1819" spans="1:27" x14ac:dyDescent="0.25">
      <c r="H1819" t="s">
        <v>38</v>
      </c>
    </row>
    <row r="1820" spans="1:27" x14ac:dyDescent="0.25">
      <c r="A1820">
        <v>907</v>
      </c>
      <c r="B1820">
        <v>652</v>
      </c>
      <c r="C1820" t="s">
        <v>3097</v>
      </c>
      <c r="D1820" t="s">
        <v>289</v>
      </c>
      <c r="E1820" t="s">
        <v>200</v>
      </c>
      <c r="F1820" t="s">
        <v>3098</v>
      </c>
      <c r="G1820" t="str">
        <f>"201406014571"</f>
        <v>201406014571</v>
      </c>
      <c r="H1820" t="s">
        <v>252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5</v>
      </c>
      <c r="W1820">
        <v>35</v>
      </c>
      <c r="Z1820">
        <v>0</v>
      </c>
      <c r="AA1820" t="s">
        <v>3099</v>
      </c>
    </row>
    <row r="1821" spans="1:27" x14ac:dyDescent="0.25">
      <c r="H1821" t="s">
        <v>106</v>
      </c>
    </row>
    <row r="1822" spans="1:27" x14ac:dyDescent="0.25">
      <c r="A1822">
        <v>908</v>
      </c>
      <c r="B1822">
        <v>3035</v>
      </c>
      <c r="C1822" t="s">
        <v>3100</v>
      </c>
      <c r="D1822" t="s">
        <v>1085</v>
      </c>
      <c r="E1822" t="s">
        <v>14</v>
      </c>
      <c r="F1822" t="s">
        <v>3101</v>
      </c>
      <c r="G1822" t="str">
        <f>"00010044"</f>
        <v>00010044</v>
      </c>
      <c r="H1822" t="s">
        <v>588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30</v>
      </c>
      <c r="W1822">
        <v>210</v>
      </c>
      <c r="Z1822">
        <v>0</v>
      </c>
      <c r="AA1822" t="s">
        <v>3102</v>
      </c>
    </row>
    <row r="1823" spans="1:27" x14ac:dyDescent="0.25">
      <c r="H1823">
        <v>215</v>
      </c>
    </row>
    <row r="1824" spans="1:27" x14ac:dyDescent="0.25">
      <c r="A1824">
        <v>909</v>
      </c>
      <c r="B1824">
        <v>1825</v>
      </c>
      <c r="C1824" t="s">
        <v>3103</v>
      </c>
      <c r="D1824" t="s">
        <v>151</v>
      </c>
      <c r="E1824" t="s">
        <v>387</v>
      </c>
      <c r="F1824" t="s">
        <v>3104</v>
      </c>
      <c r="G1824" t="str">
        <f>"201412007300"</f>
        <v>201412007300</v>
      </c>
      <c r="H1824" t="s">
        <v>763</v>
      </c>
      <c r="I1824">
        <v>0</v>
      </c>
      <c r="J1824">
        <v>0</v>
      </c>
      <c r="K1824">
        <v>0</v>
      </c>
      <c r="L1824">
        <v>200</v>
      </c>
      <c r="M1824">
        <v>0</v>
      </c>
      <c r="N1824">
        <v>70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Z1824">
        <v>0</v>
      </c>
      <c r="AA1824" t="s">
        <v>3105</v>
      </c>
    </row>
    <row r="1825" spans="1:27" x14ac:dyDescent="0.25">
      <c r="H1825" t="s">
        <v>38</v>
      </c>
    </row>
    <row r="1826" spans="1:27" x14ac:dyDescent="0.25">
      <c r="A1826">
        <v>910</v>
      </c>
      <c r="B1826">
        <v>2993</v>
      </c>
      <c r="C1826" t="s">
        <v>3106</v>
      </c>
      <c r="D1826" t="s">
        <v>85</v>
      </c>
      <c r="E1826" t="s">
        <v>41</v>
      </c>
      <c r="F1826" t="s">
        <v>3107</v>
      </c>
      <c r="G1826" t="str">
        <f>"201412004398"</f>
        <v>201412004398</v>
      </c>
      <c r="H1826" t="s">
        <v>67</v>
      </c>
      <c r="I1826">
        <v>0</v>
      </c>
      <c r="J1826">
        <v>0</v>
      </c>
      <c r="K1826">
        <v>0</v>
      </c>
      <c r="L1826">
        <v>200</v>
      </c>
      <c r="M1826">
        <v>0</v>
      </c>
      <c r="N1826">
        <v>70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0</v>
      </c>
      <c r="Z1826">
        <v>0</v>
      </c>
      <c r="AA1826" t="s">
        <v>3108</v>
      </c>
    </row>
    <row r="1827" spans="1:27" x14ac:dyDescent="0.25">
      <c r="H1827" t="s">
        <v>223</v>
      </c>
    </row>
    <row r="1828" spans="1:27" x14ac:dyDescent="0.25">
      <c r="A1828">
        <v>911</v>
      </c>
      <c r="B1828">
        <v>677</v>
      </c>
      <c r="C1828" t="s">
        <v>3109</v>
      </c>
      <c r="D1828" t="s">
        <v>41</v>
      </c>
      <c r="E1828" t="s">
        <v>284</v>
      </c>
      <c r="F1828" t="s">
        <v>3110</v>
      </c>
      <c r="G1828" t="str">
        <f>"201406011694"</f>
        <v>201406011694</v>
      </c>
      <c r="H1828" t="s">
        <v>1391</v>
      </c>
      <c r="I1828">
        <v>0</v>
      </c>
      <c r="J1828">
        <v>0</v>
      </c>
      <c r="K1828">
        <v>0</v>
      </c>
      <c r="L1828">
        <v>200</v>
      </c>
      <c r="M1828">
        <v>0</v>
      </c>
      <c r="N1828">
        <v>50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Z1828">
        <v>0</v>
      </c>
      <c r="AA1828" t="s">
        <v>3111</v>
      </c>
    </row>
    <row r="1829" spans="1:27" x14ac:dyDescent="0.25">
      <c r="H1829" t="s">
        <v>248</v>
      </c>
    </row>
    <row r="1830" spans="1:27" x14ac:dyDescent="0.25">
      <c r="A1830">
        <v>912</v>
      </c>
      <c r="B1830">
        <v>2661</v>
      </c>
      <c r="C1830" t="s">
        <v>3112</v>
      </c>
      <c r="D1830" t="s">
        <v>128</v>
      </c>
      <c r="E1830" t="s">
        <v>189</v>
      </c>
      <c r="F1830" t="s">
        <v>3113</v>
      </c>
      <c r="G1830" t="str">
        <f>"201506002391"</f>
        <v>201506002391</v>
      </c>
      <c r="H1830" t="s">
        <v>643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70</v>
      </c>
      <c r="O1830">
        <v>0</v>
      </c>
      <c r="P1830">
        <v>30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Z1830">
        <v>0</v>
      </c>
      <c r="AA1830" t="s">
        <v>3114</v>
      </c>
    </row>
    <row r="1831" spans="1:27" x14ac:dyDescent="0.25">
      <c r="H1831" t="s">
        <v>223</v>
      </c>
    </row>
    <row r="1832" spans="1:27" x14ac:dyDescent="0.25">
      <c r="A1832">
        <v>913</v>
      </c>
      <c r="B1832">
        <v>1696</v>
      </c>
      <c r="C1832" t="s">
        <v>3115</v>
      </c>
      <c r="D1832" t="s">
        <v>401</v>
      </c>
      <c r="E1832" t="s">
        <v>108</v>
      </c>
      <c r="F1832" t="s">
        <v>3116</v>
      </c>
      <c r="G1832" t="str">
        <f>"201504001089"</f>
        <v>201504001089</v>
      </c>
      <c r="H1832" t="s">
        <v>915</v>
      </c>
      <c r="I1832">
        <v>0</v>
      </c>
      <c r="J1832">
        <v>0</v>
      </c>
      <c r="K1832">
        <v>0</v>
      </c>
      <c r="L1832">
        <v>200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Z1832">
        <v>0</v>
      </c>
      <c r="AA1832" t="s">
        <v>3117</v>
      </c>
    </row>
    <row r="1833" spans="1:27" x14ac:dyDescent="0.25">
      <c r="H1833" t="s">
        <v>89</v>
      </c>
    </row>
    <row r="1834" spans="1:27" x14ac:dyDescent="0.25">
      <c r="A1834">
        <v>914</v>
      </c>
      <c r="B1834">
        <v>1889</v>
      </c>
      <c r="C1834" t="s">
        <v>3118</v>
      </c>
      <c r="D1834" t="s">
        <v>114</v>
      </c>
      <c r="E1834" t="s">
        <v>41</v>
      </c>
      <c r="F1834" t="s">
        <v>3119</v>
      </c>
      <c r="G1834" t="str">
        <f>"201406006472"</f>
        <v>201406006472</v>
      </c>
      <c r="H1834" t="s">
        <v>1062</v>
      </c>
      <c r="I1834">
        <v>0</v>
      </c>
      <c r="J1834">
        <v>0</v>
      </c>
      <c r="K1834">
        <v>0</v>
      </c>
      <c r="L1834">
        <v>200</v>
      </c>
      <c r="M1834">
        <v>0</v>
      </c>
      <c r="N1834">
        <v>70</v>
      </c>
      <c r="O1834">
        <v>30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Z1834">
        <v>0</v>
      </c>
      <c r="AA1834" t="s">
        <v>3120</v>
      </c>
    </row>
    <row r="1835" spans="1:27" x14ac:dyDescent="0.25">
      <c r="H1835" t="s">
        <v>223</v>
      </c>
    </row>
    <row r="1836" spans="1:27" x14ac:dyDescent="0.25">
      <c r="A1836">
        <v>915</v>
      </c>
      <c r="B1836">
        <v>2854</v>
      </c>
      <c r="C1836" t="s">
        <v>3121</v>
      </c>
      <c r="D1836" t="s">
        <v>168</v>
      </c>
      <c r="E1836" t="s">
        <v>85</v>
      </c>
      <c r="F1836" t="s">
        <v>3122</v>
      </c>
      <c r="G1836" t="str">
        <f>"201410007648"</f>
        <v>201410007648</v>
      </c>
      <c r="H1836" t="s">
        <v>1066</v>
      </c>
      <c r="I1836">
        <v>0</v>
      </c>
      <c r="J1836">
        <v>0</v>
      </c>
      <c r="K1836">
        <v>0</v>
      </c>
      <c r="L1836">
        <v>200</v>
      </c>
      <c r="M1836">
        <v>0</v>
      </c>
      <c r="N1836">
        <v>70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Z1836">
        <v>2</v>
      </c>
      <c r="AA1836" t="s">
        <v>3123</v>
      </c>
    </row>
    <row r="1837" spans="1:27" x14ac:dyDescent="0.25">
      <c r="H1837" t="s">
        <v>265</v>
      </c>
    </row>
    <row r="1838" spans="1:27" x14ac:dyDescent="0.25">
      <c r="A1838">
        <v>916</v>
      </c>
      <c r="B1838">
        <v>992</v>
      </c>
      <c r="C1838" t="s">
        <v>3124</v>
      </c>
      <c r="D1838" t="s">
        <v>151</v>
      </c>
      <c r="E1838" t="s">
        <v>108</v>
      </c>
      <c r="F1838" t="s">
        <v>3125</v>
      </c>
      <c r="G1838" t="str">
        <f>"201504001286"</f>
        <v>201504001286</v>
      </c>
      <c r="H1838" t="s">
        <v>976</v>
      </c>
      <c r="I1838">
        <v>0</v>
      </c>
      <c r="J1838">
        <v>0</v>
      </c>
      <c r="K1838">
        <v>0</v>
      </c>
      <c r="L1838">
        <v>200</v>
      </c>
      <c r="M1838">
        <v>0</v>
      </c>
      <c r="N1838">
        <v>50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Z1838">
        <v>0</v>
      </c>
      <c r="AA1838" t="s">
        <v>3126</v>
      </c>
    </row>
    <row r="1839" spans="1:27" x14ac:dyDescent="0.25">
      <c r="H1839">
        <v>213</v>
      </c>
    </row>
    <row r="1840" spans="1:27" x14ac:dyDescent="0.25">
      <c r="A1840">
        <v>917</v>
      </c>
      <c r="B1840">
        <v>1685</v>
      </c>
      <c r="C1840" t="s">
        <v>3127</v>
      </c>
      <c r="D1840" t="s">
        <v>204</v>
      </c>
      <c r="E1840" t="s">
        <v>14</v>
      </c>
      <c r="F1840" t="s">
        <v>3128</v>
      </c>
      <c r="G1840" t="str">
        <f>"201409004576"</f>
        <v>201409004576</v>
      </c>
      <c r="H1840" t="s">
        <v>1331</v>
      </c>
      <c r="I1840">
        <v>0</v>
      </c>
      <c r="J1840">
        <v>0</v>
      </c>
      <c r="K1840">
        <v>0</v>
      </c>
      <c r="L1840">
        <v>200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30</v>
      </c>
      <c r="S1840">
        <v>0</v>
      </c>
      <c r="T1840">
        <v>0</v>
      </c>
      <c r="U1840">
        <v>0</v>
      </c>
      <c r="V1840">
        <v>0</v>
      </c>
      <c r="W1840">
        <v>0</v>
      </c>
      <c r="Z1840">
        <v>0</v>
      </c>
      <c r="AA1840" t="s">
        <v>3129</v>
      </c>
    </row>
    <row r="1841" spans="1:27" x14ac:dyDescent="0.25">
      <c r="H1841" t="s">
        <v>223</v>
      </c>
    </row>
    <row r="1842" spans="1:27" x14ac:dyDescent="0.25">
      <c r="A1842">
        <v>918</v>
      </c>
      <c r="B1842">
        <v>187</v>
      </c>
      <c r="C1842" t="s">
        <v>3130</v>
      </c>
      <c r="D1842" t="s">
        <v>3131</v>
      </c>
      <c r="E1842" t="s">
        <v>158</v>
      </c>
      <c r="F1842" t="s">
        <v>3132</v>
      </c>
      <c r="G1842" t="str">
        <f>"201304002306"</f>
        <v>201304002306</v>
      </c>
      <c r="H1842" t="s">
        <v>197</v>
      </c>
      <c r="I1842">
        <v>0</v>
      </c>
      <c r="J1842">
        <v>0</v>
      </c>
      <c r="K1842">
        <v>0</v>
      </c>
      <c r="L1842">
        <v>0</v>
      </c>
      <c r="M1842">
        <v>100</v>
      </c>
      <c r="N1842">
        <v>70</v>
      </c>
      <c r="O1842">
        <v>30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10</v>
      </c>
      <c r="W1842">
        <v>70</v>
      </c>
      <c r="Z1842">
        <v>0</v>
      </c>
      <c r="AA1842" t="s">
        <v>3133</v>
      </c>
    </row>
    <row r="1843" spans="1:27" x14ac:dyDescent="0.25">
      <c r="H1843" t="s">
        <v>2045</v>
      </c>
    </row>
    <row r="1844" spans="1:27" x14ac:dyDescent="0.25">
      <c r="A1844">
        <v>919</v>
      </c>
      <c r="B1844">
        <v>2485</v>
      </c>
      <c r="C1844" t="s">
        <v>3002</v>
      </c>
      <c r="D1844" t="s">
        <v>148</v>
      </c>
      <c r="E1844" t="s">
        <v>3134</v>
      </c>
      <c r="F1844" t="s">
        <v>3135</v>
      </c>
      <c r="G1844" t="str">
        <f>"201406015093"</f>
        <v>201406015093</v>
      </c>
      <c r="H1844">
        <v>715</v>
      </c>
      <c r="I1844">
        <v>0</v>
      </c>
      <c r="J1844">
        <v>0</v>
      </c>
      <c r="K1844">
        <v>0</v>
      </c>
      <c r="L1844">
        <v>200</v>
      </c>
      <c r="M1844">
        <v>0</v>
      </c>
      <c r="N1844">
        <v>70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Z1844">
        <v>0</v>
      </c>
      <c r="AA1844">
        <v>985</v>
      </c>
    </row>
    <row r="1845" spans="1:27" x14ac:dyDescent="0.25">
      <c r="H1845" t="s">
        <v>729</v>
      </c>
    </row>
    <row r="1846" spans="1:27" x14ac:dyDescent="0.25">
      <c r="A1846">
        <v>920</v>
      </c>
      <c r="B1846">
        <v>84</v>
      </c>
      <c r="C1846" t="s">
        <v>3136</v>
      </c>
      <c r="D1846" t="s">
        <v>129</v>
      </c>
      <c r="E1846" t="s">
        <v>1639</v>
      </c>
      <c r="F1846" t="s">
        <v>3137</v>
      </c>
      <c r="G1846" t="str">
        <f>"201409003067"</f>
        <v>201409003067</v>
      </c>
      <c r="H1846">
        <v>704</v>
      </c>
      <c r="I1846">
        <v>0</v>
      </c>
      <c r="J1846">
        <v>0</v>
      </c>
      <c r="K1846">
        <v>0</v>
      </c>
      <c r="L1846">
        <v>200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7</v>
      </c>
      <c r="W1846">
        <v>49</v>
      </c>
      <c r="Z1846">
        <v>0</v>
      </c>
      <c r="AA1846">
        <v>983</v>
      </c>
    </row>
    <row r="1847" spans="1:27" x14ac:dyDescent="0.25">
      <c r="H1847" t="s">
        <v>223</v>
      </c>
    </row>
    <row r="1848" spans="1:27" x14ac:dyDescent="0.25">
      <c r="A1848">
        <v>921</v>
      </c>
      <c r="B1848">
        <v>112</v>
      </c>
      <c r="C1848" t="s">
        <v>455</v>
      </c>
      <c r="D1848" t="s">
        <v>158</v>
      </c>
      <c r="E1848" t="s">
        <v>65</v>
      </c>
      <c r="F1848" t="s">
        <v>3138</v>
      </c>
      <c r="G1848" t="str">
        <f>"00014372"</f>
        <v>00014372</v>
      </c>
      <c r="H1848" t="s">
        <v>550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50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16</v>
      </c>
      <c r="W1848">
        <v>112</v>
      </c>
      <c r="Z1848">
        <v>0</v>
      </c>
      <c r="AA1848" t="s">
        <v>3139</v>
      </c>
    </row>
    <row r="1849" spans="1:27" x14ac:dyDescent="0.25">
      <c r="H1849">
        <v>215</v>
      </c>
    </row>
    <row r="1850" spans="1:27" x14ac:dyDescent="0.25">
      <c r="A1850">
        <v>922</v>
      </c>
      <c r="B1850">
        <v>3209</v>
      </c>
      <c r="C1850" t="s">
        <v>3140</v>
      </c>
      <c r="D1850" t="s">
        <v>148</v>
      </c>
      <c r="E1850" t="s">
        <v>85</v>
      </c>
      <c r="F1850" t="s">
        <v>3141</v>
      </c>
      <c r="G1850" t="str">
        <f>"201504000071"</f>
        <v>201504000071</v>
      </c>
      <c r="H1850" t="s">
        <v>563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15</v>
      </c>
      <c r="W1850">
        <v>105</v>
      </c>
      <c r="Z1850">
        <v>0</v>
      </c>
      <c r="AA1850" t="s">
        <v>3142</v>
      </c>
    </row>
    <row r="1851" spans="1:27" x14ac:dyDescent="0.25">
      <c r="H1851">
        <v>215</v>
      </c>
    </row>
    <row r="1852" spans="1:27" x14ac:dyDescent="0.25">
      <c r="A1852">
        <v>923</v>
      </c>
      <c r="B1852">
        <v>71</v>
      </c>
      <c r="C1852" t="s">
        <v>3143</v>
      </c>
      <c r="D1852" t="s">
        <v>168</v>
      </c>
      <c r="E1852" t="s">
        <v>304</v>
      </c>
      <c r="F1852" t="s">
        <v>3144</v>
      </c>
      <c r="G1852" t="str">
        <f>"00013344"</f>
        <v>00013344</v>
      </c>
      <c r="H1852" t="s">
        <v>786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Z1852">
        <v>0</v>
      </c>
      <c r="AA1852" t="s">
        <v>3145</v>
      </c>
    </row>
    <row r="1853" spans="1:27" x14ac:dyDescent="0.25">
      <c r="H1853">
        <v>215</v>
      </c>
    </row>
    <row r="1854" spans="1:27" x14ac:dyDescent="0.25">
      <c r="A1854">
        <v>924</v>
      </c>
      <c r="B1854">
        <v>692</v>
      </c>
      <c r="C1854" t="s">
        <v>3146</v>
      </c>
      <c r="D1854" t="s">
        <v>267</v>
      </c>
      <c r="E1854" t="s">
        <v>34</v>
      </c>
      <c r="F1854" t="s">
        <v>3147</v>
      </c>
      <c r="G1854" t="str">
        <f>"00010931"</f>
        <v>00010931</v>
      </c>
      <c r="H1854" t="s">
        <v>315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34</v>
      </c>
      <c r="W1854">
        <v>238</v>
      </c>
      <c r="Z1854">
        <v>0</v>
      </c>
      <c r="AA1854" t="s">
        <v>3148</v>
      </c>
    </row>
    <row r="1855" spans="1:27" x14ac:dyDescent="0.25">
      <c r="H1855" t="s">
        <v>223</v>
      </c>
    </row>
    <row r="1856" spans="1:27" x14ac:dyDescent="0.25">
      <c r="A1856">
        <v>925</v>
      </c>
      <c r="B1856">
        <v>3032</v>
      </c>
      <c r="C1856" t="s">
        <v>3149</v>
      </c>
      <c r="D1856" t="s">
        <v>3150</v>
      </c>
      <c r="E1856" t="s">
        <v>14</v>
      </c>
      <c r="F1856" t="s">
        <v>3151</v>
      </c>
      <c r="G1856" t="str">
        <f>"00013852"</f>
        <v>00013852</v>
      </c>
      <c r="H1856" t="s">
        <v>2449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30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24</v>
      </c>
      <c r="W1856">
        <v>168</v>
      </c>
      <c r="Z1856">
        <v>0</v>
      </c>
      <c r="AA1856" t="s">
        <v>3152</v>
      </c>
    </row>
    <row r="1857" spans="1:27" x14ac:dyDescent="0.25">
      <c r="H1857">
        <v>216</v>
      </c>
    </row>
    <row r="1858" spans="1:27" x14ac:dyDescent="0.25">
      <c r="A1858">
        <v>926</v>
      </c>
      <c r="B1858">
        <v>3140</v>
      </c>
      <c r="C1858" t="s">
        <v>3153</v>
      </c>
      <c r="D1858" t="s">
        <v>80</v>
      </c>
      <c r="E1858" t="s">
        <v>3154</v>
      </c>
      <c r="F1858" t="s">
        <v>3155</v>
      </c>
      <c r="G1858" t="str">
        <f>"00014744"</f>
        <v>00014744</v>
      </c>
      <c r="H1858" t="s">
        <v>1391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70</v>
      </c>
      <c r="O1858">
        <v>0</v>
      </c>
      <c r="P1858">
        <v>30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19</v>
      </c>
      <c r="W1858">
        <v>133</v>
      </c>
      <c r="Z1858">
        <v>0</v>
      </c>
      <c r="AA1858" t="s">
        <v>3156</v>
      </c>
    </row>
    <row r="1859" spans="1:27" x14ac:dyDescent="0.25">
      <c r="H1859" t="s">
        <v>248</v>
      </c>
    </row>
    <row r="1860" spans="1:27" x14ac:dyDescent="0.25">
      <c r="A1860">
        <v>927</v>
      </c>
      <c r="B1860">
        <v>2371</v>
      </c>
      <c r="C1860" t="s">
        <v>3157</v>
      </c>
      <c r="D1860" t="s">
        <v>194</v>
      </c>
      <c r="E1860" t="s">
        <v>1382</v>
      </c>
      <c r="F1860" t="s">
        <v>3158</v>
      </c>
      <c r="G1860" t="str">
        <f>"00014947"</f>
        <v>00014947</v>
      </c>
      <c r="H1860" t="s">
        <v>463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16</v>
      </c>
      <c r="W1860">
        <v>112</v>
      </c>
      <c r="Z1860">
        <v>0</v>
      </c>
      <c r="AA1860" t="s">
        <v>3159</v>
      </c>
    </row>
    <row r="1861" spans="1:27" x14ac:dyDescent="0.25">
      <c r="H1861">
        <v>216</v>
      </c>
    </row>
    <row r="1862" spans="1:27" x14ac:dyDescent="0.25">
      <c r="A1862">
        <v>928</v>
      </c>
      <c r="B1862">
        <v>3088</v>
      </c>
      <c r="C1862" t="s">
        <v>3160</v>
      </c>
      <c r="D1862" t="s">
        <v>533</v>
      </c>
      <c r="E1862" t="s">
        <v>108</v>
      </c>
      <c r="F1862" t="s">
        <v>3161</v>
      </c>
      <c r="G1862" t="str">
        <f>"00014282"</f>
        <v>00014282</v>
      </c>
      <c r="H1862" t="s">
        <v>2081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70</v>
      </c>
      <c r="O1862">
        <v>0</v>
      </c>
      <c r="P1862">
        <v>0</v>
      </c>
      <c r="Q1862">
        <v>0</v>
      </c>
      <c r="R1862">
        <v>30</v>
      </c>
      <c r="S1862">
        <v>0</v>
      </c>
      <c r="T1862">
        <v>0</v>
      </c>
      <c r="U1862">
        <v>0</v>
      </c>
      <c r="V1862">
        <v>0</v>
      </c>
      <c r="W1862">
        <v>0</v>
      </c>
      <c r="Z1862">
        <v>0</v>
      </c>
      <c r="AA1862" t="s">
        <v>3162</v>
      </c>
    </row>
    <row r="1863" spans="1:27" x14ac:dyDescent="0.25">
      <c r="H1863" t="s">
        <v>280</v>
      </c>
    </row>
    <row r="1864" spans="1:27" x14ac:dyDescent="0.25">
      <c r="A1864">
        <v>929</v>
      </c>
      <c r="B1864">
        <v>557</v>
      </c>
      <c r="C1864" t="s">
        <v>3163</v>
      </c>
      <c r="D1864" t="s">
        <v>335</v>
      </c>
      <c r="E1864" t="s">
        <v>65</v>
      </c>
      <c r="F1864" t="s">
        <v>3164</v>
      </c>
      <c r="G1864" t="str">
        <f>"201010000138"</f>
        <v>201010000138</v>
      </c>
      <c r="H1864" t="s">
        <v>1004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32</v>
      </c>
      <c r="W1864">
        <v>224</v>
      </c>
      <c r="Z1864">
        <v>0</v>
      </c>
      <c r="AA1864" t="s">
        <v>3165</v>
      </c>
    </row>
    <row r="1865" spans="1:27" x14ac:dyDescent="0.25">
      <c r="H1865">
        <v>215</v>
      </c>
    </row>
    <row r="1866" spans="1:27" x14ac:dyDescent="0.25">
      <c r="A1866">
        <v>930</v>
      </c>
      <c r="B1866">
        <v>570</v>
      </c>
      <c r="C1866" t="s">
        <v>3166</v>
      </c>
      <c r="D1866" t="s">
        <v>148</v>
      </c>
      <c r="E1866" t="s">
        <v>52</v>
      </c>
      <c r="F1866" t="s">
        <v>3167</v>
      </c>
      <c r="G1866" t="str">
        <f>"201405001627"</f>
        <v>201405001627</v>
      </c>
      <c r="H1866" t="s">
        <v>1367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70</v>
      </c>
      <c r="O1866">
        <v>0</v>
      </c>
      <c r="P1866">
        <v>0</v>
      </c>
      <c r="Q1866">
        <v>0</v>
      </c>
      <c r="R1866">
        <v>30</v>
      </c>
      <c r="S1866">
        <v>0</v>
      </c>
      <c r="T1866">
        <v>0</v>
      </c>
      <c r="U1866">
        <v>0</v>
      </c>
      <c r="V1866">
        <v>5</v>
      </c>
      <c r="W1866">
        <v>35</v>
      </c>
      <c r="Z1866">
        <v>0</v>
      </c>
      <c r="AA1866" t="s">
        <v>3168</v>
      </c>
    </row>
    <row r="1867" spans="1:27" x14ac:dyDescent="0.25">
      <c r="H1867" t="s">
        <v>298</v>
      </c>
    </row>
    <row r="1868" spans="1:27" x14ac:dyDescent="0.25">
      <c r="A1868">
        <v>931</v>
      </c>
      <c r="B1868">
        <v>32</v>
      </c>
      <c r="C1868" t="s">
        <v>3169</v>
      </c>
      <c r="D1868" t="s">
        <v>3170</v>
      </c>
      <c r="E1868" t="s">
        <v>108</v>
      </c>
      <c r="F1868" t="s">
        <v>3171</v>
      </c>
      <c r="G1868" t="str">
        <f>"00014086"</f>
        <v>00014086</v>
      </c>
      <c r="H1868">
        <v>902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70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Z1868">
        <v>0</v>
      </c>
      <c r="AA1868">
        <v>972</v>
      </c>
    </row>
    <row r="1869" spans="1:27" x14ac:dyDescent="0.25">
      <c r="H1869">
        <v>216</v>
      </c>
    </row>
    <row r="1870" spans="1:27" x14ac:dyDescent="0.25">
      <c r="A1870">
        <v>932</v>
      </c>
      <c r="B1870">
        <v>1307</v>
      </c>
      <c r="C1870" t="s">
        <v>3172</v>
      </c>
      <c r="D1870" t="s">
        <v>3173</v>
      </c>
      <c r="E1870" t="s">
        <v>158</v>
      </c>
      <c r="F1870" t="s">
        <v>3174</v>
      </c>
      <c r="G1870" t="str">
        <f>"00014782"</f>
        <v>00014782</v>
      </c>
      <c r="H1870" t="s">
        <v>87</v>
      </c>
      <c r="I1870">
        <v>0</v>
      </c>
      <c r="J1870">
        <v>0</v>
      </c>
      <c r="K1870">
        <v>0</v>
      </c>
      <c r="L1870">
        <v>200</v>
      </c>
      <c r="M1870">
        <v>0</v>
      </c>
      <c r="N1870">
        <v>70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Z1870">
        <v>2</v>
      </c>
      <c r="AA1870" t="s">
        <v>3175</v>
      </c>
    </row>
    <row r="1871" spans="1:27" x14ac:dyDescent="0.25">
      <c r="H1871">
        <v>214</v>
      </c>
    </row>
    <row r="1872" spans="1:27" x14ac:dyDescent="0.25">
      <c r="A1872">
        <v>933</v>
      </c>
      <c r="B1872">
        <v>2477</v>
      </c>
      <c r="C1872" t="s">
        <v>3176</v>
      </c>
      <c r="D1872" t="s">
        <v>289</v>
      </c>
      <c r="E1872" t="s">
        <v>235</v>
      </c>
      <c r="F1872" t="s">
        <v>3177</v>
      </c>
      <c r="G1872" t="str">
        <f>"201506000971"</f>
        <v>201506000971</v>
      </c>
      <c r="H1872">
        <v>715</v>
      </c>
      <c r="I1872">
        <v>0</v>
      </c>
      <c r="J1872">
        <v>0</v>
      </c>
      <c r="K1872">
        <v>0</v>
      </c>
      <c r="L1872">
        <v>200</v>
      </c>
      <c r="M1872">
        <v>0</v>
      </c>
      <c r="N1872">
        <v>50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Z1872">
        <v>1</v>
      </c>
      <c r="AA1872">
        <v>965</v>
      </c>
    </row>
    <row r="1873" spans="1:27" x14ac:dyDescent="0.25">
      <c r="H1873">
        <v>213</v>
      </c>
    </row>
    <row r="1874" spans="1:27" x14ac:dyDescent="0.25">
      <c r="A1874">
        <v>934</v>
      </c>
      <c r="B1874">
        <v>1313</v>
      </c>
      <c r="C1874" t="s">
        <v>3178</v>
      </c>
      <c r="D1874" t="s">
        <v>151</v>
      </c>
      <c r="E1874" t="s">
        <v>41</v>
      </c>
      <c r="F1874" t="s">
        <v>3179</v>
      </c>
      <c r="G1874" t="str">
        <f>"201304004672"</f>
        <v>201304004672</v>
      </c>
      <c r="H1874" t="s">
        <v>1037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30</v>
      </c>
      <c r="W1874">
        <v>210</v>
      </c>
      <c r="Z1874">
        <v>0</v>
      </c>
      <c r="AA1874" t="s">
        <v>3180</v>
      </c>
    </row>
    <row r="1875" spans="1:27" x14ac:dyDescent="0.25">
      <c r="H1875" t="s">
        <v>1103</v>
      </c>
    </row>
    <row r="1876" spans="1:27" x14ac:dyDescent="0.25">
      <c r="A1876">
        <v>935</v>
      </c>
      <c r="B1876">
        <v>811</v>
      </c>
      <c r="C1876" t="s">
        <v>3181</v>
      </c>
      <c r="D1876" t="s">
        <v>3182</v>
      </c>
      <c r="E1876" t="s">
        <v>284</v>
      </c>
      <c r="F1876" t="s">
        <v>3183</v>
      </c>
      <c r="G1876" t="str">
        <f>"201512003736"</f>
        <v>201512003736</v>
      </c>
      <c r="H1876" t="s">
        <v>3068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0</v>
      </c>
      <c r="Q1876">
        <v>70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Z1876">
        <v>0</v>
      </c>
      <c r="AA1876" t="s">
        <v>3184</v>
      </c>
    </row>
    <row r="1877" spans="1:27" x14ac:dyDescent="0.25">
      <c r="H1877" t="s">
        <v>25</v>
      </c>
    </row>
    <row r="1878" spans="1:27" x14ac:dyDescent="0.25">
      <c r="A1878">
        <v>936</v>
      </c>
      <c r="B1878">
        <v>3252</v>
      </c>
      <c r="C1878" t="s">
        <v>3185</v>
      </c>
      <c r="D1878" t="s">
        <v>200</v>
      </c>
      <c r="E1878" t="s">
        <v>225</v>
      </c>
      <c r="F1878" t="s">
        <v>3186</v>
      </c>
      <c r="G1878" t="str">
        <f>"201402008360"</f>
        <v>201402008360</v>
      </c>
      <c r="H1878" t="s">
        <v>1410</v>
      </c>
      <c r="I1878">
        <v>0</v>
      </c>
      <c r="J1878">
        <v>0</v>
      </c>
      <c r="K1878">
        <v>0</v>
      </c>
      <c r="L1878">
        <v>0</v>
      </c>
      <c r="M1878">
        <v>100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13</v>
      </c>
      <c r="W1878">
        <v>91</v>
      </c>
      <c r="Z1878">
        <v>0</v>
      </c>
      <c r="AA1878" t="s">
        <v>3187</v>
      </c>
    </row>
    <row r="1879" spans="1:27" x14ac:dyDescent="0.25">
      <c r="H1879" t="s">
        <v>659</v>
      </c>
    </row>
    <row r="1880" spans="1:27" x14ac:dyDescent="0.25">
      <c r="A1880">
        <v>937</v>
      </c>
      <c r="B1880">
        <v>2666</v>
      </c>
      <c r="C1880" t="s">
        <v>3188</v>
      </c>
      <c r="D1880" t="s">
        <v>85</v>
      </c>
      <c r="E1880" t="s">
        <v>3189</v>
      </c>
      <c r="F1880" t="s">
        <v>3190</v>
      </c>
      <c r="G1880" t="str">
        <f>"201406018726"</f>
        <v>201406018726</v>
      </c>
      <c r="H1880" t="s">
        <v>3191</v>
      </c>
      <c r="I1880">
        <v>0</v>
      </c>
      <c r="J1880">
        <v>0</v>
      </c>
      <c r="K1880">
        <v>0</v>
      </c>
      <c r="L1880">
        <v>200</v>
      </c>
      <c r="M1880">
        <v>0</v>
      </c>
      <c r="N1880">
        <v>70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5</v>
      </c>
      <c r="W1880">
        <v>35</v>
      </c>
      <c r="Z1880">
        <v>0</v>
      </c>
      <c r="AA1880" t="s">
        <v>3187</v>
      </c>
    </row>
    <row r="1881" spans="1:27" x14ac:dyDescent="0.25">
      <c r="H1881" t="s">
        <v>377</v>
      </c>
    </row>
    <row r="1882" spans="1:27" x14ac:dyDescent="0.25">
      <c r="A1882">
        <v>938</v>
      </c>
      <c r="B1882">
        <v>2581</v>
      </c>
      <c r="C1882" t="s">
        <v>3192</v>
      </c>
      <c r="D1882" t="s">
        <v>3193</v>
      </c>
      <c r="E1882" t="s">
        <v>3194</v>
      </c>
      <c r="F1882" t="s">
        <v>3195</v>
      </c>
      <c r="G1882" t="str">
        <f>"00012908"</f>
        <v>00012908</v>
      </c>
      <c r="H1882" t="s">
        <v>240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Z1882">
        <v>0</v>
      </c>
      <c r="AA1882" t="s">
        <v>3196</v>
      </c>
    </row>
    <row r="1883" spans="1:27" x14ac:dyDescent="0.25">
      <c r="H1883">
        <v>216</v>
      </c>
    </row>
    <row r="1884" spans="1:27" x14ac:dyDescent="0.25">
      <c r="A1884">
        <v>939</v>
      </c>
      <c r="B1884">
        <v>408</v>
      </c>
      <c r="C1884" t="s">
        <v>3197</v>
      </c>
      <c r="D1884" t="s">
        <v>3198</v>
      </c>
      <c r="E1884" t="s">
        <v>128</v>
      </c>
      <c r="F1884" t="s">
        <v>3199</v>
      </c>
      <c r="G1884" t="str">
        <f>"00015137"</f>
        <v>00015137</v>
      </c>
      <c r="H1884" t="s">
        <v>609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25</v>
      </c>
      <c r="W1884">
        <v>175</v>
      </c>
      <c r="Z1884">
        <v>0</v>
      </c>
      <c r="AA1884" t="s">
        <v>3200</v>
      </c>
    </row>
    <row r="1885" spans="1:27" x14ac:dyDescent="0.25">
      <c r="H1885" t="s">
        <v>25</v>
      </c>
    </row>
    <row r="1886" spans="1:27" x14ac:dyDescent="0.25">
      <c r="A1886">
        <v>940</v>
      </c>
      <c r="B1886">
        <v>218</v>
      </c>
      <c r="C1886" t="s">
        <v>3201</v>
      </c>
      <c r="D1886" t="s">
        <v>65</v>
      </c>
      <c r="E1886" t="s">
        <v>14</v>
      </c>
      <c r="F1886" t="s">
        <v>3202</v>
      </c>
      <c r="G1886" t="str">
        <f>"201504001264"</f>
        <v>201504001264</v>
      </c>
      <c r="H1886" t="s">
        <v>1938</v>
      </c>
      <c r="I1886">
        <v>150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Z1886">
        <v>0</v>
      </c>
      <c r="AA1886" t="s">
        <v>3203</v>
      </c>
    </row>
    <row r="1887" spans="1:27" x14ac:dyDescent="0.25">
      <c r="H1887">
        <v>216</v>
      </c>
    </row>
    <row r="1888" spans="1:27" x14ac:dyDescent="0.25">
      <c r="A1888">
        <v>941</v>
      </c>
      <c r="B1888">
        <v>675</v>
      </c>
      <c r="C1888" t="s">
        <v>3204</v>
      </c>
      <c r="D1888" t="s">
        <v>490</v>
      </c>
      <c r="E1888" t="s">
        <v>64</v>
      </c>
      <c r="F1888" t="s">
        <v>3205</v>
      </c>
      <c r="G1888" t="str">
        <f>"00014925"</f>
        <v>00014925</v>
      </c>
      <c r="H1888" t="s">
        <v>1996</v>
      </c>
      <c r="I1888">
        <v>0</v>
      </c>
      <c r="J1888">
        <v>0</v>
      </c>
      <c r="K1888">
        <v>0</v>
      </c>
      <c r="L1888">
        <v>200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0</v>
      </c>
      <c r="Z1888">
        <v>0</v>
      </c>
      <c r="AA1888" t="s">
        <v>3206</v>
      </c>
    </row>
    <row r="1889" spans="1:27" x14ac:dyDescent="0.25">
      <c r="H1889">
        <v>216</v>
      </c>
    </row>
    <row r="1890" spans="1:27" x14ac:dyDescent="0.25">
      <c r="A1890">
        <v>942</v>
      </c>
      <c r="B1890">
        <v>1611</v>
      </c>
      <c r="C1890" t="s">
        <v>2677</v>
      </c>
      <c r="D1890" t="s">
        <v>276</v>
      </c>
      <c r="E1890" t="s">
        <v>85</v>
      </c>
      <c r="F1890" t="s">
        <v>3207</v>
      </c>
      <c r="G1890" t="str">
        <f>"201304002525"</f>
        <v>201304002525</v>
      </c>
      <c r="H1890" t="s">
        <v>558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30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25</v>
      </c>
      <c r="W1890">
        <v>175</v>
      </c>
      <c r="Z1890">
        <v>0</v>
      </c>
      <c r="AA1890" t="s">
        <v>3208</v>
      </c>
    </row>
    <row r="1891" spans="1:27" x14ac:dyDescent="0.25">
      <c r="H1891" t="s">
        <v>1044</v>
      </c>
    </row>
    <row r="1892" spans="1:27" x14ac:dyDescent="0.25">
      <c r="A1892">
        <v>943</v>
      </c>
      <c r="B1892">
        <v>3113</v>
      </c>
      <c r="C1892" t="s">
        <v>426</v>
      </c>
      <c r="D1892" t="s">
        <v>168</v>
      </c>
      <c r="E1892" t="s">
        <v>158</v>
      </c>
      <c r="F1892" t="s">
        <v>3209</v>
      </c>
      <c r="G1892" t="str">
        <f>"201504003087"</f>
        <v>201504003087</v>
      </c>
      <c r="H1892" t="s">
        <v>1211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25</v>
      </c>
      <c r="W1892">
        <v>175</v>
      </c>
      <c r="Z1892">
        <v>0</v>
      </c>
      <c r="AA1892" t="s">
        <v>3210</v>
      </c>
    </row>
    <row r="1893" spans="1:27" x14ac:dyDescent="0.25">
      <c r="H1893" t="s">
        <v>659</v>
      </c>
    </row>
    <row r="1894" spans="1:27" x14ac:dyDescent="0.25">
      <c r="A1894">
        <v>944</v>
      </c>
      <c r="B1894">
        <v>1248</v>
      </c>
      <c r="C1894" t="s">
        <v>3211</v>
      </c>
      <c r="D1894" t="s">
        <v>250</v>
      </c>
      <c r="E1894" t="s">
        <v>27</v>
      </c>
      <c r="F1894" t="s">
        <v>3212</v>
      </c>
      <c r="G1894" t="str">
        <f>"201607141287"</f>
        <v>201607141287</v>
      </c>
      <c r="H1894" t="s">
        <v>3213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48</v>
      </c>
      <c r="W1894">
        <v>336</v>
      </c>
      <c r="Z1894">
        <v>0</v>
      </c>
      <c r="AA1894" t="s">
        <v>3214</v>
      </c>
    </row>
    <row r="1895" spans="1:27" x14ac:dyDescent="0.25">
      <c r="H1895">
        <v>215</v>
      </c>
    </row>
    <row r="1896" spans="1:27" x14ac:dyDescent="0.25">
      <c r="A1896">
        <v>945</v>
      </c>
      <c r="B1896">
        <v>1048</v>
      </c>
      <c r="C1896" t="s">
        <v>3215</v>
      </c>
      <c r="D1896" t="s">
        <v>230</v>
      </c>
      <c r="E1896" t="s">
        <v>225</v>
      </c>
      <c r="F1896" t="s">
        <v>3216</v>
      </c>
      <c r="G1896" t="str">
        <f>"201410008043"</f>
        <v>201410008043</v>
      </c>
      <c r="H1896">
        <v>803</v>
      </c>
      <c r="I1896">
        <v>0</v>
      </c>
      <c r="J1896">
        <v>0</v>
      </c>
      <c r="K1896">
        <v>0</v>
      </c>
      <c r="L1896">
        <v>0</v>
      </c>
      <c r="M1896">
        <v>100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Z1896">
        <v>0</v>
      </c>
      <c r="AA1896">
        <v>953</v>
      </c>
    </row>
    <row r="1897" spans="1:27" x14ac:dyDescent="0.25">
      <c r="H1897">
        <v>215</v>
      </c>
    </row>
    <row r="1898" spans="1:27" x14ac:dyDescent="0.25">
      <c r="A1898">
        <v>946</v>
      </c>
      <c r="B1898">
        <v>130</v>
      </c>
      <c r="C1898" t="s">
        <v>426</v>
      </c>
      <c r="D1898" t="s">
        <v>151</v>
      </c>
      <c r="E1898" t="s">
        <v>3217</v>
      </c>
      <c r="F1898" t="s">
        <v>3218</v>
      </c>
      <c r="G1898" t="str">
        <f>"201406015883"</f>
        <v>201406015883</v>
      </c>
      <c r="H1898">
        <v>682</v>
      </c>
      <c r="I1898">
        <v>0</v>
      </c>
      <c r="J1898">
        <v>0</v>
      </c>
      <c r="K1898">
        <v>0</v>
      </c>
      <c r="L1898">
        <v>200</v>
      </c>
      <c r="M1898">
        <v>0</v>
      </c>
      <c r="N1898">
        <v>70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Z1898">
        <v>1</v>
      </c>
      <c r="AA1898">
        <v>952</v>
      </c>
    </row>
    <row r="1899" spans="1:27" x14ac:dyDescent="0.25">
      <c r="H1899" t="s">
        <v>223</v>
      </c>
    </row>
    <row r="1900" spans="1:27" x14ac:dyDescent="0.25">
      <c r="A1900">
        <v>947</v>
      </c>
      <c r="B1900">
        <v>604</v>
      </c>
      <c r="C1900" t="s">
        <v>426</v>
      </c>
      <c r="D1900" t="s">
        <v>1575</v>
      </c>
      <c r="E1900" t="s">
        <v>158</v>
      </c>
      <c r="F1900" t="s">
        <v>3219</v>
      </c>
      <c r="G1900" t="str">
        <f>"200801001299"</f>
        <v>200801001299</v>
      </c>
      <c r="H1900" t="s">
        <v>811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70</v>
      </c>
      <c r="O1900">
        <v>30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11</v>
      </c>
      <c r="W1900">
        <v>77</v>
      </c>
      <c r="Z1900">
        <v>0</v>
      </c>
      <c r="AA1900" t="s">
        <v>3220</v>
      </c>
    </row>
    <row r="1901" spans="1:27" x14ac:dyDescent="0.25">
      <c r="H1901">
        <v>215</v>
      </c>
    </row>
    <row r="1902" spans="1:27" x14ac:dyDescent="0.25">
      <c r="A1902">
        <v>948</v>
      </c>
      <c r="B1902">
        <v>1912</v>
      </c>
      <c r="C1902" t="s">
        <v>3221</v>
      </c>
      <c r="D1902" t="s">
        <v>41</v>
      </c>
      <c r="E1902" t="s">
        <v>499</v>
      </c>
      <c r="F1902" t="s">
        <v>3222</v>
      </c>
      <c r="G1902" t="str">
        <f>"00013654"</f>
        <v>00013654</v>
      </c>
      <c r="H1902" t="s">
        <v>662</v>
      </c>
      <c r="I1902">
        <v>0</v>
      </c>
      <c r="J1902">
        <v>0</v>
      </c>
      <c r="K1902">
        <v>0</v>
      </c>
      <c r="L1902">
        <v>200</v>
      </c>
      <c r="M1902">
        <v>0</v>
      </c>
      <c r="N1902">
        <v>50</v>
      </c>
      <c r="O1902">
        <v>0</v>
      </c>
      <c r="P1902">
        <v>50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Z1902">
        <v>0</v>
      </c>
      <c r="AA1902" t="s">
        <v>3223</v>
      </c>
    </row>
    <row r="1903" spans="1:27" x14ac:dyDescent="0.25">
      <c r="H1903">
        <v>214</v>
      </c>
    </row>
    <row r="1904" spans="1:27" x14ac:dyDescent="0.25">
      <c r="A1904">
        <v>949</v>
      </c>
      <c r="B1904">
        <v>1419</v>
      </c>
      <c r="C1904" t="s">
        <v>3224</v>
      </c>
      <c r="D1904" t="s">
        <v>235</v>
      </c>
      <c r="E1904" t="s">
        <v>41</v>
      </c>
      <c r="F1904" t="s">
        <v>3225</v>
      </c>
      <c r="G1904" t="str">
        <f>"00015296"</f>
        <v>00015296</v>
      </c>
      <c r="H1904" t="s">
        <v>131</v>
      </c>
      <c r="I1904">
        <v>0</v>
      </c>
      <c r="J1904">
        <v>0</v>
      </c>
      <c r="K1904">
        <v>0</v>
      </c>
      <c r="L1904">
        <v>200</v>
      </c>
      <c r="M1904">
        <v>0</v>
      </c>
      <c r="N1904">
        <v>50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3</v>
      </c>
      <c r="W1904">
        <v>21</v>
      </c>
      <c r="Z1904">
        <v>0</v>
      </c>
      <c r="AA1904" t="s">
        <v>3226</v>
      </c>
    </row>
    <row r="1905" spans="1:27" x14ac:dyDescent="0.25">
      <c r="H1905" t="s">
        <v>357</v>
      </c>
    </row>
    <row r="1906" spans="1:27" x14ac:dyDescent="0.25">
      <c r="A1906">
        <v>950</v>
      </c>
      <c r="B1906">
        <v>615</v>
      </c>
      <c r="C1906" t="s">
        <v>3227</v>
      </c>
      <c r="D1906" t="s">
        <v>64</v>
      </c>
      <c r="E1906" t="s">
        <v>85</v>
      </c>
      <c r="F1906" t="s">
        <v>3228</v>
      </c>
      <c r="G1906" t="str">
        <f>"00010465"</f>
        <v>00010465</v>
      </c>
      <c r="H1906" t="s">
        <v>82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50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32</v>
      </c>
      <c r="W1906">
        <v>224</v>
      </c>
      <c r="Z1906">
        <v>0</v>
      </c>
      <c r="AA1906" t="s">
        <v>3229</v>
      </c>
    </row>
    <row r="1907" spans="1:27" x14ac:dyDescent="0.25">
      <c r="H1907">
        <v>215</v>
      </c>
    </row>
    <row r="1908" spans="1:27" x14ac:dyDescent="0.25">
      <c r="A1908">
        <v>951</v>
      </c>
      <c r="B1908">
        <v>3345</v>
      </c>
      <c r="C1908" t="s">
        <v>3230</v>
      </c>
      <c r="D1908" t="s">
        <v>3231</v>
      </c>
      <c r="E1908" t="s">
        <v>225</v>
      </c>
      <c r="F1908" t="s">
        <v>3232</v>
      </c>
      <c r="G1908" t="str">
        <f>"201502000516"</f>
        <v>201502000516</v>
      </c>
      <c r="H1908" t="s">
        <v>510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Z1908">
        <v>1</v>
      </c>
      <c r="AA1908" t="s">
        <v>3233</v>
      </c>
    </row>
    <row r="1909" spans="1:27" x14ac:dyDescent="0.25">
      <c r="H1909" t="s">
        <v>3234</v>
      </c>
    </row>
    <row r="1910" spans="1:27" x14ac:dyDescent="0.25">
      <c r="A1910">
        <v>952</v>
      </c>
      <c r="B1910">
        <v>3069</v>
      </c>
      <c r="C1910" t="s">
        <v>3235</v>
      </c>
      <c r="D1910" t="s">
        <v>3236</v>
      </c>
      <c r="E1910" t="s">
        <v>108</v>
      </c>
      <c r="F1910" t="s">
        <v>3237</v>
      </c>
      <c r="G1910" t="str">
        <f>"201410011969"</f>
        <v>201410011969</v>
      </c>
      <c r="H1910" t="s">
        <v>1488</v>
      </c>
      <c r="I1910">
        <v>0</v>
      </c>
      <c r="J1910">
        <v>0</v>
      </c>
      <c r="K1910">
        <v>0</v>
      </c>
      <c r="L1910">
        <v>200</v>
      </c>
      <c r="M1910">
        <v>0</v>
      </c>
      <c r="N1910">
        <v>70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Z1910">
        <v>0</v>
      </c>
      <c r="AA1910" t="s">
        <v>3238</v>
      </c>
    </row>
    <row r="1911" spans="1:27" x14ac:dyDescent="0.25">
      <c r="H1911" t="s">
        <v>31</v>
      </c>
    </row>
    <row r="1912" spans="1:27" x14ac:dyDescent="0.25">
      <c r="A1912">
        <v>953</v>
      </c>
      <c r="B1912">
        <v>2288</v>
      </c>
      <c r="C1912" t="s">
        <v>3239</v>
      </c>
      <c r="D1912" t="s">
        <v>158</v>
      </c>
      <c r="E1912" t="s">
        <v>284</v>
      </c>
      <c r="F1912" t="s">
        <v>3240</v>
      </c>
      <c r="G1912" t="str">
        <f>"201410001499"</f>
        <v>201410001499</v>
      </c>
      <c r="H1912" t="s">
        <v>82</v>
      </c>
      <c r="I1912">
        <v>0</v>
      </c>
      <c r="J1912">
        <v>0</v>
      </c>
      <c r="K1912">
        <v>0</v>
      </c>
      <c r="L1912">
        <v>200</v>
      </c>
      <c r="M1912">
        <v>0</v>
      </c>
      <c r="N1912">
        <v>70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0</v>
      </c>
      <c r="Z1912">
        <v>0</v>
      </c>
      <c r="AA1912" t="s">
        <v>3241</v>
      </c>
    </row>
    <row r="1913" spans="1:27" x14ac:dyDescent="0.25">
      <c r="H1913" t="s">
        <v>31</v>
      </c>
    </row>
    <row r="1914" spans="1:27" x14ac:dyDescent="0.25">
      <c r="A1914">
        <v>954</v>
      </c>
      <c r="B1914">
        <v>3250</v>
      </c>
      <c r="C1914" t="s">
        <v>3242</v>
      </c>
      <c r="D1914" t="s">
        <v>2912</v>
      </c>
      <c r="E1914" t="s">
        <v>1155</v>
      </c>
      <c r="F1914" t="s">
        <v>3243</v>
      </c>
      <c r="G1914" t="str">
        <f>"201410011981"</f>
        <v>201410011981</v>
      </c>
      <c r="H1914" t="s">
        <v>3244</v>
      </c>
      <c r="I1914">
        <v>0</v>
      </c>
      <c r="J1914">
        <v>0</v>
      </c>
      <c r="K1914">
        <v>0</v>
      </c>
      <c r="L1914">
        <v>200</v>
      </c>
      <c r="M1914">
        <v>0</v>
      </c>
      <c r="N1914">
        <v>70</v>
      </c>
      <c r="O1914">
        <v>0</v>
      </c>
      <c r="P1914">
        <v>30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Z1914">
        <v>1</v>
      </c>
      <c r="AA1914" t="s">
        <v>3245</v>
      </c>
    </row>
    <row r="1915" spans="1:27" x14ac:dyDescent="0.25">
      <c r="H1915" t="s">
        <v>31</v>
      </c>
    </row>
    <row r="1916" spans="1:27" x14ac:dyDescent="0.25">
      <c r="A1916">
        <v>955</v>
      </c>
      <c r="B1916">
        <v>3239</v>
      </c>
      <c r="C1916" t="s">
        <v>3246</v>
      </c>
      <c r="D1916" t="s">
        <v>123</v>
      </c>
      <c r="E1916" t="s">
        <v>64</v>
      </c>
      <c r="F1916" t="s">
        <v>3247</v>
      </c>
      <c r="G1916" t="str">
        <f>"201406018666"</f>
        <v>201406018666</v>
      </c>
      <c r="H1916" t="s">
        <v>3248</v>
      </c>
      <c r="I1916">
        <v>0</v>
      </c>
      <c r="J1916">
        <v>0</v>
      </c>
      <c r="K1916">
        <v>0</v>
      </c>
      <c r="L1916">
        <v>200</v>
      </c>
      <c r="M1916">
        <v>0</v>
      </c>
      <c r="N1916">
        <v>70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6</v>
      </c>
      <c r="W1916">
        <v>42</v>
      </c>
      <c r="Z1916">
        <v>0</v>
      </c>
      <c r="AA1916" t="s">
        <v>3249</v>
      </c>
    </row>
    <row r="1917" spans="1:27" x14ac:dyDescent="0.25">
      <c r="H1917" t="s">
        <v>223</v>
      </c>
    </row>
    <row r="1918" spans="1:27" x14ac:dyDescent="0.25">
      <c r="A1918">
        <v>956</v>
      </c>
      <c r="B1918">
        <v>625</v>
      </c>
      <c r="C1918" t="s">
        <v>3250</v>
      </c>
      <c r="D1918" t="s">
        <v>284</v>
      </c>
      <c r="E1918" t="s">
        <v>3251</v>
      </c>
      <c r="F1918" t="s">
        <v>3252</v>
      </c>
      <c r="G1918" t="str">
        <f>"201406000739"</f>
        <v>201406000739</v>
      </c>
      <c r="H1918" t="s">
        <v>1585</v>
      </c>
      <c r="I1918">
        <v>0</v>
      </c>
      <c r="J1918">
        <v>0</v>
      </c>
      <c r="K1918">
        <v>0</v>
      </c>
      <c r="L1918">
        <v>200</v>
      </c>
      <c r="M1918">
        <v>0</v>
      </c>
      <c r="N1918">
        <v>70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Z1918">
        <v>0</v>
      </c>
      <c r="AA1918" t="s">
        <v>3253</v>
      </c>
    </row>
    <row r="1919" spans="1:27" x14ac:dyDescent="0.25">
      <c r="H1919" t="s">
        <v>19</v>
      </c>
    </row>
    <row r="1920" spans="1:27" x14ac:dyDescent="0.25">
      <c r="A1920">
        <v>957</v>
      </c>
      <c r="B1920">
        <v>1625</v>
      </c>
      <c r="C1920" t="s">
        <v>2136</v>
      </c>
      <c r="D1920" t="s">
        <v>41</v>
      </c>
      <c r="E1920" t="s">
        <v>128</v>
      </c>
      <c r="F1920" t="s">
        <v>3254</v>
      </c>
      <c r="G1920" t="str">
        <f>"201412007329"</f>
        <v>201412007329</v>
      </c>
      <c r="H1920" t="s">
        <v>1562</v>
      </c>
      <c r="I1920">
        <v>0</v>
      </c>
      <c r="J1920">
        <v>0</v>
      </c>
      <c r="K1920">
        <v>0</v>
      </c>
      <c r="L1920">
        <v>200</v>
      </c>
      <c r="M1920">
        <v>0</v>
      </c>
      <c r="N1920">
        <v>50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Z1920">
        <v>0</v>
      </c>
      <c r="AA1920" t="s">
        <v>3255</v>
      </c>
    </row>
    <row r="1921" spans="1:27" x14ac:dyDescent="0.25">
      <c r="H1921" t="s">
        <v>729</v>
      </c>
    </row>
    <row r="1922" spans="1:27" x14ac:dyDescent="0.25">
      <c r="A1922">
        <v>958</v>
      </c>
      <c r="B1922">
        <v>1886</v>
      </c>
      <c r="C1922" t="s">
        <v>541</v>
      </c>
      <c r="D1922" t="s">
        <v>3256</v>
      </c>
      <c r="E1922" t="s">
        <v>108</v>
      </c>
      <c r="F1922" t="s">
        <v>3257</v>
      </c>
      <c r="G1922" t="str">
        <f>"201503000104"</f>
        <v>201503000104</v>
      </c>
      <c r="H1922" t="s">
        <v>897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70</v>
      </c>
      <c r="O1922">
        <v>50</v>
      </c>
      <c r="P1922">
        <v>0</v>
      </c>
      <c r="Q1922">
        <v>30</v>
      </c>
      <c r="R1922">
        <v>30</v>
      </c>
      <c r="S1922">
        <v>0</v>
      </c>
      <c r="T1922">
        <v>0</v>
      </c>
      <c r="U1922">
        <v>0</v>
      </c>
      <c r="V1922">
        <v>0</v>
      </c>
      <c r="W1922">
        <v>0</v>
      </c>
      <c r="Z1922">
        <v>2</v>
      </c>
      <c r="AA1922" t="s">
        <v>3258</v>
      </c>
    </row>
    <row r="1923" spans="1:27" x14ac:dyDescent="0.25">
      <c r="H1923" t="s">
        <v>298</v>
      </c>
    </row>
    <row r="1924" spans="1:27" x14ac:dyDescent="0.25">
      <c r="A1924">
        <v>959</v>
      </c>
      <c r="B1924">
        <v>165</v>
      </c>
      <c r="C1924" t="s">
        <v>3259</v>
      </c>
      <c r="D1924" t="s">
        <v>128</v>
      </c>
      <c r="E1924" t="s">
        <v>3260</v>
      </c>
      <c r="F1924" t="s">
        <v>3261</v>
      </c>
      <c r="G1924" t="str">
        <f>"201402007865"</f>
        <v>201402007865</v>
      </c>
      <c r="H1924" t="s">
        <v>1816</v>
      </c>
      <c r="I1924">
        <v>150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20</v>
      </c>
      <c r="W1924">
        <v>140</v>
      </c>
      <c r="Z1924">
        <v>0</v>
      </c>
      <c r="AA1924" t="s">
        <v>3262</v>
      </c>
    </row>
    <row r="1925" spans="1:27" x14ac:dyDescent="0.25">
      <c r="H1925">
        <v>213</v>
      </c>
    </row>
    <row r="1926" spans="1:27" x14ac:dyDescent="0.25">
      <c r="A1926">
        <v>960</v>
      </c>
      <c r="B1926">
        <v>1467</v>
      </c>
      <c r="C1926" t="s">
        <v>3263</v>
      </c>
      <c r="D1926" t="s">
        <v>2133</v>
      </c>
      <c r="E1926" t="s">
        <v>1486</v>
      </c>
      <c r="F1926" t="s">
        <v>3264</v>
      </c>
      <c r="G1926" t="str">
        <f>"00014788"</f>
        <v>00014788</v>
      </c>
      <c r="H1926" t="s">
        <v>1004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22</v>
      </c>
      <c r="W1926">
        <v>154</v>
      </c>
      <c r="Z1926">
        <v>0</v>
      </c>
      <c r="AA1926" t="s">
        <v>3265</v>
      </c>
    </row>
    <row r="1927" spans="1:27" x14ac:dyDescent="0.25">
      <c r="H1927">
        <v>215</v>
      </c>
    </row>
    <row r="1928" spans="1:27" x14ac:dyDescent="0.25">
      <c r="A1928">
        <v>961</v>
      </c>
      <c r="B1928">
        <v>2092</v>
      </c>
      <c r="C1928" t="s">
        <v>3266</v>
      </c>
      <c r="D1928" t="s">
        <v>3267</v>
      </c>
      <c r="E1928" t="s">
        <v>284</v>
      </c>
      <c r="F1928" t="s">
        <v>3268</v>
      </c>
      <c r="G1928" t="str">
        <f>"201506000131"</f>
        <v>201506000131</v>
      </c>
      <c r="H1928" t="s">
        <v>3269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30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Z1928">
        <v>0</v>
      </c>
      <c r="AA1928" t="s">
        <v>3270</v>
      </c>
    </row>
    <row r="1929" spans="1:27" x14ac:dyDescent="0.25">
      <c r="H1929" t="s">
        <v>760</v>
      </c>
    </row>
    <row r="1930" spans="1:27" x14ac:dyDescent="0.25">
      <c r="A1930">
        <v>962</v>
      </c>
      <c r="B1930">
        <v>2055</v>
      </c>
      <c r="C1930" t="s">
        <v>3271</v>
      </c>
      <c r="D1930" t="s">
        <v>3272</v>
      </c>
      <c r="E1930" t="s">
        <v>14</v>
      </c>
      <c r="F1930" t="s">
        <v>3273</v>
      </c>
      <c r="G1930" t="str">
        <f>"200906000426"</f>
        <v>200906000426</v>
      </c>
      <c r="H1930" t="s">
        <v>2449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30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22</v>
      </c>
      <c r="W1930">
        <v>154</v>
      </c>
      <c r="Z1930">
        <v>0</v>
      </c>
      <c r="AA1930" t="s">
        <v>3274</v>
      </c>
    </row>
    <row r="1931" spans="1:27" x14ac:dyDescent="0.25">
      <c r="H1931" t="s">
        <v>298</v>
      </c>
    </row>
    <row r="1932" spans="1:27" x14ac:dyDescent="0.25">
      <c r="A1932">
        <v>963</v>
      </c>
      <c r="B1932">
        <v>2601</v>
      </c>
      <c r="C1932" t="s">
        <v>3275</v>
      </c>
      <c r="D1932" t="s">
        <v>1138</v>
      </c>
      <c r="E1932" t="s">
        <v>3276</v>
      </c>
      <c r="F1932" t="s">
        <v>3277</v>
      </c>
      <c r="G1932" t="str">
        <f>"201402009088"</f>
        <v>201402009088</v>
      </c>
      <c r="H1932" t="s">
        <v>824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70</v>
      </c>
      <c r="O1932">
        <v>30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10</v>
      </c>
      <c r="W1932">
        <v>70</v>
      </c>
      <c r="Z1932">
        <v>0</v>
      </c>
      <c r="AA1932" t="s">
        <v>3278</v>
      </c>
    </row>
    <row r="1933" spans="1:27" x14ac:dyDescent="0.25">
      <c r="H1933" t="s">
        <v>106</v>
      </c>
    </row>
    <row r="1934" spans="1:27" x14ac:dyDescent="0.25">
      <c r="A1934">
        <v>964</v>
      </c>
      <c r="B1934">
        <v>1162</v>
      </c>
      <c r="C1934" t="s">
        <v>3279</v>
      </c>
      <c r="D1934" t="s">
        <v>58</v>
      </c>
      <c r="E1934" t="s">
        <v>64</v>
      </c>
      <c r="F1934" t="s">
        <v>3280</v>
      </c>
      <c r="G1934" t="str">
        <f>"201512004111"</f>
        <v>201512004111</v>
      </c>
      <c r="H1934" t="s">
        <v>570</v>
      </c>
      <c r="I1934">
        <v>0</v>
      </c>
      <c r="J1934">
        <v>0</v>
      </c>
      <c r="K1934">
        <v>0</v>
      </c>
      <c r="L1934">
        <v>0</v>
      </c>
      <c r="M1934">
        <v>100</v>
      </c>
      <c r="N1934">
        <v>30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5</v>
      </c>
      <c r="W1934">
        <v>35</v>
      </c>
      <c r="Z1934">
        <v>0</v>
      </c>
      <c r="AA1934" t="s">
        <v>1603</v>
      </c>
    </row>
    <row r="1935" spans="1:27" x14ac:dyDescent="0.25">
      <c r="H1935" t="s">
        <v>223</v>
      </c>
    </row>
    <row r="1936" spans="1:27" x14ac:dyDescent="0.25">
      <c r="A1936">
        <v>965</v>
      </c>
      <c r="B1936">
        <v>185</v>
      </c>
      <c r="C1936" t="s">
        <v>3281</v>
      </c>
      <c r="D1936" t="s">
        <v>80</v>
      </c>
      <c r="E1936" t="s">
        <v>41</v>
      </c>
      <c r="F1936" t="s">
        <v>3282</v>
      </c>
      <c r="G1936" t="str">
        <f>"201511009908"</f>
        <v>201511009908</v>
      </c>
      <c r="H1936" t="s">
        <v>286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8</v>
      </c>
      <c r="W1936">
        <v>56</v>
      </c>
      <c r="Z1936">
        <v>0</v>
      </c>
      <c r="AA1936" t="s">
        <v>3283</v>
      </c>
    </row>
    <row r="1937" spans="1:27" x14ac:dyDescent="0.25">
      <c r="H1937" t="s">
        <v>25</v>
      </c>
    </row>
    <row r="1938" spans="1:27" x14ac:dyDescent="0.25">
      <c r="A1938">
        <v>966</v>
      </c>
      <c r="B1938">
        <v>2548</v>
      </c>
      <c r="C1938" t="s">
        <v>3284</v>
      </c>
      <c r="D1938" t="s">
        <v>85</v>
      </c>
      <c r="E1938" t="s">
        <v>225</v>
      </c>
      <c r="F1938" t="s">
        <v>3285</v>
      </c>
      <c r="G1938" t="str">
        <f>"201406014408"</f>
        <v>201406014408</v>
      </c>
      <c r="H1938" t="s">
        <v>623</v>
      </c>
      <c r="I1938">
        <v>0</v>
      </c>
      <c r="J1938">
        <v>0</v>
      </c>
      <c r="K1938">
        <v>0</v>
      </c>
      <c r="L1938">
        <v>0</v>
      </c>
      <c r="M1938">
        <v>100</v>
      </c>
      <c r="N1938">
        <v>70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Z1938">
        <v>0</v>
      </c>
      <c r="AA1938" t="s">
        <v>3286</v>
      </c>
    </row>
    <row r="1939" spans="1:27" x14ac:dyDescent="0.25">
      <c r="H1939" t="s">
        <v>78</v>
      </c>
    </row>
    <row r="1940" spans="1:27" x14ac:dyDescent="0.25">
      <c r="A1940">
        <v>967</v>
      </c>
      <c r="B1940">
        <v>703</v>
      </c>
      <c r="C1940" t="s">
        <v>3287</v>
      </c>
      <c r="D1940" t="s">
        <v>3288</v>
      </c>
      <c r="E1940" t="s">
        <v>1251</v>
      </c>
      <c r="F1940" t="s">
        <v>3289</v>
      </c>
      <c r="G1940" t="str">
        <f>"201402012192"</f>
        <v>201402012192</v>
      </c>
      <c r="H1940" t="s">
        <v>662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70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30</v>
      </c>
      <c r="W1940">
        <v>210</v>
      </c>
      <c r="Z1940">
        <v>0</v>
      </c>
      <c r="AA1940" t="s">
        <v>3290</v>
      </c>
    </row>
    <row r="1941" spans="1:27" x14ac:dyDescent="0.25">
      <c r="H1941" t="s">
        <v>248</v>
      </c>
    </row>
    <row r="1942" spans="1:27" x14ac:dyDescent="0.25">
      <c r="A1942">
        <v>968</v>
      </c>
      <c r="B1942">
        <v>3137</v>
      </c>
      <c r="C1942" t="s">
        <v>3291</v>
      </c>
      <c r="D1942" t="s">
        <v>538</v>
      </c>
      <c r="E1942" t="s">
        <v>85</v>
      </c>
      <c r="F1942" t="s">
        <v>3292</v>
      </c>
      <c r="G1942" t="str">
        <f>"00011642"</f>
        <v>00011642</v>
      </c>
      <c r="H1942" t="s">
        <v>2705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5</v>
      </c>
      <c r="W1942">
        <v>35</v>
      </c>
      <c r="Z1942">
        <v>0</v>
      </c>
      <c r="AA1942" t="s">
        <v>3293</v>
      </c>
    </row>
    <row r="1943" spans="1:27" x14ac:dyDescent="0.25">
      <c r="H1943" t="s">
        <v>1606</v>
      </c>
    </row>
    <row r="1944" spans="1:27" x14ac:dyDescent="0.25">
      <c r="A1944">
        <v>969</v>
      </c>
      <c r="B1944">
        <v>2379</v>
      </c>
      <c r="C1944" t="s">
        <v>3294</v>
      </c>
      <c r="D1944" t="s">
        <v>225</v>
      </c>
      <c r="E1944" t="s">
        <v>64</v>
      </c>
      <c r="F1944" t="s">
        <v>3295</v>
      </c>
      <c r="G1944" t="str">
        <f>"00014505"</f>
        <v>00014505</v>
      </c>
      <c r="H1944" t="s">
        <v>406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5</v>
      </c>
      <c r="W1944">
        <v>35</v>
      </c>
      <c r="Z1944">
        <v>0</v>
      </c>
      <c r="AA1944" t="s">
        <v>3296</v>
      </c>
    </row>
    <row r="1945" spans="1:27" x14ac:dyDescent="0.25">
      <c r="H1945" t="s">
        <v>25</v>
      </c>
    </row>
    <row r="1946" spans="1:27" x14ac:dyDescent="0.25">
      <c r="A1946">
        <v>970</v>
      </c>
      <c r="B1946">
        <v>2606</v>
      </c>
      <c r="C1946" t="s">
        <v>3297</v>
      </c>
      <c r="D1946" t="s">
        <v>276</v>
      </c>
      <c r="E1946" t="s">
        <v>3298</v>
      </c>
      <c r="F1946" t="s">
        <v>3299</v>
      </c>
      <c r="G1946" t="str">
        <f>"201111000099"</f>
        <v>201111000099</v>
      </c>
      <c r="H1946">
        <v>825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70</v>
      </c>
      <c r="O1946">
        <v>0</v>
      </c>
      <c r="P1946">
        <v>30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Z1946">
        <v>0</v>
      </c>
      <c r="AA1946">
        <v>925</v>
      </c>
    </row>
    <row r="1947" spans="1:27" x14ac:dyDescent="0.25">
      <c r="H1947" t="s">
        <v>25</v>
      </c>
    </row>
    <row r="1948" spans="1:27" x14ac:dyDescent="0.25">
      <c r="A1948">
        <v>971</v>
      </c>
      <c r="B1948">
        <v>1999</v>
      </c>
      <c r="C1948" t="s">
        <v>3300</v>
      </c>
      <c r="D1948" t="s">
        <v>533</v>
      </c>
      <c r="E1948" t="s">
        <v>64</v>
      </c>
      <c r="F1948" t="s">
        <v>3301</v>
      </c>
      <c r="G1948" t="str">
        <f>"00013108"</f>
        <v>00013108</v>
      </c>
      <c r="H1948">
        <v>671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36</v>
      </c>
      <c r="W1948">
        <v>252</v>
      </c>
      <c r="Z1948">
        <v>2</v>
      </c>
      <c r="AA1948">
        <v>923</v>
      </c>
    </row>
    <row r="1949" spans="1:27" x14ac:dyDescent="0.25">
      <c r="H1949">
        <v>216</v>
      </c>
    </row>
    <row r="1950" spans="1:27" x14ac:dyDescent="0.25">
      <c r="A1950">
        <v>972</v>
      </c>
      <c r="B1950">
        <v>988</v>
      </c>
      <c r="C1950" t="s">
        <v>3302</v>
      </c>
      <c r="D1950" t="s">
        <v>151</v>
      </c>
      <c r="E1950" t="s">
        <v>3303</v>
      </c>
      <c r="F1950" t="s">
        <v>3304</v>
      </c>
      <c r="G1950" t="str">
        <f>"201410011086"</f>
        <v>201410011086</v>
      </c>
      <c r="H1950" t="s">
        <v>221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50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Z1950">
        <v>0</v>
      </c>
      <c r="AA1950" t="s">
        <v>3305</v>
      </c>
    </row>
    <row r="1951" spans="1:27" x14ac:dyDescent="0.25">
      <c r="H1951" t="s">
        <v>106</v>
      </c>
    </row>
    <row r="1952" spans="1:27" x14ac:dyDescent="0.25">
      <c r="A1952">
        <v>973</v>
      </c>
      <c r="B1952">
        <v>3245</v>
      </c>
      <c r="C1952" t="s">
        <v>3306</v>
      </c>
      <c r="D1952" t="s">
        <v>796</v>
      </c>
      <c r="E1952" t="s">
        <v>85</v>
      </c>
      <c r="F1952" t="s">
        <v>3307</v>
      </c>
      <c r="G1952" t="str">
        <f>"00015174"</f>
        <v>00015174</v>
      </c>
      <c r="H1952" t="s">
        <v>232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50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Z1952">
        <v>0</v>
      </c>
      <c r="AA1952" t="s">
        <v>3308</v>
      </c>
    </row>
    <row r="1953" spans="1:27" x14ac:dyDescent="0.25">
      <c r="H1953">
        <v>216</v>
      </c>
    </row>
    <row r="1954" spans="1:27" x14ac:dyDescent="0.25">
      <c r="A1954">
        <v>974</v>
      </c>
      <c r="B1954">
        <v>836</v>
      </c>
      <c r="C1954" t="s">
        <v>3309</v>
      </c>
      <c r="D1954" t="s">
        <v>168</v>
      </c>
      <c r="E1954" t="s">
        <v>694</v>
      </c>
      <c r="F1954" t="s">
        <v>3310</v>
      </c>
      <c r="G1954" t="str">
        <f>"00014922"</f>
        <v>00014922</v>
      </c>
      <c r="H1954" t="s">
        <v>47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23</v>
      </c>
      <c r="W1954">
        <v>161</v>
      </c>
      <c r="Z1954">
        <v>0</v>
      </c>
      <c r="AA1954" t="s">
        <v>3311</v>
      </c>
    </row>
    <row r="1955" spans="1:27" x14ac:dyDescent="0.25">
      <c r="H1955">
        <v>215</v>
      </c>
    </row>
    <row r="1956" spans="1:27" x14ac:dyDescent="0.25">
      <c r="A1956">
        <v>975</v>
      </c>
      <c r="B1956">
        <v>2955</v>
      </c>
      <c r="C1956" t="s">
        <v>3312</v>
      </c>
      <c r="D1956" t="s">
        <v>276</v>
      </c>
      <c r="E1956" t="s">
        <v>225</v>
      </c>
      <c r="F1956" t="s">
        <v>3313</v>
      </c>
      <c r="G1956" t="str">
        <f>"00013855"</f>
        <v>00013855</v>
      </c>
      <c r="H1956" t="s">
        <v>576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30</v>
      </c>
      <c r="P1956">
        <v>30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Z1956">
        <v>2</v>
      </c>
      <c r="AA1956" t="s">
        <v>3314</v>
      </c>
    </row>
    <row r="1957" spans="1:27" x14ac:dyDescent="0.25">
      <c r="H1957" t="s">
        <v>25</v>
      </c>
    </row>
    <row r="1958" spans="1:27" x14ac:dyDescent="0.25">
      <c r="A1958">
        <v>976</v>
      </c>
      <c r="B1958">
        <v>1218</v>
      </c>
      <c r="C1958" t="s">
        <v>2737</v>
      </c>
      <c r="D1958" t="s">
        <v>3315</v>
      </c>
      <c r="E1958" t="s">
        <v>14</v>
      </c>
      <c r="F1958" t="s">
        <v>3316</v>
      </c>
      <c r="G1958" t="str">
        <f>"00014987"</f>
        <v>00014987</v>
      </c>
      <c r="H1958" t="s">
        <v>36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70</v>
      </c>
      <c r="O1958">
        <v>50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Z1958">
        <v>0</v>
      </c>
      <c r="AA1958" t="s">
        <v>3317</v>
      </c>
    </row>
    <row r="1959" spans="1:27" x14ac:dyDescent="0.25">
      <c r="H1959" t="s">
        <v>38</v>
      </c>
    </row>
    <row r="1960" spans="1:27" x14ac:dyDescent="0.25">
      <c r="A1960">
        <v>977</v>
      </c>
      <c r="B1960">
        <v>2094</v>
      </c>
      <c r="C1960" t="s">
        <v>3318</v>
      </c>
      <c r="D1960" t="s">
        <v>3319</v>
      </c>
      <c r="E1960" t="s">
        <v>188</v>
      </c>
      <c r="F1960" t="s">
        <v>3320</v>
      </c>
      <c r="G1960" t="str">
        <f>"201506002327"</f>
        <v>201506002327</v>
      </c>
      <c r="H1960" t="s">
        <v>662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50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31</v>
      </c>
      <c r="W1960">
        <v>217</v>
      </c>
      <c r="Z1960">
        <v>0</v>
      </c>
      <c r="AA1960" t="s">
        <v>3321</v>
      </c>
    </row>
    <row r="1961" spans="1:27" x14ac:dyDescent="0.25">
      <c r="H1961">
        <v>213</v>
      </c>
    </row>
    <row r="1962" spans="1:27" x14ac:dyDescent="0.25">
      <c r="A1962">
        <v>978</v>
      </c>
      <c r="B1962">
        <v>68</v>
      </c>
      <c r="C1962" t="s">
        <v>3322</v>
      </c>
      <c r="D1962" t="s">
        <v>401</v>
      </c>
      <c r="E1962" t="s">
        <v>85</v>
      </c>
      <c r="F1962" t="s">
        <v>3323</v>
      </c>
      <c r="G1962" t="str">
        <f>"201602000200"</f>
        <v>201602000200</v>
      </c>
      <c r="H1962">
        <v>770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70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11</v>
      </c>
      <c r="W1962">
        <v>77</v>
      </c>
      <c r="Z1962">
        <v>0</v>
      </c>
      <c r="AA1962">
        <v>917</v>
      </c>
    </row>
    <row r="1963" spans="1:27" x14ac:dyDescent="0.25">
      <c r="H1963" t="s">
        <v>106</v>
      </c>
    </row>
    <row r="1964" spans="1:27" x14ac:dyDescent="0.25">
      <c r="A1964">
        <v>979</v>
      </c>
      <c r="B1964">
        <v>932</v>
      </c>
      <c r="C1964" t="s">
        <v>3324</v>
      </c>
      <c r="D1964" t="s">
        <v>3325</v>
      </c>
      <c r="E1964" t="s">
        <v>475</v>
      </c>
      <c r="F1964" t="s">
        <v>3326</v>
      </c>
      <c r="G1964" t="str">
        <f>"201406000920"</f>
        <v>201406000920</v>
      </c>
      <c r="H1964" t="s">
        <v>1096</v>
      </c>
      <c r="I1964">
        <v>0</v>
      </c>
      <c r="J1964">
        <v>0</v>
      </c>
      <c r="K1964">
        <v>0</v>
      </c>
      <c r="L1964">
        <v>200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Z1964">
        <v>0</v>
      </c>
      <c r="AA1964" t="s">
        <v>3327</v>
      </c>
    </row>
    <row r="1965" spans="1:27" x14ac:dyDescent="0.25">
      <c r="H1965" t="s">
        <v>31</v>
      </c>
    </row>
    <row r="1966" spans="1:27" x14ac:dyDescent="0.25">
      <c r="A1966">
        <v>980</v>
      </c>
      <c r="B1966">
        <v>639</v>
      </c>
      <c r="C1966" t="s">
        <v>3328</v>
      </c>
      <c r="D1966" t="s">
        <v>3329</v>
      </c>
      <c r="E1966" t="s">
        <v>3330</v>
      </c>
      <c r="F1966" t="s">
        <v>3331</v>
      </c>
      <c r="G1966" t="str">
        <f>"201501000111"</f>
        <v>201501000111</v>
      </c>
      <c r="H1966" t="s">
        <v>3332</v>
      </c>
      <c r="I1966">
        <v>0</v>
      </c>
      <c r="J1966">
        <v>0</v>
      </c>
      <c r="K1966">
        <v>0</v>
      </c>
      <c r="L1966">
        <v>200</v>
      </c>
      <c r="M1966">
        <v>0</v>
      </c>
      <c r="N1966">
        <v>70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5</v>
      </c>
      <c r="W1966">
        <v>35</v>
      </c>
      <c r="Z1966">
        <v>1</v>
      </c>
      <c r="AA1966" t="s">
        <v>3333</v>
      </c>
    </row>
    <row r="1967" spans="1:27" x14ac:dyDescent="0.25">
      <c r="H1967" t="s">
        <v>19</v>
      </c>
    </row>
    <row r="1968" spans="1:27" x14ac:dyDescent="0.25">
      <c r="A1968">
        <v>981</v>
      </c>
      <c r="B1968">
        <v>247</v>
      </c>
      <c r="C1968" t="s">
        <v>3334</v>
      </c>
      <c r="D1968" t="s">
        <v>2568</v>
      </c>
      <c r="E1968" t="s">
        <v>235</v>
      </c>
      <c r="F1968" t="s">
        <v>3335</v>
      </c>
      <c r="G1968" t="str">
        <f>"201511019397"</f>
        <v>201511019397</v>
      </c>
      <c r="H1968" t="s">
        <v>739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0</v>
      </c>
      <c r="P1968">
        <v>0</v>
      </c>
      <c r="Q1968">
        <v>0</v>
      </c>
      <c r="R1968">
        <v>0</v>
      </c>
      <c r="S1968">
        <v>70</v>
      </c>
      <c r="T1968">
        <v>0</v>
      </c>
      <c r="U1968">
        <v>0</v>
      </c>
      <c r="V1968">
        <v>5</v>
      </c>
      <c r="W1968">
        <v>35</v>
      </c>
      <c r="Z1968">
        <v>0</v>
      </c>
      <c r="AA1968" t="s">
        <v>3336</v>
      </c>
    </row>
    <row r="1969" spans="1:27" x14ac:dyDescent="0.25">
      <c r="H1969">
        <v>215</v>
      </c>
    </row>
    <row r="1970" spans="1:27" x14ac:dyDescent="0.25">
      <c r="A1970">
        <v>982</v>
      </c>
      <c r="B1970">
        <v>2972</v>
      </c>
      <c r="C1970" t="s">
        <v>3337</v>
      </c>
      <c r="D1970" t="s">
        <v>1203</v>
      </c>
      <c r="E1970" t="s">
        <v>235</v>
      </c>
      <c r="F1970" t="s">
        <v>3338</v>
      </c>
      <c r="G1970" t="str">
        <f>"201506002782"</f>
        <v>201506002782</v>
      </c>
      <c r="H1970" t="s">
        <v>215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0</v>
      </c>
      <c r="Q1970">
        <v>0</v>
      </c>
      <c r="R1970">
        <v>0</v>
      </c>
      <c r="S1970">
        <v>70</v>
      </c>
      <c r="T1970">
        <v>0</v>
      </c>
      <c r="U1970">
        <v>0</v>
      </c>
      <c r="V1970">
        <v>0</v>
      </c>
      <c r="W1970">
        <v>0</v>
      </c>
      <c r="Z1970">
        <v>0</v>
      </c>
      <c r="AA1970" t="s">
        <v>3339</v>
      </c>
    </row>
    <row r="1971" spans="1:27" x14ac:dyDescent="0.25">
      <c r="H1971">
        <v>215</v>
      </c>
    </row>
    <row r="1972" spans="1:27" x14ac:dyDescent="0.25">
      <c r="A1972">
        <v>983</v>
      </c>
      <c r="B1972">
        <v>90</v>
      </c>
      <c r="C1972" t="s">
        <v>2343</v>
      </c>
      <c r="D1972" t="s">
        <v>519</v>
      </c>
      <c r="E1972" t="s">
        <v>41</v>
      </c>
      <c r="F1972" t="s">
        <v>3340</v>
      </c>
      <c r="G1972" t="str">
        <f>"201406007626"</f>
        <v>201406007626</v>
      </c>
      <c r="H1972" t="s">
        <v>87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70</v>
      </c>
      <c r="O1972">
        <v>30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16</v>
      </c>
      <c r="W1972">
        <v>112</v>
      </c>
      <c r="Z1972">
        <v>0</v>
      </c>
      <c r="AA1972" t="s">
        <v>3341</v>
      </c>
    </row>
    <row r="1973" spans="1:27" x14ac:dyDescent="0.25">
      <c r="H1973" t="s">
        <v>106</v>
      </c>
    </row>
    <row r="1974" spans="1:27" x14ac:dyDescent="0.25">
      <c r="A1974">
        <v>984</v>
      </c>
      <c r="B1974">
        <v>963</v>
      </c>
      <c r="C1974" t="s">
        <v>1678</v>
      </c>
      <c r="D1974" t="s">
        <v>219</v>
      </c>
      <c r="E1974" t="s">
        <v>225</v>
      </c>
      <c r="F1974" t="s">
        <v>2542</v>
      </c>
      <c r="G1974" t="str">
        <f>"201406003309"</f>
        <v>201406003309</v>
      </c>
      <c r="H1974">
        <v>792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70</v>
      </c>
      <c r="O1974">
        <v>50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Z1974">
        <v>0</v>
      </c>
      <c r="AA1974">
        <v>912</v>
      </c>
    </row>
    <row r="1975" spans="1:27" x14ac:dyDescent="0.25">
      <c r="H1975" t="s">
        <v>49</v>
      </c>
    </row>
    <row r="1976" spans="1:27" x14ac:dyDescent="0.25">
      <c r="A1976">
        <v>985</v>
      </c>
      <c r="B1976">
        <v>535</v>
      </c>
      <c r="C1976" t="s">
        <v>2887</v>
      </c>
      <c r="D1976" t="s">
        <v>151</v>
      </c>
      <c r="E1976" t="s">
        <v>875</v>
      </c>
      <c r="F1976" t="s">
        <v>3342</v>
      </c>
      <c r="G1976" t="str">
        <f>"201406007240"</f>
        <v>201406007240</v>
      </c>
      <c r="H1976" t="s">
        <v>364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Z1976">
        <v>0</v>
      </c>
      <c r="AA1976" t="s">
        <v>3343</v>
      </c>
    </row>
    <row r="1977" spans="1:27" x14ac:dyDescent="0.25">
      <c r="H1977" t="s">
        <v>78</v>
      </c>
    </row>
    <row r="1978" spans="1:27" x14ac:dyDescent="0.25">
      <c r="A1978">
        <v>986</v>
      </c>
      <c r="B1978">
        <v>2678</v>
      </c>
      <c r="C1978" t="s">
        <v>3344</v>
      </c>
      <c r="D1978" t="s">
        <v>652</v>
      </c>
      <c r="E1978" t="s">
        <v>123</v>
      </c>
      <c r="F1978" t="s">
        <v>3345</v>
      </c>
      <c r="G1978" t="str">
        <f>"201406006241"</f>
        <v>201406006241</v>
      </c>
      <c r="H1978">
        <v>671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50</v>
      </c>
      <c r="O1978">
        <v>50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20</v>
      </c>
      <c r="W1978">
        <v>140</v>
      </c>
      <c r="Z1978">
        <v>0</v>
      </c>
      <c r="AA1978">
        <v>911</v>
      </c>
    </row>
    <row r="1979" spans="1:27" x14ac:dyDescent="0.25">
      <c r="H1979" t="s">
        <v>265</v>
      </c>
    </row>
    <row r="1980" spans="1:27" x14ac:dyDescent="0.25">
      <c r="A1980">
        <v>987</v>
      </c>
      <c r="B1980">
        <v>107</v>
      </c>
      <c r="C1980" t="s">
        <v>3346</v>
      </c>
      <c r="D1980" t="s">
        <v>490</v>
      </c>
      <c r="E1980" t="s">
        <v>235</v>
      </c>
      <c r="F1980" t="s">
        <v>3347</v>
      </c>
      <c r="G1980" t="str">
        <f>"201303000114"</f>
        <v>201303000114</v>
      </c>
      <c r="H1980">
        <v>682</v>
      </c>
      <c r="I1980">
        <v>0</v>
      </c>
      <c r="J1980">
        <v>0</v>
      </c>
      <c r="K1980">
        <v>0</v>
      </c>
      <c r="L1980">
        <v>0</v>
      </c>
      <c r="M1980">
        <v>100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14</v>
      </c>
      <c r="W1980">
        <v>98</v>
      </c>
      <c r="Z1980">
        <v>2</v>
      </c>
      <c r="AA1980">
        <v>910</v>
      </c>
    </row>
    <row r="1981" spans="1:27" x14ac:dyDescent="0.25">
      <c r="H1981" t="s">
        <v>38</v>
      </c>
    </row>
    <row r="1982" spans="1:27" x14ac:dyDescent="0.25">
      <c r="A1982">
        <v>988</v>
      </c>
      <c r="B1982">
        <v>179</v>
      </c>
      <c r="C1982" t="s">
        <v>3348</v>
      </c>
      <c r="D1982" t="s">
        <v>204</v>
      </c>
      <c r="E1982" t="s">
        <v>85</v>
      </c>
      <c r="F1982" t="s">
        <v>3349</v>
      </c>
      <c r="G1982" t="str">
        <f>"00011789"</f>
        <v>00011789</v>
      </c>
      <c r="H1982">
        <v>660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50</v>
      </c>
      <c r="O1982">
        <v>0</v>
      </c>
      <c r="P1982">
        <v>50</v>
      </c>
      <c r="Q1982">
        <v>0</v>
      </c>
      <c r="R1982">
        <v>0</v>
      </c>
      <c r="S1982">
        <v>30</v>
      </c>
      <c r="T1982">
        <v>0</v>
      </c>
      <c r="U1982">
        <v>0</v>
      </c>
      <c r="V1982">
        <v>17</v>
      </c>
      <c r="W1982">
        <v>119</v>
      </c>
      <c r="Z1982">
        <v>0</v>
      </c>
      <c r="AA1982">
        <v>909</v>
      </c>
    </row>
    <row r="1983" spans="1:27" x14ac:dyDescent="0.25">
      <c r="H1983" t="s">
        <v>19</v>
      </c>
    </row>
    <row r="1984" spans="1:27" x14ac:dyDescent="0.25">
      <c r="A1984">
        <v>989</v>
      </c>
      <c r="B1984">
        <v>727</v>
      </c>
      <c r="C1984" t="s">
        <v>3350</v>
      </c>
      <c r="D1984" t="s">
        <v>2495</v>
      </c>
      <c r="E1984" t="s">
        <v>235</v>
      </c>
      <c r="F1984" t="s">
        <v>3351</v>
      </c>
      <c r="G1984" t="str">
        <f>"00014134"</f>
        <v>00014134</v>
      </c>
      <c r="H1984" t="s">
        <v>739</v>
      </c>
      <c r="I1984">
        <v>0</v>
      </c>
      <c r="J1984">
        <v>0</v>
      </c>
      <c r="K1984">
        <v>0</v>
      </c>
      <c r="L1984">
        <v>0</v>
      </c>
      <c r="M1984">
        <v>100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Z1984">
        <v>2</v>
      </c>
      <c r="AA1984" t="s">
        <v>3352</v>
      </c>
    </row>
    <row r="1985" spans="1:27" x14ac:dyDescent="0.25">
      <c r="H1985" t="s">
        <v>1000</v>
      </c>
    </row>
    <row r="1986" spans="1:27" x14ac:dyDescent="0.25">
      <c r="A1986">
        <v>990</v>
      </c>
      <c r="B1986">
        <v>1951</v>
      </c>
      <c r="C1986" t="s">
        <v>3353</v>
      </c>
      <c r="D1986" t="s">
        <v>647</v>
      </c>
      <c r="E1986" t="s">
        <v>533</v>
      </c>
      <c r="F1986" t="s">
        <v>3354</v>
      </c>
      <c r="G1986" t="str">
        <f>"200712002857"</f>
        <v>200712002857</v>
      </c>
      <c r="H1986" t="s">
        <v>453</v>
      </c>
      <c r="I1986">
        <v>0</v>
      </c>
      <c r="J1986">
        <v>0</v>
      </c>
      <c r="K1986">
        <v>0</v>
      </c>
      <c r="L1986">
        <v>0</v>
      </c>
      <c r="M1986">
        <v>100</v>
      </c>
      <c r="N1986">
        <v>70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Z1986">
        <v>0</v>
      </c>
      <c r="AA1986" t="s">
        <v>3355</v>
      </c>
    </row>
    <row r="1987" spans="1:27" x14ac:dyDescent="0.25">
      <c r="H1987">
        <v>215</v>
      </c>
    </row>
    <row r="1988" spans="1:27" x14ac:dyDescent="0.25">
      <c r="A1988">
        <v>991</v>
      </c>
      <c r="B1988">
        <v>3370</v>
      </c>
      <c r="C1988" t="s">
        <v>3356</v>
      </c>
      <c r="D1988" t="s">
        <v>466</v>
      </c>
      <c r="E1988" t="s">
        <v>235</v>
      </c>
      <c r="F1988" t="s">
        <v>3357</v>
      </c>
      <c r="G1988" t="str">
        <f>"00014166"</f>
        <v>00014166</v>
      </c>
      <c r="H1988" t="s">
        <v>3358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30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Z1988">
        <v>0</v>
      </c>
      <c r="AA1988" t="s">
        <v>3359</v>
      </c>
    </row>
    <row r="1989" spans="1:27" x14ac:dyDescent="0.25">
      <c r="H1989" t="s">
        <v>38</v>
      </c>
    </row>
    <row r="1990" spans="1:27" x14ac:dyDescent="0.25">
      <c r="A1990">
        <v>992</v>
      </c>
      <c r="B1990">
        <v>640</v>
      </c>
      <c r="C1990" t="s">
        <v>3360</v>
      </c>
      <c r="D1990" t="s">
        <v>168</v>
      </c>
      <c r="E1990" t="s">
        <v>34</v>
      </c>
      <c r="F1990" t="s">
        <v>3361</v>
      </c>
      <c r="G1990" t="str">
        <f>"201409007066"</f>
        <v>201409007066</v>
      </c>
      <c r="H1990" t="s">
        <v>434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70</v>
      </c>
      <c r="O1990">
        <v>0</v>
      </c>
      <c r="P1990">
        <v>30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Z1990">
        <v>0</v>
      </c>
      <c r="AA1990" t="s">
        <v>3362</v>
      </c>
    </row>
    <row r="1991" spans="1:27" x14ac:dyDescent="0.25">
      <c r="H1991" t="s">
        <v>298</v>
      </c>
    </row>
    <row r="1992" spans="1:27" x14ac:dyDescent="0.25">
      <c r="A1992">
        <v>993</v>
      </c>
      <c r="B1992">
        <v>1994</v>
      </c>
      <c r="C1992" t="s">
        <v>3363</v>
      </c>
      <c r="D1992" t="s">
        <v>703</v>
      </c>
      <c r="E1992" t="s">
        <v>158</v>
      </c>
      <c r="F1992" t="s">
        <v>3364</v>
      </c>
      <c r="G1992" t="str">
        <f>"201510002811"</f>
        <v>201510002811</v>
      </c>
      <c r="H1992" t="s">
        <v>516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Z1992">
        <v>3</v>
      </c>
      <c r="AA1992" t="s">
        <v>3365</v>
      </c>
    </row>
    <row r="1993" spans="1:27" x14ac:dyDescent="0.25">
      <c r="H1993" t="s">
        <v>3366</v>
      </c>
    </row>
    <row r="1994" spans="1:27" x14ac:dyDescent="0.25">
      <c r="A1994">
        <v>994</v>
      </c>
      <c r="B1994">
        <v>1648</v>
      </c>
      <c r="C1994" t="s">
        <v>3367</v>
      </c>
      <c r="D1994" t="s">
        <v>219</v>
      </c>
      <c r="E1994" t="s">
        <v>158</v>
      </c>
      <c r="F1994" t="s">
        <v>3368</v>
      </c>
      <c r="G1994" t="str">
        <f>"00014459"</f>
        <v>00014459</v>
      </c>
      <c r="H1994" t="s">
        <v>3369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16</v>
      </c>
      <c r="W1994">
        <v>112</v>
      </c>
      <c r="Z1994">
        <v>2</v>
      </c>
      <c r="AA1994" t="s">
        <v>3370</v>
      </c>
    </row>
    <row r="1995" spans="1:27" x14ac:dyDescent="0.25">
      <c r="H1995" t="s">
        <v>3371</v>
      </c>
    </row>
    <row r="1996" spans="1:27" x14ac:dyDescent="0.25">
      <c r="A1996">
        <v>995</v>
      </c>
      <c r="B1996">
        <v>1092</v>
      </c>
      <c r="C1996" t="s">
        <v>3372</v>
      </c>
      <c r="D1996" t="s">
        <v>928</v>
      </c>
      <c r="E1996" t="s">
        <v>64</v>
      </c>
      <c r="F1996" t="s">
        <v>3373</v>
      </c>
      <c r="G1996" t="str">
        <f>"00011162"</f>
        <v>00011162</v>
      </c>
      <c r="H1996" t="s">
        <v>415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15</v>
      </c>
      <c r="W1996">
        <v>105</v>
      </c>
      <c r="Z1996">
        <v>0</v>
      </c>
      <c r="AA1996" t="s">
        <v>3374</v>
      </c>
    </row>
    <row r="1997" spans="1:27" x14ac:dyDescent="0.25">
      <c r="H1997">
        <v>215</v>
      </c>
    </row>
    <row r="1998" spans="1:27" x14ac:dyDescent="0.25">
      <c r="A1998">
        <v>996</v>
      </c>
      <c r="B1998">
        <v>593</v>
      </c>
      <c r="C1998" t="s">
        <v>3375</v>
      </c>
      <c r="D1998" t="s">
        <v>561</v>
      </c>
      <c r="E1998" t="s">
        <v>369</v>
      </c>
      <c r="F1998" t="s">
        <v>3376</v>
      </c>
      <c r="G1998" t="str">
        <f>"201511014213"</f>
        <v>201511014213</v>
      </c>
      <c r="H1998">
        <v>891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Z1998">
        <v>0</v>
      </c>
      <c r="AA1998">
        <v>891</v>
      </c>
    </row>
    <row r="1999" spans="1:27" x14ac:dyDescent="0.25">
      <c r="H1999" t="s">
        <v>1000</v>
      </c>
    </row>
    <row r="2000" spans="1:27" x14ac:dyDescent="0.25">
      <c r="A2000">
        <v>997</v>
      </c>
      <c r="B2000">
        <v>293</v>
      </c>
      <c r="C2000" t="s">
        <v>3377</v>
      </c>
      <c r="D2000" t="s">
        <v>151</v>
      </c>
      <c r="E2000" t="s">
        <v>1085</v>
      </c>
      <c r="F2000" t="s">
        <v>3378</v>
      </c>
      <c r="G2000" t="str">
        <f>"00013275"</f>
        <v>00013275</v>
      </c>
      <c r="H2000" t="s">
        <v>1066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70</v>
      </c>
      <c r="P2000">
        <v>0</v>
      </c>
      <c r="Q2000">
        <v>0</v>
      </c>
      <c r="R2000">
        <v>30</v>
      </c>
      <c r="S2000">
        <v>0</v>
      </c>
      <c r="T2000">
        <v>0</v>
      </c>
      <c r="U2000">
        <v>0</v>
      </c>
      <c r="V2000">
        <v>0</v>
      </c>
      <c r="W2000">
        <v>0</v>
      </c>
      <c r="Z2000">
        <v>0</v>
      </c>
      <c r="AA2000" t="s">
        <v>3379</v>
      </c>
    </row>
    <row r="2001" spans="1:27" x14ac:dyDescent="0.25">
      <c r="H2001">
        <v>215</v>
      </c>
    </row>
    <row r="2002" spans="1:27" x14ac:dyDescent="0.25">
      <c r="A2002">
        <v>998</v>
      </c>
      <c r="B2002">
        <v>2047</v>
      </c>
      <c r="C2002" t="s">
        <v>3380</v>
      </c>
      <c r="D2002" t="s">
        <v>168</v>
      </c>
      <c r="E2002" t="s">
        <v>235</v>
      </c>
      <c r="F2002" t="s">
        <v>3381</v>
      </c>
      <c r="G2002" t="str">
        <f>"00011652"</f>
        <v>00011652</v>
      </c>
      <c r="H2002">
        <v>770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70</v>
      </c>
      <c r="O2002">
        <v>0</v>
      </c>
      <c r="P2002">
        <v>50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0</v>
      </c>
      <c r="Z2002">
        <v>1</v>
      </c>
      <c r="AA2002">
        <v>890</v>
      </c>
    </row>
    <row r="2003" spans="1:27" x14ac:dyDescent="0.25">
      <c r="H2003" t="s">
        <v>298</v>
      </c>
    </row>
    <row r="2004" spans="1:27" x14ac:dyDescent="0.25">
      <c r="A2004">
        <v>999</v>
      </c>
      <c r="B2004">
        <v>2422</v>
      </c>
      <c r="C2004" t="s">
        <v>3382</v>
      </c>
      <c r="D2004" t="s">
        <v>85</v>
      </c>
      <c r="E2004" t="s">
        <v>41</v>
      </c>
      <c r="F2004" t="s">
        <v>3383</v>
      </c>
      <c r="G2004" t="str">
        <f>"201409000749"</f>
        <v>201409000749</v>
      </c>
      <c r="H2004" t="s">
        <v>2327</v>
      </c>
      <c r="I2004">
        <v>0</v>
      </c>
      <c r="J2004">
        <v>0</v>
      </c>
      <c r="K2004">
        <v>0</v>
      </c>
      <c r="L2004">
        <v>200</v>
      </c>
      <c r="M2004">
        <v>0</v>
      </c>
      <c r="N2004">
        <v>0</v>
      </c>
      <c r="O2004">
        <v>0</v>
      </c>
      <c r="P2004">
        <v>0</v>
      </c>
      <c r="Q2004">
        <v>70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Z2004">
        <v>2</v>
      </c>
      <c r="AA2004" t="s">
        <v>3384</v>
      </c>
    </row>
    <row r="2005" spans="1:27" x14ac:dyDescent="0.25">
      <c r="H2005" t="s">
        <v>31</v>
      </c>
    </row>
    <row r="2006" spans="1:27" x14ac:dyDescent="0.25">
      <c r="A2006">
        <v>1000</v>
      </c>
      <c r="B2006">
        <v>2354</v>
      </c>
      <c r="C2006" t="s">
        <v>3385</v>
      </c>
      <c r="D2006" t="s">
        <v>3386</v>
      </c>
      <c r="E2006" t="s">
        <v>2353</v>
      </c>
      <c r="F2006" t="s">
        <v>3387</v>
      </c>
      <c r="G2006" t="str">
        <f>"00013166"</f>
        <v>00013166</v>
      </c>
      <c r="H2006" t="s">
        <v>570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0</v>
      </c>
      <c r="P2006">
        <v>0</v>
      </c>
      <c r="Q2006">
        <v>0</v>
      </c>
      <c r="R2006">
        <v>50</v>
      </c>
      <c r="S2006">
        <v>0</v>
      </c>
      <c r="T2006">
        <v>0</v>
      </c>
      <c r="U2006">
        <v>0</v>
      </c>
      <c r="V2006">
        <v>0</v>
      </c>
      <c r="W2006">
        <v>0</v>
      </c>
      <c r="Z2006">
        <v>0</v>
      </c>
      <c r="AA2006" t="s">
        <v>3388</v>
      </c>
    </row>
    <row r="2007" spans="1:27" x14ac:dyDescent="0.25">
      <c r="H2007" t="s">
        <v>38</v>
      </c>
    </row>
    <row r="2008" spans="1:27" x14ac:dyDescent="0.25">
      <c r="A2008">
        <v>1001</v>
      </c>
      <c r="B2008">
        <v>201</v>
      </c>
      <c r="C2008" t="s">
        <v>3389</v>
      </c>
      <c r="D2008" t="s">
        <v>64</v>
      </c>
      <c r="E2008" t="s">
        <v>1085</v>
      </c>
      <c r="F2008" t="s">
        <v>3390</v>
      </c>
      <c r="G2008" t="str">
        <f>"201410001724"</f>
        <v>201410001724</v>
      </c>
      <c r="H2008" t="s">
        <v>197</v>
      </c>
      <c r="I2008">
        <v>0</v>
      </c>
      <c r="J2008">
        <v>0</v>
      </c>
      <c r="K2008">
        <v>0</v>
      </c>
      <c r="L2008">
        <v>0</v>
      </c>
      <c r="M2008">
        <v>100</v>
      </c>
      <c r="N2008">
        <v>70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Z2008">
        <v>0</v>
      </c>
      <c r="AA2008" t="s">
        <v>3391</v>
      </c>
    </row>
    <row r="2009" spans="1:27" x14ac:dyDescent="0.25">
      <c r="H2009" t="s">
        <v>25</v>
      </c>
    </row>
    <row r="2010" spans="1:27" x14ac:dyDescent="0.25">
      <c r="A2010">
        <v>1002</v>
      </c>
      <c r="B2010">
        <v>1158</v>
      </c>
      <c r="C2010" t="s">
        <v>3392</v>
      </c>
      <c r="D2010" t="s">
        <v>219</v>
      </c>
      <c r="E2010" t="s">
        <v>235</v>
      </c>
      <c r="F2010" t="s">
        <v>3393</v>
      </c>
      <c r="G2010" t="str">
        <f>"201406001927"</f>
        <v>201406001927</v>
      </c>
      <c r="H2010" t="s">
        <v>604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50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3</v>
      </c>
      <c r="W2010">
        <v>21</v>
      </c>
      <c r="Z2010">
        <v>1</v>
      </c>
      <c r="AA2010" t="s">
        <v>3394</v>
      </c>
    </row>
    <row r="2011" spans="1:27" x14ac:dyDescent="0.25">
      <c r="H2011" t="s">
        <v>25</v>
      </c>
    </row>
    <row r="2012" spans="1:27" x14ac:dyDescent="0.25">
      <c r="A2012">
        <v>1003</v>
      </c>
      <c r="B2012">
        <v>2357</v>
      </c>
      <c r="C2012" t="s">
        <v>3395</v>
      </c>
      <c r="D2012" t="s">
        <v>80</v>
      </c>
      <c r="E2012" t="s">
        <v>158</v>
      </c>
      <c r="F2012" t="s">
        <v>3396</v>
      </c>
      <c r="G2012" t="str">
        <f>"201303000624"</f>
        <v>201303000624</v>
      </c>
      <c r="H2012" t="s">
        <v>597</v>
      </c>
      <c r="I2012">
        <v>0</v>
      </c>
      <c r="J2012">
        <v>0</v>
      </c>
      <c r="K2012">
        <v>0</v>
      </c>
      <c r="L2012">
        <v>0</v>
      </c>
      <c r="M2012">
        <v>100</v>
      </c>
      <c r="N2012">
        <v>70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Z2012">
        <v>0</v>
      </c>
      <c r="AA2012" t="s">
        <v>3394</v>
      </c>
    </row>
    <row r="2013" spans="1:27" x14ac:dyDescent="0.25">
      <c r="H2013" t="s">
        <v>1973</v>
      </c>
    </row>
    <row r="2014" spans="1:27" x14ac:dyDescent="0.25">
      <c r="A2014">
        <v>1004</v>
      </c>
      <c r="B2014">
        <v>2383</v>
      </c>
      <c r="C2014" t="s">
        <v>3397</v>
      </c>
      <c r="D2014" t="s">
        <v>33</v>
      </c>
      <c r="E2014" t="s">
        <v>129</v>
      </c>
      <c r="F2014" t="s">
        <v>3398</v>
      </c>
      <c r="G2014" t="str">
        <f>"201410006260"</f>
        <v>201410006260</v>
      </c>
      <c r="H2014" t="s">
        <v>371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Z2014">
        <v>0</v>
      </c>
      <c r="AA2014" t="s">
        <v>3399</v>
      </c>
    </row>
    <row r="2015" spans="1:27" x14ac:dyDescent="0.25">
      <c r="H2015" t="s">
        <v>904</v>
      </c>
    </row>
    <row r="2016" spans="1:27" x14ac:dyDescent="0.25">
      <c r="A2016">
        <v>1005</v>
      </c>
      <c r="B2016">
        <v>1316</v>
      </c>
      <c r="C2016" t="s">
        <v>3400</v>
      </c>
      <c r="D2016" t="s">
        <v>3401</v>
      </c>
      <c r="E2016" t="s">
        <v>284</v>
      </c>
      <c r="F2016" t="s">
        <v>3402</v>
      </c>
      <c r="G2016" t="str">
        <f>"201406003579"</f>
        <v>201406003579</v>
      </c>
      <c r="H2016" t="s">
        <v>3244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70</v>
      </c>
      <c r="O2016">
        <v>0</v>
      </c>
      <c r="P2016">
        <v>30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19</v>
      </c>
      <c r="W2016">
        <v>133</v>
      </c>
      <c r="Z2016">
        <v>0</v>
      </c>
      <c r="AA2016" t="s">
        <v>3403</v>
      </c>
    </row>
    <row r="2017" spans="1:27" x14ac:dyDescent="0.25">
      <c r="H2017" t="s">
        <v>223</v>
      </c>
    </row>
    <row r="2018" spans="1:27" x14ac:dyDescent="0.25">
      <c r="A2018">
        <v>1006</v>
      </c>
      <c r="B2018">
        <v>914</v>
      </c>
      <c r="C2018" t="s">
        <v>3404</v>
      </c>
      <c r="D2018" t="s">
        <v>200</v>
      </c>
      <c r="E2018" t="s">
        <v>284</v>
      </c>
      <c r="F2018" t="s">
        <v>3405</v>
      </c>
      <c r="G2018" t="str">
        <f>"201406014412"</f>
        <v>201406014412</v>
      </c>
      <c r="H2018" t="s">
        <v>1895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14</v>
      </c>
      <c r="W2018">
        <v>98</v>
      </c>
      <c r="Z2018">
        <v>0</v>
      </c>
      <c r="AA2018" t="s">
        <v>3406</v>
      </c>
    </row>
    <row r="2019" spans="1:27" x14ac:dyDescent="0.25">
      <c r="H2019" t="s">
        <v>25</v>
      </c>
    </row>
    <row r="2020" spans="1:27" x14ac:dyDescent="0.25">
      <c r="A2020">
        <v>1007</v>
      </c>
      <c r="B2020">
        <v>647</v>
      </c>
      <c r="C2020" t="s">
        <v>3407</v>
      </c>
      <c r="D2020" t="s">
        <v>80</v>
      </c>
      <c r="E2020" t="s">
        <v>41</v>
      </c>
      <c r="F2020" t="s">
        <v>3408</v>
      </c>
      <c r="G2020" t="str">
        <f>"201511021834"</f>
        <v>201511021834</v>
      </c>
      <c r="H2020" t="s">
        <v>811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50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7</v>
      </c>
      <c r="W2020">
        <v>49</v>
      </c>
      <c r="Z2020">
        <v>1</v>
      </c>
      <c r="AA2020" t="s">
        <v>3358</v>
      </c>
    </row>
    <row r="2021" spans="1:27" x14ac:dyDescent="0.25">
      <c r="H2021" t="s">
        <v>25</v>
      </c>
    </row>
    <row r="2022" spans="1:27" x14ac:dyDescent="0.25">
      <c r="A2022">
        <v>1008</v>
      </c>
      <c r="B2022">
        <v>250</v>
      </c>
      <c r="C2022" t="s">
        <v>3409</v>
      </c>
      <c r="D2022" t="s">
        <v>151</v>
      </c>
      <c r="E2022" t="s">
        <v>753</v>
      </c>
      <c r="F2022" t="s">
        <v>3410</v>
      </c>
      <c r="G2022" t="str">
        <f>"201410001640"</f>
        <v>201410001640</v>
      </c>
      <c r="H2022">
        <v>781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30</v>
      </c>
      <c r="O2022">
        <v>0</v>
      </c>
      <c r="P2022">
        <v>30</v>
      </c>
      <c r="Q2022">
        <v>30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Z2022">
        <v>0</v>
      </c>
      <c r="AA2022">
        <v>871</v>
      </c>
    </row>
    <row r="2023" spans="1:27" x14ac:dyDescent="0.25">
      <c r="H2023" t="s">
        <v>223</v>
      </c>
    </row>
    <row r="2024" spans="1:27" x14ac:dyDescent="0.25">
      <c r="A2024">
        <v>1009</v>
      </c>
      <c r="B2024">
        <v>1742</v>
      </c>
      <c r="C2024" t="s">
        <v>3411</v>
      </c>
      <c r="D2024" t="s">
        <v>369</v>
      </c>
      <c r="E2024" t="s">
        <v>85</v>
      </c>
      <c r="F2024" t="s">
        <v>3412</v>
      </c>
      <c r="G2024" t="str">
        <f>"00003415"</f>
        <v>00003415</v>
      </c>
      <c r="H2024" t="s">
        <v>342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14</v>
      </c>
      <c r="W2024">
        <v>98</v>
      </c>
      <c r="Z2024">
        <v>0</v>
      </c>
      <c r="AA2024" t="s">
        <v>3413</v>
      </c>
    </row>
    <row r="2025" spans="1:27" x14ac:dyDescent="0.25">
      <c r="H2025">
        <v>213</v>
      </c>
    </row>
    <row r="2026" spans="1:27" x14ac:dyDescent="0.25">
      <c r="A2026">
        <v>1010</v>
      </c>
      <c r="B2026">
        <v>3198</v>
      </c>
      <c r="C2026" t="s">
        <v>3414</v>
      </c>
      <c r="D2026" t="s">
        <v>33</v>
      </c>
      <c r="E2026" t="s">
        <v>85</v>
      </c>
      <c r="F2026" t="s">
        <v>3415</v>
      </c>
      <c r="G2026" t="str">
        <f>"201406014694"</f>
        <v>201406014694</v>
      </c>
      <c r="H2026">
        <v>770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70</v>
      </c>
      <c r="O2026">
        <v>30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Z2026">
        <v>2</v>
      </c>
      <c r="AA2026">
        <v>870</v>
      </c>
    </row>
    <row r="2027" spans="1:27" x14ac:dyDescent="0.25">
      <c r="H2027" t="s">
        <v>248</v>
      </c>
    </row>
    <row r="2028" spans="1:27" x14ac:dyDescent="0.25">
      <c r="A2028">
        <v>1011</v>
      </c>
      <c r="B2028">
        <v>1106</v>
      </c>
      <c r="C2028" t="s">
        <v>3416</v>
      </c>
      <c r="D2028" t="s">
        <v>219</v>
      </c>
      <c r="E2028" t="s">
        <v>1085</v>
      </c>
      <c r="F2028" t="s">
        <v>3417</v>
      </c>
      <c r="G2028" t="str">
        <f>"201506002041"</f>
        <v>201506002041</v>
      </c>
      <c r="H2028">
        <v>770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50</v>
      </c>
      <c r="O2028">
        <v>0</v>
      </c>
      <c r="P2028">
        <v>0</v>
      </c>
      <c r="Q2028">
        <v>50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Z2028">
        <v>2</v>
      </c>
      <c r="AA2028">
        <v>870</v>
      </c>
    </row>
    <row r="2029" spans="1:27" x14ac:dyDescent="0.25">
      <c r="H2029" t="s">
        <v>357</v>
      </c>
    </row>
    <row r="2030" spans="1:27" x14ac:dyDescent="0.25">
      <c r="A2030">
        <v>1012</v>
      </c>
      <c r="B2030">
        <v>2990</v>
      </c>
      <c r="C2030" t="s">
        <v>3418</v>
      </c>
      <c r="D2030" t="s">
        <v>319</v>
      </c>
      <c r="E2030" t="s">
        <v>64</v>
      </c>
      <c r="F2030" t="s">
        <v>3419</v>
      </c>
      <c r="G2030" t="str">
        <f>"00012613"</f>
        <v>00012613</v>
      </c>
      <c r="H2030">
        <v>770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70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30</v>
      </c>
      <c r="V2030">
        <v>0</v>
      </c>
      <c r="W2030">
        <v>0</v>
      </c>
      <c r="Z2030">
        <v>0</v>
      </c>
      <c r="AA2030">
        <v>870</v>
      </c>
    </row>
    <row r="2031" spans="1:27" x14ac:dyDescent="0.25">
      <c r="H2031" t="s">
        <v>38</v>
      </c>
    </row>
    <row r="2032" spans="1:27" x14ac:dyDescent="0.25">
      <c r="A2032">
        <v>1013</v>
      </c>
      <c r="B2032">
        <v>225</v>
      </c>
      <c r="C2032" t="s">
        <v>2279</v>
      </c>
      <c r="D2032" t="s">
        <v>652</v>
      </c>
      <c r="E2032" t="s">
        <v>64</v>
      </c>
      <c r="F2032" t="s">
        <v>3420</v>
      </c>
      <c r="G2032" t="str">
        <f>"201406015512"</f>
        <v>201406015512</v>
      </c>
      <c r="H2032" t="s">
        <v>636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9</v>
      </c>
      <c r="W2032">
        <v>63</v>
      </c>
      <c r="Z2032">
        <v>0</v>
      </c>
      <c r="AA2032" t="s">
        <v>3421</v>
      </c>
    </row>
    <row r="2033" spans="1:27" x14ac:dyDescent="0.25">
      <c r="H2033" t="s">
        <v>2045</v>
      </c>
    </row>
    <row r="2034" spans="1:27" x14ac:dyDescent="0.25">
      <c r="A2034">
        <v>1014</v>
      </c>
      <c r="B2034">
        <v>1787</v>
      </c>
      <c r="C2034" t="s">
        <v>3422</v>
      </c>
      <c r="D2034" t="s">
        <v>909</v>
      </c>
      <c r="E2034" t="s">
        <v>574</v>
      </c>
      <c r="F2034" t="s">
        <v>3423</v>
      </c>
      <c r="G2034" t="str">
        <f>"00013659"</f>
        <v>00013659</v>
      </c>
      <c r="H2034" t="s">
        <v>301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0</v>
      </c>
      <c r="Z2034">
        <v>0</v>
      </c>
      <c r="AA2034" t="s">
        <v>3424</v>
      </c>
    </row>
    <row r="2035" spans="1:27" x14ac:dyDescent="0.25">
      <c r="H2035" t="s">
        <v>106</v>
      </c>
    </row>
    <row r="2036" spans="1:27" x14ac:dyDescent="0.25">
      <c r="A2036">
        <v>1015</v>
      </c>
      <c r="B2036">
        <v>2162</v>
      </c>
      <c r="C2036" t="s">
        <v>3425</v>
      </c>
      <c r="D2036" t="s">
        <v>85</v>
      </c>
      <c r="E2036" t="s">
        <v>14</v>
      </c>
      <c r="F2036" t="s">
        <v>3426</v>
      </c>
      <c r="G2036" t="str">
        <f>"201512005562"</f>
        <v>201512005562</v>
      </c>
      <c r="H2036" t="s">
        <v>3427</v>
      </c>
      <c r="I2036">
        <v>0</v>
      </c>
      <c r="J2036">
        <v>0</v>
      </c>
      <c r="K2036">
        <v>0</v>
      </c>
      <c r="L2036">
        <v>200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Z2036">
        <v>1</v>
      </c>
      <c r="AA2036" t="s">
        <v>3428</v>
      </c>
    </row>
    <row r="2037" spans="1:27" x14ac:dyDescent="0.25">
      <c r="H2037" t="s">
        <v>106</v>
      </c>
    </row>
    <row r="2038" spans="1:27" x14ac:dyDescent="0.25">
      <c r="A2038">
        <v>1016</v>
      </c>
      <c r="B2038">
        <v>197</v>
      </c>
      <c r="C2038" t="s">
        <v>3429</v>
      </c>
      <c r="D2038" t="s">
        <v>319</v>
      </c>
      <c r="E2038" t="s">
        <v>499</v>
      </c>
      <c r="F2038" t="s">
        <v>3430</v>
      </c>
      <c r="G2038" t="str">
        <f>"00013132"</f>
        <v>00013132</v>
      </c>
      <c r="H2038" t="s">
        <v>531</v>
      </c>
      <c r="I2038">
        <v>0</v>
      </c>
      <c r="J2038">
        <v>0</v>
      </c>
      <c r="K2038">
        <v>0</v>
      </c>
      <c r="L2038">
        <v>0</v>
      </c>
      <c r="M2038">
        <v>100</v>
      </c>
      <c r="N2038">
        <v>70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Z2038">
        <v>0</v>
      </c>
      <c r="AA2038" t="s">
        <v>3431</v>
      </c>
    </row>
    <row r="2039" spans="1:27" x14ac:dyDescent="0.25">
      <c r="H2039" t="s">
        <v>19</v>
      </c>
    </row>
    <row r="2040" spans="1:27" x14ac:dyDescent="0.25">
      <c r="A2040">
        <v>1017</v>
      </c>
      <c r="B2040">
        <v>3103</v>
      </c>
      <c r="C2040" t="s">
        <v>3432</v>
      </c>
      <c r="D2040" t="s">
        <v>235</v>
      </c>
      <c r="E2040" t="s">
        <v>1336</v>
      </c>
      <c r="F2040" t="s">
        <v>3433</v>
      </c>
      <c r="G2040" t="str">
        <f>"00012897"</f>
        <v>00012897</v>
      </c>
      <c r="H2040" t="s">
        <v>1054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10</v>
      </c>
      <c r="W2040">
        <v>70</v>
      </c>
      <c r="Z2040">
        <v>0</v>
      </c>
      <c r="AA2040" t="s">
        <v>3434</v>
      </c>
    </row>
    <row r="2041" spans="1:27" x14ac:dyDescent="0.25">
      <c r="H2041">
        <v>215</v>
      </c>
    </row>
    <row r="2042" spans="1:27" x14ac:dyDescent="0.25">
      <c r="A2042">
        <v>1018</v>
      </c>
      <c r="B2042">
        <v>1351</v>
      </c>
      <c r="C2042" t="s">
        <v>3435</v>
      </c>
      <c r="D2042" t="s">
        <v>1104</v>
      </c>
      <c r="E2042" t="s">
        <v>128</v>
      </c>
      <c r="F2042" t="s">
        <v>3436</v>
      </c>
      <c r="G2042" t="str">
        <f>"201304005799"</f>
        <v>201304005799</v>
      </c>
      <c r="H2042">
        <v>671</v>
      </c>
      <c r="I2042">
        <v>0</v>
      </c>
      <c r="J2042">
        <v>0</v>
      </c>
      <c r="K2042">
        <v>0</v>
      </c>
      <c r="L2042">
        <v>0</v>
      </c>
      <c r="M2042">
        <v>100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13</v>
      </c>
      <c r="W2042">
        <v>91</v>
      </c>
      <c r="Z2042">
        <v>0</v>
      </c>
      <c r="AA2042">
        <v>862</v>
      </c>
    </row>
    <row r="2043" spans="1:27" x14ac:dyDescent="0.25">
      <c r="H2043">
        <v>213</v>
      </c>
    </row>
    <row r="2044" spans="1:27" x14ac:dyDescent="0.25">
      <c r="A2044">
        <v>1019</v>
      </c>
      <c r="B2044">
        <v>2396</v>
      </c>
      <c r="C2044" t="s">
        <v>3437</v>
      </c>
      <c r="D2044" t="s">
        <v>158</v>
      </c>
      <c r="E2044" t="s">
        <v>85</v>
      </c>
      <c r="F2044" t="s">
        <v>3438</v>
      </c>
      <c r="G2044" t="str">
        <f>"00013932"</f>
        <v>00013932</v>
      </c>
      <c r="H2044">
        <v>748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16</v>
      </c>
      <c r="W2044">
        <v>112</v>
      </c>
      <c r="Z2044">
        <v>0</v>
      </c>
      <c r="AA2044">
        <v>860</v>
      </c>
    </row>
    <row r="2045" spans="1:27" x14ac:dyDescent="0.25">
      <c r="H2045">
        <v>215</v>
      </c>
    </row>
    <row r="2046" spans="1:27" x14ac:dyDescent="0.25">
      <c r="A2046">
        <v>1020</v>
      </c>
      <c r="B2046">
        <v>2613</v>
      </c>
      <c r="C2046" t="s">
        <v>3439</v>
      </c>
      <c r="D2046" t="s">
        <v>304</v>
      </c>
      <c r="E2046" t="s">
        <v>108</v>
      </c>
      <c r="F2046" t="s">
        <v>3440</v>
      </c>
      <c r="G2046" t="str">
        <f>"201604001823"</f>
        <v>201604001823</v>
      </c>
      <c r="H2046" t="s">
        <v>1331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70</v>
      </c>
      <c r="O2046">
        <v>30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30</v>
      </c>
      <c r="V2046">
        <v>0</v>
      </c>
      <c r="W2046">
        <v>0</v>
      </c>
      <c r="Z2046">
        <v>1</v>
      </c>
      <c r="AA2046" t="s">
        <v>3441</v>
      </c>
    </row>
    <row r="2047" spans="1:27" x14ac:dyDescent="0.25">
      <c r="H2047" t="s">
        <v>223</v>
      </c>
    </row>
    <row r="2048" spans="1:27" x14ac:dyDescent="0.25">
      <c r="A2048">
        <v>1021</v>
      </c>
      <c r="B2048">
        <v>3171</v>
      </c>
      <c r="C2048" t="s">
        <v>3442</v>
      </c>
      <c r="D2048" t="s">
        <v>3443</v>
      </c>
      <c r="E2048" t="s">
        <v>3023</v>
      </c>
      <c r="F2048" t="s">
        <v>3444</v>
      </c>
      <c r="G2048" t="str">
        <f>"201405000104"</f>
        <v>201405000104</v>
      </c>
      <c r="H2048">
        <v>858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0</v>
      </c>
      <c r="Z2048">
        <v>0</v>
      </c>
      <c r="AA2048">
        <v>858</v>
      </c>
    </row>
    <row r="2049" spans="1:27" x14ac:dyDescent="0.25">
      <c r="H2049">
        <v>215</v>
      </c>
    </row>
    <row r="2050" spans="1:27" x14ac:dyDescent="0.25">
      <c r="A2050">
        <v>1022</v>
      </c>
      <c r="B2050">
        <v>3236</v>
      </c>
      <c r="C2050" t="s">
        <v>2090</v>
      </c>
      <c r="D2050" t="s">
        <v>1138</v>
      </c>
      <c r="E2050" t="s">
        <v>1155</v>
      </c>
      <c r="F2050" t="s">
        <v>3445</v>
      </c>
      <c r="G2050" t="str">
        <f>"00011116"</f>
        <v>00011116</v>
      </c>
      <c r="H2050">
        <v>737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70</v>
      </c>
      <c r="O2050">
        <v>50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Z2050">
        <v>0</v>
      </c>
      <c r="AA2050">
        <v>857</v>
      </c>
    </row>
    <row r="2051" spans="1:27" x14ac:dyDescent="0.25">
      <c r="H2051">
        <v>215</v>
      </c>
    </row>
    <row r="2052" spans="1:27" x14ac:dyDescent="0.25">
      <c r="A2052">
        <v>1023</v>
      </c>
      <c r="B2052">
        <v>2939</v>
      </c>
      <c r="C2052" t="s">
        <v>436</v>
      </c>
      <c r="D2052" t="s">
        <v>533</v>
      </c>
      <c r="E2052" t="s">
        <v>225</v>
      </c>
      <c r="F2052" t="s">
        <v>3446</v>
      </c>
      <c r="G2052" t="str">
        <f>"00013061"</f>
        <v>00013061</v>
      </c>
      <c r="H2052" t="s">
        <v>588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0</v>
      </c>
      <c r="Z2052">
        <v>0</v>
      </c>
      <c r="AA2052" t="s">
        <v>3447</v>
      </c>
    </row>
    <row r="2053" spans="1:27" x14ac:dyDescent="0.25">
      <c r="H2053" t="s">
        <v>78</v>
      </c>
    </row>
    <row r="2054" spans="1:27" x14ac:dyDescent="0.25">
      <c r="A2054">
        <v>1024</v>
      </c>
      <c r="B2054">
        <v>1641</v>
      </c>
      <c r="C2054" t="s">
        <v>859</v>
      </c>
      <c r="D2054" t="s">
        <v>168</v>
      </c>
      <c r="E2054" t="s">
        <v>304</v>
      </c>
      <c r="F2054" t="s">
        <v>3448</v>
      </c>
      <c r="G2054" t="str">
        <f>"201304005233"</f>
        <v>201304005233</v>
      </c>
      <c r="H2054" t="s">
        <v>1996</v>
      </c>
      <c r="I2054">
        <v>0</v>
      </c>
      <c r="J2054">
        <v>0</v>
      </c>
      <c r="K2054">
        <v>0</v>
      </c>
      <c r="L2054">
        <v>0</v>
      </c>
      <c r="M2054">
        <v>100</v>
      </c>
      <c r="N2054">
        <v>70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Z2054">
        <v>0</v>
      </c>
      <c r="AA2054" t="s">
        <v>3449</v>
      </c>
    </row>
    <row r="2055" spans="1:27" x14ac:dyDescent="0.25">
      <c r="H2055" t="s">
        <v>31</v>
      </c>
    </row>
    <row r="2056" spans="1:27" x14ac:dyDescent="0.25">
      <c r="A2056">
        <v>1025</v>
      </c>
      <c r="B2056">
        <v>1534</v>
      </c>
      <c r="C2056" t="s">
        <v>3450</v>
      </c>
      <c r="D2056" t="s">
        <v>64</v>
      </c>
      <c r="E2056" t="s">
        <v>14</v>
      </c>
      <c r="F2056" t="s">
        <v>3451</v>
      </c>
      <c r="G2056" t="str">
        <f>"201406018250"</f>
        <v>201406018250</v>
      </c>
      <c r="H2056" t="s">
        <v>558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5</v>
      </c>
      <c r="W2056">
        <v>35</v>
      </c>
      <c r="Z2056">
        <v>0</v>
      </c>
      <c r="AA2056" t="s">
        <v>3452</v>
      </c>
    </row>
    <row r="2057" spans="1:27" x14ac:dyDescent="0.25">
      <c r="H2057" t="s">
        <v>78</v>
      </c>
    </row>
    <row r="2058" spans="1:27" x14ac:dyDescent="0.25">
      <c r="A2058">
        <v>1026</v>
      </c>
      <c r="B2058">
        <v>1271</v>
      </c>
      <c r="C2058" t="s">
        <v>3453</v>
      </c>
      <c r="D2058" t="s">
        <v>3454</v>
      </c>
      <c r="E2058" t="s">
        <v>158</v>
      </c>
      <c r="F2058" t="s">
        <v>3455</v>
      </c>
      <c r="G2058" t="str">
        <f>"201406010297"</f>
        <v>201406010297</v>
      </c>
      <c r="H2058">
        <v>803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50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Z2058">
        <v>2</v>
      </c>
      <c r="AA2058">
        <v>853</v>
      </c>
    </row>
    <row r="2059" spans="1:27" x14ac:dyDescent="0.25">
      <c r="H2059" t="s">
        <v>645</v>
      </c>
    </row>
    <row r="2060" spans="1:27" x14ac:dyDescent="0.25">
      <c r="A2060">
        <v>1027</v>
      </c>
      <c r="B2060">
        <v>1109</v>
      </c>
      <c r="C2060" t="s">
        <v>3456</v>
      </c>
      <c r="D2060" t="s">
        <v>64</v>
      </c>
      <c r="E2060" t="s">
        <v>158</v>
      </c>
      <c r="F2060" t="s">
        <v>3457</v>
      </c>
      <c r="G2060" t="str">
        <f>"00011027"</f>
        <v>00011027</v>
      </c>
      <c r="H2060">
        <v>781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Z2060">
        <v>0</v>
      </c>
      <c r="AA2060">
        <v>851</v>
      </c>
    </row>
    <row r="2061" spans="1:27" x14ac:dyDescent="0.25">
      <c r="H2061">
        <v>215</v>
      </c>
    </row>
    <row r="2062" spans="1:27" x14ac:dyDescent="0.25">
      <c r="A2062">
        <v>1028</v>
      </c>
      <c r="B2062">
        <v>2330</v>
      </c>
      <c r="C2062" t="s">
        <v>2158</v>
      </c>
      <c r="D2062" t="s">
        <v>647</v>
      </c>
      <c r="E2062" t="s">
        <v>1187</v>
      </c>
      <c r="F2062" t="s">
        <v>3458</v>
      </c>
      <c r="G2062" t="str">
        <f>"201406017399"</f>
        <v>201406017399</v>
      </c>
      <c r="H2062" t="s">
        <v>763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70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8</v>
      </c>
      <c r="W2062">
        <v>56</v>
      </c>
      <c r="Z2062">
        <v>0</v>
      </c>
      <c r="AA2062" t="s">
        <v>3459</v>
      </c>
    </row>
    <row r="2063" spans="1:27" x14ac:dyDescent="0.25">
      <c r="H2063" t="s">
        <v>25</v>
      </c>
    </row>
    <row r="2064" spans="1:27" x14ac:dyDescent="0.25">
      <c r="A2064">
        <v>1029</v>
      </c>
      <c r="B2064">
        <v>2298</v>
      </c>
      <c r="C2064" t="s">
        <v>3460</v>
      </c>
      <c r="D2064" t="s">
        <v>2311</v>
      </c>
      <c r="E2064" t="s">
        <v>114</v>
      </c>
      <c r="F2064" t="s">
        <v>3461</v>
      </c>
      <c r="G2064" t="str">
        <f>"201604001679"</f>
        <v>201604001679</v>
      </c>
      <c r="H2064" t="s">
        <v>441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70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5</v>
      </c>
      <c r="W2064">
        <v>35</v>
      </c>
      <c r="Z2064">
        <v>0</v>
      </c>
      <c r="AA2064" t="s">
        <v>3462</v>
      </c>
    </row>
    <row r="2065" spans="1:27" x14ac:dyDescent="0.25">
      <c r="H2065" t="s">
        <v>31</v>
      </c>
    </row>
    <row r="2066" spans="1:27" x14ac:dyDescent="0.25">
      <c r="A2066">
        <v>1030</v>
      </c>
      <c r="B2066">
        <v>1496</v>
      </c>
      <c r="C2066" t="s">
        <v>3463</v>
      </c>
      <c r="D2066" t="s">
        <v>1957</v>
      </c>
      <c r="E2066" t="s">
        <v>64</v>
      </c>
      <c r="F2066" t="s">
        <v>3464</v>
      </c>
      <c r="G2066" t="str">
        <f>"201402005171"</f>
        <v>201402005171</v>
      </c>
      <c r="H2066" t="s">
        <v>773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70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Z2066">
        <v>0</v>
      </c>
      <c r="AA2066" t="s">
        <v>3465</v>
      </c>
    </row>
    <row r="2067" spans="1:27" x14ac:dyDescent="0.25">
      <c r="H2067" t="s">
        <v>31</v>
      </c>
    </row>
    <row r="2068" spans="1:27" x14ac:dyDescent="0.25">
      <c r="A2068">
        <v>1031</v>
      </c>
      <c r="B2068">
        <v>1723</v>
      </c>
      <c r="C2068" t="s">
        <v>3466</v>
      </c>
      <c r="D2068" t="s">
        <v>14</v>
      </c>
      <c r="E2068" t="s">
        <v>2574</v>
      </c>
      <c r="F2068" t="s">
        <v>3467</v>
      </c>
      <c r="G2068" t="str">
        <f>"200904000133"</f>
        <v>200904000133</v>
      </c>
      <c r="H2068" t="s">
        <v>1167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Z2068">
        <v>1</v>
      </c>
      <c r="AA2068" t="s">
        <v>1167</v>
      </c>
    </row>
    <row r="2069" spans="1:27" x14ac:dyDescent="0.25">
      <c r="H2069">
        <v>215</v>
      </c>
    </row>
    <row r="2070" spans="1:27" x14ac:dyDescent="0.25">
      <c r="A2070">
        <v>1032</v>
      </c>
      <c r="B2070">
        <v>1065</v>
      </c>
      <c r="C2070" t="s">
        <v>3081</v>
      </c>
      <c r="D2070" t="s">
        <v>65</v>
      </c>
      <c r="E2070" t="s">
        <v>304</v>
      </c>
      <c r="F2070" t="s">
        <v>3468</v>
      </c>
      <c r="G2070" t="str">
        <f>"201303000809"</f>
        <v>201303000809</v>
      </c>
      <c r="H2070" t="s">
        <v>2096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30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24</v>
      </c>
      <c r="W2070">
        <v>168</v>
      </c>
      <c r="Z2070">
        <v>2</v>
      </c>
      <c r="AA2070" t="s">
        <v>1167</v>
      </c>
    </row>
    <row r="2071" spans="1:27" x14ac:dyDescent="0.25">
      <c r="H2071">
        <v>213</v>
      </c>
    </row>
    <row r="2072" spans="1:27" x14ac:dyDescent="0.25">
      <c r="A2072">
        <v>1033</v>
      </c>
      <c r="B2072">
        <v>2452</v>
      </c>
      <c r="C2072" t="s">
        <v>3469</v>
      </c>
      <c r="D2072" t="s">
        <v>85</v>
      </c>
      <c r="E2072" t="s">
        <v>3470</v>
      </c>
      <c r="F2072" t="s">
        <v>3471</v>
      </c>
      <c r="G2072" t="str">
        <f>"201511008275"</f>
        <v>201511008275</v>
      </c>
      <c r="H2072" t="s">
        <v>739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70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Z2072">
        <v>0</v>
      </c>
      <c r="AA2072" t="s">
        <v>3472</v>
      </c>
    </row>
    <row r="2073" spans="1:27" x14ac:dyDescent="0.25">
      <c r="H2073" t="s">
        <v>248</v>
      </c>
    </row>
    <row r="2074" spans="1:27" x14ac:dyDescent="0.25">
      <c r="A2074">
        <v>1034</v>
      </c>
      <c r="B2074">
        <v>181</v>
      </c>
      <c r="C2074" t="s">
        <v>1129</v>
      </c>
      <c r="D2074" t="s">
        <v>151</v>
      </c>
      <c r="E2074" t="s">
        <v>85</v>
      </c>
      <c r="F2074" t="s">
        <v>3473</v>
      </c>
      <c r="G2074" t="str">
        <f>"201409003570"</f>
        <v>201409003570</v>
      </c>
      <c r="H2074" t="s">
        <v>681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Z2074">
        <v>0</v>
      </c>
      <c r="AA2074" t="s">
        <v>3474</v>
      </c>
    </row>
    <row r="2075" spans="1:27" x14ac:dyDescent="0.25">
      <c r="H2075">
        <v>215</v>
      </c>
    </row>
    <row r="2076" spans="1:27" x14ac:dyDescent="0.25">
      <c r="A2076">
        <v>1035</v>
      </c>
      <c r="B2076">
        <v>1049</v>
      </c>
      <c r="C2076" t="s">
        <v>756</v>
      </c>
      <c r="D2076" t="s">
        <v>14</v>
      </c>
      <c r="E2076" t="s">
        <v>225</v>
      </c>
      <c r="F2076" t="s">
        <v>3475</v>
      </c>
      <c r="G2076" t="str">
        <f>"201504001666"</f>
        <v>201504001666</v>
      </c>
      <c r="H2076" t="s">
        <v>2923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50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26</v>
      </c>
      <c r="W2076">
        <v>182</v>
      </c>
      <c r="Z2076">
        <v>0</v>
      </c>
      <c r="AA2076" t="s">
        <v>3476</v>
      </c>
    </row>
    <row r="2077" spans="1:27" x14ac:dyDescent="0.25">
      <c r="H2077">
        <v>215</v>
      </c>
    </row>
    <row r="2078" spans="1:27" x14ac:dyDescent="0.25">
      <c r="A2078">
        <v>1036</v>
      </c>
      <c r="B2078">
        <v>814</v>
      </c>
      <c r="C2078" t="s">
        <v>324</v>
      </c>
      <c r="D2078" t="s">
        <v>891</v>
      </c>
      <c r="E2078" t="s">
        <v>182</v>
      </c>
      <c r="F2078" t="s">
        <v>3477</v>
      </c>
      <c r="G2078" t="str">
        <f>"201402009890"</f>
        <v>201402009890</v>
      </c>
      <c r="H2078" t="s">
        <v>636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70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Z2078">
        <v>1</v>
      </c>
      <c r="AA2078" t="s">
        <v>3478</v>
      </c>
    </row>
    <row r="2079" spans="1:27" x14ac:dyDescent="0.25">
      <c r="H2079" t="s">
        <v>904</v>
      </c>
    </row>
    <row r="2080" spans="1:27" x14ac:dyDescent="0.25">
      <c r="A2080">
        <v>1037</v>
      </c>
      <c r="B2080">
        <v>3149</v>
      </c>
      <c r="C2080" t="s">
        <v>3479</v>
      </c>
      <c r="D2080" t="s">
        <v>151</v>
      </c>
      <c r="E2080" t="s">
        <v>387</v>
      </c>
      <c r="F2080" t="s">
        <v>3480</v>
      </c>
      <c r="G2080" t="str">
        <f>"201406008576"</f>
        <v>201406008576</v>
      </c>
      <c r="H2080" t="s">
        <v>1938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0</v>
      </c>
      <c r="W2080">
        <v>0</v>
      </c>
      <c r="Z2080">
        <v>0</v>
      </c>
      <c r="AA2080" t="s">
        <v>3481</v>
      </c>
    </row>
    <row r="2081" spans="1:27" x14ac:dyDescent="0.25">
      <c r="H2081" t="s">
        <v>25</v>
      </c>
    </row>
    <row r="2082" spans="1:27" x14ac:dyDescent="0.25">
      <c r="A2082">
        <v>1038</v>
      </c>
      <c r="B2082">
        <v>1762</v>
      </c>
      <c r="C2082" t="s">
        <v>3482</v>
      </c>
      <c r="D2082" t="s">
        <v>114</v>
      </c>
      <c r="E2082" t="s">
        <v>753</v>
      </c>
      <c r="F2082" t="s">
        <v>3483</v>
      </c>
      <c r="G2082" t="str">
        <f>"201410001915"</f>
        <v>201410001915</v>
      </c>
      <c r="H2082" t="s">
        <v>1592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32</v>
      </c>
      <c r="W2082">
        <v>224</v>
      </c>
      <c r="Z2082">
        <v>0</v>
      </c>
      <c r="AA2082" t="s">
        <v>3484</v>
      </c>
    </row>
    <row r="2083" spans="1:27" x14ac:dyDescent="0.25">
      <c r="H2083" t="s">
        <v>106</v>
      </c>
    </row>
    <row r="2084" spans="1:27" x14ac:dyDescent="0.25">
      <c r="A2084">
        <v>1039</v>
      </c>
      <c r="B2084">
        <v>3129</v>
      </c>
      <c r="C2084" t="s">
        <v>3485</v>
      </c>
      <c r="D2084" t="s">
        <v>3486</v>
      </c>
      <c r="E2084" t="s">
        <v>158</v>
      </c>
      <c r="F2084" t="s">
        <v>3487</v>
      </c>
      <c r="G2084" t="str">
        <f>"201504002800"</f>
        <v>201504002800</v>
      </c>
      <c r="H2084" t="s">
        <v>604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Z2084">
        <v>0</v>
      </c>
      <c r="AA2084" t="s">
        <v>3488</v>
      </c>
    </row>
    <row r="2085" spans="1:27" x14ac:dyDescent="0.25">
      <c r="H2085" t="s">
        <v>1606</v>
      </c>
    </row>
    <row r="2086" spans="1:27" x14ac:dyDescent="0.25">
      <c r="A2086">
        <v>1040</v>
      </c>
      <c r="B2086">
        <v>1155</v>
      </c>
      <c r="C2086" t="s">
        <v>3489</v>
      </c>
      <c r="D2086" t="s">
        <v>80</v>
      </c>
      <c r="E2086" t="s">
        <v>14</v>
      </c>
      <c r="F2086" t="s">
        <v>3490</v>
      </c>
      <c r="G2086" t="str">
        <f>"201409006372"</f>
        <v>201409006372</v>
      </c>
      <c r="H2086" t="s">
        <v>2126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70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Z2086">
        <v>0</v>
      </c>
      <c r="AA2086" t="s">
        <v>3491</v>
      </c>
    </row>
    <row r="2087" spans="1:27" x14ac:dyDescent="0.25">
      <c r="H2087">
        <v>215</v>
      </c>
    </row>
    <row r="2088" spans="1:27" x14ac:dyDescent="0.25">
      <c r="A2088">
        <v>1041</v>
      </c>
      <c r="B2088">
        <v>931</v>
      </c>
      <c r="C2088" t="s">
        <v>3492</v>
      </c>
      <c r="D2088" t="s">
        <v>123</v>
      </c>
      <c r="E2088" t="s">
        <v>85</v>
      </c>
      <c r="F2088" t="s">
        <v>3493</v>
      </c>
      <c r="G2088" t="str">
        <f>"201406013397"</f>
        <v>201406013397</v>
      </c>
      <c r="H2088" t="s">
        <v>1631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Z2088">
        <v>2</v>
      </c>
      <c r="AA2088" t="s">
        <v>3494</v>
      </c>
    </row>
    <row r="2089" spans="1:27" x14ac:dyDescent="0.25">
      <c r="H2089" t="s">
        <v>298</v>
      </c>
    </row>
    <row r="2090" spans="1:27" x14ac:dyDescent="0.25">
      <c r="A2090">
        <v>1042</v>
      </c>
      <c r="B2090">
        <v>460</v>
      </c>
      <c r="C2090" t="s">
        <v>3495</v>
      </c>
      <c r="D2090" t="s">
        <v>235</v>
      </c>
      <c r="E2090" t="s">
        <v>64</v>
      </c>
      <c r="F2090" t="s">
        <v>3496</v>
      </c>
      <c r="G2090" t="str">
        <f>"201504002393"</f>
        <v>201504002393</v>
      </c>
      <c r="H2090">
        <v>770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Z2090">
        <v>0</v>
      </c>
      <c r="AA2090">
        <v>840</v>
      </c>
    </row>
    <row r="2091" spans="1:27" x14ac:dyDescent="0.25">
      <c r="H2091" t="s">
        <v>248</v>
      </c>
    </row>
    <row r="2092" spans="1:27" x14ac:dyDescent="0.25">
      <c r="A2092">
        <v>1043</v>
      </c>
      <c r="B2092">
        <v>279</v>
      </c>
      <c r="C2092" t="s">
        <v>3497</v>
      </c>
      <c r="D2092" t="s">
        <v>41</v>
      </c>
      <c r="E2092" t="s">
        <v>188</v>
      </c>
      <c r="F2092" t="s">
        <v>3498</v>
      </c>
      <c r="G2092" t="str">
        <f>"00014418"</f>
        <v>00014418</v>
      </c>
      <c r="H2092" t="s">
        <v>1078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10</v>
      </c>
      <c r="W2092">
        <v>70</v>
      </c>
      <c r="Z2092">
        <v>0</v>
      </c>
      <c r="AA2092" t="s">
        <v>3499</v>
      </c>
    </row>
    <row r="2093" spans="1:27" x14ac:dyDescent="0.25">
      <c r="H2093" t="s">
        <v>248</v>
      </c>
    </row>
    <row r="2094" spans="1:27" x14ac:dyDescent="0.25">
      <c r="A2094">
        <v>1044</v>
      </c>
      <c r="B2094">
        <v>1700</v>
      </c>
      <c r="C2094" t="s">
        <v>3500</v>
      </c>
      <c r="D2094" t="s">
        <v>427</v>
      </c>
      <c r="E2094" t="s">
        <v>225</v>
      </c>
      <c r="F2094" t="s">
        <v>3501</v>
      </c>
      <c r="G2094" t="str">
        <f>"201412003208"</f>
        <v>201412003208</v>
      </c>
      <c r="H2094" t="s">
        <v>739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30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Z2094">
        <v>0</v>
      </c>
      <c r="AA2094" t="s">
        <v>3502</v>
      </c>
    </row>
    <row r="2095" spans="1:27" x14ac:dyDescent="0.25">
      <c r="H2095">
        <v>215</v>
      </c>
    </row>
    <row r="2096" spans="1:27" x14ac:dyDescent="0.25">
      <c r="A2096">
        <v>1045</v>
      </c>
      <c r="B2096">
        <v>616</v>
      </c>
      <c r="C2096" t="s">
        <v>3503</v>
      </c>
      <c r="D2096" t="s">
        <v>3504</v>
      </c>
      <c r="E2096" t="s">
        <v>64</v>
      </c>
      <c r="F2096" t="s">
        <v>3505</v>
      </c>
      <c r="G2096" t="str">
        <f>"00013804"</f>
        <v>00013804</v>
      </c>
      <c r="H2096" t="s">
        <v>811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30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Z2096">
        <v>0</v>
      </c>
      <c r="AA2096" t="s">
        <v>3506</v>
      </c>
    </row>
    <row r="2097" spans="1:27" x14ac:dyDescent="0.25">
      <c r="H2097">
        <v>215</v>
      </c>
    </row>
    <row r="2098" spans="1:27" x14ac:dyDescent="0.25">
      <c r="A2098">
        <v>1046</v>
      </c>
      <c r="B2098">
        <v>2776</v>
      </c>
      <c r="C2098" t="s">
        <v>330</v>
      </c>
      <c r="D2098" t="s">
        <v>3507</v>
      </c>
      <c r="E2098" t="s">
        <v>108</v>
      </c>
      <c r="F2098" t="s">
        <v>3508</v>
      </c>
      <c r="G2098" t="str">
        <f>"00013170"</f>
        <v>00013170</v>
      </c>
      <c r="H2098" t="s">
        <v>246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Z2098">
        <v>0</v>
      </c>
      <c r="AA2098" t="s">
        <v>246</v>
      </c>
    </row>
    <row r="2099" spans="1:27" x14ac:dyDescent="0.25">
      <c r="H2099" t="s">
        <v>78</v>
      </c>
    </row>
    <row r="2100" spans="1:27" x14ac:dyDescent="0.25">
      <c r="A2100">
        <v>1047</v>
      </c>
      <c r="B2100">
        <v>796</v>
      </c>
      <c r="C2100" t="s">
        <v>3509</v>
      </c>
      <c r="D2100" t="s">
        <v>64</v>
      </c>
      <c r="E2100" t="s">
        <v>108</v>
      </c>
      <c r="F2100" t="s">
        <v>3510</v>
      </c>
      <c r="G2100" t="str">
        <f>"00015100"</f>
        <v>00015100</v>
      </c>
      <c r="H2100">
        <v>781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50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Z2100">
        <v>0</v>
      </c>
      <c r="AA2100">
        <v>831</v>
      </c>
    </row>
    <row r="2101" spans="1:27" x14ac:dyDescent="0.25">
      <c r="H2101" t="s">
        <v>106</v>
      </c>
    </row>
    <row r="2102" spans="1:27" x14ac:dyDescent="0.25">
      <c r="A2102">
        <v>1048</v>
      </c>
      <c r="B2102">
        <v>3025</v>
      </c>
      <c r="C2102" t="s">
        <v>3511</v>
      </c>
      <c r="D2102" t="s">
        <v>1138</v>
      </c>
      <c r="E2102" t="s">
        <v>284</v>
      </c>
      <c r="F2102" t="s">
        <v>3512</v>
      </c>
      <c r="G2102" t="str">
        <f>"00011595"</f>
        <v>00011595</v>
      </c>
      <c r="H2102" t="s">
        <v>3513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Z2102">
        <v>0</v>
      </c>
      <c r="AA2102" t="s">
        <v>3513</v>
      </c>
    </row>
    <row r="2103" spans="1:27" x14ac:dyDescent="0.25">
      <c r="H2103">
        <v>215</v>
      </c>
    </row>
    <row r="2104" spans="1:27" x14ac:dyDescent="0.25">
      <c r="A2104">
        <v>1049</v>
      </c>
      <c r="B2104">
        <v>1892</v>
      </c>
      <c r="C2104" t="s">
        <v>3514</v>
      </c>
      <c r="D2104" t="s">
        <v>329</v>
      </c>
      <c r="E2104" t="s">
        <v>3515</v>
      </c>
      <c r="F2104" t="s">
        <v>3516</v>
      </c>
      <c r="G2104" t="str">
        <f>"201410008639"</f>
        <v>201410008639</v>
      </c>
      <c r="H2104" t="s">
        <v>1331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70</v>
      </c>
      <c r="O2104">
        <v>0</v>
      </c>
      <c r="P2104">
        <v>0</v>
      </c>
      <c r="Q2104">
        <v>30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Z2104">
        <v>1</v>
      </c>
      <c r="AA2104" t="s">
        <v>3517</v>
      </c>
    </row>
    <row r="2105" spans="1:27" x14ac:dyDescent="0.25">
      <c r="H2105">
        <v>215</v>
      </c>
    </row>
    <row r="2106" spans="1:27" x14ac:dyDescent="0.25">
      <c r="A2106">
        <v>1050</v>
      </c>
      <c r="B2106">
        <v>61</v>
      </c>
      <c r="C2106" t="s">
        <v>3518</v>
      </c>
      <c r="D2106" t="s">
        <v>499</v>
      </c>
      <c r="E2106" t="s">
        <v>114</v>
      </c>
      <c r="F2106" t="s">
        <v>3519</v>
      </c>
      <c r="G2106" t="str">
        <f>"00013186"</f>
        <v>00013186</v>
      </c>
      <c r="H2106">
        <v>759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70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Z2106">
        <v>0</v>
      </c>
      <c r="AA2106">
        <v>829</v>
      </c>
    </row>
    <row r="2107" spans="1:27" x14ac:dyDescent="0.25">
      <c r="H2107" t="s">
        <v>25</v>
      </c>
    </row>
    <row r="2108" spans="1:27" x14ac:dyDescent="0.25">
      <c r="A2108">
        <v>1051</v>
      </c>
      <c r="B2108">
        <v>3233</v>
      </c>
      <c r="C2108" t="s">
        <v>3520</v>
      </c>
      <c r="D2108" t="s">
        <v>3288</v>
      </c>
      <c r="E2108" t="s">
        <v>14</v>
      </c>
      <c r="F2108" t="s">
        <v>3521</v>
      </c>
      <c r="G2108" t="str">
        <f>"00011858"</f>
        <v>00011858</v>
      </c>
      <c r="H2108" t="s">
        <v>636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50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Z2108">
        <v>0</v>
      </c>
      <c r="AA2108" t="s">
        <v>3522</v>
      </c>
    </row>
    <row r="2109" spans="1:27" x14ac:dyDescent="0.25">
      <c r="H2109" t="s">
        <v>2045</v>
      </c>
    </row>
    <row r="2110" spans="1:27" x14ac:dyDescent="0.25">
      <c r="A2110">
        <v>1052</v>
      </c>
      <c r="B2110">
        <v>837</v>
      </c>
      <c r="C2110" t="s">
        <v>3523</v>
      </c>
      <c r="D2110" t="s">
        <v>3524</v>
      </c>
      <c r="E2110" t="s">
        <v>27</v>
      </c>
      <c r="F2110" t="s">
        <v>3525</v>
      </c>
      <c r="G2110" t="str">
        <f>"200712004937"</f>
        <v>200712004937</v>
      </c>
      <c r="H2110" t="s">
        <v>301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30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Z2110">
        <v>0</v>
      </c>
      <c r="AA2110" t="s">
        <v>3526</v>
      </c>
    </row>
    <row r="2111" spans="1:27" x14ac:dyDescent="0.25">
      <c r="H2111">
        <v>215</v>
      </c>
    </row>
    <row r="2112" spans="1:27" x14ac:dyDescent="0.25">
      <c r="A2112">
        <v>1053</v>
      </c>
      <c r="B2112">
        <v>52</v>
      </c>
      <c r="C2112" t="s">
        <v>3527</v>
      </c>
      <c r="D2112" t="s">
        <v>158</v>
      </c>
      <c r="E2112" t="s">
        <v>64</v>
      </c>
      <c r="F2112" t="s">
        <v>3528</v>
      </c>
      <c r="G2112" t="str">
        <f>"00012788"</f>
        <v>00012788</v>
      </c>
      <c r="H2112" t="s">
        <v>844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70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6</v>
      </c>
      <c r="W2112">
        <v>42</v>
      </c>
      <c r="Z2112">
        <v>0</v>
      </c>
      <c r="AA2112" t="s">
        <v>3529</v>
      </c>
    </row>
    <row r="2113" spans="1:27" x14ac:dyDescent="0.25">
      <c r="H2113" t="s">
        <v>31</v>
      </c>
    </row>
    <row r="2114" spans="1:27" x14ac:dyDescent="0.25">
      <c r="A2114">
        <v>1054</v>
      </c>
      <c r="B2114">
        <v>2781</v>
      </c>
      <c r="C2114" t="s">
        <v>3530</v>
      </c>
      <c r="D2114" t="s">
        <v>879</v>
      </c>
      <c r="E2114" t="s">
        <v>304</v>
      </c>
      <c r="F2114" t="s">
        <v>3531</v>
      </c>
      <c r="G2114" t="str">
        <f>"201409005261"</f>
        <v>201409005261</v>
      </c>
      <c r="H2114" t="s">
        <v>269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70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Z2114">
        <v>0</v>
      </c>
      <c r="AA2114" t="s">
        <v>3532</v>
      </c>
    </row>
    <row r="2115" spans="1:27" x14ac:dyDescent="0.25">
      <c r="H2115" t="s">
        <v>25</v>
      </c>
    </row>
    <row r="2116" spans="1:27" x14ac:dyDescent="0.25">
      <c r="A2116">
        <v>1055</v>
      </c>
      <c r="B2116">
        <v>3068</v>
      </c>
      <c r="C2116" t="s">
        <v>318</v>
      </c>
      <c r="D2116" t="s">
        <v>3533</v>
      </c>
      <c r="E2116" t="s">
        <v>3251</v>
      </c>
      <c r="F2116" t="s">
        <v>3534</v>
      </c>
      <c r="G2116" t="str">
        <f>"201502002838"</f>
        <v>201502002838</v>
      </c>
      <c r="H2116" t="s">
        <v>1300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Z2116">
        <v>0</v>
      </c>
      <c r="AA2116" t="s">
        <v>3535</v>
      </c>
    </row>
    <row r="2117" spans="1:27" x14ac:dyDescent="0.25">
      <c r="H2117" t="s">
        <v>298</v>
      </c>
    </row>
    <row r="2118" spans="1:27" x14ac:dyDescent="0.25">
      <c r="A2118">
        <v>1056</v>
      </c>
      <c r="B2118">
        <v>1007</v>
      </c>
      <c r="C2118" t="s">
        <v>3536</v>
      </c>
      <c r="D2118" t="s">
        <v>3537</v>
      </c>
      <c r="E2118" t="s">
        <v>128</v>
      </c>
      <c r="F2118" t="s">
        <v>3538</v>
      </c>
      <c r="G2118" t="str">
        <f>"00014764"</f>
        <v>00014764</v>
      </c>
      <c r="H2118" t="s">
        <v>1331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9</v>
      </c>
      <c r="W2118">
        <v>63</v>
      </c>
      <c r="Z2118">
        <v>0</v>
      </c>
      <c r="AA2118" t="s">
        <v>3539</v>
      </c>
    </row>
    <row r="2119" spans="1:27" x14ac:dyDescent="0.25">
      <c r="H2119" t="s">
        <v>106</v>
      </c>
    </row>
    <row r="2120" spans="1:27" x14ac:dyDescent="0.25">
      <c r="A2120">
        <v>1057</v>
      </c>
      <c r="B2120">
        <v>1662</v>
      </c>
      <c r="C2120" t="s">
        <v>3540</v>
      </c>
      <c r="D2120" t="s">
        <v>3541</v>
      </c>
      <c r="E2120" t="s">
        <v>225</v>
      </c>
      <c r="F2120" t="s">
        <v>3542</v>
      </c>
      <c r="G2120" t="str">
        <f>"201406015743"</f>
        <v>201406015743</v>
      </c>
      <c r="H2120" t="s">
        <v>915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30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Z2120">
        <v>2</v>
      </c>
      <c r="AA2120" t="s">
        <v>3543</v>
      </c>
    </row>
    <row r="2121" spans="1:27" x14ac:dyDescent="0.25">
      <c r="H2121">
        <v>216</v>
      </c>
    </row>
    <row r="2122" spans="1:27" x14ac:dyDescent="0.25">
      <c r="A2122">
        <v>1058</v>
      </c>
      <c r="B2122">
        <v>2973</v>
      </c>
      <c r="C2122" t="s">
        <v>3544</v>
      </c>
      <c r="D2122" t="s">
        <v>151</v>
      </c>
      <c r="E2122" t="s">
        <v>225</v>
      </c>
      <c r="F2122" t="s">
        <v>3545</v>
      </c>
      <c r="G2122" t="str">
        <f>"201406007319"</f>
        <v>201406007319</v>
      </c>
      <c r="H2122" t="s">
        <v>1062</v>
      </c>
      <c r="I2122">
        <v>0</v>
      </c>
      <c r="J2122">
        <v>0</v>
      </c>
      <c r="K2122">
        <v>0</v>
      </c>
      <c r="L2122">
        <v>0</v>
      </c>
      <c r="M2122">
        <v>100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Z2122">
        <v>0</v>
      </c>
      <c r="AA2122" t="s">
        <v>3546</v>
      </c>
    </row>
    <row r="2123" spans="1:27" x14ac:dyDescent="0.25">
      <c r="H2123" t="s">
        <v>293</v>
      </c>
    </row>
    <row r="2124" spans="1:27" x14ac:dyDescent="0.25">
      <c r="A2124">
        <v>1059</v>
      </c>
      <c r="B2124">
        <v>2160</v>
      </c>
      <c r="C2124" t="s">
        <v>3450</v>
      </c>
      <c r="D2124" t="s">
        <v>64</v>
      </c>
      <c r="E2124" t="s">
        <v>85</v>
      </c>
      <c r="F2124" t="s">
        <v>3547</v>
      </c>
      <c r="G2124" t="str">
        <f>"201406004787"</f>
        <v>201406004787</v>
      </c>
      <c r="H2124" t="s">
        <v>2449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Z2124">
        <v>0</v>
      </c>
      <c r="AA2124" t="s">
        <v>3548</v>
      </c>
    </row>
    <row r="2125" spans="1:27" x14ac:dyDescent="0.25">
      <c r="H2125" t="s">
        <v>298</v>
      </c>
    </row>
    <row r="2126" spans="1:27" x14ac:dyDescent="0.25">
      <c r="A2126">
        <v>1060</v>
      </c>
      <c r="B2126">
        <v>1757</v>
      </c>
      <c r="C2126" t="s">
        <v>3549</v>
      </c>
      <c r="D2126" t="s">
        <v>85</v>
      </c>
      <c r="E2126" t="s">
        <v>816</v>
      </c>
      <c r="F2126" t="s">
        <v>3550</v>
      </c>
      <c r="G2126" t="str">
        <f>"201304003169"</f>
        <v>201304003169</v>
      </c>
      <c r="H2126" t="s">
        <v>950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70</v>
      </c>
      <c r="O2126">
        <v>30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Z2126">
        <v>0</v>
      </c>
      <c r="AA2126" t="s">
        <v>3551</v>
      </c>
    </row>
    <row r="2127" spans="1:27" x14ac:dyDescent="0.25">
      <c r="H2127" t="s">
        <v>78</v>
      </c>
    </row>
    <row r="2128" spans="1:27" x14ac:dyDescent="0.25">
      <c r="A2128">
        <v>1061</v>
      </c>
      <c r="B2128">
        <v>3136</v>
      </c>
      <c r="C2128" t="s">
        <v>3552</v>
      </c>
      <c r="D2128" t="s">
        <v>33</v>
      </c>
      <c r="E2128" t="s">
        <v>225</v>
      </c>
      <c r="F2128" t="s">
        <v>3553</v>
      </c>
      <c r="G2128" t="str">
        <f>"201506002702"</f>
        <v>201506002702</v>
      </c>
      <c r="H2128" t="s">
        <v>576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30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Z2128">
        <v>0</v>
      </c>
      <c r="AA2128" t="s">
        <v>3554</v>
      </c>
    </row>
    <row r="2129" spans="1:27" x14ac:dyDescent="0.25">
      <c r="H2129" t="s">
        <v>78</v>
      </c>
    </row>
    <row r="2130" spans="1:27" x14ac:dyDescent="0.25">
      <c r="A2130">
        <v>1062</v>
      </c>
      <c r="B2130">
        <v>2033</v>
      </c>
      <c r="C2130" t="s">
        <v>3555</v>
      </c>
      <c r="D2130" t="s">
        <v>725</v>
      </c>
      <c r="E2130" t="s">
        <v>188</v>
      </c>
      <c r="F2130" t="s">
        <v>3556</v>
      </c>
      <c r="G2130" t="str">
        <f>"201304001591"</f>
        <v>201304001591</v>
      </c>
      <c r="H2130" t="s">
        <v>609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5</v>
      </c>
      <c r="W2130">
        <v>35</v>
      </c>
      <c r="Z2130">
        <v>0</v>
      </c>
      <c r="AA2130" t="s">
        <v>3557</v>
      </c>
    </row>
    <row r="2131" spans="1:27" x14ac:dyDescent="0.25">
      <c r="H2131" t="s">
        <v>659</v>
      </c>
    </row>
    <row r="2132" spans="1:27" x14ac:dyDescent="0.25">
      <c r="A2132">
        <v>1063</v>
      </c>
      <c r="B2132">
        <v>2481</v>
      </c>
      <c r="C2132" t="s">
        <v>3558</v>
      </c>
      <c r="D2132" t="s">
        <v>3559</v>
      </c>
      <c r="E2132" t="s">
        <v>3560</v>
      </c>
      <c r="F2132" t="s">
        <v>3561</v>
      </c>
      <c r="G2132" t="str">
        <f>"00012421"</f>
        <v>00012421</v>
      </c>
      <c r="H2132" t="s">
        <v>588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30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Z2132">
        <v>2</v>
      </c>
      <c r="AA2132" t="s">
        <v>3562</v>
      </c>
    </row>
    <row r="2133" spans="1:27" x14ac:dyDescent="0.25">
      <c r="H2133" t="s">
        <v>298</v>
      </c>
    </row>
    <row r="2134" spans="1:27" x14ac:dyDescent="0.25">
      <c r="A2134">
        <v>1064</v>
      </c>
      <c r="B2134">
        <v>1190</v>
      </c>
      <c r="C2134" t="s">
        <v>3563</v>
      </c>
      <c r="D2134" t="s">
        <v>41</v>
      </c>
      <c r="E2134" t="s">
        <v>123</v>
      </c>
      <c r="F2134" t="s">
        <v>3564</v>
      </c>
      <c r="G2134" t="str">
        <f>"201506000740"</f>
        <v>201506000740</v>
      </c>
      <c r="H2134" t="s">
        <v>1391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Z2134">
        <v>2</v>
      </c>
      <c r="AA2134" t="s">
        <v>3565</v>
      </c>
    </row>
    <row r="2135" spans="1:27" x14ac:dyDescent="0.25">
      <c r="H2135">
        <v>216</v>
      </c>
    </row>
    <row r="2136" spans="1:27" x14ac:dyDescent="0.25">
      <c r="A2136">
        <v>1065</v>
      </c>
      <c r="B2136">
        <v>1085</v>
      </c>
      <c r="C2136" t="s">
        <v>3566</v>
      </c>
      <c r="D2136" t="s">
        <v>80</v>
      </c>
      <c r="E2136" t="s">
        <v>3450</v>
      </c>
      <c r="F2136" t="s">
        <v>3567</v>
      </c>
      <c r="G2136" t="str">
        <f>"00015034"</f>
        <v>00015034</v>
      </c>
      <c r="H2136" t="s">
        <v>315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70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Z2136">
        <v>0</v>
      </c>
      <c r="AA2136" t="s">
        <v>3568</v>
      </c>
    </row>
    <row r="2137" spans="1:27" x14ac:dyDescent="0.25">
      <c r="H2137">
        <v>216</v>
      </c>
    </row>
    <row r="2138" spans="1:27" x14ac:dyDescent="0.25">
      <c r="A2138">
        <v>1066</v>
      </c>
      <c r="B2138">
        <v>1887</v>
      </c>
      <c r="C2138" t="s">
        <v>3569</v>
      </c>
      <c r="D2138" t="s">
        <v>276</v>
      </c>
      <c r="E2138" t="s">
        <v>284</v>
      </c>
      <c r="F2138" t="s">
        <v>3570</v>
      </c>
      <c r="G2138" t="str">
        <f>"200801010201"</f>
        <v>200801010201</v>
      </c>
      <c r="H2138" t="s">
        <v>410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0</v>
      </c>
      <c r="Z2138">
        <v>2</v>
      </c>
      <c r="AA2138" t="s">
        <v>3571</v>
      </c>
    </row>
    <row r="2139" spans="1:27" x14ac:dyDescent="0.25">
      <c r="H2139" t="s">
        <v>298</v>
      </c>
    </row>
    <row r="2140" spans="1:27" x14ac:dyDescent="0.25">
      <c r="A2140">
        <v>1067</v>
      </c>
      <c r="B2140">
        <v>2246</v>
      </c>
      <c r="C2140" t="s">
        <v>3572</v>
      </c>
      <c r="D2140" t="s">
        <v>58</v>
      </c>
      <c r="E2140" t="s">
        <v>85</v>
      </c>
      <c r="F2140" t="s">
        <v>3573</v>
      </c>
      <c r="G2140" t="str">
        <f>"00014379"</f>
        <v>00014379</v>
      </c>
      <c r="H2140" t="s">
        <v>1261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70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Z2140">
        <v>0</v>
      </c>
      <c r="AA2140" t="s">
        <v>3574</v>
      </c>
    </row>
    <row r="2141" spans="1:27" x14ac:dyDescent="0.25">
      <c r="H2141">
        <v>215</v>
      </c>
    </row>
    <row r="2142" spans="1:27" x14ac:dyDescent="0.25">
      <c r="A2142">
        <v>1068</v>
      </c>
      <c r="B2142">
        <v>915</v>
      </c>
      <c r="C2142" t="s">
        <v>3575</v>
      </c>
      <c r="D2142" t="s">
        <v>194</v>
      </c>
      <c r="E2142" t="s">
        <v>2305</v>
      </c>
      <c r="F2142" t="s">
        <v>3576</v>
      </c>
      <c r="G2142" t="str">
        <f>"00013862"</f>
        <v>00013862</v>
      </c>
      <c r="H2142" t="s">
        <v>1261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70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Z2142">
        <v>2</v>
      </c>
      <c r="AA2142" t="s">
        <v>3574</v>
      </c>
    </row>
    <row r="2143" spans="1:27" x14ac:dyDescent="0.25">
      <c r="H2143" t="s">
        <v>904</v>
      </c>
    </row>
    <row r="2144" spans="1:27" x14ac:dyDescent="0.25">
      <c r="A2144">
        <v>1069</v>
      </c>
      <c r="B2144">
        <v>1411</v>
      </c>
      <c r="C2144" t="s">
        <v>3577</v>
      </c>
      <c r="D2144" t="s">
        <v>3578</v>
      </c>
      <c r="E2144" t="s">
        <v>108</v>
      </c>
      <c r="F2144" t="s">
        <v>3579</v>
      </c>
      <c r="G2144" t="str">
        <f>"00013372"</f>
        <v>00013372</v>
      </c>
      <c r="H2144" t="s">
        <v>739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Z2144">
        <v>0</v>
      </c>
      <c r="AA2144" t="s">
        <v>3580</v>
      </c>
    </row>
    <row r="2145" spans="1:27" x14ac:dyDescent="0.25">
      <c r="H2145" t="s">
        <v>659</v>
      </c>
    </row>
    <row r="2146" spans="1:27" x14ac:dyDescent="0.25">
      <c r="A2146">
        <v>1070</v>
      </c>
      <c r="B2146">
        <v>1464</v>
      </c>
      <c r="C2146" t="s">
        <v>3581</v>
      </c>
      <c r="D2146" t="s">
        <v>151</v>
      </c>
      <c r="E2146" t="s">
        <v>129</v>
      </c>
      <c r="F2146" t="s">
        <v>3582</v>
      </c>
      <c r="G2146" t="str">
        <f>"201511008129"</f>
        <v>201511008129</v>
      </c>
      <c r="H2146">
        <v>737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70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Z2146">
        <v>0</v>
      </c>
      <c r="AA2146">
        <v>807</v>
      </c>
    </row>
    <row r="2147" spans="1:27" x14ac:dyDescent="0.25">
      <c r="H2147" t="s">
        <v>38</v>
      </c>
    </row>
    <row r="2148" spans="1:27" x14ac:dyDescent="0.25">
      <c r="A2148">
        <v>1071</v>
      </c>
      <c r="B2148">
        <v>1166</v>
      </c>
      <c r="C2148" t="s">
        <v>3583</v>
      </c>
      <c r="D2148" t="s">
        <v>967</v>
      </c>
      <c r="E2148" t="s">
        <v>3584</v>
      </c>
      <c r="F2148" t="s">
        <v>3585</v>
      </c>
      <c r="G2148" t="str">
        <f>"201304000829"</f>
        <v>201304000829</v>
      </c>
      <c r="H2148" t="s">
        <v>453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Z2148">
        <v>0</v>
      </c>
      <c r="AA2148" t="s">
        <v>3586</v>
      </c>
    </row>
    <row r="2149" spans="1:27" x14ac:dyDescent="0.25">
      <c r="H2149" t="s">
        <v>38</v>
      </c>
    </row>
    <row r="2150" spans="1:27" x14ac:dyDescent="0.25">
      <c r="A2150">
        <v>1072</v>
      </c>
      <c r="B2150">
        <v>967</v>
      </c>
      <c r="C2150" t="s">
        <v>3587</v>
      </c>
      <c r="D2150" t="s">
        <v>1203</v>
      </c>
      <c r="E2150" t="s">
        <v>574</v>
      </c>
      <c r="F2150" t="s">
        <v>3588</v>
      </c>
      <c r="G2150" t="str">
        <f>"00015139"</f>
        <v>00015139</v>
      </c>
      <c r="H2150" t="s">
        <v>441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30</v>
      </c>
      <c r="O2150">
        <v>30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Z2150">
        <v>2</v>
      </c>
      <c r="AA2150" t="s">
        <v>3589</v>
      </c>
    </row>
    <row r="2151" spans="1:27" x14ac:dyDescent="0.25">
      <c r="H2151" t="s">
        <v>19</v>
      </c>
    </row>
    <row r="2152" spans="1:27" x14ac:dyDescent="0.25">
      <c r="A2152">
        <v>1073</v>
      </c>
      <c r="B2152">
        <v>588</v>
      </c>
      <c r="C2152" t="s">
        <v>3590</v>
      </c>
      <c r="D2152" t="s">
        <v>3591</v>
      </c>
      <c r="E2152" t="s">
        <v>27</v>
      </c>
      <c r="F2152" t="s">
        <v>3592</v>
      </c>
      <c r="G2152" t="str">
        <f>"00013727"</f>
        <v>00013727</v>
      </c>
      <c r="H2152" t="s">
        <v>811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Z2152">
        <v>0</v>
      </c>
      <c r="AA2152" t="s">
        <v>3593</v>
      </c>
    </row>
    <row r="2153" spans="1:27" x14ac:dyDescent="0.25">
      <c r="H2153" t="s">
        <v>2531</v>
      </c>
    </row>
    <row r="2154" spans="1:27" x14ac:dyDescent="0.25">
      <c r="A2154">
        <v>1074</v>
      </c>
      <c r="B2154">
        <v>3329</v>
      </c>
      <c r="C2154" t="s">
        <v>3594</v>
      </c>
      <c r="D2154" t="s">
        <v>58</v>
      </c>
      <c r="E2154" t="s">
        <v>64</v>
      </c>
      <c r="F2154" t="s">
        <v>3595</v>
      </c>
      <c r="G2154" t="str">
        <f>"00013091"</f>
        <v>00013091</v>
      </c>
      <c r="H2154" t="s">
        <v>1996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0</v>
      </c>
      <c r="P2154">
        <v>50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0</v>
      </c>
      <c r="Z2154">
        <v>0</v>
      </c>
      <c r="AA2154" t="s">
        <v>3596</v>
      </c>
    </row>
    <row r="2155" spans="1:27" x14ac:dyDescent="0.25">
      <c r="H2155" t="s">
        <v>293</v>
      </c>
    </row>
    <row r="2156" spans="1:27" x14ac:dyDescent="0.25">
      <c r="A2156">
        <v>1075</v>
      </c>
      <c r="B2156">
        <v>2004</v>
      </c>
      <c r="C2156" t="s">
        <v>3597</v>
      </c>
      <c r="D2156" t="s">
        <v>3598</v>
      </c>
      <c r="E2156" t="s">
        <v>3194</v>
      </c>
      <c r="F2156" t="s">
        <v>3599</v>
      </c>
      <c r="G2156" t="str">
        <f>"00012541"</f>
        <v>00012541</v>
      </c>
      <c r="H2156">
        <v>660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30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12</v>
      </c>
      <c r="W2156">
        <v>84</v>
      </c>
      <c r="Z2156">
        <v>0</v>
      </c>
      <c r="AA2156">
        <v>804</v>
      </c>
    </row>
    <row r="2157" spans="1:27" x14ac:dyDescent="0.25">
      <c r="H2157" t="s">
        <v>78</v>
      </c>
    </row>
    <row r="2158" spans="1:27" x14ac:dyDescent="0.25">
      <c r="A2158">
        <v>1076</v>
      </c>
      <c r="B2158">
        <v>2819</v>
      </c>
      <c r="C2158" t="s">
        <v>3600</v>
      </c>
      <c r="D2158" t="s">
        <v>58</v>
      </c>
      <c r="E2158" t="s">
        <v>108</v>
      </c>
      <c r="F2158" t="s">
        <v>3601</v>
      </c>
      <c r="G2158" t="str">
        <f>"201511026980"</f>
        <v>201511026980</v>
      </c>
      <c r="H2158" t="s">
        <v>614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70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Z2158">
        <v>0</v>
      </c>
      <c r="AA2158" t="s">
        <v>3602</v>
      </c>
    </row>
    <row r="2159" spans="1:27" x14ac:dyDescent="0.25">
      <c r="H2159" t="s">
        <v>1606</v>
      </c>
    </row>
    <row r="2160" spans="1:27" x14ac:dyDescent="0.25">
      <c r="A2160">
        <v>1077</v>
      </c>
      <c r="B2160">
        <v>89</v>
      </c>
      <c r="C2160" t="s">
        <v>3603</v>
      </c>
      <c r="D2160" t="s">
        <v>151</v>
      </c>
      <c r="E2160" t="s">
        <v>27</v>
      </c>
      <c r="F2160" t="s">
        <v>3604</v>
      </c>
      <c r="G2160" t="str">
        <f>"00013052"</f>
        <v>00013052</v>
      </c>
      <c r="H2160" t="s">
        <v>614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70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W2160">
        <v>0</v>
      </c>
      <c r="Z2160">
        <v>0</v>
      </c>
      <c r="AA2160" t="s">
        <v>3602</v>
      </c>
    </row>
    <row r="2161" spans="1:27" x14ac:dyDescent="0.25">
      <c r="H2161" t="s">
        <v>298</v>
      </c>
    </row>
    <row r="2162" spans="1:27" x14ac:dyDescent="0.25">
      <c r="A2162">
        <v>1078</v>
      </c>
      <c r="B2162">
        <v>428</v>
      </c>
      <c r="C2162" t="s">
        <v>3605</v>
      </c>
      <c r="D2162" t="s">
        <v>519</v>
      </c>
      <c r="E2162" t="s">
        <v>304</v>
      </c>
      <c r="F2162" t="s">
        <v>3606</v>
      </c>
      <c r="G2162" t="str">
        <f>"201410010966"</f>
        <v>201410010966</v>
      </c>
      <c r="H2162" t="s">
        <v>453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5</v>
      </c>
      <c r="W2162">
        <v>35</v>
      </c>
      <c r="Z2162">
        <v>0</v>
      </c>
      <c r="AA2162" t="s">
        <v>3607</v>
      </c>
    </row>
    <row r="2163" spans="1:27" x14ac:dyDescent="0.25">
      <c r="H2163">
        <v>213</v>
      </c>
    </row>
    <row r="2164" spans="1:27" x14ac:dyDescent="0.25">
      <c r="A2164">
        <v>1079</v>
      </c>
      <c r="B2164">
        <v>668</v>
      </c>
      <c r="C2164" t="s">
        <v>3608</v>
      </c>
      <c r="D2164" t="s">
        <v>182</v>
      </c>
      <c r="E2164" t="s">
        <v>225</v>
      </c>
      <c r="F2164" t="s">
        <v>3609</v>
      </c>
      <c r="G2164" t="str">
        <f>"00014290"</f>
        <v>00014290</v>
      </c>
      <c r="H2164" t="s">
        <v>1331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70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Z2164">
        <v>0</v>
      </c>
      <c r="AA2164" t="s">
        <v>3610</v>
      </c>
    </row>
    <row r="2165" spans="1:27" x14ac:dyDescent="0.25">
      <c r="H2165" t="s">
        <v>106</v>
      </c>
    </row>
    <row r="2166" spans="1:27" x14ac:dyDescent="0.25">
      <c r="A2166">
        <v>1080</v>
      </c>
      <c r="B2166">
        <v>1703</v>
      </c>
      <c r="C2166" t="s">
        <v>3611</v>
      </c>
      <c r="D2166" t="s">
        <v>319</v>
      </c>
      <c r="E2166" t="s">
        <v>65</v>
      </c>
      <c r="F2166" t="s">
        <v>3612</v>
      </c>
      <c r="G2166" t="str">
        <f>"00011072"</f>
        <v>00011072</v>
      </c>
      <c r="H2166" t="s">
        <v>1331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70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Z2166">
        <v>0</v>
      </c>
      <c r="AA2166" t="s">
        <v>3610</v>
      </c>
    </row>
    <row r="2167" spans="1:27" x14ac:dyDescent="0.25">
      <c r="H2167" t="s">
        <v>1606</v>
      </c>
    </row>
    <row r="2168" spans="1:27" x14ac:dyDescent="0.25">
      <c r="A2168">
        <v>1081</v>
      </c>
      <c r="B2168">
        <v>904</v>
      </c>
      <c r="C2168" t="s">
        <v>3613</v>
      </c>
      <c r="D2168" t="s">
        <v>158</v>
      </c>
      <c r="E2168" t="s">
        <v>27</v>
      </c>
      <c r="F2168" t="s">
        <v>3614</v>
      </c>
      <c r="G2168" t="str">
        <f>"00013859"</f>
        <v>00013859</v>
      </c>
      <c r="H2168" t="s">
        <v>1082</v>
      </c>
      <c r="I2168">
        <v>0</v>
      </c>
      <c r="J2168">
        <v>0</v>
      </c>
      <c r="K2168">
        <v>0</v>
      </c>
      <c r="L2168">
        <v>0</v>
      </c>
      <c r="M2168">
        <v>100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Z2168">
        <v>0</v>
      </c>
      <c r="AA2168" t="s">
        <v>3615</v>
      </c>
    </row>
    <row r="2169" spans="1:27" x14ac:dyDescent="0.25">
      <c r="H2169" t="s">
        <v>904</v>
      </c>
    </row>
    <row r="2170" spans="1:27" x14ac:dyDescent="0.25">
      <c r="A2170">
        <v>1082</v>
      </c>
      <c r="B2170">
        <v>701</v>
      </c>
      <c r="C2170" t="s">
        <v>3616</v>
      </c>
      <c r="D2170" t="s">
        <v>3617</v>
      </c>
      <c r="E2170" t="s">
        <v>85</v>
      </c>
      <c r="F2170" t="s">
        <v>3618</v>
      </c>
      <c r="G2170" t="str">
        <f>"00013273"</f>
        <v>00013273</v>
      </c>
      <c r="H2170" t="s">
        <v>872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5</v>
      </c>
      <c r="W2170">
        <v>35</v>
      </c>
      <c r="Z2170">
        <v>0</v>
      </c>
      <c r="AA2170" t="s">
        <v>3619</v>
      </c>
    </row>
    <row r="2171" spans="1:27" x14ac:dyDescent="0.25">
      <c r="H2171" t="s">
        <v>19</v>
      </c>
    </row>
    <row r="2172" spans="1:27" x14ac:dyDescent="0.25">
      <c r="A2172">
        <v>1083</v>
      </c>
      <c r="B2172">
        <v>1494</v>
      </c>
      <c r="C2172" t="s">
        <v>3620</v>
      </c>
      <c r="D2172" t="s">
        <v>276</v>
      </c>
      <c r="E2172" t="s">
        <v>64</v>
      </c>
      <c r="F2172" t="s">
        <v>3621</v>
      </c>
      <c r="G2172" t="str">
        <f>"201406017975"</f>
        <v>201406017975</v>
      </c>
      <c r="H2172" t="s">
        <v>1410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70</v>
      </c>
      <c r="O2172">
        <v>0</v>
      </c>
      <c r="P2172">
        <v>30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0</v>
      </c>
      <c r="Z2172">
        <v>0</v>
      </c>
      <c r="AA2172" t="s">
        <v>3622</v>
      </c>
    </row>
    <row r="2173" spans="1:27" x14ac:dyDescent="0.25">
      <c r="H2173">
        <v>215</v>
      </c>
    </row>
    <row r="2174" spans="1:27" x14ac:dyDescent="0.25">
      <c r="A2174">
        <v>1084</v>
      </c>
      <c r="B2174">
        <v>1165</v>
      </c>
      <c r="C2174" t="s">
        <v>3623</v>
      </c>
      <c r="D2174" t="s">
        <v>466</v>
      </c>
      <c r="E2174" t="s">
        <v>284</v>
      </c>
      <c r="F2174" t="s">
        <v>3624</v>
      </c>
      <c r="G2174" t="str">
        <f>"00010906"</f>
        <v>00010906</v>
      </c>
      <c r="H2174" t="s">
        <v>1410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50</v>
      </c>
      <c r="O2174">
        <v>0</v>
      </c>
      <c r="P2174">
        <v>50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Z2174">
        <v>2</v>
      </c>
      <c r="AA2174" t="s">
        <v>3622</v>
      </c>
    </row>
    <row r="2175" spans="1:27" x14ac:dyDescent="0.25">
      <c r="H2175" t="s">
        <v>25</v>
      </c>
    </row>
    <row r="2176" spans="1:27" x14ac:dyDescent="0.25">
      <c r="A2176">
        <v>1085</v>
      </c>
      <c r="B2176">
        <v>2620</v>
      </c>
      <c r="C2176" t="s">
        <v>3625</v>
      </c>
      <c r="D2176" t="s">
        <v>3626</v>
      </c>
      <c r="E2176" t="s">
        <v>64</v>
      </c>
      <c r="F2176" t="s">
        <v>3627</v>
      </c>
      <c r="G2176" t="str">
        <f>"00013633"</f>
        <v>00013633</v>
      </c>
      <c r="H2176" t="s">
        <v>976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4</v>
      </c>
      <c r="W2176">
        <v>28</v>
      </c>
      <c r="Z2176">
        <v>0</v>
      </c>
      <c r="AA2176" t="s">
        <v>3628</v>
      </c>
    </row>
    <row r="2177" spans="1:27" x14ac:dyDescent="0.25">
      <c r="H2177">
        <v>215</v>
      </c>
    </row>
    <row r="2178" spans="1:27" x14ac:dyDescent="0.25">
      <c r="A2178">
        <v>1086</v>
      </c>
      <c r="B2178">
        <v>3168</v>
      </c>
      <c r="C2178" t="s">
        <v>3629</v>
      </c>
      <c r="D2178" t="s">
        <v>59</v>
      </c>
      <c r="E2178" t="s">
        <v>284</v>
      </c>
      <c r="F2178" t="s">
        <v>3630</v>
      </c>
      <c r="G2178" t="str">
        <f>"00014211"</f>
        <v>00014211</v>
      </c>
      <c r="H2178" t="s">
        <v>930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70</v>
      </c>
      <c r="O2178">
        <v>0</v>
      </c>
      <c r="P2178">
        <v>30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Z2178">
        <v>0</v>
      </c>
      <c r="AA2178" t="s">
        <v>3631</v>
      </c>
    </row>
    <row r="2179" spans="1:27" x14ac:dyDescent="0.25">
      <c r="H2179" t="s">
        <v>1044</v>
      </c>
    </row>
    <row r="2180" spans="1:27" x14ac:dyDescent="0.25">
      <c r="A2180">
        <v>1087</v>
      </c>
      <c r="B2180">
        <v>1338</v>
      </c>
      <c r="C2180" t="s">
        <v>3632</v>
      </c>
      <c r="D2180" t="s">
        <v>3633</v>
      </c>
      <c r="E2180" t="s">
        <v>3634</v>
      </c>
      <c r="F2180" t="s">
        <v>3635</v>
      </c>
      <c r="G2180" t="str">
        <f>"200908000259"</f>
        <v>200908000259</v>
      </c>
      <c r="H2180">
        <v>726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70</v>
      </c>
      <c r="V2180">
        <v>0</v>
      </c>
      <c r="W2180">
        <v>0</v>
      </c>
      <c r="Z2180">
        <v>0</v>
      </c>
      <c r="AA2180">
        <v>796</v>
      </c>
    </row>
    <row r="2181" spans="1:27" x14ac:dyDescent="0.25">
      <c r="H2181">
        <v>215</v>
      </c>
    </row>
    <row r="2182" spans="1:27" x14ac:dyDescent="0.25">
      <c r="A2182">
        <v>1088</v>
      </c>
      <c r="B2182">
        <v>3210</v>
      </c>
      <c r="C2182" t="s">
        <v>3636</v>
      </c>
      <c r="D2182" t="s">
        <v>204</v>
      </c>
      <c r="E2182" t="s">
        <v>1085</v>
      </c>
      <c r="F2182" t="s">
        <v>3637</v>
      </c>
      <c r="G2182" t="str">
        <f>"201406010254"</f>
        <v>201406010254</v>
      </c>
      <c r="H2182" t="s">
        <v>614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30</v>
      </c>
      <c r="O2182">
        <v>0</v>
      </c>
      <c r="P2182">
        <v>30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Z2182">
        <v>0</v>
      </c>
      <c r="AA2182" t="s">
        <v>3638</v>
      </c>
    </row>
    <row r="2183" spans="1:27" x14ac:dyDescent="0.25">
      <c r="H2183" t="s">
        <v>25</v>
      </c>
    </row>
    <row r="2184" spans="1:27" x14ac:dyDescent="0.25">
      <c r="A2184">
        <v>1089</v>
      </c>
      <c r="B2184">
        <v>724</v>
      </c>
      <c r="C2184" t="s">
        <v>3639</v>
      </c>
      <c r="D2184" t="s">
        <v>14</v>
      </c>
      <c r="E2184" t="s">
        <v>3640</v>
      </c>
      <c r="F2184" t="s">
        <v>3641</v>
      </c>
      <c r="G2184" t="str">
        <f>"00015194"</f>
        <v>00015194</v>
      </c>
      <c r="H2184" t="s">
        <v>623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30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Z2184">
        <v>0</v>
      </c>
      <c r="AA2184" t="s">
        <v>3642</v>
      </c>
    </row>
    <row r="2185" spans="1:27" x14ac:dyDescent="0.25">
      <c r="H2185" t="s">
        <v>106</v>
      </c>
    </row>
    <row r="2186" spans="1:27" x14ac:dyDescent="0.25">
      <c r="A2186">
        <v>1090</v>
      </c>
      <c r="B2186">
        <v>2854</v>
      </c>
      <c r="C2186" t="s">
        <v>3121</v>
      </c>
      <c r="D2186" t="s">
        <v>168</v>
      </c>
      <c r="E2186" t="s">
        <v>85</v>
      </c>
      <c r="F2186" t="s">
        <v>3122</v>
      </c>
      <c r="G2186" t="str">
        <f>"201410007648"</f>
        <v>201410007648</v>
      </c>
      <c r="H2186" t="s">
        <v>1066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70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0</v>
      </c>
      <c r="W2186">
        <v>0</v>
      </c>
      <c r="Z2186">
        <v>2</v>
      </c>
      <c r="AA2186" t="s">
        <v>3643</v>
      </c>
    </row>
    <row r="2187" spans="1:27" x14ac:dyDescent="0.25">
      <c r="H2187" t="s">
        <v>265</v>
      </c>
    </row>
    <row r="2188" spans="1:27" x14ac:dyDescent="0.25">
      <c r="A2188">
        <v>1091</v>
      </c>
      <c r="B2188">
        <v>3007</v>
      </c>
      <c r="C2188" t="s">
        <v>3644</v>
      </c>
      <c r="D2188" t="s">
        <v>3645</v>
      </c>
      <c r="E2188" t="s">
        <v>284</v>
      </c>
      <c r="F2188" t="s">
        <v>3646</v>
      </c>
      <c r="G2188" t="str">
        <f>"201511034576"</f>
        <v>201511034576</v>
      </c>
      <c r="H2188" t="s">
        <v>840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70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Z2188">
        <v>2</v>
      </c>
      <c r="AA2188" t="s">
        <v>3647</v>
      </c>
    </row>
    <row r="2189" spans="1:27" x14ac:dyDescent="0.25">
      <c r="H2189" t="s">
        <v>89</v>
      </c>
    </row>
    <row r="2190" spans="1:27" x14ac:dyDescent="0.25">
      <c r="A2190">
        <v>1092</v>
      </c>
      <c r="B2190">
        <v>1145</v>
      </c>
      <c r="C2190" t="s">
        <v>3648</v>
      </c>
      <c r="D2190" t="s">
        <v>234</v>
      </c>
      <c r="E2190" t="s">
        <v>284</v>
      </c>
      <c r="F2190" t="s">
        <v>3649</v>
      </c>
      <c r="G2190" t="str">
        <f>"201111000060"</f>
        <v>201111000060</v>
      </c>
      <c r="H2190">
        <v>759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0</v>
      </c>
      <c r="Z2190">
        <v>1</v>
      </c>
      <c r="AA2190">
        <v>789</v>
      </c>
    </row>
    <row r="2191" spans="1:27" x14ac:dyDescent="0.25">
      <c r="H2191" t="s">
        <v>112</v>
      </c>
    </row>
    <row r="2192" spans="1:27" x14ac:dyDescent="0.25">
      <c r="A2192">
        <v>1093</v>
      </c>
      <c r="B2192">
        <v>560</v>
      </c>
      <c r="C2192" t="s">
        <v>3650</v>
      </c>
      <c r="D2192" t="s">
        <v>225</v>
      </c>
      <c r="E2192" t="s">
        <v>85</v>
      </c>
      <c r="F2192" t="s">
        <v>3651</v>
      </c>
      <c r="G2192" t="str">
        <f>"201406001800"</f>
        <v>201406001800</v>
      </c>
      <c r="H2192" t="s">
        <v>415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30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0</v>
      </c>
      <c r="Z2192">
        <v>0</v>
      </c>
      <c r="AA2192" t="s">
        <v>3652</v>
      </c>
    </row>
    <row r="2193" spans="1:27" x14ac:dyDescent="0.25">
      <c r="H2193">
        <v>215</v>
      </c>
    </row>
    <row r="2194" spans="1:27" x14ac:dyDescent="0.25">
      <c r="A2194">
        <v>1094</v>
      </c>
      <c r="B2194">
        <v>6</v>
      </c>
      <c r="C2194" t="s">
        <v>3653</v>
      </c>
      <c r="D2194" t="s">
        <v>128</v>
      </c>
      <c r="E2194" t="s">
        <v>85</v>
      </c>
      <c r="F2194" t="s">
        <v>3654</v>
      </c>
      <c r="G2194" t="str">
        <f>"201409005045"</f>
        <v>201409005045</v>
      </c>
      <c r="H2194" t="s">
        <v>1096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70</v>
      </c>
      <c r="O2194">
        <v>30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0</v>
      </c>
      <c r="Z2194">
        <v>0</v>
      </c>
      <c r="AA2194" t="s">
        <v>3655</v>
      </c>
    </row>
    <row r="2195" spans="1:27" x14ac:dyDescent="0.25">
      <c r="H2195">
        <v>213</v>
      </c>
    </row>
    <row r="2196" spans="1:27" x14ac:dyDescent="0.25">
      <c r="A2196">
        <v>1095</v>
      </c>
      <c r="B2196">
        <v>2927</v>
      </c>
      <c r="C2196" t="s">
        <v>3656</v>
      </c>
      <c r="D2196" t="s">
        <v>3657</v>
      </c>
      <c r="E2196" t="s">
        <v>41</v>
      </c>
      <c r="F2196" t="s">
        <v>3658</v>
      </c>
      <c r="G2196" t="str">
        <f>"00014817"</f>
        <v>00014817</v>
      </c>
      <c r="H2196" t="s">
        <v>1355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70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0</v>
      </c>
      <c r="Z2196">
        <v>0</v>
      </c>
      <c r="AA2196" t="s">
        <v>3659</v>
      </c>
    </row>
    <row r="2197" spans="1:27" x14ac:dyDescent="0.25">
      <c r="H2197">
        <v>216</v>
      </c>
    </row>
    <row r="2198" spans="1:27" x14ac:dyDescent="0.25">
      <c r="A2198">
        <v>1096</v>
      </c>
      <c r="B2198">
        <v>765</v>
      </c>
      <c r="C2198" t="s">
        <v>3660</v>
      </c>
      <c r="D2198" t="s">
        <v>80</v>
      </c>
      <c r="E2198" t="s">
        <v>320</v>
      </c>
      <c r="F2198" t="s">
        <v>3661</v>
      </c>
      <c r="G2198" t="str">
        <f>"00013750"</f>
        <v>00013750</v>
      </c>
      <c r="H2198" t="s">
        <v>453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50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W2198">
        <v>0</v>
      </c>
      <c r="Z2198">
        <v>2</v>
      </c>
      <c r="AA2198" t="s">
        <v>3662</v>
      </c>
    </row>
    <row r="2199" spans="1:27" x14ac:dyDescent="0.25">
      <c r="H2199">
        <v>215</v>
      </c>
    </row>
    <row r="2200" spans="1:27" x14ac:dyDescent="0.25">
      <c r="A2200">
        <v>1097</v>
      </c>
      <c r="B2200">
        <v>3309</v>
      </c>
      <c r="C2200" t="s">
        <v>3663</v>
      </c>
      <c r="D2200" t="s">
        <v>85</v>
      </c>
      <c r="E2200" t="s">
        <v>225</v>
      </c>
      <c r="F2200" t="s">
        <v>3664</v>
      </c>
      <c r="G2200" t="str">
        <f>"201304001352"</f>
        <v>201304001352</v>
      </c>
      <c r="H2200" t="s">
        <v>1996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70</v>
      </c>
      <c r="O2200">
        <v>0</v>
      </c>
      <c r="P2200">
        <v>0</v>
      </c>
      <c r="Q2200">
        <v>0</v>
      </c>
      <c r="R2200">
        <v>30</v>
      </c>
      <c r="S2200">
        <v>0</v>
      </c>
      <c r="T2200">
        <v>0</v>
      </c>
      <c r="U2200">
        <v>0</v>
      </c>
      <c r="V2200">
        <v>0</v>
      </c>
      <c r="W2200">
        <v>0</v>
      </c>
      <c r="Z2200">
        <v>0</v>
      </c>
      <c r="AA2200" t="s">
        <v>3665</v>
      </c>
    </row>
    <row r="2201" spans="1:27" x14ac:dyDescent="0.25">
      <c r="H2201">
        <v>215</v>
      </c>
    </row>
    <row r="2202" spans="1:27" x14ac:dyDescent="0.25">
      <c r="A2202">
        <v>1098</v>
      </c>
      <c r="B2202">
        <v>3005</v>
      </c>
      <c r="C2202" t="s">
        <v>3666</v>
      </c>
      <c r="D2202" t="s">
        <v>2602</v>
      </c>
      <c r="E2202" t="s">
        <v>41</v>
      </c>
      <c r="F2202" t="s">
        <v>3667</v>
      </c>
      <c r="G2202" t="str">
        <f>"00015223"</f>
        <v>00015223</v>
      </c>
      <c r="H2202" t="s">
        <v>657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W2202">
        <v>0</v>
      </c>
      <c r="Z2202">
        <v>2</v>
      </c>
      <c r="AA2202" t="s">
        <v>3668</v>
      </c>
    </row>
    <row r="2203" spans="1:27" x14ac:dyDescent="0.25">
      <c r="H2203" t="s">
        <v>248</v>
      </c>
    </row>
    <row r="2204" spans="1:27" x14ac:dyDescent="0.25">
      <c r="A2204">
        <v>1099</v>
      </c>
      <c r="B2204">
        <v>926</v>
      </c>
      <c r="C2204" t="s">
        <v>2279</v>
      </c>
      <c r="D2204" t="s">
        <v>490</v>
      </c>
      <c r="E2204" t="s">
        <v>114</v>
      </c>
      <c r="F2204" t="s">
        <v>3669</v>
      </c>
      <c r="G2204" t="str">
        <f>"201511038407"</f>
        <v>201511038407</v>
      </c>
      <c r="H2204" t="s">
        <v>609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70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W2204">
        <v>0</v>
      </c>
      <c r="Z2204">
        <v>0</v>
      </c>
      <c r="AA2204" t="s">
        <v>3670</v>
      </c>
    </row>
    <row r="2205" spans="1:27" x14ac:dyDescent="0.25">
      <c r="H2205" t="s">
        <v>25</v>
      </c>
    </row>
    <row r="2206" spans="1:27" x14ac:dyDescent="0.25">
      <c r="A2206">
        <v>1100</v>
      </c>
      <c r="B2206">
        <v>2221</v>
      </c>
      <c r="C2206" t="s">
        <v>3671</v>
      </c>
      <c r="D2206" t="s">
        <v>14</v>
      </c>
      <c r="E2206" t="s">
        <v>129</v>
      </c>
      <c r="F2206" t="s">
        <v>3672</v>
      </c>
      <c r="G2206" t="str">
        <f>"201409003897"</f>
        <v>201409003897</v>
      </c>
      <c r="H2206" t="s">
        <v>2213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30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10</v>
      </c>
      <c r="W2206">
        <v>70</v>
      </c>
      <c r="Z2206">
        <v>0</v>
      </c>
      <c r="AA2206" t="s">
        <v>3673</v>
      </c>
    </row>
    <row r="2207" spans="1:27" x14ac:dyDescent="0.25">
      <c r="H2207" t="s">
        <v>78</v>
      </c>
    </row>
    <row r="2208" spans="1:27" x14ac:dyDescent="0.25">
      <c r="A2208">
        <v>1101</v>
      </c>
      <c r="B2208">
        <v>2605</v>
      </c>
      <c r="C2208" t="s">
        <v>3674</v>
      </c>
      <c r="D2208" t="s">
        <v>151</v>
      </c>
      <c r="E2208" t="s">
        <v>64</v>
      </c>
      <c r="F2208" t="s">
        <v>3675</v>
      </c>
      <c r="G2208" t="str">
        <f>"00011299"</f>
        <v>00011299</v>
      </c>
      <c r="H2208" t="s">
        <v>1890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16</v>
      </c>
      <c r="W2208">
        <v>112</v>
      </c>
      <c r="Z2208">
        <v>0</v>
      </c>
      <c r="AA2208" t="s">
        <v>3676</v>
      </c>
    </row>
    <row r="2209" spans="1:27" x14ac:dyDescent="0.25">
      <c r="H2209">
        <v>215</v>
      </c>
    </row>
    <row r="2210" spans="1:27" x14ac:dyDescent="0.25">
      <c r="A2210">
        <v>1102</v>
      </c>
      <c r="B2210">
        <v>2545</v>
      </c>
      <c r="C2210" t="s">
        <v>3677</v>
      </c>
      <c r="D2210" t="s">
        <v>15</v>
      </c>
      <c r="E2210" t="s">
        <v>64</v>
      </c>
      <c r="F2210" t="s">
        <v>3678</v>
      </c>
      <c r="G2210" t="str">
        <f>"201502003760"</f>
        <v>201502003760</v>
      </c>
      <c r="H2210">
        <v>748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30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Z2210">
        <v>0</v>
      </c>
      <c r="AA2210">
        <v>778</v>
      </c>
    </row>
    <row r="2211" spans="1:27" x14ac:dyDescent="0.25">
      <c r="H2211">
        <v>215</v>
      </c>
    </row>
    <row r="2212" spans="1:27" x14ac:dyDescent="0.25">
      <c r="A2212">
        <v>1103</v>
      </c>
      <c r="B2212">
        <v>605</v>
      </c>
      <c r="C2212" t="s">
        <v>3679</v>
      </c>
      <c r="D2212" t="s">
        <v>151</v>
      </c>
      <c r="E2212" t="s">
        <v>41</v>
      </c>
      <c r="F2212" t="s">
        <v>3680</v>
      </c>
      <c r="G2212" t="str">
        <f>"201406002813"</f>
        <v>201406002813</v>
      </c>
      <c r="H2212" t="s">
        <v>1488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70</v>
      </c>
      <c r="O2212">
        <v>30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W2212">
        <v>0</v>
      </c>
      <c r="Z2212">
        <v>0</v>
      </c>
      <c r="AA2212" t="s">
        <v>3681</v>
      </c>
    </row>
    <row r="2213" spans="1:27" x14ac:dyDescent="0.25">
      <c r="H2213" t="s">
        <v>38</v>
      </c>
    </row>
    <row r="2214" spans="1:27" x14ac:dyDescent="0.25">
      <c r="A2214">
        <v>1104</v>
      </c>
      <c r="B2214">
        <v>1490</v>
      </c>
      <c r="C2214" t="s">
        <v>3460</v>
      </c>
      <c r="D2214" t="s">
        <v>40</v>
      </c>
      <c r="E2214" t="s">
        <v>41</v>
      </c>
      <c r="F2214" t="s">
        <v>3682</v>
      </c>
      <c r="G2214" t="str">
        <f>"00013171"</f>
        <v>00013171</v>
      </c>
      <c r="H2214" t="s">
        <v>197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30</v>
      </c>
      <c r="O2214">
        <v>0</v>
      </c>
      <c r="P2214">
        <v>30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Z2214">
        <v>0</v>
      </c>
      <c r="AA2214" t="s">
        <v>3683</v>
      </c>
    </row>
    <row r="2215" spans="1:27" x14ac:dyDescent="0.25">
      <c r="H2215" t="s">
        <v>38</v>
      </c>
    </row>
    <row r="2216" spans="1:27" x14ac:dyDescent="0.25">
      <c r="A2216">
        <v>1105</v>
      </c>
      <c r="B2216">
        <v>182</v>
      </c>
      <c r="C2216" t="s">
        <v>3684</v>
      </c>
      <c r="D2216" t="s">
        <v>3685</v>
      </c>
      <c r="E2216" t="s">
        <v>14</v>
      </c>
      <c r="F2216" t="s">
        <v>3686</v>
      </c>
      <c r="G2216" t="str">
        <f>"201304006093"</f>
        <v>201304006093</v>
      </c>
      <c r="H2216" t="s">
        <v>1976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70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0</v>
      </c>
      <c r="Z2216">
        <v>0</v>
      </c>
      <c r="AA2216" t="s">
        <v>3687</v>
      </c>
    </row>
    <row r="2217" spans="1:27" x14ac:dyDescent="0.25">
      <c r="H2217" t="s">
        <v>25</v>
      </c>
    </row>
    <row r="2218" spans="1:27" x14ac:dyDescent="0.25">
      <c r="A2218">
        <v>1106</v>
      </c>
      <c r="B2218">
        <v>1949</v>
      </c>
      <c r="C2218" t="s">
        <v>3169</v>
      </c>
      <c r="D2218" t="s">
        <v>1970</v>
      </c>
      <c r="E2218" t="s">
        <v>14</v>
      </c>
      <c r="F2218" t="s">
        <v>3688</v>
      </c>
      <c r="G2218" t="str">
        <f>"00014191"</f>
        <v>00014191</v>
      </c>
      <c r="H2218" t="s">
        <v>1976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70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W2218">
        <v>0</v>
      </c>
      <c r="Z2218">
        <v>0</v>
      </c>
      <c r="AA2218" t="s">
        <v>3687</v>
      </c>
    </row>
    <row r="2219" spans="1:27" x14ac:dyDescent="0.25">
      <c r="H2219" t="s">
        <v>25</v>
      </c>
    </row>
    <row r="2220" spans="1:27" x14ac:dyDescent="0.25">
      <c r="A2220">
        <v>1107</v>
      </c>
      <c r="B2220">
        <v>287</v>
      </c>
      <c r="C2220" t="s">
        <v>3689</v>
      </c>
      <c r="D2220" t="s">
        <v>3690</v>
      </c>
      <c r="E2220" t="s">
        <v>225</v>
      </c>
      <c r="F2220" t="s">
        <v>3691</v>
      </c>
      <c r="G2220" t="str">
        <f>"00013248"</f>
        <v>00013248</v>
      </c>
      <c r="H2220" t="s">
        <v>441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W2220">
        <v>0</v>
      </c>
      <c r="Z2220">
        <v>0</v>
      </c>
      <c r="AA2220" t="s">
        <v>3692</v>
      </c>
    </row>
    <row r="2221" spans="1:27" x14ac:dyDescent="0.25">
      <c r="H2221">
        <v>213</v>
      </c>
    </row>
    <row r="2222" spans="1:27" x14ac:dyDescent="0.25">
      <c r="A2222">
        <v>1108</v>
      </c>
      <c r="B2222">
        <v>758</v>
      </c>
      <c r="C2222" t="s">
        <v>3693</v>
      </c>
      <c r="D2222" t="s">
        <v>168</v>
      </c>
      <c r="E2222" t="s">
        <v>401</v>
      </c>
      <c r="F2222" t="s">
        <v>3694</v>
      </c>
      <c r="G2222" t="str">
        <f>"201304005577"</f>
        <v>201304005577</v>
      </c>
      <c r="H2222" t="s">
        <v>844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30</v>
      </c>
      <c r="O2222">
        <v>30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0</v>
      </c>
      <c r="Z2222">
        <v>0</v>
      </c>
      <c r="AA2222" t="s">
        <v>3695</v>
      </c>
    </row>
    <row r="2223" spans="1:27" x14ac:dyDescent="0.25">
      <c r="H2223">
        <v>215</v>
      </c>
    </row>
    <row r="2224" spans="1:27" x14ac:dyDescent="0.25">
      <c r="A2224">
        <v>1109</v>
      </c>
      <c r="B2224">
        <v>1656</v>
      </c>
      <c r="C2224" t="s">
        <v>3696</v>
      </c>
      <c r="D2224" t="s">
        <v>276</v>
      </c>
      <c r="E2224" t="s">
        <v>533</v>
      </c>
      <c r="F2224" t="s">
        <v>3697</v>
      </c>
      <c r="G2224" t="str">
        <f>"201504002167"</f>
        <v>201504002167</v>
      </c>
      <c r="H2224">
        <v>759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2</v>
      </c>
      <c r="W2224">
        <v>14</v>
      </c>
      <c r="Z2224">
        <v>0</v>
      </c>
      <c r="AA2224">
        <v>773</v>
      </c>
    </row>
    <row r="2225" spans="1:27" x14ac:dyDescent="0.25">
      <c r="H2225">
        <v>213</v>
      </c>
    </row>
    <row r="2226" spans="1:27" x14ac:dyDescent="0.25">
      <c r="A2226">
        <v>1110</v>
      </c>
      <c r="B2226">
        <v>3212</v>
      </c>
      <c r="C2226" t="s">
        <v>3698</v>
      </c>
      <c r="D2226" t="s">
        <v>1476</v>
      </c>
      <c r="E2226" t="s">
        <v>225</v>
      </c>
      <c r="F2226" t="s">
        <v>3699</v>
      </c>
      <c r="G2226" t="str">
        <f>"201406008473"</f>
        <v>201406008473</v>
      </c>
      <c r="H2226" t="s">
        <v>872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30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1</v>
      </c>
      <c r="W2226">
        <v>7</v>
      </c>
      <c r="Z2226">
        <v>0</v>
      </c>
      <c r="AA2226" t="s">
        <v>3700</v>
      </c>
    </row>
    <row r="2227" spans="1:27" x14ac:dyDescent="0.25">
      <c r="H2227" t="s">
        <v>106</v>
      </c>
    </row>
    <row r="2228" spans="1:27" x14ac:dyDescent="0.25">
      <c r="A2228">
        <v>1111</v>
      </c>
      <c r="B2228">
        <v>2427</v>
      </c>
      <c r="C2228" t="s">
        <v>3701</v>
      </c>
      <c r="D2228" t="s">
        <v>796</v>
      </c>
      <c r="E2228" t="s">
        <v>188</v>
      </c>
      <c r="F2228" t="s">
        <v>3702</v>
      </c>
      <c r="G2228" t="str">
        <f>"201504004262"</f>
        <v>201504004262</v>
      </c>
      <c r="H2228" t="s">
        <v>976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0</v>
      </c>
      <c r="Z2228">
        <v>0</v>
      </c>
      <c r="AA2228" t="s">
        <v>3703</v>
      </c>
    </row>
    <row r="2229" spans="1:27" x14ac:dyDescent="0.25">
      <c r="H2229" t="s">
        <v>889</v>
      </c>
    </row>
    <row r="2230" spans="1:27" x14ac:dyDescent="0.25">
      <c r="A2230">
        <v>1112</v>
      </c>
      <c r="B2230">
        <v>242</v>
      </c>
      <c r="C2230" t="s">
        <v>2900</v>
      </c>
      <c r="D2230" t="s">
        <v>538</v>
      </c>
      <c r="E2230" t="s">
        <v>14</v>
      </c>
      <c r="F2230" t="s">
        <v>3704</v>
      </c>
      <c r="G2230" t="str">
        <f>"200712004268"</f>
        <v>200712004268</v>
      </c>
      <c r="H2230" t="s">
        <v>3705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30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15</v>
      </c>
      <c r="W2230">
        <v>105</v>
      </c>
      <c r="Z2230">
        <v>1</v>
      </c>
      <c r="AA2230" t="s">
        <v>3706</v>
      </c>
    </row>
    <row r="2231" spans="1:27" x14ac:dyDescent="0.25">
      <c r="H2231">
        <v>215</v>
      </c>
    </row>
    <row r="2232" spans="1:27" x14ac:dyDescent="0.25">
      <c r="A2232">
        <v>1113</v>
      </c>
      <c r="B2232">
        <v>1331</v>
      </c>
      <c r="C2232" t="s">
        <v>3707</v>
      </c>
      <c r="D2232" t="s">
        <v>14</v>
      </c>
      <c r="E2232" t="s">
        <v>158</v>
      </c>
      <c r="F2232" t="s">
        <v>3708</v>
      </c>
      <c r="G2232" t="str">
        <f>"201406008849"</f>
        <v>201406008849</v>
      </c>
      <c r="H2232" t="s">
        <v>3709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70</v>
      </c>
      <c r="O2232">
        <v>30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Z2232">
        <v>0</v>
      </c>
      <c r="AA2232" t="s">
        <v>3710</v>
      </c>
    </row>
    <row r="2233" spans="1:27" x14ac:dyDescent="0.25">
      <c r="H2233" t="s">
        <v>78</v>
      </c>
    </row>
    <row r="2234" spans="1:27" x14ac:dyDescent="0.25">
      <c r="A2234">
        <v>1114</v>
      </c>
      <c r="B2234">
        <v>2630</v>
      </c>
      <c r="C2234" t="s">
        <v>3711</v>
      </c>
      <c r="D2234" t="s">
        <v>369</v>
      </c>
      <c r="E2234" t="s">
        <v>3712</v>
      </c>
      <c r="F2234" t="s">
        <v>3713</v>
      </c>
      <c r="G2234" t="str">
        <f>"201412000971"</f>
        <v>201412000971</v>
      </c>
      <c r="H2234" t="s">
        <v>197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50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W2234">
        <v>0</v>
      </c>
      <c r="Z2234">
        <v>0</v>
      </c>
      <c r="AA2234" t="s">
        <v>3714</v>
      </c>
    </row>
    <row r="2235" spans="1:27" x14ac:dyDescent="0.25">
      <c r="H2235" t="s">
        <v>904</v>
      </c>
    </row>
    <row r="2236" spans="1:27" x14ac:dyDescent="0.25">
      <c r="A2236">
        <v>1115</v>
      </c>
      <c r="B2236">
        <v>2489</v>
      </c>
      <c r="C2236" t="s">
        <v>3715</v>
      </c>
      <c r="D2236" t="s">
        <v>276</v>
      </c>
      <c r="E2236" t="s">
        <v>27</v>
      </c>
      <c r="F2236" t="s">
        <v>3716</v>
      </c>
      <c r="G2236" t="str">
        <f>"201506000799"</f>
        <v>201506000799</v>
      </c>
      <c r="H2236" t="s">
        <v>844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50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Z2236">
        <v>0</v>
      </c>
      <c r="AA2236" t="s">
        <v>3717</v>
      </c>
    </row>
    <row r="2237" spans="1:27" x14ac:dyDescent="0.25">
      <c r="H2237" t="s">
        <v>223</v>
      </c>
    </row>
    <row r="2238" spans="1:27" x14ac:dyDescent="0.25">
      <c r="A2238">
        <v>1116</v>
      </c>
      <c r="B2238">
        <v>3190</v>
      </c>
      <c r="C2238" t="s">
        <v>3718</v>
      </c>
      <c r="D2238" t="s">
        <v>1076</v>
      </c>
      <c r="E2238" t="s">
        <v>1126</v>
      </c>
      <c r="F2238" t="s">
        <v>3719</v>
      </c>
      <c r="G2238" t="str">
        <f>"00012139"</f>
        <v>00012139</v>
      </c>
      <c r="H2238" t="s">
        <v>2904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30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W2238">
        <v>0</v>
      </c>
      <c r="Z2238">
        <v>1</v>
      </c>
      <c r="AA2238" t="s">
        <v>3720</v>
      </c>
    </row>
    <row r="2239" spans="1:27" x14ac:dyDescent="0.25">
      <c r="H2239">
        <v>215</v>
      </c>
    </row>
    <row r="2240" spans="1:27" x14ac:dyDescent="0.25">
      <c r="A2240">
        <v>1117</v>
      </c>
      <c r="B2240">
        <v>635</v>
      </c>
      <c r="C2240" t="s">
        <v>2874</v>
      </c>
      <c r="D2240" t="s">
        <v>14</v>
      </c>
      <c r="E2240" t="s">
        <v>369</v>
      </c>
      <c r="F2240" t="s">
        <v>3721</v>
      </c>
      <c r="G2240" t="str">
        <f>"00011451"</f>
        <v>00011451</v>
      </c>
      <c r="H2240" t="s">
        <v>3709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50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6</v>
      </c>
      <c r="W2240">
        <v>42</v>
      </c>
      <c r="Z2240">
        <v>0</v>
      </c>
      <c r="AA2240" t="s">
        <v>3722</v>
      </c>
    </row>
    <row r="2241" spans="1:27" x14ac:dyDescent="0.25">
      <c r="H2241" t="s">
        <v>25</v>
      </c>
    </row>
    <row r="2242" spans="1:27" x14ac:dyDescent="0.25">
      <c r="A2242">
        <v>1118</v>
      </c>
      <c r="B2242">
        <v>2859</v>
      </c>
      <c r="C2242" t="s">
        <v>3723</v>
      </c>
      <c r="D2242" t="s">
        <v>1831</v>
      </c>
      <c r="E2242" t="s">
        <v>348</v>
      </c>
      <c r="F2242" t="s">
        <v>3724</v>
      </c>
      <c r="G2242" t="str">
        <f>"201304005489"</f>
        <v>201304005489</v>
      </c>
      <c r="H2242" t="s">
        <v>1144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50</v>
      </c>
      <c r="O2242">
        <v>0</v>
      </c>
      <c r="P2242">
        <v>30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Z2242">
        <v>0</v>
      </c>
      <c r="AA2242" t="s">
        <v>3725</v>
      </c>
    </row>
    <row r="2243" spans="1:27" x14ac:dyDescent="0.25">
      <c r="H2243" t="s">
        <v>377</v>
      </c>
    </row>
    <row r="2244" spans="1:27" x14ac:dyDescent="0.25">
      <c r="A2244">
        <v>1119</v>
      </c>
      <c r="B2244">
        <v>1208</v>
      </c>
      <c r="C2244" t="s">
        <v>2631</v>
      </c>
      <c r="D2244" t="s">
        <v>284</v>
      </c>
      <c r="E2244" t="s">
        <v>123</v>
      </c>
      <c r="F2244" t="s">
        <v>3726</v>
      </c>
      <c r="G2244" t="str">
        <f>"201511019335"</f>
        <v>201511019335</v>
      </c>
      <c r="H2244" t="s">
        <v>67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30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0</v>
      </c>
      <c r="W2244">
        <v>0</v>
      </c>
      <c r="Z2244">
        <v>0</v>
      </c>
      <c r="AA2244" t="s">
        <v>3727</v>
      </c>
    </row>
    <row r="2245" spans="1:27" x14ac:dyDescent="0.25">
      <c r="H2245" t="s">
        <v>31</v>
      </c>
    </row>
    <row r="2246" spans="1:27" x14ac:dyDescent="0.25">
      <c r="A2246">
        <v>1120</v>
      </c>
      <c r="B2246">
        <v>1126</v>
      </c>
      <c r="C2246" t="s">
        <v>3728</v>
      </c>
      <c r="D2246" t="s">
        <v>490</v>
      </c>
      <c r="E2246" t="s">
        <v>533</v>
      </c>
      <c r="F2246" t="s">
        <v>3729</v>
      </c>
      <c r="G2246" t="str">
        <f>"200807000884"</f>
        <v>200807000884</v>
      </c>
      <c r="H2246" t="s">
        <v>269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W2246">
        <v>0</v>
      </c>
      <c r="Z2246">
        <v>0</v>
      </c>
      <c r="AA2246" t="s">
        <v>269</v>
      </c>
    </row>
    <row r="2247" spans="1:27" x14ac:dyDescent="0.25">
      <c r="H2247" t="s">
        <v>25</v>
      </c>
    </row>
    <row r="2248" spans="1:27" x14ac:dyDescent="0.25">
      <c r="A2248">
        <v>1121</v>
      </c>
      <c r="B2248">
        <v>2104</v>
      </c>
      <c r="C2248" t="s">
        <v>3730</v>
      </c>
      <c r="D2248" t="s">
        <v>3731</v>
      </c>
      <c r="E2248" t="s">
        <v>3732</v>
      </c>
      <c r="F2248" t="s">
        <v>3733</v>
      </c>
      <c r="G2248" t="str">
        <f>"00012866"</f>
        <v>00012866</v>
      </c>
      <c r="H2248" t="s">
        <v>1506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30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70</v>
      </c>
      <c r="V2248">
        <v>0</v>
      </c>
      <c r="W2248">
        <v>0</v>
      </c>
      <c r="Z2248">
        <v>0</v>
      </c>
      <c r="AA2248" t="s">
        <v>3734</v>
      </c>
    </row>
    <row r="2249" spans="1:27" x14ac:dyDescent="0.25">
      <c r="H2249" t="s">
        <v>78</v>
      </c>
    </row>
    <row r="2250" spans="1:27" x14ac:dyDescent="0.25">
      <c r="A2250">
        <v>1122</v>
      </c>
      <c r="B2250">
        <v>614</v>
      </c>
      <c r="C2250" t="s">
        <v>3735</v>
      </c>
      <c r="D2250" t="s">
        <v>879</v>
      </c>
      <c r="E2250" t="s">
        <v>108</v>
      </c>
      <c r="F2250" t="s">
        <v>3736</v>
      </c>
      <c r="G2250" t="str">
        <f>"201405001040"</f>
        <v>201405001040</v>
      </c>
      <c r="H2250" t="s">
        <v>3737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30</v>
      </c>
      <c r="O2250">
        <v>0</v>
      </c>
      <c r="P2250">
        <v>50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W2250">
        <v>0</v>
      </c>
      <c r="Z2250">
        <v>0</v>
      </c>
      <c r="AA2250" t="s">
        <v>3738</v>
      </c>
    </row>
    <row r="2251" spans="1:27" x14ac:dyDescent="0.25">
      <c r="H2251" t="s">
        <v>298</v>
      </c>
    </row>
    <row r="2252" spans="1:27" x14ac:dyDescent="0.25">
      <c r="A2252">
        <v>1123</v>
      </c>
      <c r="B2252">
        <v>2230</v>
      </c>
      <c r="C2252" t="s">
        <v>3739</v>
      </c>
      <c r="D2252" t="s">
        <v>163</v>
      </c>
      <c r="E2252" t="s">
        <v>320</v>
      </c>
      <c r="F2252" t="s">
        <v>3740</v>
      </c>
      <c r="G2252" t="str">
        <f>"00013838"</f>
        <v>00013838</v>
      </c>
      <c r="H2252" t="s">
        <v>1037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W2252">
        <v>0</v>
      </c>
      <c r="Z2252">
        <v>0</v>
      </c>
      <c r="AA2252" t="s">
        <v>3741</v>
      </c>
    </row>
    <row r="2253" spans="1:27" x14ac:dyDescent="0.25">
      <c r="H2253" t="s">
        <v>78</v>
      </c>
    </row>
    <row r="2254" spans="1:27" x14ac:dyDescent="0.25">
      <c r="A2254">
        <v>1124</v>
      </c>
      <c r="B2254">
        <v>189</v>
      </c>
      <c r="C2254" t="s">
        <v>3742</v>
      </c>
      <c r="D2254" t="s">
        <v>129</v>
      </c>
      <c r="E2254" t="s">
        <v>284</v>
      </c>
      <c r="F2254" t="s">
        <v>3743</v>
      </c>
      <c r="G2254" t="str">
        <f>"201303000292"</f>
        <v>201303000292</v>
      </c>
      <c r="H2254">
        <v>682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70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W2254">
        <v>0</v>
      </c>
      <c r="Z2254">
        <v>0</v>
      </c>
      <c r="AA2254">
        <v>752</v>
      </c>
    </row>
    <row r="2255" spans="1:27" x14ac:dyDescent="0.25">
      <c r="H2255" t="s">
        <v>298</v>
      </c>
    </row>
    <row r="2256" spans="1:27" x14ac:dyDescent="0.25">
      <c r="A2256">
        <v>1125</v>
      </c>
      <c r="B2256">
        <v>2772</v>
      </c>
      <c r="C2256" t="s">
        <v>3744</v>
      </c>
      <c r="D2256" t="s">
        <v>80</v>
      </c>
      <c r="E2256" t="s">
        <v>499</v>
      </c>
      <c r="F2256" t="s">
        <v>3745</v>
      </c>
      <c r="G2256" t="str">
        <f>"201406014656"</f>
        <v>201406014656</v>
      </c>
      <c r="H2256" t="s">
        <v>558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0</v>
      </c>
      <c r="W2256">
        <v>0</v>
      </c>
      <c r="Z2256">
        <v>0</v>
      </c>
      <c r="AA2256" t="s">
        <v>558</v>
      </c>
    </row>
    <row r="2257" spans="1:27" x14ac:dyDescent="0.25">
      <c r="H2257" t="s">
        <v>78</v>
      </c>
    </row>
    <row r="2258" spans="1:27" x14ac:dyDescent="0.25">
      <c r="A2258">
        <v>1126</v>
      </c>
      <c r="B2258">
        <v>1239</v>
      </c>
      <c r="C2258" t="s">
        <v>3746</v>
      </c>
      <c r="D2258" t="s">
        <v>33</v>
      </c>
      <c r="E2258" t="s">
        <v>64</v>
      </c>
      <c r="F2258" t="s">
        <v>3747</v>
      </c>
      <c r="G2258" t="str">
        <f>"201402001921"</f>
        <v>201402001921</v>
      </c>
      <c r="H2258" t="s">
        <v>131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70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W2258">
        <v>0</v>
      </c>
      <c r="Z2258">
        <v>0</v>
      </c>
      <c r="AA2258" t="s">
        <v>3748</v>
      </c>
    </row>
    <row r="2259" spans="1:27" x14ac:dyDescent="0.25">
      <c r="H2259" t="s">
        <v>1000</v>
      </c>
    </row>
    <row r="2260" spans="1:27" x14ac:dyDescent="0.25">
      <c r="A2260">
        <v>1127</v>
      </c>
      <c r="B2260">
        <v>3266</v>
      </c>
      <c r="C2260" t="s">
        <v>2858</v>
      </c>
      <c r="D2260" t="s">
        <v>33</v>
      </c>
      <c r="E2260" t="s">
        <v>158</v>
      </c>
      <c r="F2260" t="s">
        <v>3749</v>
      </c>
      <c r="G2260" t="str">
        <f>"201410007251"</f>
        <v>201410007251</v>
      </c>
      <c r="H2260" t="s">
        <v>131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70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Z2260">
        <v>0</v>
      </c>
      <c r="AA2260" t="s">
        <v>3748</v>
      </c>
    </row>
    <row r="2261" spans="1:27" x14ac:dyDescent="0.25">
      <c r="H2261">
        <v>215</v>
      </c>
    </row>
    <row r="2262" spans="1:27" x14ac:dyDescent="0.25">
      <c r="A2262">
        <v>1128</v>
      </c>
      <c r="B2262">
        <v>2667</v>
      </c>
      <c r="C2262" t="s">
        <v>3750</v>
      </c>
      <c r="D2262" t="s">
        <v>401</v>
      </c>
      <c r="E2262" t="s">
        <v>64</v>
      </c>
      <c r="F2262" t="s">
        <v>3751</v>
      </c>
      <c r="G2262" t="str">
        <f>"201405001652"</f>
        <v>201405001652</v>
      </c>
      <c r="H2262" t="s">
        <v>2515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50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0</v>
      </c>
      <c r="W2262">
        <v>0</v>
      </c>
      <c r="Z2262">
        <v>0</v>
      </c>
      <c r="AA2262" t="s">
        <v>3752</v>
      </c>
    </row>
    <row r="2263" spans="1:27" x14ac:dyDescent="0.25">
      <c r="H2263" t="s">
        <v>38</v>
      </c>
    </row>
    <row r="2264" spans="1:27" x14ac:dyDescent="0.25">
      <c r="A2264">
        <v>1129</v>
      </c>
      <c r="B2264">
        <v>3323</v>
      </c>
      <c r="C2264" t="s">
        <v>3753</v>
      </c>
      <c r="D2264" t="s">
        <v>182</v>
      </c>
      <c r="E2264" t="s">
        <v>401</v>
      </c>
      <c r="F2264" t="s">
        <v>3754</v>
      </c>
      <c r="G2264" t="str">
        <f>"00011643"</f>
        <v>00011643</v>
      </c>
      <c r="H2264">
        <v>715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30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0</v>
      </c>
      <c r="W2264">
        <v>0</v>
      </c>
      <c r="Z2264">
        <v>0</v>
      </c>
      <c r="AA2264">
        <v>745</v>
      </c>
    </row>
    <row r="2265" spans="1:27" x14ac:dyDescent="0.25">
      <c r="H2265" t="s">
        <v>298</v>
      </c>
    </row>
    <row r="2266" spans="1:27" x14ac:dyDescent="0.25">
      <c r="A2266">
        <v>1130</v>
      </c>
      <c r="B2266">
        <v>2065</v>
      </c>
      <c r="C2266" t="s">
        <v>1071</v>
      </c>
      <c r="D2266" t="s">
        <v>40</v>
      </c>
      <c r="E2266" t="s">
        <v>64</v>
      </c>
      <c r="F2266" t="s">
        <v>3755</v>
      </c>
      <c r="G2266" t="str">
        <f>"00014723"</f>
        <v>00014723</v>
      </c>
      <c r="H2266" t="s">
        <v>844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30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W2266">
        <v>0</v>
      </c>
      <c r="Z2266">
        <v>2</v>
      </c>
      <c r="AA2266" t="s">
        <v>3756</v>
      </c>
    </row>
    <row r="2267" spans="1:27" x14ac:dyDescent="0.25">
      <c r="H2267">
        <v>213</v>
      </c>
    </row>
    <row r="2268" spans="1:27" x14ac:dyDescent="0.25">
      <c r="A2268">
        <v>1131</v>
      </c>
      <c r="B2268">
        <v>2607</v>
      </c>
      <c r="C2268" t="s">
        <v>3757</v>
      </c>
      <c r="D2268" t="s">
        <v>151</v>
      </c>
      <c r="E2268" t="s">
        <v>123</v>
      </c>
      <c r="F2268" t="s">
        <v>3758</v>
      </c>
      <c r="G2268" t="str">
        <f>"201410002313"</f>
        <v>201410002313</v>
      </c>
      <c r="H2268" t="s">
        <v>1261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W2268">
        <v>0</v>
      </c>
      <c r="Z2268">
        <v>0</v>
      </c>
      <c r="AA2268" t="s">
        <v>1261</v>
      </c>
    </row>
    <row r="2269" spans="1:27" x14ac:dyDescent="0.25">
      <c r="H2269">
        <v>215</v>
      </c>
    </row>
    <row r="2270" spans="1:27" x14ac:dyDescent="0.25">
      <c r="A2270">
        <v>1132</v>
      </c>
      <c r="B2270">
        <v>1952</v>
      </c>
      <c r="C2270" t="s">
        <v>3759</v>
      </c>
      <c r="D2270" t="s">
        <v>519</v>
      </c>
      <c r="E2270" t="s">
        <v>284</v>
      </c>
      <c r="F2270" t="s">
        <v>3760</v>
      </c>
      <c r="G2270" t="str">
        <f>"00014484"</f>
        <v>00014484</v>
      </c>
      <c r="H2270">
        <v>671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70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W2270">
        <v>0</v>
      </c>
      <c r="Z2270">
        <v>0</v>
      </c>
      <c r="AA2270">
        <v>741</v>
      </c>
    </row>
    <row r="2271" spans="1:27" x14ac:dyDescent="0.25">
      <c r="H2271" t="s">
        <v>2045</v>
      </c>
    </row>
    <row r="2272" spans="1:27" x14ac:dyDescent="0.25">
      <c r="A2272">
        <v>1133</v>
      </c>
      <c r="B2272">
        <v>823</v>
      </c>
      <c r="C2272" t="s">
        <v>1508</v>
      </c>
      <c r="D2272" t="s">
        <v>3761</v>
      </c>
      <c r="E2272" t="s">
        <v>64</v>
      </c>
      <c r="F2272" t="s">
        <v>3762</v>
      </c>
      <c r="G2272" t="str">
        <f>"201304006243"</f>
        <v>201304006243</v>
      </c>
      <c r="H2272">
        <v>671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70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W2272">
        <v>0</v>
      </c>
      <c r="Z2272">
        <v>1</v>
      </c>
      <c r="AA2272">
        <v>741</v>
      </c>
    </row>
    <row r="2273" spans="1:27" x14ac:dyDescent="0.25">
      <c r="H2273" t="s">
        <v>1000</v>
      </c>
    </row>
    <row r="2274" spans="1:27" x14ac:dyDescent="0.25">
      <c r="A2274">
        <v>1134</v>
      </c>
      <c r="B2274">
        <v>3051</v>
      </c>
      <c r="C2274" t="s">
        <v>3763</v>
      </c>
      <c r="D2274" t="s">
        <v>65</v>
      </c>
      <c r="E2274" t="s">
        <v>225</v>
      </c>
      <c r="F2274" t="s">
        <v>3764</v>
      </c>
      <c r="G2274" t="str">
        <f>"201604000234"</f>
        <v>201604000234</v>
      </c>
      <c r="H2274">
        <v>627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30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12</v>
      </c>
      <c r="W2274">
        <v>84</v>
      </c>
      <c r="Z2274">
        <v>0</v>
      </c>
      <c r="AA2274">
        <v>741</v>
      </c>
    </row>
    <row r="2275" spans="1:27" x14ac:dyDescent="0.25">
      <c r="H2275" t="s">
        <v>2616</v>
      </c>
    </row>
    <row r="2276" spans="1:27" x14ac:dyDescent="0.25">
      <c r="A2276">
        <v>1135</v>
      </c>
      <c r="B2276">
        <v>776</v>
      </c>
      <c r="C2276" t="s">
        <v>3400</v>
      </c>
      <c r="D2276" t="s">
        <v>3765</v>
      </c>
      <c r="E2276" t="s">
        <v>284</v>
      </c>
      <c r="F2276" t="s">
        <v>3766</v>
      </c>
      <c r="G2276" t="str">
        <f>"201409001083"</f>
        <v>201409001083</v>
      </c>
      <c r="H2276" t="s">
        <v>1648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30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0</v>
      </c>
      <c r="W2276">
        <v>0</v>
      </c>
      <c r="Z2276">
        <v>1</v>
      </c>
      <c r="AA2276" t="s">
        <v>3767</v>
      </c>
    </row>
    <row r="2277" spans="1:27" x14ac:dyDescent="0.25">
      <c r="H2277" t="s">
        <v>223</v>
      </c>
    </row>
    <row r="2278" spans="1:27" x14ac:dyDescent="0.25">
      <c r="A2278">
        <v>1136</v>
      </c>
      <c r="B2278">
        <v>429</v>
      </c>
      <c r="C2278" t="s">
        <v>3291</v>
      </c>
      <c r="D2278" t="s">
        <v>3768</v>
      </c>
      <c r="E2278" t="s">
        <v>2073</v>
      </c>
      <c r="F2278" t="s">
        <v>3769</v>
      </c>
      <c r="G2278" t="str">
        <f>"201504004409"</f>
        <v>201504004409</v>
      </c>
      <c r="H2278" t="s">
        <v>3709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70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Z2278">
        <v>0</v>
      </c>
      <c r="AA2278" t="s">
        <v>3770</v>
      </c>
    </row>
    <row r="2279" spans="1:27" x14ac:dyDescent="0.25">
      <c r="H2279" t="s">
        <v>89</v>
      </c>
    </row>
    <row r="2280" spans="1:27" x14ac:dyDescent="0.25">
      <c r="A2280">
        <v>1137</v>
      </c>
      <c r="B2280">
        <v>2964</v>
      </c>
      <c r="C2280" t="s">
        <v>3771</v>
      </c>
      <c r="D2280" t="s">
        <v>319</v>
      </c>
      <c r="E2280" t="s">
        <v>3772</v>
      </c>
      <c r="F2280" t="s">
        <v>3773</v>
      </c>
      <c r="G2280" t="str">
        <f>"00014353"</f>
        <v>00014353</v>
      </c>
      <c r="H2280" t="s">
        <v>1890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70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W2280">
        <v>0</v>
      </c>
      <c r="Z2280">
        <v>2</v>
      </c>
      <c r="AA2280" t="s">
        <v>3774</v>
      </c>
    </row>
    <row r="2281" spans="1:27" x14ac:dyDescent="0.25">
      <c r="H2281">
        <v>215</v>
      </c>
    </row>
    <row r="2282" spans="1:27" x14ac:dyDescent="0.25">
      <c r="A2282">
        <v>1138</v>
      </c>
      <c r="B2282">
        <v>1798</v>
      </c>
      <c r="C2282" t="s">
        <v>3775</v>
      </c>
      <c r="D2282" t="s">
        <v>33</v>
      </c>
      <c r="E2282" t="s">
        <v>401</v>
      </c>
      <c r="F2282" t="s">
        <v>3776</v>
      </c>
      <c r="G2282" t="str">
        <f>"201511036082"</f>
        <v>201511036082</v>
      </c>
      <c r="H2282" t="s">
        <v>1976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30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Z2282">
        <v>2</v>
      </c>
      <c r="AA2282" t="s">
        <v>3777</v>
      </c>
    </row>
    <row r="2283" spans="1:27" x14ac:dyDescent="0.25">
      <c r="H2283" t="s">
        <v>293</v>
      </c>
    </row>
    <row r="2284" spans="1:27" x14ac:dyDescent="0.25">
      <c r="A2284">
        <v>1139</v>
      </c>
      <c r="B2284">
        <v>116</v>
      </c>
      <c r="C2284" t="s">
        <v>3778</v>
      </c>
      <c r="D2284" t="s">
        <v>3779</v>
      </c>
      <c r="E2284" t="s">
        <v>41</v>
      </c>
      <c r="F2284" t="s">
        <v>3780</v>
      </c>
      <c r="G2284" t="str">
        <f>"201410012193"</f>
        <v>201410012193</v>
      </c>
      <c r="H2284" t="s">
        <v>872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W2284">
        <v>0</v>
      </c>
      <c r="Z2284">
        <v>0</v>
      </c>
      <c r="AA2284" t="s">
        <v>872</v>
      </c>
    </row>
    <row r="2285" spans="1:27" x14ac:dyDescent="0.25">
      <c r="H2285" t="s">
        <v>357</v>
      </c>
    </row>
    <row r="2286" spans="1:27" x14ac:dyDescent="0.25">
      <c r="A2286">
        <v>1140</v>
      </c>
      <c r="B2286">
        <v>2657</v>
      </c>
      <c r="C2286" t="s">
        <v>3781</v>
      </c>
      <c r="D2286" t="s">
        <v>158</v>
      </c>
      <c r="E2286" t="s">
        <v>3782</v>
      </c>
      <c r="F2286" t="s">
        <v>3783</v>
      </c>
      <c r="G2286" t="str">
        <f>"00012879"</f>
        <v>00012879</v>
      </c>
      <c r="H2286" t="s">
        <v>1431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70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W2286">
        <v>0</v>
      </c>
      <c r="Z2286">
        <v>0</v>
      </c>
      <c r="AA2286" t="s">
        <v>3784</v>
      </c>
    </row>
    <row r="2287" spans="1:27" x14ac:dyDescent="0.25">
      <c r="H2287">
        <v>213</v>
      </c>
    </row>
    <row r="2288" spans="1:27" x14ac:dyDescent="0.25">
      <c r="A2288">
        <v>1141</v>
      </c>
      <c r="B2288">
        <v>2568</v>
      </c>
      <c r="C2288" t="s">
        <v>3785</v>
      </c>
      <c r="D2288" t="s">
        <v>490</v>
      </c>
      <c r="E2288" t="s">
        <v>225</v>
      </c>
      <c r="F2288" t="s">
        <v>3786</v>
      </c>
      <c r="G2288" t="str">
        <f>"201506000898"</f>
        <v>201506000898</v>
      </c>
      <c r="H2288" t="s">
        <v>1552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70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W2288">
        <v>0</v>
      </c>
      <c r="Z2288">
        <v>0</v>
      </c>
      <c r="AA2288" t="s">
        <v>3787</v>
      </c>
    </row>
    <row r="2289" spans="1:27" x14ac:dyDescent="0.25">
      <c r="H2289">
        <v>216</v>
      </c>
    </row>
    <row r="2290" spans="1:27" x14ac:dyDescent="0.25">
      <c r="A2290">
        <v>1142</v>
      </c>
      <c r="B2290">
        <v>790</v>
      </c>
      <c r="C2290" t="s">
        <v>404</v>
      </c>
      <c r="D2290" t="s">
        <v>225</v>
      </c>
      <c r="E2290" t="s">
        <v>85</v>
      </c>
      <c r="F2290" t="s">
        <v>3788</v>
      </c>
      <c r="G2290" t="str">
        <f>"00014623"</f>
        <v>00014623</v>
      </c>
      <c r="H2290" t="s">
        <v>87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30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>
        <v>0</v>
      </c>
      <c r="Z2290">
        <v>0</v>
      </c>
      <c r="AA2290" t="s">
        <v>3789</v>
      </c>
    </row>
    <row r="2291" spans="1:27" x14ac:dyDescent="0.25">
      <c r="H2291" t="s">
        <v>78</v>
      </c>
    </row>
    <row r="2292" spans="1:27" x14ac:dyDescent="0.25">
      <c r="A2292">
        <v>1143</v>
      </c>
      <c r="B2292">
        <v>2462</v>
      </c>
      <c r="C2292" t="s">
        <v>309</v>
      </c>
      <c r="D2292" t="s">
        <v>235</v>
      </c>
      <c r="E2292" t="s">
        <v>108</v>
      </c>
      <c r="F2292" t="s">
        <v>3790</v>
      </c>
      <c r="G2292" t="str">
        <f>"201504000726"</f>
        <v>201504000726</v>
      </c>
      <c r="H2292" t="s">
        <v>87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>
        <v>0</v>
      </c>
      <c r="Z2292">
        <v>0</v>
      </c>
      <c r="AA2292" t="s">
        <v>3789</v>
      </c>
    </row>
    <row r="2293" spans="1:27" x14ac:dyDescent="0.25">
      <c r="H2293" t="s">
        <v>25</v>
      </c>
    </row>
    <row r="2294" spans="1:27" x14ac:dyDescent="0.25">
      <c r="A2294">
        <v>1144</v>
      </c>
      <c r="B2294">
        <v>1152</v>
      </c>
      <c r="C2294" t="s">
        <v>3791</v>
      </c>
      <c r="D2294" t="s">
        <v>108</v>
      </c>
      <c r="E2294" t="s">
        <v>41</v>
      </c>
      <c r="F2294" t="s">
        <v>3792</v>
      </c>
      <c r="G2294" t="str">
        <f>"00014819"</f>
        <v>00014819</v>
      </c>
      <c r="H2294" t="s">
        <v>87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30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>
        <v>0</v>
      </c>
      <c r="Z2294">
        <v>0</v>
      </c>
      <c r="AA2294" t="s">
        <v>3789</v>
      </c>
    </row>
    <row r="2295" spans="1:27" x14ac:dyDescent="0.25">
      <c r="H2295">
        <v>213</v>
      </c>
    </row>
    <row r="2296" spans="1:27" x14ac:dyDescent="0.25">
      <c r="A2296">
        <v>1145</v>
      </c>
      <c r="B2296">
        <v>824</v>
      </c>
      <c r="C2296" t="s">
        <v>3793</v>
      </c>
      <c r="D2296" t="s">
        <v>123</v>
      </c>
      <c r="E2296" t="s">
        <v>225</v>
      </c>
      <c r="F2296" t="s">
        <v>3794</v>
      </c>
      <c r="G2296" t="str">
        <f>"201304004787"</f>
        <v>201304004787</v>
      </c>
      <c r="H2296">
        <v>660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70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Z2296">
        <v>0</v>
      </c>
      <c r="AA2296">
        <v>730</v>
      </c>
    </row>
    <row r="2297" spans="1:27" x14ac:dyDescent="0.25">
      <c r="H2297" t="s">
        <v>2045</v>
      </c>
    </row>
    <row r="2298" spans="1:27" x14ac:dyDescent="0.25">
      <c r="A2298">
        <v>1146</v>
      </c>
      <c r="B2298">
        <v>45</v>
      </c>
      <c r="C2298" t="s">
        <v>3795</v>
      </c>
      <c r="D2298" t="s">
        <v>2020</v>
      </c>
      <c r="E2298" t="s">
        <v>108</v>
      </c>
      <c r="F2298" t="s">
        <v>3796</v>
      </c>
      <c r="G2298" t="str">
        <f>"00013300"</f>
        <v>00013300</v>
      </c>
      <c r="H2298" t="s">
        <v>1082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30</v>
      </c>
      <c r="O2298">
        <v>0</v>
      </c>
      <c r="P2298">
        <v>30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W2298">
        <v>0</v>
      </c>
      <c r="Z2298">
        <v>0</v>
      </c>
      <c r="AA2298" t="s">
        <v>3797</v>
      </c>
    </row>
    <row r="2299" spans="1:27" x14ac:dyDescent="0.25">
      <c r="H2299" t="s">
        <v>19</v>
      </c>
    </row>
    <row r="2300" spans="1:27" x14ac:dyDescent="0.25">
      <c r="A2300">
        <v>1147</v>
      </c>
      <c r="B2300">
        <v>649</v>
      </c>
      <c r="C2300" t="s">
        <v>3798</v>
      </c>
      <c r="D2300" t="s">
        <v>108</v>
      </c>
      <c r="E2300" t="s">
        <v>64</v>
      </c>
      <c r="F2300" t="s">
        <v>3799</v>
      </c>
      <c r="G2300" t="str">
        <f>"00013306"</f>
        <v>00013306</v>
      </c>
      <c r="H2300" t="s">
        <v>131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50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W2300">
        <v>0</v>
      </c>
      <c r="Z2300">
        <v>0</v>
      </c>
      <c r="AA2300" t="s">
        <v>3800</v>
      </c>
    </row>
    <row r="2301" spans="1:27" x14ac:dyDescent="0.25">
      <c r="H2301" t="s">
        <v>223</v>
      </c>
    </row>
    <row r="2302" spans="1:27" x14ac:dyDescent="0.25">
      <c r="A2302">
        <v>1148</v>
      </c>
      <c r="B2302">
        <v>3340</v>
      </c>
      <c r="C2302" t="s">
        <v>473</v>
      </c>
      <c r="D2302" t="s">
        <v>219</v>
      </c>
      <c r="E2302" t="s">
        <v>85</v>
      </c>
      <c r="F2302" t="s">
        <v>3801</v>
      </c>
      <c r="G2302" t="str">
        <f>"201303000883"</f>
        <v>201303000883</v>
      </c>
      <c r="H2302" t="s">
        <v>1510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W2302">
        <v>0</v>
      </c>
      <c r="Z2302">
        <v>0</v>
      </c>
      <c r="AA2302" t="s">
        <v>1510</v>
      </c>
    </row>
    <row r="2303" spans="1:27" x14ac:dyDescent="0.25">
      <c r="H2303">
        <v>215</v>
      </c>
    </row>
    <row r="2304" spans="1:27" x14ac:dyDescent="0.25">
      <c r="A2304">
        <v>1149</v>
      </c>
      <c r="B2304">
        <v>3158</v>
      </c>
      <c r="C2304" t="s">
        <v>752</v>
      </c>
      <c r="D2304" t="s">
        <v>85</v>
      </c>
      <c r="E2304" t="s">
        <v>14</v>
      </c>
      <c r="F2304" t="s">
        <v>3802</v>
      </c>
      <c r="G2304" t="str">
        <f>"00013794"</f>
        <v>00013794</v>
      </c>
      <c r="H2304" t="s">
        <v>1062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W2304">
        <v>0</v>
      </c>
      <c r="Z2304">
        <v>0</v>
      </c>
      <c r="AA2304" t="s">
        <v>3803</v>
      </c>
    </row>
    <row r="2305" spans="1:27" x14ac:dyDescent="0.25">
      <c r="H2305">
        <v>215</v>
      </c>
    </row>
    <row r="2306" spans="1:27" x14ac:dyDescent="0.25">
      <c r="A2306">
        <v>1150</v>
      </c>
      <c r="B2306">
        <v>2208</v>
      </c>
      <c r="C2306" t="s">
        <v>3804</v>
      </c>
      <c r="D2306" t="s">
        <v>64</v>
      </c>
      <c r="E2306" t="s">
        <v>225</v>
      </c>
      <c r="F2306" t="s">
        <v>3805</v>
      </c>
      <c r="G2306" t="str">
        <f>"00012699"</f>
        <v>00012699</v>
      </c>
      <c r="H2306" t="s">
        <v>3806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50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W2306">
        <v>0</v>
      </c>
      <c r="Z2306">
        <v>0</v>
      </c>
      <c r="AA2306" t="s">
        <v>3807</v>
      </c>
    </row>
    <row r="2307" spans="1:27" x14ac:dyDescent="0.25">
      <c r="H2307" t="s">
        <v>25</v>
      </c>
    </row>
    <row r="2308" spans="1:27" x14ac:dyDescent="0.25">
      <c r="A2308">
        <v>1151</v>
      </c>
      <c r="B2308">
        <v>886</v>
      </c>
      <c r="C2308" t="s">
        <v>3808</v>
      </c>
      <c r="D2308" t="s">
        <v>647</v>
      </c>
      <c r="E2308" t="s">
        <v>225</v>
      </c>
      <c r="F2308" t="s">
        <v>3809</v>
      </c>
      <c r="G2308" t="str">
        <f>"201511014039"</f>
        <v>201511014039</v>
      </c>
      <c r="H2308" t="s">
        <v>2819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30</v>
      </c>
      <c r="O2308">
        <v>30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4</v>
      </c>
      <c r="W2308">
        <v>28</v>
      </c>
      <c r="Z2308">
        <v>0</v>
      </c>
      <c r="AA2308" t="s">
        <v>197</v>
      </c>
    </row>
    <row r="2309" spans="1:27" x14ac:dyDescent="0.25">
      <c r="H2309" t="s">
        <v>106</v>
      </c>
    </row>
    <row r="2310" spans="1:27" x14ac:dyDescent="0.25">
      <c r="A2310">
        <v>1152</v>
      </c>
      <c r="B2310">
        <v>555</v>
      </c>
      <c r="C2310" t="s">
        <v>3810</v>
      </c>
      <c r="D2310" t="s">
        <v>235</v>
      </c>
      <c r="E2310" t="s">
        <v>225</v>
      </c>
      <c r="F2310" t="s">
        <v>3811</v>
      </c>
      <c r="G2310" t="str">
        <f>"201405000408"</f>
        <v>201405000408</v>
      </c>
      <c r="H2310" t="s">
        <v>1466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70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W2310">
        <v>0</v>
      </c>
      <c r="Z2310">
        <v>0</v>
      </c>
      <c r="AA2310" t="s">
        <v>3812</v>
      </c>
    </row>
    <row r="2311" spans="1:27" x14ac:dyDescent="0.25">
      <c r="H2311" t="s">
        <v>25</v>
      </c>
    </row>
    <row r="2312" spans="1:27" x14ac:dyDescent="0.25">
      <c r="A2312">
        <v>1153</v>
      </c>
      <c r="B2312">
        <v>2730</v>
      </c>
      <c r="C2312" t="s">
        <v>3813</v>
      </c>
      <c r="D2312" t="s">
        <v>40</v>
      </c>
      <c r="E2312" t="s">
        <v>1382</v>
      </c>
      <c r="F2312" t="s">
        <v>3814</v>
      </c>
      <c r="G2312" t="str">
        <f>"201406002357"</f>
        <v>201406002357</v>
      </c>
      <c r="H2312" t="s">
        <v>3427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30</v>
      </c>
      <c r="O2312">
        <v>0</v>
      </c>
      <c r="P2312">
        <v>50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0</v>
      </c>
      <c r="W2312">
        <v>0</v>
      </c>
      <c r="Z2312">
        <v>0</v>
      </c>
      <c r="AA2312" t="s">
        <v>3815</v>
      </c>
    </row>
    <row r="2313" spans="1:27" x14ac:dyDescent="0.25">
      <c r="H2313" t="s">
        <v>106</v>
      </c>
    </row>
    <row r="2314" spans="1:27" x14ac:dyDescent="0.25">
      <c r="A2314">
        <v>1154</v>
      </c>
      <c r="B2314">
        <v>1523</v>
      </c>
      <c r="C2314" t="s">
        <v>3816</v>
      </c>
      <c r="D2314" t="s">
        <v>151</v>
      </c>
      <c r="E2314" t="s">
        <v>225</v>
      </c>
      <c r="F2314" t="s">
        <v>3817</v>
      </c>
      <c r="G2314" t="str">
        <f>"201506000699"</f>
        <v>201506000699</v>
      </c>
      <c r="H2314">
        <v>682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30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0</v>
      </c>
      <c r="W2314">
        <v>0</v>
      </c>
      <c r="Z2314">
        <v>1</v>
      </c>
      <c r="AA2314">
        <v>712</v>
      </c>
    </row>
    <row r="2315" spans="1:27" x14ac:dyDescent="0.25">
      <c r="H2315" t="s">
        <v>89</v>
      </c>
    </row>
    <row r="2316" spans="1:27" x14ac:dyDescent="0.25">
      <c r="A2316">
        <v>1155</v>
      </c>
      <c r="B2316">
        <v>152</v>
      </c>
      <c r="C2316" t="s">
        <v>3818</v>
      </c>
      <c r="D2316" t="s">
        <v>235</v>
      </c>
      <c r="E2316" t="s">
        <v>64</v>
      </c>
      <c r="F2316" t="s">
        <v>3819</v>
      </c>
      <c r="G2316" t="str">
        <f>"201405002138"</f>
        <v>201405002138</v>
      </c>
      <c r="H2316" t="s">
        <v>131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30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0</v>
      </c>
      <c r="W2316">
        <v>0</v>
      </c>
      <c r="Z2316">
        <v>0</v>
      </c>
      <c r="AA2316" t="s">
        <v>3820</v>
      </c>
    </row>
    <row r="2317" spans="1:27" x14ac:dyDescent="0.25">
      <c r="H2317" t="s">
        <v>904</v>
      </c>
    </row>
    <row r="2318" spans="1:27" x14ac:dyDescent="0.25">
      <c r="A2318">
        <v>1156</v>
      </c>
      <c r="B2318">
        <v>2624</v>
      </c>
      <c r="C2318" t="s">
        <v>3821</v>
      </c>
      <c r="D2318" t="s">
        <v>204</v>
      </c>
      <c r="E2318" t="s">
        <v>235</v>
      </c>
      <c r="F2318" t="s">
        <v>3822</v>
      </c>
      <c r="G2318" t="str">
        <f>"00014533"</f>
        <v>00014533</v>
      </c>
      <c r="H2318" t="s">
        <v>1976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W2318">
        <v>0</v>
      </c>
      <c r="Z2318">
        <v>0</v>
      </c>
      <c r="AA2318" t="s">
        <v>1976</v>
      </c>
    </row>
    <row r="2319" spans="1:27" x14ac:dyDescent="0.25">
      <c r="H2319" t="s">
        <v>298</v>
      </c>
    </row>
    <row r="2320" spans="1:27" x14ac:dyDescent="0.25">
      <c r="A2320">
        <v>1157</v>
      </c>
      <c r="B2320">
        <v>1721</v>
      </c>
      <c r="C2320" t="s">
        <v>3823</v>
      </c>
      <c r="D2320" t="s">
        <v>14</v>
      </c>
      <c r="E2320" t="s">
        <v>225</v>
      </c>
      <c r="F2320" t="s">
        <v>3824</v>
      </c>
      <c r="G2320" t="str">
        <f>"00013130"</f>
        <v>00013130</v>
      </c>
      <c r="H2320" t="s">
        <v>82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W2320">
        <v>0</v>
      </c>
      <c r="Z2320">
        <v>0</v>
      </c>
      <c r="AA2320" t="s">
        <v>3825</v>
      </c>
    </row>
    <row r="2321" spans="1:27" x14ac:dyDescent="0.25">
      <c r="H2321" t="s">
        <v>1606</v>
      </c>
    </row>
    <row r="2322" spans="1:27" x14ac:dyDescent="0.25">
      <c r="A2322">
        <v>1158</v>
      </c>
      <c r="B2322">
        <v>1686</v>
      </c>
      <c r="C2322" t="s">
        <v>3826</v>
      </c>
      <c r="D2322" t="s">
        <v>3827</v>
      </c>
      <c r="E2322" t="s">
        <v>1085</v>
      </c>
      <c r="F2322" t="s">
        <v>3828</v>
      </c>
      <c r="G2322" t="str">
        <f>"201402000156"</f>
        <v>201402000156</v>
      </c>
      <c r="H2322" t="s">
        <v>3737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30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0</v>
      </c>
      <c r="W2322">
        <v>0</v>
      </c>
      <c r="Z2322">
        <v>0</v>
      </c>
      <c r="AA2322" t="s">
        <v>3829</v>
      </c>
    </row>
    <row r="2323" spans="1:27" x14ac:dyDescent="0.25">
      <c r="H2323" t="s">
        <v>25</v>
      </c>
    </row>
    <row r="2324" spans="1:27" x14ac:dyDescent="0.25">
      <c r="A2324">
        <v>1159</v>
      </c>
      <c r="B2324">
        <v>3170</v>
      </c>
      <c r="C2324" t="s">
        <v>3830</v>
      </c>
      <c r="D2324" t="s">
        <v>401</v>
      </c>
      <c r="E2324" t="s">
        <v>108</v>
      </c>
      <c r="F2324" t="s">
        <v>3831</v>
      </c>
      <c r="G2324" t="str">
        <f>"201406002377"</f>
        <v>201406002377</v>
      </c>
      <c r="H2324" t="s">
        <v>1402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70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Z2324">
        <v>1</v>
      </c>
      <c r="AA2324" t="s">
        <v>3832</v>
      </c>
    </row>
    <row r="2325" spans="1:27" x14ac:dyDescent="0.25">
      <c r="H2325" t="s">
        <v>357</v>
      </c>
    </row>
    <row r="2326" spans="1:27" x14ac:dyDescent="0.25">
      <c r="A2326">
        <v>1160</v>
      </c>
      <c r="B2326">
        <v>2723</v>
      </c>
      <c r="C2326" t="s">
        <v>3833</v>
      </c>
      <c r="D2326" t="s">
        <v>3834</v>
      </c>
      <c r="E2326" t="s">
        <v>1085</v>
      </c>
      <c r="F2326" t="s">
        <v>3835</v>
      </c>
      <c r="G2326" t="str">
        <f>"00014236"</f>
        <v>00014236</v>
      </c>
      <c r="H2326" t="s">
        <v>2096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50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>
        <v>0</v>
      </c>
      <c r="Z2326">
        <v>2</v>
      </c>
      <c r="AA2326" t="s">
        <v>3836</v>
      </c>
    </row>
    <row r="2327" spans="1:27" x14ac:dyDescent="0.25">
      <c r="H2327" t="s">
        <v>25</v>
      </c>
    </row>
    <row r="2328" spans="1:27" x14ac:dyDescent="0.25">
      <c r="A2328">
        <v>1161</v>
      </c>
      <c r="B2328">
        <v>3096</v>
      </c>
      <c r="C2328" t="s">
        <v>3169</v>
      </c>
      <c r="D2328" t="s">
        <v>3837</v>
      </c>
      <c r="E2328" t="s">
        <v>64</v>
      </c>
      <c r="F2328" t="s">
        <v>3838</v>
      </c>
      <c r="G2328" t="str">
        <f>"00011717"</f>
        <v>00011717</v>
      </c>
      <c r="H2328" t="s">
        <v>1410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W2328">
        <v>0</v>
      </c>
      <c r="Z2328">
        <v>0</v>
      </c>
      <c r="AA2328" t="s">
        <v>1410</v>
      </c>
    </row>
    <row r="2329" spans="1:27" x14ac:dyDescent="0.25">
      <c r="H2329" t="s">
        <v>659</v>
      </c>
    </row>
    <row r="2330" spans="1:27" x14ac:dyDescent="0.25">
      <c r="A2330">
        <v>1162</v>
      </c>
      <c r="B2330">
        <v>522</v>
      </c>
      <c r="C2330" t="s">
        <v>1129</v>
      </c>
      <c r="D2330" t="s">
        <v>362</v>
      </c>
      <c r="E2330" t="s">
        <v>722</v>
      </c>
      <c r="F2330" t="s">
        <v>3839</v>
      </c>
      <c r="G2330" t="str">
        <f>"00013710"</f>
        <v>00013710</v>
      </c>
      <c r="H2330" t="s">
        <v>2040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W2330">
        <v>0</v>
      </c>
      <c r="Z2330">
        <v>1</v>
      </c>
      <c r="AA2330" t="s">
        <v>3840</v>
      </c>
    </row>
    <row r="2331" spans="1:27" x14ac:dyDescent="0.25">
      <c r="H2331">
        <v>215</v>
      </c>
    </row>
    <row r="2332" spans="1:27" x14ac:dyDescent="0.25">
      <c r="A2332">
        <v>1163</v>
      </c>
      <c r="B2332">
        <v>1281</v>
      </c>
      <c r="C2332" t="s">
        <v>3841</v>
      </c>
      <c r="D2332" t="s">
        <v>41</v>
      </c>
      <c r="E2332" t="s">
        <v>225</v>
      </c>
      <c r="F2332" t="s">
        <v>3842</v>
      </c>
      <c r="G2332" t="str">
        <f>"201511034638"</f>
        <v>201511034638</v>
      </c>
      <c r="H2332" t="s">
        <v>531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W2332">
        <v>0</v>
      </c>
      <c r="Z2332">
        <v>0</v>
      </c>
      <c r="AA2332" t="s">
        <v>531</v>
      </c>
    </row>
    <row r="2333" spans="1:27" x14ac:dyDescent="0.25">
      <c r="H2333" t="s">
        <v>25</v>
      </c>
    </row>
    <row r="2334" spans="1:27" x14ac:dyDescent="0.25">
      <c r="A2334">
        <v>1164</v>
      </c>
      <c r="B2334">
        <v>3186</v>
      </c>
      <c r="C2334" t="s">
        <v>1814</v>
      </c>
      <c r="D2334" t="s">
        <v>158</v>
      </c>
      <c r="E2334" t="s">
        <v>85</v>
      </c>
      <c r="F2334" t="s">
        <v>3843</v>
      </c>
      <c r="G2334" t="str">
        <f>"00014112"</f>
        <v>00014112</v>
      </c>
      <c r="H2334" t="s">
        <v>2313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70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>
        <v>0</v>
      </c>
      <c r="Z2334">
        <v>0</v>
      </c>
      <c r="AA2334" t="s">
        <v>3844</v>
      </c>
    </row>
    <row r="2335" spans="1:27" x14ac:dyDescent="0.25">
      <c r="H2335" t="s">
        <v>78</v>
      </c>
    </row>
    <row r="2336" spans="1:27" x14ac:dyDescent="0.25">
      <c r="A2336">
        <v>1165</v>
      </c>
      <c r="B2336">
        <v>1610</v>
      </c>
      <c r="C2336" t="s">
        <v>3845</v>
      </c>
      <c r="D2336" t="s">
        <v>64</v>
      </c>
      <c r="E2336" t="s">
        <v>235</v>
      </c>
      <c r="F2336" t="s">
        <v>3846</v>
      </c>
      <c r="G2336" t="str">
        <f>"00014400"</f>
        <v>00014400</v>
      </c>
      <c r="H2336" t="s">
        <v>3055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30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4</v>
      </c>
      <c r="W2336">
        <v>28</v>
      </c>
      <c r="Z2336">
        <v>0</v>
      </c>
      <c r="AA2336" t="s">
        <v>3847</v>
      </c>
    </row>
    <row r="2337" spans="1:27" x14ac:dyDescent="0.25">
      <c r="H2337">
        <v>216</v>
      </c>
    </row>
    <row r="2338" spans="1:27" x14ac:dyDescent="0.25">
      <c r="A2338">
        <v>1166</v>
      </c>
      <c r="B2338">
        <v>1232</v>
      </c>
      <c r="C2338" t="s">
        <v>3848</v>
      </c>
      <c r="D2338" t="s">
        <v>64</v>
      </c>
      <c r="E2338" t="s">
        <v>369</v>
      </c>
      <c r="F2338" t="s">
        <v>3849</v>
      </c>
      <c r="G2338" t="str">
        <f>"201412001853"</f>
        <v>201412001853</v>
      </c>
      <c r="H2338">
        <v>660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30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0</v>
      </c>
      <c r="Z2338">
        <v>0</v>
      </c>
      <c r="AA2338">
        <v>690</v>
      </c>
    </row>
    <row r="2339" spans="1:27" x14ac:dyDescent="0.25">
      <c r="H2339">
        <v>215</v>
      </c>
    </row>
    <row r="2340" spans="1:27" x14ac:dyDescent="0.25">
      <c r="A2340">
        <v>1167</v>
      </c>
      <c r="B2340">
        <v>3036</v>
      </c>
      <c r="C2340" t="s">
        <v>1853</v>
      </c>
      <c r="D2340" t="s">
        <v>3850</v>
      </c>
      <c r="E2340" t="s">
        <v>14</v>
      </c>
      <c r="F2340" t="s">
        <v>3851</v>
      </c>
      <c r="G2340" t="str">
        <f>"201412002752"</f>
        <v>201412002752</v>
      </c>
      <c r="H2340" t="s">
        <v>110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W2340">
        <v>0</v>
      </c>
      <c r="Z2340">
        <v>0</v>
      </c>
      <c r="AA2340" t="s">
        <v>3852</v>
      </c>
    </row>
    <row r="2341" spans="1:27" x14ac:dyDescent="0.25">
      <c r="H2341" t="s">
        <v>248</v>
      </c>
    </row>
    <row r="2342" spans="1:27" x14ac:dyDescent="0.25">
      <c r="A2342">
        <v>1168</v>
      </c>
      <c r="B2342">
        <v>2440</v>
      </c>
      <c r="C2342" t="s">
        <v>3853</v>
      </c>
      <c r="D2342" t="s">
        <v>158</v>
      </c>
      <c r="E2342" t="s">
        <v>2522</v>
      </c>
      <c r="F2342" t="s">
        <v>3854</v>
      </c>
      <c r="G2342" t="str">
        <f>"201506003523"</f>
        <v>201506003523</v>
      </c>
      <c r="H2342" t="s">
        <v>1996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0</v>
      </c>
      <c r="W2342">
        <v>0</v>
      </c>
      <c r="Z2342">
        <v>0</v>
      </c>
      <c r="AA2342" t="s">
        <v>1996</v>
      </c>
    </row>
    <row r="2343" spans="1:27" x14ac:dyDescent="0.25">
      <c r="H2343" t="s">
        <v>25</v>
      </c>
    </row>
    <row r="2344" spans="1:27" x14ac:dyDescent="0.25">
      <c r="A2344">
        <v>1169</v>
      </c>
      <c r="B2344">
        <v>2529</v>
      </c>
      <c r="C2344" t="s">
        <v>3855</v>
      </c>
      <c r="D2344" t="s">
        <v>64</v>
      </c>
      <c r="E2344" t="s">
        <v>41</v>
      </c>
      <c r="F2344" t="s">
        <v>3856</v>
      </c>
      <c r="G2344" t="str">
        <f>"201304005568"</f>
        <v>201304005568</v>
      </c>
      <c r="H2344" t="s">
        <v>1996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W2344">
        <v>0</v>
      </c>
      <c r="Z2344">
        <v>0</v>
      </c>
      <c r="AA2344" t="s">
        <v>1996</v>
      </c>
    </row>
    <row r="2345" spans="1:27" x14ac:dyDescent="0.25">
      <c r="H2345">
        <v>216</v>
      </c>
    </row>
    <row r="2346" spans="1:27" x14ac:dyDescent="0.25">
      <c r="A2346">
        <v>1170</v>
      </c>
      <c r="B2346">
        <v>3283</v>
      </c>
      <c r="C2346" t="s">
        <v>3857</v>
      </c>
      <c r="D2346" t="s">
        <v>319</v>
      </c>
      <c r="E2346" t="s">
        <v>108</v>
      </c>
      <c r="F2346" t="s">
        <v>3858</v>
      </c>
      <c r="G2346" t="str">
        <f>"201409007146"</f>
        <v>201409007146</v>
      </c>
      <c r="H2346" t="s">
        <v>1123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W2346">
        <v>0</v>
      </c>
      <c r="Z2346">
        <v>0</v>
      </c>
      <c r="AA2346" t="s">
        <v>1123</v>
      </c>
    </row>
    <row r="2347" spans="1:27" x14ac:dyDescent="0.25">
      <c r="H2347" t="s">
        <v>25</v>
      </c>
    </row>
    <row r="2348" spans="1:27" x14ac:dyDescent="0.25">
      <c r="A2348">
        <v>1171</v>
      </c>
      <c r="B2348">
        <v>2611</v>
      </c>
      <c r="C2348" t="s">
        <v>3859</v>
      </c>
      <c r="D2348" t="s">
        <v>3860</v>
      </c>
      <c r="E2348" t="s">
        <v>3861</v>
      </c>
      <c r="F2348" t="s">
        <v>3862</v>
      </c>
      <c r="G2348" t="str">
        <f>"00002240"</f>
        <v>00002240</v>
      </c>
      <c r="H2348">
        <v>682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Z2348">
        <v>0</v>
      </c>
      <c r="AA2348">
        <v>682</v>
      </c>
    </row>
    <row r="2349" spans="1:27" x14ac:dyDescent="0.25">
      <c r="H2349" t="s">
        <v>1000</v>
      </c>
    </row>
    <row r="2350" spans="1:27" x14ac:dyDescent="0.25">
      <c r="A2350">
        <v>1172</v>
      </c>
      <c r="B2350">
        <v>2105</v>
      </c>
      <c r="C2350" t="s">
        <v>3863</v>
      </c>
      <c r="D2350" t="s">
        <v>304</v>
      </c>
      <c r="E2350" t="s">
        <v>64</v>
      </c>
      <c r="F2350" t="s">
        <v>3864</v>
      </c>
      <c r="G2350" t="str">
        <f>"201410005620"</f>
        <v>201410005620</v>
      </c>
      <c r="H2350" t="s">
        <v>662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Z2350">
        <v>0</v>
      </c>
      <c r="AA2350" t="s">
        <v>3865</v>
      </c>
    </row>
    <row r="2351" spans="1:27" x14ac:dyDescent="0.25">
      <c r="H2351" t="s">
        <v>223</v>
      </c>
    </row>
    <row r="2352" spans="1:27" x14ac:dyDescent="0.25">
      <c r="A2352">
        <v>1173</v>
      </c>
      <c r="B2352">
        <v>496</v>
      </c>
      <c r="C2352" t="s">
        <v>3866</v>
      </c>
      <c r="D2352" t="s">
        <v>3867</v>
      </c>
      <c r="E2352" t="s">
        <v>41</v>
      </c>
      <c r="F2352" t="s">
        <v>3868</v>
      </c>
      <c r="G2352" t="str">
        <f>"201304006144"</f>
        <v>201304006144</v>
      </c>
      <c r="H2352" t="s">
        <v>1488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0</v>
      </c>
      <c r="W2352">
        <v>0</v>
      </c>
      <c r="Z2352">
        <v>0</v>
      </c>
      <c r="AA2352" t="s">
        <v>1488</v>
      </c>
    </row>
    <row r="2353" spans="1:27" x14ac:dyDescent="0.25">
      <c r="H2353" t="s">
        <v>78</v>
      </c>
    </row>
    <row r="2354" spans="1:27" x14ac:dyDescent="0.25">
      <c r="A2354">
        <v>1174</v>
      </c>
      <c r="B2354">
        <v>1771</v>
      </c>
      <c r="C2354" t="s">
        <v>3869</v>
      </c>
      <c r="D2354" t="s">
        <v>3870</v>
      </c>
      <c r="E2354" t="s">
        <v>1033</v>
      </c>
      <c r="F2354" t="s">
        <v>3871</v>
      </c>
      <c r="G2354" t="str">
        <f>"201406018146"</f>
        <v>201406018146</v>
      </c>
      <c r="H2354" t="s">
        <v>2327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4</v>
      </c>
      <c r="W2354">
        <v>28</v>
      </c>
      <c r="Z2354">
        <v>0</v>
      </c>
      <c r="AA2354" t="s">
        <v>3872</v>
      </c>
    </row>
    <row r="2355" spans="1:27" x14ac:dyDescent="0.25">
      <c r="H2355" t="s">
        <v>2045</v>
      </c>
    </row>
    <row r="2356" spans="1:27" x14ac:dyDescent="0.25">
      <c r="A2356">
        <v>1175</v>
      </c>
      <c r="B2356">
        <v>1568</v>
      </c>
      <c r="C2356" t="s">
        <v>3873</v>
      </c>
      <c r="D2356" t="s">
        <v>129</v>
      </c>
      <c r="E2356" t="s">
        <v>879</v>
      </c>
      <c r="F2356" t="s">
        <v>3874</v>
      </c>
      <c r="G2356" t="str">
        <f>"201409001550"</f>
        <v>201409001550</v>
      </c>
      <c r="H2356" t="s">
        <v>3875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50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W2356">
        <v>0</v>
      </c>
      <c r="Z2356">
        <v>0</v>
      </c>
      <c r="AA2356" t="s">
        <v>3876</v>
      </c>
    </row>
    <row r="2357" spans="1:27" x14ac:dyDescent="0.25">
      <c r="H2357">
        <v>216</v>
      </c>
    </row>
    <row r="2358" spans="1:27" x14ac:dyDescent="0.25">
      <c r="A2358">
        <v>1176</v>
      </c>
      <c r="B2358">
        <v>2403</v>
      </c>
      <c r="C2358" t="s">
        <v>3877</v>
      </c>
      <c r="D2358" t="s">
        <v>151</v>
      </c>
      <c r="E2358" t="s">
        <v>158</v>
      </c>
      <c r="F2358" t="s">
        <v>3878</v>
      </c>
      <c r="G2358" t="str">
        <f>"00014074"</f>
        <v>00014074</v>
      </c>
      <c r="H2358" t="s">
        <v>1436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W2358">
        <v>0</v>
      </c>
      <c r="Z2358">
        <v>0</v>
      </c>
      <c r="AA2358" t="s">
        <v>3879</v>
      </c>
    </row>
    <row r="2359" spans="1:27" x14ac:dyDescent="0.25">
      <c r="H2359" t="s">
        <v>2541</v>
      </c>
    </row>
    <row r="2360" spans="1:27" x14ac:dyDescent="0.25">
      <c r="A2360">
        <v>1177</v>
      </c>
      <c r="B2360">
        <v>1737</v>
      </c>
      <c r="C2360" t="s">
        <v>3880</v>
      </c>
      <c r="D2360" t="s">
        <v>1104</v>
      </c>
      <c r="E2360" t="s">
        <v>14</v>
      </c>
      <c r="F2360" t="s">
        <v>3881</v>
      </c>
      <c r="G2360" t="str">
        <f>"00011851"</f>
        <v>00011851</v>
      </c>
      <c r="H2360" t="s">
        <v>2040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0</v>
      </c>
      <c r="Z2360">
        <v>0</v>
      </c>
      <c r="AA2360" t="s">
        <v>2040</v>
      </c>
    </row>
    <row r="2361" spans="1:27" x14ac:dyDescent="0.25">
      <c r="H2361" t="s">
        <v>1000</v>
      </c>
    </row>
    <row r="2362" spans="1:27" x14ac:dyDescent="0.25">
      <c r="A2362">
        <v>1178</v>
      </c>
      <c r="B2362">
        <v>3120</v>
      </c>
      <c r="C2362" t="s">
        <v>3882</v>
      </c>
      <c r="D2362" t="s">
        <v>276</v>
      </c>
      <c r="E2362" t="s">
        <v>85</v>
      </c>
      <c r="F2362" t="s">
        <v>3883</v>
      </c>
      <c r="G2362" t="str">
        <f>"00013310"</f>
        <v>00013310</v>
      </c>
      <c r="H2362" t="s">
        <v>1431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>
        <v>0</v>
      </c>
      <c r="Z2362">
        <v>0</v>
      </c>
      <c r="AA2362" t="s">
        <v>1431</v>
      </c>
    </row>
    <row r="2363" spans="1:27" x14ac:dyDescent="0.25">
      <c r="H2363" t="s">
        <v>3884</v>
      </c>
    </row>
    <row r="2364" spans="1:27" x14ac:dyDescent="0.25">
      <c r="A2364">
        <v>1179</v>
      </c>
      <c r="B2364">
        <v>2832</v>
      </c>
      <c r="C2364" t="s">
        <v>3885</v>
      </c>
      <c r="D2364" t="s">
        <v>151</v>
      </c>
      <c r="E2364" t="s">
        <v>41</v>
      </c>
      <c r="F2364" t="s">
        <v>3886</v>
      </c>
      <c r="G2364" t="str">
        <f>"201407000058"</f>
        <v>201407000058</v>
      </c>
      <c r="H2364" t="s">
        <v>1552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Z2364">
        <v>0</v>
      </c>
      <c r="AA2364" t="s">
        <v>1552</v>
      </c>
    </row>
    <row r="2365" spans="1:27" x14ac:dyDescent="0.25">
      <c r="H2365">
        <v>215</v>
      </c>
    </row>
    <row r="2366" spans="1:27" x14ac:dyDescent="0.25">
      <c r="A2366">
        <v>1180</v>
      </c>
      <c r="B2366">
        <v>3130</v>
      </c>
      <c r="C2366" t="s">
        <v>3887</v>
      </c>
      <c r="D2366" t="s">
        <v>194</v>
      </c>
      <c r="E2366" t="s">
        <v>64</v>
      </c>
      <c r="F2366" t="s">
        <v>3888</v>
      </c>
      <c r="G2366" t="str">
        <f>"00013237"</f>
        <v>00013237</v>
      </c>
      <c r="H2366" t="s">
        <v>3889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70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W2366">
        <v>0</v>
      </c>
      <c r="Z2366">
        <v>0</v>
      </c>
      <c r="AA2366" t="s">
        <v>3890</v>
      </c>
    </row>
    <row r="2367" spans="1:27" x14ac:dyDescent="0.25">
      <c r="H2367">
        <v>216</v>
      </c>
    </row>
    <row r="2368" spans="1:27" x14ac:dyDescent="0.25">
      <c r="A2368">
        <v>1181</v>
      </c>
      <c r="B2368">
        <v>2012</v>
      </c>
      <c r="C2368" t="s">
        <v>3891</v>
      </c>
      <c r="D2368" t="s">
        <v>158</v>
      </c>
      <c r="E2368" t="s">
        <v>41</v>
      </c>
      <c r="F2368" t="s">
        <v>3892</v>
      </c>
      <c r="G2368" t="str">
        <f>"00014710"</f>
        <v>00014710</v>
      </c>
      <c r="H2368" t="s">
        <v>3893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30</v>
      </c>
      <c r="O2368">
        <v>0</v>
      </c>
      <c r="P2368">
        <v>30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W2368">
        <v>0</v>
      </c>
      <c r="Z2368">
        <v>0</v>
      </c>
      <c r="AA2368" t="s">
        <v>3894</v>
      </c>
    </row>
    <row r="2369" spans="1:27" x14ac:dyDescent="0.25">
      <c r="H2369" t="s">
        <v>223</v>
      </c>
    </row>
    <row r="2370" spans="1:27" x14ac:dyDescent="0.25">
      <c r="A2370">
        <v>1182</v>
      </c>
      <c r="B2370">
        <v>1318</v>
      </c>
      <c r="C2370" t="s">
        <v>3895</v>
      </c>
      <c r="D2370" t="s">
        <v>390</v>
      </c>
      <c r="E2370" t="s">
        <v>189</v>
      </c>
      <c r="F2370" t="s">
        <v>3896</v>
      </c>
      <c r="G2370" t="str">
        <f>"00013239"</f>
        <v>00013239</v>
      </c>
      <c r="H2370">
        <v>660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0</v>
      </c>
      <c r="Z2370">
        <v>0</v>
      </c>
      <c r="AA2370">
        <v>660</v>
      </c>
    </row>
    <row r="2371" spans="1:27" x14ac:dyDescent="0.25">
      <c r="H2371" t="s">
        <v>3897</v>
      </c>
    </row>
    <row r="2372" spans="1:27" x14ac:dyDescent="0.25">
      <c r="A2372">
        <v>1183</v>
      </c>
      <c r="B2372">
        <v>1277</v>
      </c>
      <c r="C2372" t="s">
        <v>3898</v>
      </c>
      <c r="D2372" t="s">
        <v>3899</v>
      </c>
      <c r="E2372" t="s">
        <v>3900</v>
      </c>
      <c r="F2372" t="s">
        <v>3901</v>
      </c>
      <c r="G2372" t="str">
        <f>"00014911"</f>
        <v>00014911</v>
      </c>
      <c r="H2372" t="s">
        <v>3902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W2372">
        <v>0</v>
      </c>
      <c r="Z2372">
        <v>0</v>
      </c>
      <c r="AA2372" t="s">
        <v>3902</v>
      </c>
    </row>
    <row r="2373" spans="1:27" x14ac:dyDescent="0.25">
      <c r="H2373" t="s">
        <v>106</v>
      </c>
    </row>
    <row r="2374" spans="1:27" x14ac:dyDescent="0.25">
      <c r="A2374">
        <v>1184</v>
      </c>
      <c r="B2374">
        <v>2546</v>
      </c>
      <c r="C2374" t="s">
        <v>3903</v>
      </c>
      <c r="D2374" t="s">
        <v>319</v>
      </c>
      <c r="E2374" t="s">
        <v>158</v>
      </c>
      <c r="F2374" t="s">
        <v>3904</v>
      </c>
      <c r="G2374" t="str">
        <f>"201304000140"</f>
        <v>201304000140</v>
      </c>
      <c r="H2374" t="s">
        <v>3248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W2374">
        <v>0</v>
      </c>
      <c r="Z2374">
        <v>0</v>
      </c>
      <c r="AA2374" t="s">
        <v>3248</v>
      </c>
    </row>
    <row r="2375" spans="1:27" x14ac:dyDescent="0.25">
      <c r="H2375">
        <v>216</v>
      </c>
    </row>
    <row r="2376" spans="1:27" x14ac:dyDescent="0.25">
      <c r="A2376">
        <v>1185</v>
      </c>
      <c r="B2376">
        <v>957</v>
      </c>
      <c r="C2376" t="s">
        <v>3905</v>
      </c>
      <c r="D2376" t="s">
        <v>168</v>
      </c>
      <c r="E2376" t="s">
        <v>235</v>
      </c>
      <c r="F2376" t="s">
        <v>3906</v>
      </c>
      <c r="G2376" t="str">
        <f>"201406013612"</f>
        <v>201406013612</v>
      </c>
      <c r="H2376" t="s">
        <v>3248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W2376">
        <v>0</v>
      </c>
      <c r="Z2376">
        <v>0</v>
      </c>
      <c r="AA2376" t="s">
        <v>3248</v>
      </c>
    </row>
    <row r="2377" spans="1:27" x14ac:dyDescent="0.25">
      <c r="H2377">
        <v>216</v>
      </c>
    </row>
    <row r="2378" spans="1:27" x14ac:dyDescent="0.25">
      <c r="A2378">
        <v>1186</v>
      </c>
      <c r="B2378">
        <v>581</v>
      </c>
      <c r="C2378" t="s">
        <v>3907</v>
      </c>
      <c r="D2378" t="s">
        <v>369</v>
      </c>
      <c r="E2378" t="s">
        <v>41</v>
      </c>
      <c r="F2378" t="s">
        <v>3908</v>
      </c>
      <c r="G2378" t="str">
        <f>"201504003397"</f>
        <v>201504003397</v>
      </c>
      <c r="H2378">
        <v>627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0</v>
      </c>
      <c r="W2378">
        <v>0</v>
      </c>
      <c r="Z2378">
        <v>0</v>
      </c>
      <c r="AA2378">
        <v>627</v>
      </c>
    </row>
    <row r="2379" spans="1:27" x14ac:dyDescent="0.25">
      <c r="H2379" t="s">
        <v>78</v>
      </c>
    </row>
    <row r="2380" spans="1:27" x14ac:dyDescent="0.25">
      <c r="A2380">
        <v>1187</v>
      </c>
      <c r="B2380">
        <v>1353</v>
      </c>
      <c r="C2380" t="s">
        <v>779</v>
      </c>
      <c r="D2380" t="s">
        <v>362</v>
      </c>
      <c r="E2380" t="s">
        <v>123</v>
      </c>
      <c r="F2380" t="s">
        <v>3909</v>
      </c>
      <c r="G2380" t="str">
        <f>"201406015358"</f>
        <v>201406015358</v>
      </c>
      <c r="H2380" t="s">
        <v>3910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W2380">
        <v>0</v>
      </c>
      <c r="Z2380">
        <v>0</v>
      </c>
      <c r="AA2380" t="s">
        <v>3910</v>
      </c>
    </row>
    <row r="2381" spans="1:27" x14ac:dyDescent="0.25">
      <c r="H2381" t="s">
        <v>659</v>
      </c>
    </row>
    <row r="2382" spans="1:27" x14ac:dyDescent="0.25">
      <c r="A2382">
        <v>1188</v>
      </c>
      <c r="B2382">
        <v>1868</v>
      </c>
      <c r="C2382" t="s">
        <v>3911</v>
      </c>
      <c r="D2382" t="s">
        <v>158</v>
      </c>
      <c r="E2382" t="s">
        <v>64</v>
      </c>
      <c r="F2382" t="s">
        <v>3912</v>
      </c>
      <c r="G2382" t="str">
        <f>"00013717"</f>
        <v>00013717</v>
      </c>
      <c r="H2382" t="s">
        <v>3913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W2382">
        <v>0</v>
      </c>
      <c r="Z2382">
        <v>0</v>
      </c>
      <c r="AA2382" t="s">
        <v>3913</v>
      </c>
    </row>
    <row r="2383" spans="1:27" x14ac:dyDescent="0.25">
      <c r="H2383" t="s">
        <v>659</v>
      </c>
    </row>
    <row r="2384" spans="1:27" x14ac:dyDescent="0.25">
      <c r="A2384">
        <v>1189</v>
      </c>
      <c r="B2384">
        <v>300</v>
      </c>
      <c r="C2384" t="s">
        <v>3914</v>
      </c>
      <c r="D2384" t="s">
        <v>319</v>
      </c>
      <c r="E2384" t="s">
        <v>3915</v>
      </c>
      <c r="F2384" t="s">
        <v>3916</v>
      </c>
      <c r="G2384" t="str">
        <f>"201402010632"</f>
        <v>201402010632</v>
      </c>
      <c r="H2384" t="s">
        <v>3917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0</v>
      </c>
      <c r="W2384">
        <v>0</v>
      </c>
      <c r="Z2384">
        <v>0</v>
      </c>
      <c r="AA2384" t="s">
        <v>3917</v>
      </c>
    </row>
    <row r="2385" spans="1:27" x14ac:dyDescent="0.25">
      <c r="H2385" t="s">
        <v>1000</v>
      </c>
    </row>
    <row r="2386" spans="1:27" x14ac:dyDescent="0.25">
      <c r="A2386">
        <v>1190</v>
      </c>
      <c r="B2386">
        <v>1319</v>
      </c>
      <c r="C2386" t="s">
        <v>3918</v>
      </c>
      <c r="D2386" t="s">
        <v>41</v>
      </c>
      <c r="E2386" t="s">
        <v>766</v>
      </c>
      <c r="F2386" t="s">
        <v>3919</v>
      </c>
      <c r="G2386" t="str">
        <f>"00011429"</f>
        <v>00011429</v>
      </c>
      <c r="H2386">
        <v>550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W2386">
        <v>0</v>
      </c>
      <c r="Z2386">
        <v>0</v>
      </c>
      <c r="AA2386">
        <v>550</v>
      </c>
    </row>
    <row r="2387" spans="1:27" x14ac:dyDescent="0.25">
      <c r="H2387" t="s">
        <v>3897</v>
      </c>
    </row>
    <row r="2389" spans="1:27" x14ac:dyDescent="0.25">
      <c r="A2389" t="s">
        <v>3920</v>
      </c>
    </row>
    <row r="2390" spans="1:27" x14ac:dyDescent="0.25">
      <c r="A2390" t="s">
        <v>3921</v>
      </c>
    </row>
    <row r="2391" spans="1:27" x14ac:dyDescent="0.25">
      <c r="A2391" t="s">
        <v>3922</v>
      </c>
    </row>
    <row r="2392" spans="1:27" x14ac:dyDescent="0.25">
      <c r="A2392" t="s">
        <v>3923</v>
      </c>
    </row>
    <row r="2393" spans="1:27" x14ac:dyDescent="0.25">
      <c r="A2393" t="s">
        <v>3924</v>
      </c>
    </row>
    <row r="2394" spans="1:27" x14ac:dyDescent="0.25">
      <c r="A2394" t="s">
        <v>3925</v>
      </c>
    </row>
    <row r="2395" spans="1:27" x14ac:dyDescent="0.25">
      <c r="A2395" t="s">
        <v>3926</v>
      </c>
    </row>
    <row r="2396" spans="1:27" x14ac:dyDescent="0.25">
      <c r="A2396" t="s">
        <v>3927</v>
      </c>
    </row>
    <row r="2397" spans="1:27" x14ac:dyDescent="0.25">
      <c r="A2397" t="s">
        <v>3928</v>
      </c>
    </row>
    <row r="2398" spans="1:27" x14ac:dyDescent="0.25">
      <c r="A2398" t="s">
        <v>3929</v>
      </c>
    </row>
    <row r="2399" spans="1:27" x14ac:dyDescent="0.25">
      <c r="A2399" t="s">
        <v>3930</v>
      </c>
    </row>
    <row r="2400" spans="1:27" x14ac:dyDescent="0.25">
      <c r="A2400" t="s">
        <v>3931</v>
      </c>
    </row>
    <row r="2401" spans="1:1" x14ac:dyDescent="0.25">
      <c r="A2401" t="s">
        <v>3932</v>
      </c>
    </row>
    <row r="2402" spans="1:1" x14ac:dyDescent="0.25">
      <c r="A2402" t="s">
        <v>3933</v>
      </c>
    </row>
    <row r="2403" spans="1:1" x14ac:dyDescent="0.25">
      <c r="A2403" t="s">
        <v>3934</v>
      </c>
    </row>
    <row r="2404" spans="1:1" x14ac:dyDescent="0.25">
      <c r="A2404" t="s">
        <v>3935</v>
      </c>
    </row>
    <row r="2405" spans="1:1" x14ac:dyDescent="0.25">
      <c r="A2405" t="s">
        <v>3936</v>
      </c>
    </row>
    <row r="2406" spans="1:1" x14ac:dyDescent="0.25">
      <c r="A2406" t="s">
        <v>3937</v>
      </c>
    </row>
    <row r="2407" spans="1:1" x14ac:dyDescent="0.25">
      <c r="A2407" t="s">
        <v>3938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2017-07-11T10:08:09Z</dcterms:created>
  <dcterms:modified xsi:type="dcterms:W3CDTF">2017-07-11T10:08:18Z</dcterms:modified>
</cp:coreProperties>
</file>