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00" i="1" l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<sst xmlns="http://schemas.openxmlformats.org/spreadsheetml/2006/main" count="7358" uniqueCount="4342">
  <si>
    <t>ΠΛΗΡΩΣΗ ΘΕΣΕΩΝ ΜΕ ΣΕΙΡΑ ΠΡΟΤΕΡΑΙΟΤΗΤΑΣ (ΑΡΘΡΟ 18/Ν. 2190/1994) ΠΡΟΚΗΡΥΞΗ : 4Κ/2016</t>
  </si>
  <si>
    <t>ΣΕΙΡΑ ΚΑΤΑΤΑΞΗΣ (ΚΥΡΙΟΣ)</t>
  </si>
  <si>
    <t>ΠΑΝΕΠΙΣΤΗΜΙΑΚΗΣ ΕΚΠΑΙΔΕΥΣΗΣ (ΠΕ)</t>
  </si>
  <si>
    <t>ΓΕΝΙΚΕΣ ΘΕΣΕΙΣ ΜΕ ΕΜΠΕΙΡΙΑ</t>
  </si>
  <si>
    <t>ΠΕ ΔΙΟΙΚΗΤΙΚΟΥ ΟΙΚΟΝΟΜΙΚΟΥ(ΝΟΜΙΚΗΣ)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</si>
  <si>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</si>
  <si>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</si>
  <si>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</si>
  <si>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</si>
  <si>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</si>
  <si>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</si>
  <si>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</si>
  <si>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</si>
  <si>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ΠΑΠΑΔΟΠΟΥΛΟΥ</t>
  </si>
  <si>
    <t>ΔΕΣΠΟΙΝΑ</t>
  </si>
  <si>
    <t>ΚΥΡΙΑΚΟΣ</t>
  </si>
  <si>
    <t>903,1</t>
  </si>
  <si>
    <t>2301,1</t>
  </si>
  <si>
    <t>207-206-209-205-210</t>
  </si>
  <si>
    <t>ΜΗΛΑΠΙΔΟΥ</t>
  </si>
  <si>
    <t>ΜΑΡΙΑ</t>
  </si>
  <si>
    <t>ΜΙΧΑΗΛ</t>
  </si>
  <si>
    <t>ΑΗ682524</t>
  </si>
  <si>
    <t>941,6</t>
  </si>
  <si>
    <t>2299,6</t>
  </si>
  <si>
    <t>203-211-207-205-206-209-210-212-204-202-201</t>
  </si>
  <si>
    <t>ΜΩΡΑΙΤΗ</t>
  </si>
  <si>
    <t>ΑΘΗΝΑ</t>
  </si>
  <si>
    <t>ΣΕΡΑΦΕΙΜ</t>
  </si>
  <si>
    <t>ΑΜ559468</t>
  </si>
  <si>
    <t>738,1</t>
  </si>
  <si>
    <t>2276,1</t>
  </si>
  <si>
    <t>207-206-205-210-209-212</t>
  </si>
  <si>
    <t>ΠΟΛΙΤΗ</t>
  </si>
  <si>
    <t>ΕΥΣΤΑΘΙΟΣ</t>
  </si>
  <si>
    <t>ΑΒ828922</t>
  </si>
  <si>
    <t>840,4</t>
  </si>
  <si>
    <t>2228,4</t>
  </si>
  <si>
    <t>207-209-205-206-210-212-201-211-204-203-202</t>
  </si>
  <si>
    <t>ΚΟΥΡΟΥΒΑΝΗ</t>
  </si>
  <si>
    <t>ΕΛΕΝΗ</t>
  </si>
  <si>
    <t>ΒΑΣΙΛΕΙΟΣ</t>
  </si>
  <si>
    <t>ΑΗ702482</t>
  </si>
  <si>
    <t>749,1</t>
  </si>
  <si>
    <t>2067,1</t>
  </si>
  <si>
    <t>ΣΩΤΗΡΟΠΟΥΛΟΥ</t>
  </si>
  <si>
    <t>ΕΜΜΑΝΟΥΕΛΑ</t>
  </si>
  <si>
    <t>ΔΗΜΗΤΡΙΟΣ</t>
  </si>
  <si>
    <t>ΑΗ117236</t>
  </si>
  <si>
    <t>732,6</t>
  </si>
  <si>
    <t>2060,6</t>
  </si>
  <si>
    <t>207-205-206-208-209-210-212</t>
  </si>
  <si>
    <t>ΓΑΚΗ</t>
  </si>
  <si>
    <t>ΔΟΜΝΙΚΗ ΒΑΣΙΛΙΚΗ</t>
  </si>
  <si>
    <t>ΝΙΚΟΛΑΟΣ</t>
  </si>
  <si>
    <t>ΑΖ011120</t>
  </si>
  <si>
    <t>205-206-207-208-209-210-212</t>
  </si>
  <si>
    <t>ΖΕΗ</t>
  </si>
  <si>
    <t>ΕΙΡΗΝΗ</t>
  </si>
  <si>
    <t>ΠΕΤΡΟΣ</t>
  </si>
  <si>
    <t>ΑΚ544567</t>
  </si>
  <si>
    <t>788,7</t>
  </si>
  <si>
    <t>2025,7</t>
  </si>
  <si>
    <t>208-207-206-205-209-210</t>
  </si>
  <si>
    <t>ΠΑΠΑΙΩΑΝΝΟΥ</t>
  </si>
  <si>
    <t>ΑΗ199307</t>
  </si>
  <si>
    <t>907,5</t>
  </si>
  <si>
    <t>2004,5</t>
  </si>
  <si>
    <t>ΜΑΤΘΑΙΟΥ</t>
  </si>
  <si>
    <t>ΧΡΥΣΟΥΛΑ</t>
  </si>
  <si>
    <t>ΑΚ063236</t>
  </si>
  <si>
    <t>679,8</t>
  </si>
  <si>
    <t>1987,8</t>
  </si>
  <si>
    <t>206-205-207-208-209-210-212</t>
  </si>
  <si>
    <t>ΤΣΟΛΑΚΗ</t>
  </si>
  <si>
    <t xml:space="preserve">ΕΥΛΑΜΠΙΑ </t>
  </si>
  <si>
    <t>ΘΕΟΦΙΛΟΣ</t>
  </si>
  <si>
    <t>ΑΗ654115</t>
  </si>
  <si>
    <t>203-204-211-208-212-207-206-205-209-210-201-202</t>
  </si>
  <si>
    <t>ΜΑΥΡΟΜΜΑΤΗΣ</t>
  </si>
  <si>
    <t>ΘΕΟΔΩΡΟΣ</t>
  </si>
  <si>
    <t>ΓΕΩΡΓΙΟΣ</t>
  </si>
  <si>
    <t>ΑΙ196850</t>
  </si>
  <si>
    <t>806,3</t>
  </si>
  <si>
    <t>1914,3</t>
  </si>
  <si>
    <t>203-211-204-209-210-212-207-206-205-201-202</t>
  </si>
  <si>
    <t>ΓΚΑΙΝΤΑΤΖΗ</t>
  </si>
  <si>
    <t>ΧΡΙΣΤΙΝΑ</t>
  </si>
  <si>
    <t>ΑΝΑΣΤΑΣΙΟΣ</t>
  </si>
  <si>
    <t>Χ445296</t>
  </si>
  <si>
    <t>653,4</t>
  </si>
  <si>
    <t>1904,4</t>
  </si>
  <si>
    <t>205-206-207-208-209-210-212-201-204</t>
  </si>
  <si>
    <t>ΚΟΝΤΗΣ</t>
  </si>
  <si>
    <t>ΑΘΑΝΑΣΙΟΣ</t>
  </si>
  <si>
    <t>ΑΜ152897</t>
  </si>
  <si>
    <t>785,4</t>
  </si>
  <si>
    <t>1903,4</t>
  </si>
  <si>
    <t>205-206-207-209-210-212</t>
  </si>
  <si>
    <t>ΜΟΝΔΡΙΝΟΣ</t>
  </si>
  <si>
    <t>ΙΩΑΝΝΗΣ</t>
  </si>
  <si>
    <t>ΑΖ901313</t>
  </si>
  <si>
    <t>816,2</t>
  </si>
  <si>
    <t>1887,2</t>
  </si>
  <si>
    <t>208-209-205-206-207-210-212-203-202-201-204-211</t>
  </si>
  <si>
    <t>ΑΡΧΑΝΙΩΤΗ</t>
  </si>
  <si>
    <t>ΠΗΝΕΛΟΠΗ-ΣΤΥΛΙΑΝΗ</t>
  </si>
  <si>
    <t>Χ561132</t>
  </si>
  <si>
    <t>873,4</t>
  </si>
  <si>
    <t>1871,4</t>
  </si>
  <si>
    <t>207-208-205-206-209-210</t>
  </si>
  <si>
    <t>ΠΕΡΒΟΥ</t>
  </si>
  <si>
    <t>ΙΩΑΝΝΑ</t>
  </si>
  <si>
    <t>Χ221831</t>
  </si>
  <si>
    <t>203-211-202-205-206-207-209-212</t>
  </si>
  <si>
    <t>ΖΙΑΚΟΥ</t>
  </si>
  <si>
    <t>ΣΟΥΛΤΑΝΑ</t>
  </si>
  <si>
    <t>Σ408884</t>
  </si>
  <si>
    <t>878,9</t>
  </si>
  <si>
    <t>1836,9</t>
  </si>
  <si>
    <t>ΖΑΡΚΑΔΟΥΛΑ</t>
  </si>
  <si>
    <t>ΧΡΗΣΤΟΣ</t>
  </si>
  <si>
    <t>ΑΗ979242</t>
  </si>
  <si>
    <t>848,1</t>
  </si>
  <si>
    <t>1836,1</t>
  </si>
  <si>
    <t>206-205-207-209-210-212-203-211-202-204-201</t>
  </si>
  <si>
    <t>ΧΑΤΖΗΒΑΣΙΛΕΙΑΔΟΥ</t>
  </si>
  <si>
    <t>Χ448472</t>
  </si>
  <si>
    <t>844,8</t>
  </si>
  <si>
    <t>1822,8</t>
  </si>
  <si>
    <t>203-211-204-205-206-207-208-209-210-212-201-202</t>
  </si>
  <si>
    <t>ΚΡΙΚΩΝΗ</t>
  </si>
  <si>
    <t>Φ461100</t>
  </si>
  <si>
    <t>922,9</t>
  </si>
  <si>
    <t>1810,9</t>
  </si>
  <si>
    <t>ΦΑΒΒΑ</t>
  </si>
  <si>
    <t>ΑΝΑΣΤΑΣΙΑ</t>
  </si>
  <si>
    <t>Ρ974770</t>
  </si>
  <si>
    <t>801,9</t>
  </si>
  <si>
    <t>1809,9</t>
  </si>
  <si>
    <t>206-210-212-207-205-209-208-211</t>
  </si>
  <si>
    <t>ΒΑΡΘΗ</t>
  </si>
  <si>
    <t>ΣΤΥΛΙΑΝΗ</t>
  </si>
  <si>
    <t>ΚΩΝΣΤΑΝΤΙΝΟΣ</t>
  </si>
  <si>
    <t>Χ230473</t>
  </si>
  <si>
    <t>811,8</t>
  </si>
  <si>
    <t>1809,8</t>
  </si>
  <si>
    <t>203-211</t>
  </si>
  <si>
    <t>ΚΟΚΚΟΡΗ</t>
  </si>
  <si>
    <t>ΦΩΤΕΙΝΗ</t>
  </si>
  <si>
    <t>Φ067909</t>
  </si>
  <si>
    <t>866,8</t>
  </si>
  <si>
    <t>1806,8</t>
  </si>
  <si>
    <t>212-208-207-206-205-210-209-201-203-204</t>
  </si>
  <si>
    <t>ΤΣΟΥΦΛΙΔΟΥ</t>
  </si>
  <si>
    <t>ΠΑΝΑΓΙΩΤΗΣ</t>
  </si>
  <si>
    <t>ΑΕ686921</t>
  </si>
  <si>
    <t>203-205-206-207-209-210-212-211-204</t>
  </si>
  <si>
    <t>ΤΣΟΥΠΑΚΗ</t>
  </si>
  <si>
    <t>ΠΑΝΤΕΛΗΣ</t>
  </si>
  <si>
    <t>ΑΖ509931</t>
  </si>
  <si>
    <t>871,2</t>
  </si>
  <si>
    <t>1799,2</t>
  </si>
  <si>
    <t>207-206-205-210-209-208-212-203-211-201-204-202</t>
  </si>
  <si>
    <t>ΘΑΝΟΠΟΥΛΟΥ</t>
  </si>
  <si>
    <t>ΑΠΟΣΤΟΛΟΣ</t>
  </si>
  <si>
    <t>ΑΒ424959</t>
  </si>
  <si>
    <t>810,7</t>
  </si>
  <si>
    <t>1798,7</t>
  </si>
  <si>
    <t>ΓΕΡΑΣΙΜΑΤΟΥ</t>
  </si>
  <si>
    <t>ΜΑΡΙΕΤΑ</t>
  </si>
  <si>
    <t>ΑΚ538592</t>
  </si>
  <si>
    <t>867,9</t>
  </si>
  <si>
    <t>1795,9</t>
  </si>
  <si>
    <t>207-206-209-205-210-212-208-201-203-211-202-204</t>
  </si>
  <si>
    <t>ΚΑΠΕΤΑΝΟΥ</t>
  </si>
  <si>
    <t>ΒΑΣΙΛΙΚΗ</t>
  </si>
  <si>
    <t>ΑΒ937196</t>
  </si>
  <si>
    <t>841,5</t>
  </si>
  <si>
    <t>1789,5</t>
  </si>
  <si>
    <t>207-209-210-208-205-206</t>
  </si>
  <si>
    <t>ΣΑΒΒΙΔΟΥ</t>
  </si>
  <si>
    <t>ΚΥΡΙΑΚΗ</t>
  </si>
  <si>
    <t>Σ984004</t>
  </si>
  <si>
    <t>900,9</t>
  </si>
  <si>
    <t>1788,9</t>
  </si>
  <si>
    <t>203-205-206-210-207-209-208-212</t>
  </si>
  <si>
    <t>ΚΟΡΟΜΠΙΛΗ</t>
  </si>
  <si>
    <t>Σ799112</t>
  </si>
  <si>
    <t>773,3</t>
  </si>
  <si>
    <t>1781,3</t>
  </si>
  <si>
    <t>205-208-206-207-209-212-210-202-201-204-203-211</t>
  </si>
  <si>
    <t>ΓΚΟΝΤΟΛΙΑΣ</t>
  </si>
  <si>
    <t>ΑΕ416613</t>
  </si>
  <si>
    <t>807,4</t>
  </si>
  <si>
    <t>1769,4</t>
  </si>
  <si>
    <t>203-205-206-207-208-209-210</t>
  </si>
  <si>
    <t>ΚΥΜΠΑΡΗ</t>
  </si>
  <si>
    <t>ΑΝΝΑ ΕΛΕΝΗ</t>
  </si>
  <si>
    <t>ΑΜ222965</t>
  </si>
  <si>
    <t>839,3</t>
  </si>
  <si>
    <t>1767,3</t>
  </si>
  <si>
    <t>207-206-205-210-212-209-208-201-203-204-211-202</t>
  </si>
  <si>
    <t>ΜΑΣΤΟΡΑ</t>
  </si>
  <si>
    <t>ΑΡΓΥΡΩ</t>
  </si>
  <si>
    <t>ΑΚ705784</t>
  </si>
  <si>
    <t>734,8</t>
  </si>
  <si>
    <t>1762,8</t>
  </si>
  <si>
    <t>207-209-205-206-210-212-208</t>
  </si>
  <si>
    <t>ΦΑΝΟΥΡΑΚΗ</t>
  </si>
  <si>
    <t>ΕΥΑΓΓΕΛΙΑ</t>
  </si>
  <si>
    <t>ΑΒ309684</t>
  </si>
  <si>
    <t>783,2</t>
  </si>
  <si>
    <t>1761,2</t>
  </si>
  <si>
    <t>212-207-210-205-206-209-208</t>
  </si>
  <si>
    <t>ΠΑΠΑΕΥΘΥΜΙΟΥ</t>
  </si>
  <si>
    <t>ΘΕΟΔΩΡΑ</t>
  </si>
  <si>
    <t>Σ198579</t>
  </si>
  <si>
    <t>782,1</t>
  </si>
  <si>
    <t>1760,1</t>
  </si>
  <si>
    <t>207-205-208-209-206-210-212</t>
  </si>
  <si>
    <t>ΠΑΙΤΟΤΣΟΓΛΟΥ</t>
  </si>
  <si>
    <t>ΠΡΟΔΡΟΜΟΣ</t>
  </si>
  <si>
    <t>ΑΗ379412</t>
  </si>
  <si>
    <t>818,4</t>
  </si>
  <si>
    <t>1756,4</t>
  </si>
  <si>
    <t>203-204-211-212-205-206-207-208-209-210-202-201</t>
  </si>
  <si>
    <t>ΣΟΥΡΤΖΗΣ</t>
  </si>
  <si>
    <t>ΑΜ841898</t>
  </si>
  <si>
    <t>746,9</t>
  </si>
  <si>
    <t>1754,9</t>
  </si>
  <si>
    <t>205-206-207-208-209-210-212-211-201-203-204-202</t>
  </si>
  <si>
    <t>ΜΠΑΚΑ</t>
  </si>
  <si>
    <t>ΣΤΕΡΓΙΟΣ</t>
  </si>
  <si>
    <t>ΑΚ880270</t>
  </si>
  <si>
    <t>1751,3</t>
  </si>
  <si>
    <t>203-211-210-212-208-209-206-207-205-204-202-201</t>
  </si>
  <si>
    <t>ΚΟΝΤΑΡΑ</t>
  </si>
  <si>
    <t>ΑΚ523548</t>
  </si>
  <si>
    <t>790,9</t>
  </si>
  <si>
    <t>1748,9</t>
  </si>
  <si>
    <t>211-207-208-209-205-206-210-212-203</t>
  </si>
  <si>
    <t>ΠΟΥΛΟΠΟΥΛΟΥ</t>
  </si>
  <si>
    <t>ΑΓΓΕΛΙΚΗ</t>
  </si>
  <si>
    <t>ΑΚ687040</t>
  </si>
  <si>
    <t>208-209-210-212-205-206-207</t>
  </si>
  <si>
    <t>ΚΑΛΟΓΗΡΟΥ</t>
  </si>
  <si>
    <t>ΑΖ562588</t>
  </si>
  <si>
    <t>789,8</t>
  </si>
  <si>
    <t>1747,8</t>
  </si>
  <si>
    <t>208-205-206-207-209-210-212</t>
  </si>
  <si>
    <t>ΠΛΑΚΑΝΤΩΝΑΚΗ</t>
  </si>
  <si>
    <t>ΜΑΡΘΑ</t>
  </si>
  <si>
    <t>Φ321068</t>
  </si>
  <si>
    <t>834,9</t>
  </si>
  <si>
    <t>1742,9</t>
  </si>
  <si>
    <t>204-203-201</t>
  </si>
  <si>
    <t>ΧΡΙΣΤΟΔΟΥΛΟΠΟΥΛΟΥ</t>
  </si>
  <si>
    <t>ΠΗΝΕΛΟΠΗ -ΔΑΝΑΗ</t>
  </si>
  <si>
    <t>ΑΖ020183</t>
  </si>
  <si>
    <t>204-205-206-207-208-209-210-212</t>
  </si>
  <si>
    <t>ΣΙΔΗΡΟΠΟΥΛΟΥ</t>
  </si>
  <si>
    <t>ΧΡΥΣΗ</t>
  </si>
  <si>
    <t>ΦΩΤΙΟΣ</t>
  </si>
  <si>
    <t>Φ268390</t>
  </si>
  <si>
    <t>743,6</t>
  </si>
  <si>
    <t>1741,6</t>
  </si>
  <si>
    <t>203-207-205-206-209-210-212-204-211-201-202</t>
  </si>
  <si>
    <t>ΚΑΤΣΟΥΛΗ</t>
  </si>
  <si>
    <t>Τ909379</t>
  </si>
  <si>
    <t>817,3</t>
  </si>
  <si>
    <t>1741,3</t>
  </si>
  <si>
    <t>204-203-211-205-206-207-208-209-210-212-201-202</t>
  </si>
  <si>
    <t>ΜΠΟΥΤΖΕΤΗΣ</t>
  </si>
  <si>
    <t>ΑΚ904197</t>
  </si>
  <si>
    <t>ΛΑΣΘΙΩΤΑΚΗΣ</t>
  </si>
  <si>
    <t>ΕΜΜΑΝΟΥΗΛ</t>
  </si>
  <si>
    <t>ΑΕ698641</t>
  </si>
  <si>
    <t>892,1</t>
  </si>
  <si>
    <t>1740,1</t>
  </si>
  <si>
    <t>ΣΤΑΦΙΔΑΣ</t>
  </si>
  <si>
    <t>ΓΡΗΓΟΡΙΟΣ</t>
  </si>
  <si>
    <t>ΕΥΣΤΡΑΤΙΟΣ</t>
  </si>
  <si>
    <t>ΑΖ099813</t>
  </si>
  <si>
    <t>779,9</t>
  </si>
  <si>
    <t>1737,9</t>
  </si>
  <si>
    <t>201-202-203-204-205-206-207-209-210-211-212</t>
  </si>
  <si>
    <t>ΜΑΥΡΟΜΟΥΣΤΑΚΗ</t>
  </si>
  <si>
    <t>ΚΑΡΜΕΝ</t>
  </si>
  <si>
    <t>ΑΜ117656</t>
  </si>
  <si>
    <t>1737,8</t>
  </si>
  <si>
    <t>208-210-206-209-205-207-212-211-203-201-204-202</t>
  </si>
  <si>
    <t>ΔΡΙΓΚΟΠΟΥΛΟΣ</t>
  </si>
  <si>
    <t>ΣΠΥΡΙΔΩΝ</t>
  </si>
  <si>
    <t>Φ260435</t>
  </si>
  <si>
    <t>1732,6</t>
  </si>
  <si>
    <t>204-211-206-210-212-203-201-205-207-208-209-202</t>
  </si>
  <si>
    <t>ΞΗΡΟΜΕΡΙΤΗ</t>
  </si>
  <si>
    <t>ΑΒ009249</t>
  </si>
  <si>
    <t>764,5</t>
  </si>
  <si>
    <t>1732,5</t>
  </si>
  <si>
    <t>205-207-209-206-210-212-208</t>
  </si>
  <si>
    <t>ΡΕΒΕΝΑ</t>
  </si>
  <si>
    <t>ΑΓΟΡΗ</t>
  </si>
  <si>
    <t>ΑΕ022038</t>
  </si>
  <si>
    <t>895,4</t>
  </si>
  <si>
    <t>1732,4</t>
  </si>
  <si>
    <t>208-207-205-206-209-210-212</t>
  </si>
  <si>
    <t>ΜΑΝΔΟΥΡΑΡΗ</t>
  </si>
  <si>
    <t>ΜΑΡΓΑΡΙΤΑ</t>
  </si>
  <si>
    <t>ΣΤΥΛΙΑΝΟΣ</t>
  </si>
  <si>
    <t>Σ560727</t>
  </si>
  <si>
    <t>1729,9</t>
  </si>
  <si>
    <t>ΚΑΡΙΩΤΗ</t>
  </si>
  <si>
    <t>ΠΟΛΥΞΕΝΗ</t>
  </si>
  <si>
    <t>ΑΚ867721</t>
  </si>
  <si>
    <t>1729,2</t>
  </si>
  <si>
    <t>203-205-206-207-209-210-204-212-211-202-201</t>
  </si>
  <si>
    <t>ΤΑΝΙΟΥ</t>
  </si>
  <si>
    <t>ΑΙ370232</t>
  </si>
  <si>
    <t>1728,4</t>
  </si>
  <si>
    <t>203-205-206-207-208-209-210-212-211-204-201-202</t>
  </si>
  <si>
    <t>ΜΙΧΑΛΑΚΟΠΟΥΛΟΥ</t>
  </si>
  <si>
    <t>ΚΩΝΣΤΑΝΤΙΝΑ</t>
  </si>
  <si>
    <t>ΑΗ571998</t>
  </si>
  <si>
    <t>859,1</t>
  </si>
  <si>
    <t>1727,1</t>
  </si>
  <si>
    <t>205-207-206-208-209-210-212</t>
  </si>
  <si>
    <t>ΒΑΝΤΗ</t>
  </si>
  <si>
    <t>ΜΑΡΟΥΣΑ</t>
  </si>
  <si>
    <t>ΑΖ192681</t>
  </si>
  <si>
    <t>ΧΑΤΖΗΚΥΡΙΑΚΙΔΗ</t>
  </si>
  <si>
    <t>ΑΙΚΑΤΕΡΙΝΗ</t>
  </si>
  <si>
    <t>ΑΕ322683</t>
  </si>
  <si>
    <t>786,5</t>
  </si>
  <si>
    <t>1724,5</t>
  </si>
  <si>
    <t>211-203-202-205-207-206-209-210-212-204-208-201</t>
  </si>
  <si>
    <t>ΝΕΣΤΟΡΑ</t>
  </si>
  <si>
    <t>ΑΦΡΟΔΙΤΗ</t>
  </si>
  <si>
    <t>ΑΜ673187</t>
  </si>
  <si>
    <t>203-205-206-207-208-209-210-211-212-204-202-201</t>
  </si>
  <si>
    <t>ΚΩΤΣΙΑ</t>
  </si>
  <si>
    <t>ΑΕ224067</t>
  </si>
  <si>
    <t>833,8</t>
  </si>
  <si>
    <t>1722,8</t>
  </si>
  <si>
    <t>ΕΥΑΓΓΕΛΟΥ</t>
  </si>
  <si>
    <t>ΟΛΓΑ</t>
  </si>
  <si>
    <t>ΑΖ799672</t>
  </si>
  <si>
    <t>1721,8</t>
  </si>
  <si>
    <t>203-204-211-205-206-207-208-209-210-212-201</t>
  </si>
  <si>
    <t>ΠΑΠΑΣΤΕΡΓΙΟΣ</t>
  </si>
  <si>
    <t>ΑΣΤΕΡΙΟΣ</t>
  </si>
  <si>
    <t>ΑΕ850250</t>
  </si>
  <si>
    <t>1720,1</t>
  </si>
  <si>
    <t>203-204-211-207-208-209-210</t>
  </si>
  <si>
    <t>ΡΙΖΟΥ</t>
  </si>
  <si>
    <t>ΜΑΤΘΙΛΔΗ</t>
  </si>
  <si>
    <t>ΑΙ874233</t>
  </si>
  <si>
    <t>1717,9</t>
  </si>
  <si>
    <t>203-209-211-210-206-205-207-208-202-214-215</t>
  </si>
  <si>
    <t>ΓΡΑΜΜΑΤΑ</t>
  </si>
  <si>
    <t>ΝΙΚΟΛΕΤΤΑ</t>
  </si>
  <si>
    <t>ΑΚ488489</t>
  </si>
  <si>
    <t>208-207-209-212-206-205-210-211-203-201-202-204</t>
  </si>
  <si>
    <t>ΚΟΤΣΑΦΤΗ</t>
  </si>
  <si>
    <t>ΣΩΖΙΑ</t>
  </si>
  <si>
    <t>Χ644984</t>
  </si>
  <si>
    <t>852,5</t>
  </si>
  <si>
    <t>1717,5</t>
  </si>
  <si>
    <t>201-202-203-204-205-206-207-208-209-210-211-212</t>
  </si>
  <si>
    <t>ΜΑΥΡΑΓΑΝΗ</t>
  </si>
  <si>
    <t>ΕΥΑΓΓ</t>
  </si>
  <si>
    <t>ΞΕΝΟΦΩΝ</t>
  </si>
  <si>
    <t>ΑΑ227727</t>
  </si>
  <si>
    <t>739,2</t>
  </si>
  <si>
    <t>1717,2</t>
  </si>
  <si>
    <t>ΣΠΥΡΙΔΟΠΟΥΛΟΥ</t>
  </si>
  <si>
    <t>ΑΝΤΩΝΙΑ</t>
  </si>
  <si>
    <t>ΑΗ296307</t>
  </si>
  <si>
    <t>778,8</t>
  </si>
  <si>
    <t>1716,8</t>
  </si>
  <si>
    <t>205-206-207-208-209-210-212-203-204-201-202-211</t>
  </si>
  <si>
    <t>ΠΕΓΙΟΣ</t>
  </si>
  <si>
    <t>Φ470375</t>
  </si>
  <si>
    <t>750,2</t>
  </si>
  <si>
    <t>1716,2</t>
  </si>
  <si>
    <t>204-203-211-201-207-205-209-202-206-210-212</t>
  </si>
  <si>
    <t>ΓΡΗΓΟΡΙΟΥ</t>
  </si>
  <si>
    <t>ΑΜ371762</t>
  </si>
  <si>
    <t>777,7</t>
  </si>
  <si>
    <t>1715,7</t>
  </si>
  <si>
    <t>211-203-204-205-206-207-209-210-212-201-202</t>
  </si>
  <si>
    <t>ΧΑΤΖΗΚΩΝΣΤΑΝΤΙΝΟΥ</t>
  </si>
  <si>
    <t>ΣΤΕΦΑΝΟΣ</t>
  </si>
  <si>
    <t>ΑΕ343951</t>
  </si>
  <si>
    <t>1714,3</t>
  </si>
  <si>
    <t>203-211-204-205-206-207-209-210-212-201-202</t>
  </si>
  <si>
    <t>ΜΕΣΟΧΩΡΙΤΟΥ</t>
  </si>
  <si>
    <t>ΦΑΝΗ</t>
  </si>
  <si>
    <t>ΑΖ525873</t>
  </si>
  <si>
    <t>775,5</t>
  </si>
  <si>
    <t>1713,5</t>
  </si>
  <si>
    <t>ΑΔΑΜΑΝΤΙΔΗΣ</t>
  </si>
  <si>
    <t>ΑΕ619706</t>
  </si>
  <si>
    <t>205-206-207-208-209-210-212-201-202-203-204-211</t>
  </si>
  <si>
    <t>ΧΡΙΣΤΟΔΟΥΛΟΥ</t>
  </si>
  <si>
    <t>ΗΛΙΑΣ</t>
  </si>
  <si>
    <t>ΑΙ805295</t>
  </si>
  <si>
    <t>1711,3</t>
  </si>
  <si>
    <t>ΔΕΛΗ</t>
  </si>
  <si>
    <t>ΣΤΑΥΡΟΥΛΑ</t>
  </si>
  <si>
    <t>ΑΗ873279</t>
  </si>
  <si>
    <t>771,1</t>
  </si>
  <si>
    <t>1709,1</t>
  </si>
  <si>
    <t>203-208-205-206-207-209-210-212</t>
  </si>
  <si>
    <t>ΣΠΥΡΟΠΟΥΛΟΥ</t>
  </si>
  <si>
    <t>ΑΝΤΙΓΟΝΗ ΜΑΡΙΑ</t>
  </si>
  <si>
    <t>ΑΒ219593</t>
  </si>
  <si>
    <t>1707,1</t>
  </si>
  <si>
    <t>205-206-207-208-209-210-212-214-215</t>
  </si>
  <si>
    <t>ΜΑΡΚΑΚΗ</t>
  </si>
  <si>
    <t>ΑΙΜΙΛΙΑ</t>
  </si>
  <si>
    <t>ΑΝΤΩΝΙΟΣ</t>
  </si>
  <si>
    <t>ΑΖ959157</t>
  </si>
  <si>
    <t>886,6</t>
  </si>
  <si>
    <t>1704,6</t>
  </si>
  <si>
    <t>ΖΗΣΗ</t>
  </si>
  <si>
    <t>Ρ987533</t>
  </si>
  <si>
    <t>796,4</t>
  </si>
  <si>
    <t>1704,4</t>
  </si>
  <si>
    <t>211-205-206-207-208-209-210-212-203-201-204-202</t>
  </si>
  <si>
    <t>ΣΠΗΛΙΩΤΑΚΟΠΟΥΛΟΣ</t>
  </si>
  <si>
    <t>ΑΚ727952</t>
  </si>
  <si>
    <t>745,8</t>
  </si>
  <si>
    <t>1703,8</t>
  </si>
  <si>
    <t>208-201-207-210-209-205-206-212-211-203-204-202</t>
  </si>
  <si>
    <t>ΜΠΑΡΜΠΑΣ</t>
  </si>
  <si>
    <t>ΑΖ641661</t>
  </si>
  <si>
    <t>805,2</t>
  </si>
  <si>
    <t>1703,2</t>
  </si>
  <si>
    <t>203-211-201-204-205-206-207-209-210-212-202</t>
  </si>
  <si>
    <t>ΚΟΝΤΟΤΑΣΙΟΥ</t>
  </si>
  <si>
    <t>ΑΖ323251</t>
  </si>
  <si>
    <t>1702,8</t>
  </si>
  <si>
    <t>203-211-208-204-205-206-207-209-210-212-202-201</t>
  </si>
  <si>
    <t>ΧΑΛΚΙΑΔΑΚΗ</t>
  </si>
  <si>
    <t>ΖΑΧΑΡΕΝΙΑ</t>
  </si>
  <si>
    <t>ΑΒ456608</t>
  </si>
  <si>
    <t>202-203-205-206-207-208-209-210-212</t>
  </si>
  <si>
    <t>ΚΟΥΚΟΥΡΙΚΗ</t>
  </si>
  <si>
    <t>ΧΡΙΣΤΙΑΝΑ</t>
  </si>
  <si>
    <t>Χ726468</t>
  </si>
  <si>
    <t>893,2</t>
  </si>
  <si>
    <t>1701,2</t>
  </si>
  <si>
    <t>203-207-208-205-206-209-210-212-204-202-201-211</t>
  </si>
  <si>
    <t>ΜΠΟΚΟΣ</t>
  </si>
  <si>
    <t>ΠΑΥΛΟΣ</t>
  </si>
  <si>
    <t>Χ899204</t>
  </si>
  <si>
    <t>742,5</t>
  </si>
  <si>
    <t>1700,5</t>
  </si>
  <si>
    <t>207-208-209-205-210-206-212-201</t>
  </si>
  <si>
    <t>ΓΕΩΡΓΟΠΟΥΛΟΣ</t>
  </si>
  <si>
    <t>ΕΥΘΥΜΙΟΣ ΦΟΙΒΟΣ</t>
  </si>
  <si>
    <t>Χ545492</t>
  </si>
  <si>
    <t>776,6</t>
  </si>
  <si>
    <t>1698,6</t>
  </si>
  <si>
    <t>207-208-205-206-209-210-212</t>
  </si>
  <si>
    <t>ΤΑΚΗΣ</t>
  </si>
  <si>
    <t>Χ835026</t>
  </si>
  <si>
    <t>1696,8</t>
  </si>
  <si>
    <t>211-201-202-203-204-205-206-207-209-210-212</t>
  </si>
  <si>
    <t>ΜΟΥΓΙΟΥ</t>
  </si>
  <si>
    <t>ΚΟΝΔΥΛΙΑ</t>
  </si>
  <si>
    <t>767,8</t>
  </si>
  <si>
    <t>207-205-206-209-210-212-208</t>
  </si>
  <si>
    <t>ΓΙΑΝΝΑΚΑ</t>
  </si>
  <si>
    <t>ΝΙΚΗ</t>
  </si>
  <si>
    <t>Φ109078</t>
  </si>
  <si>
    <t>1696,5</t>
  </si>
  <si>
    <t>ΣΤΑΜΟΠΟΥΛΟΥ</t>
  </si>
  <si>
    <t>ΦΙΛΙΤΣΑ</t>
  </si>
  <si>
    <t>ΑΕ803943</t>
  </si>
  <si>
    <t>1696,1</t>
  </si>
  <si>
    <t>ΒΛΑΧΟΔΗΜΟΣ</t>
  </si>
  <si>
    <t>Φ276523</t>
  </si>
  <si>
    <t>1695,4</t>
  </si>
  <si>
    <t>203-211-204-201-202-205-206-207-208-209-210-212</t>
  </si>
  <si>
    <t>ΚΟΓΙΑ</t>
  </si>
  <si>
    <t>ΑΕ846368</t>
  </si>
  <si>
    <t>1694,6</t>
  </si>
  <si>
    <t>ΚΑΤΣΟΥΠΑΚΗ</t>
  </si>
  <si>
    <t xml:space="preserve">ΕΛΕΥΘΕΡΙΑ </t>
  </si>
  <si>
    <t>ΑΕ998545</t>
  </si>
  <si>
    <t>1693,4</t>
  </si>
  <si>
    <t>203-208-207-206-205-209-210-212-202-211-201-204</t>
  </si>
  <si>
    <t>ΜΑΡΑΓΓΟΥΛΑ</t>
  </si>
  <si>
    <t>ΓΙΑΝΝΙΤΣΑ</t>
  </si>
  <si>
    <t>ΛΕΩΝΙΔΑΣ</t>
  </si>
  <si>
    <t>ΑΕ088757</t>
  </si>
  <si>
    <t>804,1</t>
  </si>
  <si>
    <t>1692,1</t>
  </si>
  <si>
    <t>ΔΙΒΑΡΗ</t>
  </si>
  <si>
    <t>ΣΕΒΑΣΤΗ</t>
  </si>
  <si>
    <t>ΑΒ664643</t>
  </si>
  <si>
    <t>1690,6</t>
  </si>
  <si>
    <t>202-207-206-205-209-208-210-212-201-203</t>
  </si>
  <si>
    <t>ΚΑΚΚΑΒΟΥ</t>
  </si>
  <si>
    <t>ΕΥΑΓΓΕΛΟΣ</t>
  </si>
  <si>
    <t>ΑΖ739068</t>
  </si>
  <si>
    <t>820,6</t>
  </si>
  <si>
    <t>1688,6</t>
  </si>
  <si>
    <t>204-201-203-205-206-207-208-209-210-212-211-202</t>
  </si>
  <si>
    <t>ΚΑΛΛΙΤΣΗ</t>
  </si>
  <si>
    <t>ΑΖ299377</t>
  </si>
  <si>
    <t>830,5</t>
  </si>
  <si>
    <t>1688,5</t>
  </si>
  <si>
    <t>203-204-211-201-208-205-206-207-209-210-212-202</t>
  </si>
  <si>
    <t>ΣΑΒΟΥΙΔΑΚΗ</t>
  </si>
  <si>
    <t>ΑΙ637146</t>
  </si>
  <si>
    <t>822,8</t>
  </si>
  <si>
    <t>1687,8</t>
  </si>
  <si>
    <t>203-205-206-207-208-209-210-212-211-204-202</t>
  </si>
  <si>
    <t>ΖΑΦΕΙΡΗ</t>
  </si>
  <si>
    <t>ΑΕ809054</t>
  </si>
  <si>
    <t>829,4</t>
  </si>
  <si>
    <t>1687,4</t>
  </si>
  <si>
    <t>205-206-207-208-209-210-211</t>
  </si>
  <si>
    <t>ΛΕΟΝΤΣΙΝΗΣ</t>
  </si>
  <si>
    <t>Ρ160863</t>
  </si>
  <si>
    <t>1686,5</t>
  </si>
  <si>
    <t>203-204-211-205-206-207-209-210-212-201-202</t>
  </si>
  <si>
    <t>ΜΠΑΧΤΣΕΒΑΝΙΔΟΥ</t>
  </si>
  <si>
    <t>ΔΗΜΗΤΡΑ</t>
  </si>
  <si>
    <t>Τ797496</t>
  </si>
  <si>
    <t>861,3</t>
  </si>
  <si>
    <t>1686,3</t>
  </si>
  <si>
    <t>208-209-207-206-210-205-212</t>
  </si>
  <si>
    <t>ΤΣΑΓΓΑΣ</t>
  </si>
  <si>
    <t>ΑΗ239622</t>
  </si>
  <si>
    <t>1684,6</t>
  </si>
  <si>
    <t>ΡΟΥΜΠΟΥ</t>
  </si>
  <si>
    <t>ΜΑΓΔΑΛΗΝΗ</t>
  </si>
  <si>
    <t>ΣΤΑΥΡΟΣ</t>
  </si>
  <si>
    <t>ΑΜ072301</t>
  </si>
  <si>
    <t>755,7</t>
  </si>
  <si>
    <t>1683,7</t>
  </si>
  <si>
    <t>ΜΠΡΟΤΣΗ</t>
  </si>
  <si>
    <t>Σ454968</t>
  </si>
  <si>
    <t>1683,5</t>
  </si>
  <si>
    <t>211-203</t>
  </si>
  <si>
    <t>ΟΙΚΟΝΟΜΟΥ</t>
  </si>
  <si>
    <t>ΑΡΕΤΗ</t>
  </si>
  <si>
    <t>ΠΑΡΑΣΚΕΥΑΣ- ΑΠΟΣΤΟΛΟΣ</t>
  </si>
  <si>
    <t>ΑΚ596205</t>
  </si>
  <si>
    <t>754,6</t>
  </si>
  <si>
    <t>1682,6</t>
  </si>
  <si>
    <t>207-208-209-205-206-210-212</t>
  </si>
  <si>
    <t>ΓΕΩΡΓΟΠΟΥΛΟΥ</t>
  </si>
  <si>
    <t>Ρ512546</t>
  </si>
  <si>
    <t>794,2</t>
  </si>
  <si>
    <t>1682,2</t>
  </si>
  <si>
    <t>207-208-206-205-209-210-212</t>
  </si>
  <si>
    <t>ΒΑΣΙΛΕΙΑΔΗ</t>
  </si>
  <si>
    <t>Φ222715</t>
  </si>
  <si>
    <t>205-206-207-208-209-210</t>
  </si>
  <si>
    <t>ΚΩΝΣΤΑΝΤΙΝΙΔΟΥ</t>
  </si>
  <si>
    <t>ΑΖ146904</t>
  </si>
  <si>
    <t>920,7</t>
  </si>
  <si>
    <t>1681,7</t>
  </si>
  <si>
    <t>203-207-205-206-209-210-212-204-211-202-201</t>
  </si>
  <si>
    <t>ΠΟΓΑΡΙΔΟΥ</t>
  </si>
  <si>
    <t>ΑΝΔΡΟΝΙΚΗ</t>
  </si>
  <si>
    <t>Χ891648</t>
  </si>
  <si>
    <t>919,6</t>
  </si>
  <si>
    <t>1680,6</t>
  </si>
  <si>
    <t>ΣΙΟΥΝΤΑ</t>
  </si>
  <si>
    <t>ΒΑΙΑ</t>
  </si>
  <si>
    <t>ΑΙ170756</t>
  </si>
  <si>
    <t>1680,5</t>
  </si>
  <si>
    <t>203-211-205-206-207-209-210-212-202-204-201</t>
  </si>
  <si>
    <t>ΓΡΕΓΟΥ</t>
  </si>
  <si>
    <t>ΣΟΦΙΑ</t>
  </si>
  <si>
    <t>ΑΕ027882</t>
  </si>
  <si>
    <t>205-206-207-209-210-212-208-201</t>
  </si>
  <si>
    <t>ΠΑΠΑΘΑΝΑΣΙΟΥ</t>
  </si>
  <si>
    <t>ΧΡΥΣΟΒΑΛΑΝΤΗΣ-ΚΩΝΣΤΑΝΤΙΝΟΣ</t>
  </si>
  <si>
    <t>ΣΩΤΗΡΙΟΣ</t>
  </si>
  <si>
    <t>ΑΖ675359</t>
  </si>
  <si>
    <t>1677,8</t>
  </si>
  <si>
    <t>203-211-205-207-206-209-210-212-204-202-201</t>
  </si>
  <si>
    <t>ΑΘΑΝΑΣΙΑΔΟΥ</t>
  </si>
  <si>
    <t>Χ390956</t>
  </si>
  <si>
    <t>819,5</t>
  </si>
  <si>
    <t>1677,5</t>
  </si>
  <si>
    <t>204-203-211-207-205-206-209-210-212-201-202</t>
  </si>
  <si>
    <t>ΜΠΑΛΑΔΗ</t>
  </si>
  <si>
    <t>ΑΒ536768</t>
  </si>
  <si>
    <t>766,7</t>
  </si>
  <si>
    <t>1674,7</t>
  </si>
  <si>
    <t>206-210-205-207-208-209</t>
  </si>
  <si>
    <t>ΑΙ155395</t>
  </si>
  <si>
    <t>ΛΑΖΑΡΗ</t>
  </si>
  <si>
    <t>ΑΛΕΞΑΝΔΡΟΣ</t>
  </si>
  <si>
    <t>ΑΕ510648</t>
  </si>
  <si>
    <t>1674,2</t>
  </si>
  <si>
    <t>209-208-207-210-205-206-212-201-204</t>
  </si>
  <si>
    <t>ΜΕΘΟΔΙΟΣ</t>
  </si>
  <si>
    <t>ΑΛΕΞΙΟΣ</t>
  </si>
  <si>
    <t>ΑΚ396085</t>
  </si>
  <si>
    <t>1673,5</t>
  </si>
  <si>
    <t>206-209-210-205-207-208-212-204-203-211-201-202</t>
  </si>
  <si>
    <t>ΔΑΝΙΗΛΙΔΗ</t>
  </si>
  <si>
    <t>Φ045182</t>
  </si>
  <si>
    <t>1673,4</t>
  </si>
  <si>
    <t>ΚΑΣΚΑΜΑΝΙΔΟΥ</t>
  </si>
  <si>
    <t>ΑΝΘΟΥΛΑ</t>
  </si>
  <si>
    <t>ΤΗΛΕΜΑΧΟΣ</t>
  </si>
  <si>
    <t>ΑΕ685196</t>
  </si>
  <si>
    <t>1673,2</t>
  </si>
  <si>
    <t>ΝΟΥΣΙΑ</t>
  </si>
  <si>
    <t>ΑΛΕΞΑΝΔΡΑ</t>
  </si>
  <si>
    <t>ΑΙ034219</t>
  </si>
  <si>
    <t>208-205-206-207-209-210-211</t>
  </si>
  <si>
    <t>ΛΕΜΟΝΑΚΗ</t>
  </si>
  <si>
    <t>ΦΙΛΙΠΠΟΣ</t>
  </si>
  <si>
    <t>Χ770568</t>
  </si>
  <si>
    <t>724,9</t>
  </si>
  <si>
    <t>1672,9</t>
  </si>
  <si>
    <t>203-202-204-201-208-207-206-205</t>
  </si>
  <si>
    <t>ΣΤΑΥΡΟΠΟΥΛΟΣ</t>
  </si>
  <si>
    <t>ΑΗ078413</t>
  </si>
  <si>
    <t>1669,8</t>
  </si>
  <si>
    <t>207-208-206-205-209-210-212-201-203-211-204</t>
  </si>
  <si>
    <t>ΣΠΥΡΙΔΑΚΗ</t>
  </si>
  <si>
    <t>ΑΝΝΑ ΜΑΡΙΑ</t>
  </si>
  <si>
    <t>ΑΗ964564</t>
  </si>
  <si>
    <t>1668,7</t>
  </si>
  <si>
    <t>ΚΑΚΟΥΔΑΚΗ</t>
  </si>
  <si>
    <t>ΜΑΡΙΑΝΝΑ</t>
  </si>
  <si>
    <t>ΑΗ189121</t>
  </si>
  <si>
    <t>1668,1</t>
  </si>
  <si>
    <t>203-208-209-205-206-207-210-202-211-204</t>
  </si>
  <si>
    <t>ΔΡΑΚΟΝΤΑΕΙΔΗ</t>
  </si>
  <si>
    <t>ΓΕΡΑΣΙΜΟΥΛΑ-ΜΑΡΙΑ</t>
  </si>
  <si>
    <t>ΑΝΔΡΕΑΣ</t>
  </si>
  <si>
    <t>Τ365060</t>
  </si>
  <si>
    <t>1667,9</t>
  </si>
  <si>
    <t>ΚΥΛΙΝΤΗΡΕΑ</t>
  </si>
  <si>
    <t>ΑΖ049002</t>
  </si>
  <si>
    <t>1667,3</t>
  </si>
  <si>
    <t>205-207-209-210-212-203-211</t>
  </si>
  <si>
    <t>ΘΕΟΔΩΡΑΚΗ</t>
  </si>
  <si>
    <t>ΓΕΩΡΓΙΑ</t>
  </si>
  <si>
    <t>ΑΖ963185</t>
  </si>
  <si>
    <t>Χ889904</t>
  </si>
  <si>
    <t>1666,8</t>
  </si>
  <si>
    <t>203-204-208-207-205-206-209-210-211-201-202-212</t>
  </si>
  <si>
    <t>ΗΛΙΑΣΚΟΥ</t>
  </si>
  <si>
    <t>ΕΥΣΤΡΑΤΙΑ</t>
  </si>
  <si>
    <t>ΑΕ661627</t>
  </si>
  <si>
    <t>808,5</t>
  </si>
  <si>
    <t>1666,5</t>
  </si>
  <si>
    <t>203-211-204-209-206-205-207-210-212-201-202</t>
  </si>
  <si>
    <t>ΧΑΡΙΣΗ</t>
  </si>
  <si>
    <t>ΑΙ189853</t>
  </si>
  <si>
    <t>716,1</t>
  </si>
  <si>
    <t>1664,1</t>
  </si>
  <si>
    <t>203-211-204-205-207-206-209-210-212-201-202</t>
  </si>
  <si>
    <t>ΖΑΧΑΡΟΥΛΗ</t>
  </si>
  <si>
    <t>Φ192323</t>
  </si>
  <si>
    <t>1663,7</t>
  </si>
  <si>
    <t>211-204-203-202-212-205-206-207-209-210-201</t>
  </si>
  <si>
    <t>ΒΛΑΓΚΟΠΟΥΛΟΥ</t>
  </si>
  <si>
    <t>ΜΑΡΙΑΝΤΖΕΛΑ</t>
  </si>
  <si>
    <t>Χ055260</t>
  </si>
  <si>
    <t>1663,2</t>
  </si>
  <si>
    <t>ΔΑΝΟΥ</t>
  </si>
  <si>
    <t>ΑΝΕΣΤΗΣ</t>
  </si>
  <si>
    <t>ΑΙ311841</t>
  </si>
  <si>
    <t>1662,1</t>
  </si>
  <si>
    <t>208-211-203-205-206-207-209-210</t>
  </si>
  <si>
    <t>ΑΛΕΞΑΝΔΡΑΚΗ</t>
  </si>
  <si>
    <t>ΑΙ436710</t>
  </si>
  <si>
    <t>753,5</t>
  </si>
  <si>
    <t>1661,5</t>
  </si>
  <si>
    <t>202-205-206-207-208-209-210</t>
  </si>
  <si>
    <t>ΑΚ204228</t>
  </si>
  <si>
    <t>1660,6</t>
  </si>
  <si>
    <t>ΠΡΙΒΑΤΗΤΣΑΝΗ</t>
  </si>
  <si>
    <t>ΑΜ894682</t>
  </si>
  <si>
    <t>752,4</t>
  </si>
  <si>
    <t>1660,4</t>
  </si>
  <si>
    <t>203-211-204-206-210-212-202-201-205-207-208-209</t>
  </si>
  <si>
    <t>ΠΑΠΑΖΑΧΑΡΙΟΥ</t>
  </si>
  <si>
    <t>ΕΛΙΣΑΒΕΤ</t>
  </si>
  <si>
    <t>ΟΜΗΡΟΣ</t>
  </si>
  <si>
    <t>Χ135059</t>
  </si>
  <si>
    <t>711,7</t>
  </si>
  <si>
    <t>1659,7</t>
  </si>
  <si>
    <t>208-209-205-207-206-210</t>
  </si>
  <si>
    <t>ΧΑΣΑΠΑΚΗ</t>
  </si>
  <si>
    <t>ΜΑΡΙΑ - ΑΓΓΕΛΙΚΗ</t>
  </si>
  <si>
    <t>ΑΕ626135</t>
  </si>
  <si>
    <t>1659,1</t>
  </si>
  <si>
    <t>207-212-206-209-210-205-208</t>
  </si>
  <si>
    <t>ΠΕΡΡΑ</t>
  </si>
  <si>
    <t>ΠΑΝΑΓΙΩΤΑ</t>
  </si>
  <si>
    <t>ΑΗ089497</t>
  </si>
  <si>
    <t>740,3</t>
  </si>
  <si>
    <t>1658,3</t>
  </si>
  <si>
    <t>208-207-205-206-209-210-212-201-203-211-204-202</t>
  </si>
  <si>
    <t>ΓΙΟΥΡΓΑ</t>
  </si>
  <si>
    <t>ΑΚ114261</t>
  </si>
  <si>
    <t>209-210-212-205-206-207-208-204-201-211-203-202</t>
  </si>
  <si>
    <t>ΚΑΡΑΚΟΓΛΟΥ</t>
  </si>
  <si>
    <t>ΑΚ037832</t>
  </si>
  <si>
    <t>729,3</t>
  </si>
  <si>
    <t>1657,3</t>
  </si>
  <si>
    <t>ΜΟΥΡΑΤΗ</t>
  </si>
  <si>
    <t>ΖΑΧΑΡΙΑΣ</t>
  </si>
  <si>
    <t>Π467317</t>
  </si>
  <si>
    <t>1656,5</t>
  </si>
  <si>
    <t>203-211-204-212-205-206-207-209-210-202-201</t>
  </si>
  <si>
    <t>ΣΚΕΜΠΕΡΗ</t>
  </si>
  <si>
    <t>Τ827980</t>
  </si>
  <si>
    <t>1656,1</t>
  </si>
  <si>
    <t>203-211-204-207-205-206-210-209-201-202-212</t>
  </si>
  <si>
    <t>ΛΑΜΨΙΔΗΣ</t>
  </si>
  <si>
    <t>ΓΑΒΡΙΗΛ</t>
  </si>
  <si>
    <t>ΑΚ273970</t>
  </si>
  <si>
    <t>797,5</t>
  </si>
  <si>
    <t>1655,5</t>
  </si>
  <si>
    <t>203-211-204-207-206-210-205-208-209-212-201-202</t>
  </si>
  <si>
    <t>ΣΑΚΕΛΛΑΡΗΣ</t>
  </si>
  <si>
    <t>Τ234713</t>
  </si>
  <si>
    <t>936,1</t>
  </si>
  <si>
    <t>1655,1</t>
  </si>
  <si>
    <t>203-206-210-207-205-209-212-202-211-201</t>
  </si>
  <si>
    <t>ΘΕΟΔΩΡΟΥ</t>
  </si>
  <si>
    <t>ΕΥΓΕΝΙΑ</t>
  </si>
  <si>
    <t>ΑΖ571764</t>
  </si>
  <si>
    <t>727,1</t>
  </si>
  <si>
    <t>208-205-206-207-209-210-212-202</t>
  </si>
  <si>
    <t>ΠΑΠΑΓΙΑΝΝΟΠΟΥΛΟΥ</t>
  </si>
  <si>
    <t>ΙΩΑΝΝΑ-ΣΤΥΛΙΑΝΗ</t>
  </si>
  <si>
    <t>ΑΗ008821</t>
  </si>
  <si>
    <t>656,7</t>
  </si>
  <si>
    <t>1654,7</t>
  </si>
  <si>
    <t>208-206-207-210-212-205-209</t>
  </si>
  <si>
    <t>ΠΑΠΟΥΤΣΗ</t>
  </si>
  <si>
    <t>ΑΙ619587</t>
  </si>
  <si>
    <t>208-205-206-207-209-210-212-201-204-211-203</t>
  </si>
  <si>
    <t>ΓΚΟΛΕΜΗ</t>
  </si>
  <si>
    <t>ΑΡΧΟΝΤΙΑ</t>
  </si>
  <si>
    <t>Χ359610</t>
  </si>
  <si>
    <t>ΑΙ189745</t>
  </si>
  <si>
    <t>855,8</t>
  </si>
  <si>
    <t>1653,8</t>
  </si>
  <si>
    <t>203-211-204-205-206-207-209-210-212</t>
  </si>
  <si>
    <t>ΜΠΟΥΤΑΣ</t>
  </si>
  <si>
    <t>ΑΗ195808</t>
  </si>
  <si>
    <t>795,3</t>
  </si>
  <si>
    <t>1653,3</t>
  </si>
  <si>
    <t>203-211-210-209-208-207-206-205-204-212-201-202</t>
  </si>
  <si>
    <t>ΜΕΝΕΓΑΚΗ</t>
  </si>
  <si>
    <t>ΑΑ434678</t>
  </si>
  <si>
    <t>763,4</t>
  </si>
  <si>
    <t>1651,4</t>
  </si>
  <si>
    <t>203-202-206-210-205-207-209-208-212-201-204-211</t>
  </si>
  <si>
    <t>ΔΗΜΗΤΡΙΑΔΗ</t>
  </si>
  <si>
    <t>ΞΕΝΗ ΔΕΣΠΟΙΝΑ</t>
  </si>
  <si>
    <t>Ρ517996</t>
  </si>
  <si>
    <t>1651,2</t>
  </si>
  <si>
    <t>207-206-210-205-212-209</t>
  </si>
  <si>
    <t>ΠΑΣΤΕΛΑΚΟΥ</t>
  </si>
  <si>
    <t>ΝΑΤΑΛΙΑ-ΧΡΥΣΑΝΘΗ</t>
  </si>
  <si>
    <t>Χ032954</t>
  </si>
  <si>
    <t>1650,5</t>
  </si>
  <si>
    <t>ΣΦΑΚΙΑΝΑΚΗ</t>
  </si>
  <si>
    <t>Χ639700</t>
  </si>
  <si>
    <t>853,6</t>
  </si>
  <si>
    <t>1648,6</t>
  </si>
  <si>
    <t>207-208-209-205-206-210-212-201-203-202-211-204</t>
  </si>
  <si>
    <t>ΑΣΚΙΑΝΑΚΗ</t>
  </si>
  <si>
    <t>ΑΖ462779</t>
  </si>
  <si>
    <t>720,5</t>
  </si>
  <si>
    <t>1648,5</t>
  </si>
  <si>
    <t>ΤΣΟΜΕΛΕΚΗ</t>
  </si>
  <si>
    <t>ΑΖ175415</t>
  </si>
  <si>
    <t>730,4</t>
  </si>
  <si>
    <t>1648,4</t>
  </si>
  <si>
    <t>203-204-211-202-207-210-209-206-205-208-212</t>
  </si>
  <si>
    <t>ΤΡΟΜΠΟΥΚΗ</t>
  </si>
  <si>
    <t>ΑΝ037693</t>
  </si>
  <si>
    <t>1648,3</t>
  </si>
  <si>
    <t>ΜΗΤΣΙΟΥ</t>
  </si>
  <si>
    <t>ΑΒ520225</t>
  </si>
  <si>
    <t>1647,3</t>
  </si>
  <si>
    <t>ΜΠΑΛΤΑ</t>
  </si>
  <si>
    <t>ΘΩΜΑΣ</t>
  </si>
  <si>
    <t>ΑΚ278700</t>
  </si>
  <si>
    <t>688,6</t>
  </si>
  <si>
    <t>1646,6</t>
  </si>
  <si>
    <t>203-211-204-205-207-210-212-209-206-208-202-201</t>
  </si>
  <si>
    <t>ΧΑΤΖΗΚΙΟΣΙΔΟΥ</t>
  </si>
  <si>
    <t>ΑΗ788509</t>
  </si>
  <si>
    <t>1646,4</t>
  </si>
  <si>
    <t>208-206-205-207-209-210-212-211-203-204-201-202</t>
  </si>
  <si>
    <t>ΧΑΔΙΟΥ</t>
  </si>
  <si>
    <t>Χ894028</t>
  </si>
  <si>
    <t>1646,1</t>
  </si>
  <si>
    <t>203-202-204-207-206-205-210</t>
  </si>
  <si>
    <t>ΜΑΥΡΟΥ</t>
  </si>
  <si>
    <t>ΕΛΕΥΘΕΡΙΑ</t>
  </si>
  <si>
    <t>Φ340201</t>
  </si>
  <si>
    <t>1645,1</t>
  </si>
  <si>
    <t>203-208-211-205-204-206-207-209-210-212-201-202</t>
  </si>
  <si>
    <t>ΠΑΝΑΓΟΥ</t>
  </si>
  <si>
    <t>ΑΝΝΑ</t>
  </si>
  <si>
    <t>ΑΚ041807</t>
  </si>
  <si>
    <t>208-209-207-205-210-206-212-203-202-211-204-201</t>
  </si>
  <si>
    <t>ΜΑΚΡΟΒΑΣΙΛΗΣ</t>
  </si>
  <si>
    <t>ΕΥΘΥΜΙΟΣ</t>
  </si>
  <si>
    <t>Ξ706688</t>
  </si>
  <si>
    <t>1644,7</t>
  </si>
  <si>
    <t>203-211-204-202-201</t>
  </si>
  <si>
    <t>ΑΒΡΑΜΗ</t>
  </si>
  <si>
    <t>Τ820498</t>
  </si>
  <si>
    <t>1642,8</t>
  </si>
  <si>
    <t>203-211-212-204-202-205-206-207-209-210-201</t>
  </si>
  <si>
    <t>ΒΑΜΒΑΚΑ</t>
  </si>
  <si>
    <t>ΠΑΡΑΣΚΕΥΑΣ</t>
  </si>
  <si>
    <t>ΑΚ799160</t>
  </si>
  <si>
    <t>674,3</t>
  </si>
  <si>
    <t>1642,3</t>
  </si>
  <si>
    <t>ΧΑΝΙΩΤΑΚΗ</t>
  </si>
  <si>
    <t>ΑΚ672661</t>
  </si>
  <si>
    <t>1641,1</t>
  </si>
  <si>
    <t>205-206-207-208-209-210-202</t>
  </si>
  <si>
    <t>ΣΑΜΠΡΟΒΑΛΑΚΗ</t>
  </si>
  <si>
    <t>ΟΥΡΑΝΙΑ</t>
  </si>
  <si>
    <t>Σ277403</t>
  </si>
  <si>
    <t>831,6</t>
  </si>
  <si>
    <t>1639,6</t>
  </si>
  <si>
    <t>212-207-210-209-205-206-208</t>
  </si>
  <si>
    <t>ΚΑΡΑΓΚΙΟΖΗ</t>
  </si>
  <si>
    <t>Π382463</t>
  </si>
  <si>
    <t>1638,5</t>
  </si>
  <si>
    <t>207-209-205-206-210-212-211-208-203-201-204-202</t>
  </si>
  <si>
    <t>ΒΡΕΝΤΖΟΥ</t>
  </si>
  <si>
    <t>ΠΕΡΙΚΛΗΣ</t>
  </si>
  <si>
    <t>ΑΚ793358</t>
  </si>
  <si>
    <t>1638,4</t>
  </si>
  <si>
    <t>ΤΣΕΚΟΥΡΑ</t>
  </si>
  <si>
    <t>ΑΕ117764</t>
  </si>
  <si>
    <t>206-210-212-205-207-208-209-203-202-211</t>
  </si>
  <si>
    <t>ΛΟΥΚΑ</t>
  </si>
  <si>
    <t>ΑΗ588447</t>
  </si>
  <si>
    <t>ΤΣΑΚΑΛΗ</t>
  </si>
  <si>
    <t>ΑΙ579793</t>
  </si>
  <si>
    <t>1635,1</t>
  </si>
  <si>
    <t>205-206-207-209-210-212-203-211-201-204-202</t>
  </si>
  <si>
    <t>ΠΑΠΑΣΠΥΡΟΠΟΥΛΟΣ</t>
  </si>
  <si>
    <t>ΘΕΜΙΣΤΟΚΛΗΣ</t>
  </si>
  <si>
    <t>ΑΜ544863</t>
  </si>
  <si>
    <t>706,2</t>
  </si>
  <si>
    <t>1634,2</t>
  </si>
  <si>
    <t>208-207-209-206-205-210-212-204-203-201-202-211</t>
  </si>
  <si>
    <t>ΘΕΟΔΩΡΙΤΣΗ</t>
  </si>
  <si>
    <t>ΔΙΟΝΥΣΙΑ</t>
  </si>
  <si>
    <t>Φ216965</t>
  </si>
  <si>
    <t>1633,1</t>
  </si>
  <si>
    <t>201-208-203</t>
  </si>
  <si>
    <t>ΒΑΙΤΣΗ</t>
  </si>
  <si>
    <t>ΑΒ368225</t>
  </si>
  <si>
    <t>1632,2</t>
  </si>
  <si>
    <t>203-211-204-207-206-205-209-208-210-212-202-201</t>
  </si>
  <si>
    <t>ΚΟΛΛΙΟΠΟΥΛΟΥ</t>
  </si>
  <si>
    <t>ΑΗ217424</t>
  </si>
  <si>
    <t>723,8</t>
  </si>
  <si>
    <t>1631,8</t>
  </si>
  <si>
    <t>ΚΑΡΑΓΚΟΥΝΗΣ</t>
  </si>
  <si>
    <t>ΜΙΛΤΙΑΔΗΣ</t>
  </si>
  <si>
    <t>ΑΕ655108</t>
  </si>
  <si>
    <t>1631,5</t>
  </si>
  <si>
    <t>208-203-212-201-202-205-206-207-209-210-211-204</t>
  </si>
  <si>
    <t>ΜΑΝΙΑΤΗ</t>
  </si>
  <si>
    <t>ΔΟΜΝΑ</t>
  </si>
  <si>
    <t>Χ263446</t>
  </si>
  <si>
    <t>1631,2</t>
  </si>
  <si>
    <t>208-206-210-203-202-201-204-212-205-207-211-209</t>
  </si>
  <si>
    <t>ΖΩΗ</t>
  </si>
  <si>
    <t>ΛΑΜΠΡΙΝΗ</t>
  </si>
  <si>
    <t>ΑΗ617145</t>
  </si>
  <si>
    <t>691,9</t>
  </si>
  <si>
    <t>1629,9</t>
  </si>
  <si>
    <t>ΚΑΡΑΓΙΩΡΓΟΥ</t>
  </si>
  <si>
    <t>Χ268405</t>
  </si>
  <si>
    <t>1629,7</t>
  </si>
  <si>
    <t>205-206-207-209-210-212-203-211-201-202-204</t>
  </si>
  <si>
    <t>ΚΑΚΑΙΔΗ</t>
  </si>
  <si>
    <t>ΠΑΡΘΕΝΟΠΗ</t>
  </si>
  <si>
    <t>Χ020814</t>
  </si>
  <si>
    <t>1628,8</t>
  </si>
  <si>
    <t>204-203-207</t>
  </si>
  <si>
    <t>ΣΤΑΜΟΥ</t>
  </si>
  <si>
    <t>ΤΡΙΑΝΤΑΦΥΛΛΟΣ</t>
  </si>
  <si>
    <t>ΑΙ147421</t>
  </si>
  <si>
    <t>798,6</t>
  </si>
  <si>
    <t>1628,6</t>
  </si>
  <si>
    <t>ΚΑΜΠΟΥΚΟΥ</t>
  </si>
  <si>
    <t>Χ177911</t>
  </si>
  <si>
    <t>1628,3</t>
  </si>
  <si>
    <t>208-205-206-207-209-210-212-201-203-204-211-202</t>
  </si>
  <si>
    <t>ΓΕΩΡΓΑΚΟΠΟΥΛΟΥ</t>
  </si>
  <si>
    <t>ΘΕΩΝΗ</t>
  </si>
  <si>
    <t>ΑΕ221965</t>
  </si>
  <si>
    <t>201-205-206-207-208-209-210-212-211-204-203-202</t>
  </si>
  <si>
    <t>ΧΑΣΑΠΟΠΟΥΛΟΥ</t>
  </si>
  <si>
    <t>Τ273168</t>
  </si>
  <si>
    <t>799,7</t>
  </si>
  <si>
    <t>1627,7</t>
  </si>
  <si>
    <t>201-205-206-207-208-209-210-212</t>
  </si>
  <si>
    <t>ΠΑΠΑΜΑΤΘΑΙΟΥ</t>
  </si>
  <si>
    <t>ΑΝΝΑ-ΓΕΩΡΓΙΑ</t>
  </si>
  <si>
    <t>Χ025729</t>
  </si>
  <si>
    <t>699,6</t>
  </si>
  <si>
    <t>1627,6</t>
  </si>
  <si>
    <t>208-207-205-206-209-210-212-202-201-211-203-204</t>
  </si>
  <si>
    <t>ΓΙΑΚΟΥΜΗ</t>
  </si>
  <si>
    <t>ΠΑΥΛΙΝΑ</t>
  </si>
  <si>
    <t>ΑΖ660646</t>
  </si>
  <si>
    <t>1627,2</t>
  </si>
  <si>
    <t>203-204-211-205-206-207-208-209-210-212-201-202</t>
  </si>
  <si>
    <t>ΚΑΡΑΤΖΙΝΗ</t>
  </si>
  <si>
    <t>ΑΑ450944</t>
  </si>
  <si>
    <t>203-211-204-201-202-205-207-212-206-209-210-208</t>
  </si>
  <si>
    <t>ΝΤΩΝΗ</t>
  </si>
  <si>
    <t>ΑΖ849061</t>
  </si>
  <si>
    <t>1626,1</t>
  </si>
  <si>
    <t>ΚΑΡΑΒΙΑ</t>
  </si>
  <si>
    <t>ΑΛΙΚΗ</t>
  </si>
  <si>
    <t>ΑΙ406543</t>
  </si>
  <si>
    <t>1625,8</t>
  </si>
  <si>
    <t>205-206-207-208-209-210-212-203-211-201-202-204</t>
  </si>
  <si>
    <t>ΨΥΛΛΟΥ</t>
  </si>
  <si>
    <t>Σ145308</t>
  </si>
  <si>
    <t>717,2</t>
  </si>
  <si>
    <t>1625,2</t>
  </si>
  <si>
    <t>208-212-210-209-207-206-205-203-211-201-202-204</t>
  </si>
  <si>
    <t>ΜΑΚΡΗ</t>
  </si>
  <si>
    <t>ΑΡΙΣΤΕΙΔΗΣ</t>
  </si>
  <si>
    <t>ΑΕ743062</t>
  </si>
  <si>
    <t>1625,1</t>
  </si>
  <si>
    <t>201-202-203-204-205-206-207-208-209-210-212</t>
  </si>
  <si>
    <t>ΠΑΠΑΓΕΩΡΓΙΟΥ</t>
  </si>
  <si>
    <t>ΑΚ975064</t>
  </si>
  <si>
    <t>911,9</t>
  </si>
  <si>
    <t>1624,9</t>
  </si>
  <si>
    <t>ΓΙΑΝΝΑΚΗΣ</t>
  </si>
  <si>
    <t>Χ584883</t>
  </si>
  <si>
    <t>1624,8</t>
  </si>
  <si>
    <t>207-208-209-206-205-210-212</t>
  </si>
  <si>
    <t>ΛΕΤΣΙΟΥ</t>
  </si>
  <si>
    <t>Σ146546</t>
  </si>
  <si>
    <t>646,8</t>
  </si>
  <si>
    <t>208-206-210-205-207-209-212-201-203-211-202-204</t>
  </si>
  <si>
    <t>ΚΑΛΑΙΤΖΗ</t>
  </si>
  <si>
    <t>ΑΕ361216</t>
  </si>
  <si>
    <t>1624,7</t>
  </si>
  <si>
    <t>203-211-204-202-201-205-206-207-208-209-210-212</t>
  </si>
  <si>
    <t>ΧΑΝΙΑΛΑΚΗ</t>
  </si>
  <si>
    <t>Χ860396</t>
  </si>
  <si>
    <t>850,3</t>
  </si>
  <si>
    <t>1624,3</t>
  </si>
  <si>
    <t>207-203-205-208-202-212-204-201-211-210-206-209</t>
  </si>
  <si>
    <t>ΛΑΜΠΡΟΠΟΥΛΟΥ</t>
  </si>
  <si>
    <t>ΑΖ016598</t>
  </si>
  <si>
    <t>705,1</t>
  </si>
  <si>
    <t>1623,1</t>
  </si>
  <si>
    <t>208-209-207-206-205-210-212</t>
  </si>
  <si>
    <t>ΒΑΣΙΛΟΠΟΥΛΟΥ</t>
  </si>
  <si>
    <t>ΑΗ628261</t>
  </si>
  <si>
    <t>208-207-210-209-205-206-212</t>
  </si>
  <si>
    <t>ΚΗΠΟΥΡΙΔΟΥ</t>
  </si>
  <si>
    <t>ΠΑΝΑΓΙΩΤΑ ΑΘΗΝΑ</t>
  </si>
  <si>
    <t>Φ084784</t>
  </si>
  <si>
    <t>1621,4</t>
  </si>
  <si>
    <t>205-207-203-209-210-206-212-201-211-204-202</t>
  </si>
  <si>
    <t>ΤΣΟΓΚΑ</t>
  </si>
  <si>
    <t>Χ862013</t>
  </si>
  <si>
    <t>1621,2</t>
  </si>
  <si>
    <t>204-203-201-211-205-206-207-208-209-210-212-202</t>
  </si>
  <si>
    <t>ΤΣΙΡΟΝΙΚΟΣ</t>
  </si>
  <si>
    <t>ΤΙΜΟΛΕΩΝ</t>
  </si>
  <si>
    <t>ΑΙ847195</t>
  </si>
  <si>
    <t>1620,9</t>
  </si>
  <si>
    <t>205-206-208-211-203-209-210-212-201-204-202</t>
  </si>
  <si>
    <t>ΜΗΤΣΗ</t>
  </si>
  <si>
    <t>ΓIΩΡΓΙΟΣ</t>
  </si>
  <si>
    <t>ΑΙ674934</t>
  </si>
  <si>
    <t>208-209-207-206-205-210</t>
  </si>
  <si>
    <t>ΣΚΑΡΠΟΥ</t>
  </si>
  <si>
    <t>ΚΑΣΣΑΝΔΡΑ</t>
  </si>
  <si>
    <t>ΑΕ277147</t>
  </si>
  <si>
    <t>731,5</t>
  </si>
  <si>
    <t>1619,5</t>
  </si>
  <si>
    <t>204-203-205-206-207-209-210-211-201-202</t>
  </si>
  <si>
    <t>ΚΙΛΤΙΔΟΥ</t>
  </si>
  <si>
    <t>ΑΕ640708</t>
  </si>
  <si>
    <t>700,7</t>
  </si>
  <si>
    <t>1618,7</t>
  </si>
  <si>
    <t>203-205-206-207-208-209-210-211-212-201-202-204</t>
  </si>
  <si>
    <t>ΝΟΥΤΣΙΑΣ</t>
  </si>
  <si>
    <t>ΑΚ970545</t>
  </si>
  <si>
    <t>1618,4</t>
  </si>
  <si>
    <t>ΜΑΤΣΚΙΔΟΥ</t>
  </si>
  <si>
    <t>ΑΒ904455</t>
  </si>
  <si>
    <t>1618,2</t>
  </si>
  <si>
    <t>205-209-206-207-210-212-203-201-204-211-202</t>
  </si>
  <si>
    <t>ΓΚΟΡΤΣΑ</t>
  </si>
  <si>
    <t>ΗΡΩ</t>
  </si>
  <si>
    <t>ΑΧΙΛΛΕΥΣ</t>
  </si>
  <si>
    <t>ΑΕ597869</t>
  </si>
  <si>
    <t>1617,9</t>
  </si>
  <si>
    <t>ΠΑΓΟΥΛΑΤΟΥ</t>
  </si>
  <si>
    <t>ΠΑΡΑΣΚΕΥΗ</t>
  </si>
  <si>
    <t>ΑΚ830317</t>
  </si>
  <si>
    <t>1617,8</t>
  </si>
  <si>
    <t>205-206-207-209-210-212-201-202-203-204-211</t>
  </si>
  <si>
    <t>ΡΑΦΑΗΛ</t>
  </si>
  <si>
    <t>Σ339623</t>
  </si>
  <si>
    <t>1617,6</t>
  </si>
  <si>
    <t>203-204-205-206-207-208-201-202</t>
  </si>
  <si>
    <t>ΚΩΤΙΝΟΥΔΗ</t>
  </si>
  <si>
    <t>ΑΚ882546</t>
  </si>
  <si>
    <t>1617,3</t>
  </si>
  <si>
    <t>203-205-206-207-208-209-210-212</t>
  </si>
  <si>
    <t>ΣΠΥΡΑΤΟΥ</t>
  </si>
  <si>
    <t xml:space="preserve">ΧΡΙΣΤΙΝΑ ΩΡΑΙΑΝΘΗ </t>
  </si>
  <si>
    <t xml:space="preserve">ΓΕΡΑΣΙΜΟΣ - ΣΑΡΑΝΤΗΣ </t>
  </si>
  <si>
    <t>ΑΑ120100</t>
  </si>
  <si>
    <t>210-209-205-207-208-206-212</t>
  </si>
  <si>
    <t>ΚΑΝΙΚΛΙΔΟΥ</t>
  </si>
  <si>
    <t>Ρ686653</t>
  </si>
  <si>
    <t>757,9</t>
  </si>
  <si>
    <t>1615,9</t>
  </si>
  <si>
    <t>209-205-206-207-212-210</t>
  </si>
  <si>
    <t>ΙΩΑΝΝΙΔΟΥ</t>
  </si>
  <si>
    <t>ΣΩΦΡΟΝΙΟΣ</t>
  </si>
  <si>
    <t>Χ527038</t>
  </si>
  <si>
    <t>1614,9</t>
  </si>
  <si>
    <t>212-210-209-205-206-207-208-203-211-201-204</t>
  </si>
  <si>
    <t>ΜΠΑΜΠΗ</t>
  </si>
  <si>
    <t>ΜΕΡΣΙΝΤΑ</t>
  </si>
  <si>
    <t>ΓΙΑΝΝΗΣ</t>
  </si>
  <si>
    <t>ΑΜ123496</t>
  </si>
  <si>
    <t>1614,4</t>
  </si>
  <si>
    <t>205-207-212-206-208-209-210</t>
  </si>
  <si>
    <t>ΚΩΝΣΤΑΝΤΑΚΗ</t>
  </si>
  <si>
    <t>Χ172686</t>
  </si>
  <si>
    <t>1614,3</t>
  </si>
  <si>
    <t>207-208-209-210-205-206</t>
  </si>
  <si>
    <t>ΕΥΣΤΑΘΟΠΟΥΛΟΥ</t>
  </si>
  <si>
    <t>ΑΖ743056</t>
  </si>
  <si>
    <t>204-211-203-201-212-210</t>
  </si>
  <si>
    <t>ΤΡΙΑΝΤΑΦΥΛΛΟΥ</t>
  </si>
  <si>
    <t>ΑΜ366602</t>
  </si>
  <si>
    <t>1612,9</t>
  </si>
  <si>
    <t>211-206-207-205-209-210-212-203-201-204-202</t>
  </si>
  <si>
    <t>ΜΑΓΕΙΡΙΑ</t>
  </si>
  <si>
    <t>ΑΖ539260</t>
  </si>
  <si>
    <t>1612,5</t>
  </si>
  <si>
    <t>208-206-209-207-205-210-212</t>
  </si>
  <si>
    <t>1612,3</t>
  </si>
  <si>
    <t>ΖΑΓΟΡΙΣΙΟΥ</t>
  </si>
  <si>
    <t>ΔΙΑΜΑΝΤΗΣ</t>
  </si>
  <si>
    <t>Χ362037</t>
  </si>
  <si>
    <t>201-202-203-204-205-206-207-208-209-210-211-212-213-214-215-216</t>
  </si>
  <si>
    <t>ΦΑΤΣΙΟΥ</t>
  </si>
  <si>
    <t>ΣΟΝΙΑ</t>
  </si>
  <si>
    <t>ΑΒ542028</t>
  </si>
  <si>
    <t>1611,5</t>
  </si>
  <si>
    <t>204-201-203-211-205-206-207-209-210-212-202</t>
  </si>
  <si>
    <t>ΚΩΣΤΟΥΛΑ</t>
  </si>
  <si>
    <t>ΑΗ608463</t>
  </si>
  <si>
    <t>1611,1</t>
  </si>
  <si>
    <t>207-205-208-209-206-210-212-204-201-203-211-202</t>
  </si>
  <si>
    <t>ΣΟΥΛΕΛΕ</t>
  </si>
  <si>
    <t>ΑΕ104277</t>
  </si>
  <si>
    <t>1610,4</t>
  </si>
  <si>
    <t>209-210-212-206-205-207</t>
  </si>
  <si>
    <t>ΚΟΥΤΗ-ΣΠΥΡΑΝΤΖΟΥ</t>
  </si>
  <si>
    <t>ΑΜ956326</t>
  </si>
  <si>
    <t>874,5</t>
  </si>
  <si>
    <t>1609,5</t>
  </si>
  <si>
    <t>202-203-205-206-207-209-210-212</t>
  </si>
  <si>
    <t>ΓΕΩΡΓΑΚΟΠΟΥΛΟΣ</t>
  </si>
  <si>
    <t>ΑΝ001145</t>
  </si>
  <si>
    <t>1608,5</t>
  </si>
  <si>
    <t>206-210-205-207-209-212-201</t>
  </si>
  <si>
    <t>ΠΛΑΚΑΚΗ</t>
  </si>
  <si>
    <t>ΧΡΥΣΑΝΘΗ</t>
  </si>
  <si>
    <t>ΑΗ141698</t>
  </si>
  <si>
    <t>718,3</t>
  </si>
  <si>
    <t>1608,3</t>
  </si>
  <si>
    <t>207-212-208-205-206-209-210</t>
  </si>
  <si>
    <t>ΠΟΛΥΖΟΥ</t>
  </si>
  <si>
    <t>ΕΛΕΝΗ-ΑΓΟΡΗ</t>
  </si>
  <si>
    <t>ΑΚ636323</t>
  </si>
  <si>
    <t>1607,8</t>
  </si>
  <si>
    <t>207-206-210-205-208-209-212</t>
  </si>
  <si>
    <t>ΠΥΡΓΑΝΤΗ</t>
  </si>
  <si>
    <t>ΑΖ126967</t>
  </si>
  <si>
    <t>1607,1</t>
  </si>
  <si>
    <t>206-210-208-207-205-209-212</t>
  </si>
  <si>
    <t>ΖΑΦΕΙΡΙΟΥ</t>
  </si>
  <si>
    <t>ΑΗ378544</t>
  </si>
  <si>
    <t>1605,7</t>
  </si>
  <si>
    <t>203-211-204-202-201-212-208-205-206-207-209-210</t>
  </si>
  <si>
    <t>ΓΙΑΝΝΑΚΑΚΗ</t>
  </si>
  <si>
    <t>ΑΝΤΙΓΟΝΗ</t>
  </si>
  <si>
    <t>Σ243279</t>
  </si>
  <si>
    <t>787,6</t>
  </si>
  <si>
    <t>1605,6</t>
  </si>
  <si>
    <t>208-209-207-205-206-210-212</t>
  </si>
  <si>
    <t>ΧΑΤΖΗΙΩΑΝΝΟΥ</t>
  </si>
  <si>
    <t>ΕΥΘΥΜΙΑ</t>
  </si>
  <si>
    <t>ΑΒ682666</t>
  </si>
  <si>
    <t>1605,5</t>
  </si>
  <si>
    <t>ΤΣΑΜΗ</t>
  </si>
  <si>
    <t>ΑΗ672202</t>
  </si>
  <si>
    <t>1605,2</t>
  </si>
  <si>
    <t>208-203-205-207-209-211-204-206-201-202-210-212</t>
  </si>
  <si>
    <t>ΑΝΔΡΙΚΟΠΟΥΛΟΥ</t>
  </si>
  <si>
    <t>ΤΡΙΑΝΤΑΦΥΛΛΙΑ</t>
  </si>
  <si>
    <t>ΑΜ278157</t>
  </si>
  <si>
    <t>696,3</t>
  </si>
  <si>
    <t>1604,3</t>
  </si>
  <si>
    <t>203-211-204-210-212-209-208-207-206-205-201-202</t>
  </si>
  <si>
    <t>ΓΑΛΑΝΗ</t>
  </si>
  <si>
    <t>ΑΕ807780</t>
  </si>
  <si>
    <t>211-203-207-205-206-209-210-212-201-204-202</t>
  </si>
  <si>
    <t>1603,8</t>
  </si>
  <si>
    <t>ΑΕ995451</t>
  </si>
  <si>
    <t>765,6</t>
  </si>
  <si>
    <t>1603,6</t>
  </si>
  <si>
    <t>211-203-204-205-206-207-208-209-210-212-201-202</t>
  </si>
  <si>
    <t>ΚΑΠΠΟΥ</t>
  </si>
  <si>
    <t>ΙΦΙΓΕΝΕΙΑ</t>
  </si>
  <si>
    <t>ΔΙΟΝΥΣΙΟΣ</t>
  </si>
  <si>
    <t>ΑΚ504819</t>
  </si>
  <si>
    <t>205-206-207-208-209-210-212-201-211-204-203</t>
  </si>
  <si>
    <t>ΤΟΓΙΑ</t>
  </si>
  <si>
    <t>ΑΕ700803</t>
  </si>
  <si>
    <t>685,3</t>
  </si>
  <si>
    <t>1603,3</t>
  </si>
  <si>
    <t>201-205-206-207-208-209-210-211-212-204</t>
  </si>
  <si>
    <t>ΝΑΣΣΟΥ</t>
  </si>
  <si>
    <t>ΑΙ518646</t>
  </si>
  <si>
    <t>695,2</t>
  </si>
  <si>
    <t>1603,2</t>
  </si>
  <si>
    <t>ΔΗΛΕ</t>
  </si>
  <si>
    <t>ΑΗ520705</t>
  </si>
  <si>
    <t>208-209-205-210-206-207-212</t>
  </si>
  <si>
    <t>ΤΣΟΥΦΑΚΗ</t>
  </si>
  <si>
    <t>Τ149311</t>
  </si>
  <si>
    <t>851,4</t>
  </si>
  <si>
    <t>1601,4</t>
  </si>
  <si>
    <t>207-208-210-205-209-206-212-202-203-211-201-204</t>
  </si>
  <si>
    <t>ΜΑΡΙΑ-ΕΛΕΝΗ</t>
  </si>
  <si>
    <t>ΑΝΑΡΓΥΡΟΣ</t>
  </si>
  <si>
    <t>Χ482572</t>
  </si>
  <si>
    <t>744,7</t>
  </si>
  <si>
    <t>1600,7</t>
  </si>
  <si>
    <t>203-204-205-206-207-208-209-210-211-212-201-202</t>
  </si>
  <si>
    <t>ΓΚΙΓΚΟΥΔΗ</t>
  </si>
  <si>
    <t>ΑΗ692469</t>
  </si>
  <si>
    <t>719,4</t>
  </si>
  <si>
    <t>1600,4</t>
  </si>
  <si>
    <t>203-202-204-211-201-205-206-207-208-209-210-212</t>
  </si>
  <si>
    <t>ΠΑΠΑΧΡΗΣΤΟΣ</t>
  </si>
  <si>
    <t>ΒΑΙΟΣ</t>
  </si>
  <si>
    <t>ΑΕ801403</t>
  </si>
  <si>
    <t>662,2</t>
  </si>
  <si>
    <t>1600,2</t>
  </si>
  <si>
    <t>211-203-204-212-205-208-207-206-209-210-202-201</t>
  </si>
  <si>
    <t>ΣΑΡΑΚΗ</t>
  </si>
  <si>
    <t>ΚΑΛΟΤΙΝΑ ΚΑΣΣΙΑΝΗ</t>
  </si>
  <si>
    <t>ΘΕΟΦΑΝΗΣ</t>
  </si>
  <si>
    <t>ΑΖ953780</t>
  </si>
  <si>
    <t>1597,8</t>
  </si>
  <si>
    <t>212-206-207-210-205-209-208</t>
  </si>
  <si>
    <t>ΖΑΧΑΡΟΠΟΥΛΟΥ</t>
  </si>
  <si>
    <t>ΧΑΡΑΛΑΜΠΟΣ</t>
  </si>
  <si>
    <t>Σ798557</t>
  </si>
  <si>
    <t>1597,5</t>
  </si>
  <si>
    <t>206-210-207-205-209-212</t>
  </si>
  <si>
    <t>ΣΟΥΦΛΙΑΣ</t>
  </si>
  <si>
    <t>ΑΑ430562</t>
  </si>
  <si>
    <t>1596,1</t>
  </si>
  <si>
    <t>211-203-205-206-207-208-209-210-204-212-201-202</t>
  </si>
  <si>
    <t>ΜΑΡΙΑ ΕΛΕΝΗ</t>
  </si>
  <si>
    <t>ΑΖ676611</t>
  </si>
  <si>
    <t>774,4</t>
  </si>
  <si>
    <t>1595,4</t>
  </si>
  <si>
    <t>203-205-206-207-208-209-210-212-215</t>
  </si>
  <si>
    <t>ΠΕΤΤΑ</t>
  </si>
  <si>
    <t>Τ312118</t>
  </si>
  <si>
    <t>1595,3</t>
  </si>
  <si>
    <t>201-206-210-202-212-204-203-205-207-211-209</t>
  </si>
  <si>
    <t>ΜΕΝΤΗ</t>
  </si>
  <si>
    <t>ΑΓΛΑΙΑ</t>
  </si>
  <si>
    <t>Τ056149</t>
  </si>
  <si>
    <t>1594,8</t>
  </si>
  <si>
    <t>212-210-205-206-207-209-208-202-201-203-211-204</t>
  </si>
  <si>
    <t>ΚΟΝΟΥΚΛΑ</t>
  </si>
  <si>
    <t>ΑΓΑΠΗ</t>
  </si>
  <si>
    <t>ΑΚ565223</t>
  </si>
  <si>
    <t>686,4</t>
  </si>
  <si>
    <t>1594,4</t>
  </si>
  <si>
    <t>ΚΟΡΟΒΕΣΗ</t>
  </si>
  <si>
    <t>ΣΑΒΙΝΑ</t>
  </si>
  <si>
    <t>Φ369533</t>
  </si>
  <si>
    <t>1593,9</t>
  </si>
  <si>
    <t>ΤΣΙΑΝΟΠΟΥΛΟΥ</t>
  </si>
  <si>
    <t>ΑΖ345142</t>
  </si>
  <si>
    <t>1592,4</t>
  </si>
  <si>
    <t>ΤΕΡΜΕΝΤΖΗ</t>
  </si>
  <si>
    <t>ΑΗ842099</t>
  </si>
  <si>
    <t>1590,6</t>
  </si>
  <si>
    <t>203-202-204-211-201-207-209-206-210-205-212</t>
  </si>
  <si>
    <t>ΤΣΑΛΙΔΗΣ</t>
  </si>
  <si>
    <t>Χ892621</t>
  </si>
  <si>
    <t>889,9</t>
  </si>
  <si>
    <t>1589,9</t>
  </si>
  <si>
    <t>203-204-211-202-201-206-210-205-207-212-208-209</t>
  </si>
  <si>
    <t>ΝΑΝΟΣ</t>
  </si>
  <si>
    <t>ΛΑΖΑΡΟΣ</t>
  </si>
  <si>
    <t>ΑΕ334506</t>
  </si>
  <si>
    <t>1588,7</t>
  </si>
  <si>
    <t>203-204-211-202-201-205-206-207-209-210-212</t>
  </si>
  <si>
    <t>ΣΤΑΜΠΟΥΛΤΖΗ</t>
  </si>
  <si>
    <t>ΑΖ660270</t>
  </si>
  <si>
    <t>1588,5</t>
  </si>
  <si>
    <t>211-203-205-206-207-209-210-212-204-201-202</t>
  </si>
  <si>
    <t>ΚΑΡΑΝΤΙΝΟΥ</t>
  </si>
  <si>
    <t>ΑΒ483207</t>
  </si>
  <si>
    <t>1587,9</t>
  </si>
  <si>
    <t>207-210-209-205-206-212-202-204-203-201-211</t>
  </si>
  <si>
    <t>ΚΑΝΕΛΛΟΣ</t>
  </si>
  <si>
    <t>Χ215268</t>
  </si>
  <si>
    <t>1587,8</t>
  </si>
  <si>
    <t>201-207-205-206-208-209-210-212-204-203-211-202</t>
  </si>
  <si>
    <t>ΠΡΕΝΤΖΑΣ</t>
  </si>
  <si>
    <t>ΑΜ549145</t>
  </si>
  <si>
    <t>698,5</t>
  </si>
  <si>
    <t>1586,5</t>
  </si>
  <si>
    <t>207-205-208-206-209-210-212-202-203-204-211-201</t>
  </si>
  <si>
    <t>ΠΑΤΣΟΠΟΥΛΟΥ</t>
  </si>
  <si>
    <t>Χ931838</t>
  </si>
  <si>
    <t>728,2</t>
  </si>
  <si>
    <t>1586,2</t>
  </si>
  <si>
    <t>ΣΤΑΜΕΛΟΥ</t>
  </si>
  <si>
    <t>ΑΖ112399</t>
  </si>
  <si>
    <t>1585,8</t>
  </si>
  <si>
    <t>205-208-206-207-209-210-212</t>
  </si>
  <si>
    <t>ΚΟΤΣΙΦΑΚΗ</t>
  </si>
  <si>
    <t>ΜΑΡΙΑΝΘΗ</t>
  </si>
  <si>
    <t>Φ092380</t>
  </si>
  <si>
    <t>677,6</t>
  </si>
  <si>
    <t>1585,6</t>
  </si>
  <si>
    <t>205-209-207-206-208-210-212</t>
  </si>
  <si>
    <t>ΓΑΤΣΙΑΝΗ</t>
  </si>
  <si>
    <t>ΑΗ739562</t>
  </si>
  <si>
    <t>697,4</t>
  </si>
  <si>
    <t>1585,4</t>
  </si>
  <si>
    <t>204-201-203-211</t>
  </si>
  <si>
    <t>ΜΟΣΙΑΛΟΥ</t>
  </si>
  <si>
    <t>ΑΝΔΡΙΑΝΑ</t>
  </si>
  <si>
    <t>ΛΑΜΠΡΟΣ</t>
  </si>
  <si>
    <t>Φ215405</t>
  </si>
  <si>
    <t>1584,8</t>
  </si>
  <si>
    <t>201-205-206-207-208-209-210-212-203-204-211-202</t>
  </si>
  <si>
    <t>ΓΑΤΣΑΣ</t>
  </si>
  <si>
    <t>ΑΗ765059</t>
  </si>
  <si>
    <t>1582,9</t>
  </si>
  <si>
    <t>211-203-208-209-210-207-205-206-212-204-201-202</t>
  </si>
  <si>
    <t>ΔΕΜΕΡΤΖΗΣ</t>
  </si>
  <si>
    <t>ΜΗΝΑΣ</t>
  </si>
  <si>
    <t>ΑΙ708367</t>
  </si>
  <si>
    <t>1582,8</t>
  </si>
  <si>
    <t>203-202-204-211-212-206-209-210-205-201</t>
  </si>
  <si>
    <t>1582,6</t>
  </si>
  <si>
    <t>ΔΑΣΚΑΛΑΚΗ</t>
  </si>
  <si>
    <t>ΑΙ971082</t>
  </si>
  <si>
    <t>815,1</t>
  </si>
  <si>
    <t>1582,1</t>
  </si>
  <si>
    <t>202-204-201-211-203-212-205-206-207-208-209-210</t>
  </si>
  <si>
    <t>ΜΠΟΥΖΜΠΑ</t>
  </si>
  <si>
    <t>Χ947818</t>
  </si>
  <si>
    <t>1581,6</t>
  </si>
  <si>
    <t>204-211-201-202-203-208-212-205-206-207-209-210</t>
  </si>
  <si>
    <t>ΤΣΟΜΠΙΚΟΥ</t>
  </si>
  <si>
    <t>Τ340079</t>
  </si>
  <si>
    <t>722,7</t>
  </si>
  <si>
    <t>1580,7</t>
  </si>
  <si>
    <t>204-203-211-201-208-207-209-210-212-205-206-202</t>
  </si>
  <si>
    <t>ΚΥΠΡΙΩΤΑΚΗ</t>
  </si>
  <si>
    <t>Τ331811</t>
  </si>
  <si>
    <t>772,2</t>
  </si>
  <si>
    <t>1580,2</t>
  </si>
  <si>
    <t>ΖΩΤΑΛΗ</t>
  </si>
  <si>
    <t>ΞΑΝΘΙΠΠΗ</t>
  </si>
  <si>
    <t xml:space="preserve">ΠΑΝΑΓΙΩΤΗΣ </t>
  </si>
  <si>
    <t>ΑΜ588855</t>
  </si>
  <si>
    <t>751,3</t>
  </si>
  <si>
    <t>1579,3</t>
  </si>
  <si>
    <t>205-206-207-208-209-210-212-214</t>
  </si>
  <si>
    <t>ΑΥΓΕΡΙΝΟΥ</t>
  </si>
  <si>
    <t>ΑΑ421786</t>
  </si>
  <si>
    <t>768,9</t>
  </si>
  <si>
    <t>1578,9</t>
  </si>
  <si>
    <t>208-206-207-205-209-210-212-203</t>
  </si>
  <si>
    <t>ΜΟΤΣΙΟΥ</t>
  </si>
  <si>
    <t>ΖΗΣΗΣ</t>
  </si>
  <si>
    <t>ΑΗ540177</t>
  </si>
  <si>
    <t>211-201-202-203-204-205-206-207-208-209-210-212</t>
  </si>
  <si>
    <t>ΑΓΡΙΜΑΚΗ</t>
  </si>
  <si>
    <t>ΑΒ575191</t>
  </si>
  <si>
    <t>207-209-210-212-208-205-206-203</t>
  </si>
  <si>
    <t>ΒΑΛΣΑΜΙΔΟΥ</t>
  </si>
  <si>
    <t>ΚΛΕΟΠΑΤΡΑ</t>
  </si>
  <si>
    <t>Χ229884</t>
  </si>
  <si>
    <t>ΓΑΛΑΝΟΠΟΥΛΟΥ</t>
  </si>
  <si>
    <t>ΣΠΥΡΙΔΟΥΛΑ</t>
  </si>
  <si>
    <t>ΑΖ609288</t>
  </si>
  <si>
    <t>1577,8</t>
  </si>
  <si>
    <t>201-205-206-207-208-209-210-212-213-214-215</t>
  </si>
  <si>
    <t>ΜΙΧΑΛΟΠΟΥΛΟΣ</t>
  </si>
  <si>
    <t>ΑΗ725345</t>
  </si>
  <si>
    <t>1577,3</t>
  </si>
  <si>
    <t>207-209-206-205-210-203-204-211-201-202-212</t>
  </si>
  <si>
    <t>ΒΑΧΛΙΩΤΗ</t>
  </si>
  <si>
    <t>ΧΡΙΣΤΙΑΝΑ-ΣΟΥΖΑΝΑ</t>
  </si>
  <si>
    <t>Χ438403</t>
  </si>
  <si>
    <t>629,2</t>
  </si>
  <si>
    <t>1577,2</t>
  </si>
  <si>
    <t>208-203-202-211-204-201-212-207-205-206-209-210</t>
  </si>
  <si>
    <t>ΠΑΠΠΑ</t>
  </si>
  <si>
    <t>ΚΑΣΣΙΑΝΗ</t>
  </si>
  <si>
    <t>ΑΗ247332</t>
  </si>
  <si>
    <t>762,3</t>
  </si>
  <si>
    <t>1572,3</t>
  </si>
  <si>
    <t>203-211-204-208-207-205-206-209-210-212-202-201</t>
  </si>
  <si>
    <t>ΦΑΙΔΩΝ</t>
  </si>
  <si>
    <t>Ρ191124</t>
  </si>
  <si>
    <t>1570,6</t>
  </si>
  <si>
    <t>203-205-207-210-209-206-212-202-211-204-201</t>
  </si>
  <si>
    <t>ΑΝΤΩΝΙΟΥ</t>
  </si>
  <si>
    <t>ΗΡΑ</t>
  </si>
  <si>
    <t>ΑΜ017430</t>
  </si>
  <si>
    <t>1569,4</t>
  </si>
  <si>
    <t>205-207-203-206-209-210-212-201-211-202-204-208</t>
  </si>
  <si>
    <t>ΜΑΛΛΙΑ</t>
  </si>
  <si>
    <t>ΑΙ301780</t>
  </si>
  <si>
    <t>1568,3</t>
  </si>
  <si>
    <t>ΚΑΡΑΘΑΝΑΣΗ</t>
  </si>
  <si>
    <t>ΣΟΦΙΑ ΕΡΙΦΥΛΗ</t>
  </si>
  <si>
    <t>ΑΙ505241</t>
  </si>
  <si>
    <t>ΣΙΑΜΠΗ</t>
  </si>
  <si>
    <t>ΑΕ144994</t>
  </si>
  <si>
    <t>689,7</t>
  </si>
  <si>
    <t>1567,7</t>
  </si>
  <si>
    <t>ΤΣΙΑΜΠΑΣ</t>
  </si>
  <si>
    <t>ΑΧΙΛΛΕΑΣ</t>
  </si>
  <si>
    <t>ΑΗ766866</t>
  </si>
  <si>
    <t>709,5</t>
  </si>
  <si>
    <t>1567,5</t>
  </si>
  <si>
    <t>207-208-209-210-205-206-212-211-203-204-202-201</t>
  </si>
  <si>
    <t>ΜΠΑΡΟΥΤΑΣ</t>
  </si>
  <si>
    <t>ΒΑΣΙΛΕΙΟΣ ΠΑΡΑΣΚΕΥΑΣ</t>
  </si>
  <si>
    <t>ΑΒ345969</t>
  </si>
  <si>
    <t>625,9</t>
  </si>
  <si>
    <t>1564,9</t>
  </si>
  <si>
    <t>ΚΥΡΙΤΣΑ</t>
  </si>
  <si>
    <t>ΑΗ278206</t>
  </si>
  <si>
    <t>1564,3</t>
  </si>
  <si>
    <t>211-207-203-206-205-208-209-210-204-201-202</t>
  </si>
  <si>
    <t>ΧΡΙΣΤΙΝΑΚΗ</t>
  </si>
  <si>
    <t>ΑΝ029344</t>
  </si>
  <si>
    <t>1564,1</t>
  </si>
  <si>
    <t>206-210-207-205-209-212-202-201-203-211-204</t>
  </si>
  <si>
    <t>ΟΙΚΟΝΟΜΟΠΟΥΛΟΥ</t>
  </si>
  <si>
    <t>ΑΝ007839</t>
  </si>
  <si>
    <t>1563,7</t>
  </si>
  <si>
    <t>ΑΑ048538</t>
  </si>
  <si>
    <t>675,4</t>
  </si>
  <si>
    <t>1563,4</t>
  </si>
  <si>
    <t>ΠΑΠΑΛΕΞΙΟΥ</t>
  </si>
  <si>
    <t>Ρ711352</t>
  </si>
  <si>
    <t>1562,3</t>
  </si>
  <si>
    <t>201-202-203-204-205-206-207-208-209-210-212-211</t>
  </si>
  <si>
    <t>ΚΩΣΤΑΓΙΑΝΝΗ</t>
  </si>
  <si>
    <t>ΑΖ568823</t>
  </si>
  <si>
    <t>ΖΑΦΕΙΡΟΠΟΥΛΟΥ</t>
  </si>
  <si>
    <t>Ρ817910</t>
  </si>
  <si>
    <t>ΣΟΛΩΜΟΥ</t>
  </si>
  <si>
    <t>ΑΘΑΝΑΣΙΑ</t>
  </si>
  <si>
    <t>ΑΕ793939</t>
  </si>
  <si>
    <t>701,8</t>
  </si>
  <si>
    <t>1559,8</t>
  </si>
  <si>
    <t>ΑΗ763508</t>
  </si>
  <si>
    <t>201-202-212-210-206-205-211-203-204</t>
  </si>
  <si>
    <t>ΜΠΕΡΓΕΛΕ</t>
  </si>
  <si>
    <t>Χ597087</t>
  </si>
  <si>
    <t>1559,1</t>
  </si>
  <si>
    <t>207-205-206-209-210-212</t>
  </si>
  <si>
    <t>ΣΙΜΟΓΛΟΥ</t>
  </si>
  <si>
    <t>ΑΙ377932</t>
  </si>
  <si>
    <t>203-211-204-205-206-207-208-209-210-212</t>
  </si>
  <si>
    <t>ΔΕΜΙΡΗ</t>
  </si>
  <si>
    <t>ΑΝ025505</t>
  </si>
  <si>
    <t>1557,7</t>
  </si>
  <si>
    <t>207-205-206-209-210-212-201-203-204-211</t>
  </si>
  <si>
    <t>ΛΥΤΡΑ</t>
  </si>
  <si>
    <t>ΑΚ651314</t>
  </si>
  <si>
    <t>1557,6</t>
  </si>
  <si>
    <t>208-207-209-206-205-210-212</t>
  </si>
  <si>
    <t>ΧΑΤΖΗΙΩΑΝΝΙΔΟΥ</t>
  </si>
  <si>
    <t>ΑΕ818776</t>
  </si>
  <si>
    <t>1557,4</t>
  </si>
  <si>
    <t>ΚΑΨΑΛΗ</t>
  </si>
  <si>
    <t>ΜΑΡΙΑΑΝΑΣΤΑΣΙΑ</t>
  </si>
  <si>
    <t>ΑΖ608637</t>
  </si>
  <si>
    <t>1557,2</t>
  </si>
  <si>
    <t>ΑΗ048140</t>
  </si>
  <si>
    <t>207-206-212-205-210-208-209-203-201-211-204-202</t>
  </si>
  <si>
    <t>ΕΞΑΡΧΟΣ</t>
  </si>
  <si>
    <t>ΕΛΕΥΘΕΡΙΟΣ</t>
  </si>
  <si>
    <t>Χ377800</t>
  </si>
  <si>
    <t>1554,8</t>
  </si>
  <si>
    <t>211-201-202-204-206-205-207-209-210-212-203</t>
  </si>
  <si>
    <t>ΓΟΥΣΗ</t>
  </si>
  <si>
    <t>ΑΗ778423</t>
  </si>
  <si>
    <t>1552,6</t>
  </si>
  <si>
    <t>203-211-210-206-207-205-208-209-212-201-204</t>
  </si>
  <si>
    <t>ΜΑΡΚΟΜΙΧΕΛΑΚΗ</t>
  </si>
  <si>
    <t>Χ004209</t>
  </si>
  <si>
    <t>708,4</t>
  </si>
  <si>
    <t>1552,4</t>
  </si>
  <si>
    <t>206-210-205-207-209-208-215-212-203-202-204-201-211-213-216</t>
  </si>
  <si>
    <t>ΡΕΤΣΕΛΗ</t>
  </si>
  <si>
    <t>ΑΙ725909</t>
  </si>
  <si>
    <t>1552,1</t>
  </si>
  <si>
    <t>203-204-205-206-212-210-211-209-207</t>
  </si>
  <si>
    <t>ΜΠΕΚΑ</t>
  </si>
  <si>
    <t>ΑΑ010525</t>
  </si>
  <si>
    <t>1551,8</t>
  </si>
  <si>
    <t>205-206-207-209-210-212-211</t>
  </si>
  <si>
    <t>ΠΑΝΑΓΙΩΤΟΠΟΥΛΟΥ</t>
  </si>
  <si>
    <t>ΑΗ225988</t>
  </si>
  <si>
    <t>206-210-207-205-212-209-208-201</t>
  </si>
  <si>
    <t>ΝΙΑΒΗΣ</t>
  </si>
  <si>
    <t>ΑΚ406987</t>
  </si>
  <si>
    <t>1550,4</t>
  </si>
  <si>
    <t>211-203-204-206-207-208-209-210-212</t>
  </si>
  <si>
    <t>ΣΙΝΑΠΛΙΔΟΥ</t>
  </si>
  <si>
    <t>ΑΕ759929</t>
  </si>
  <si>
    <t>1550,2</t>
  </si>
  <si>
    <t>208-202-204-211-212-201-206-209-210-203-205-207</t>
  </si>
  <si>
    <t>ΣΧΙΣΜΕΝΟΥ</t>
  </si>
  <si>
    <t>ΚΑΡΟΛΙΝΑ</t>
  </si>
  <si>
    <t>ΑΙ819844</t>
  </si>
  <si>
    <t>204-203-205-206-207-209-210-212</t>
  </si>
  <si>
    <t>ΚΟΡΟΥΓΕΝΗΣ</t>
  </si>
  <si>
    <t>ΕΥΤΥΧΙΟΣ</t>
  </si>
  <si>
    <t>ΑΙ508046</t>
  </si>
  <si>
    <t>733,7</t>
  </si>
  <si>
    <t>1549,7</t>
  </si>
  <si>
    <t>205-206-207-209-210-208-212-203-211-204-202</t>
  </si>
  <si>
    <t>1547,2</t>
  </si>
  <si>
    <t>ΓΙΑΝΝΙΚΟΠΟΥΛΟΥ</t>
  </si>
  <si>
    <t>ΑΕ101821</t>
  </si>
  <si>
    <t>1546,6</t>
  </si>
  <si>
    <t>ΤΣΙΩΡΟΥ</t>
  </si>
  <si>
    <t>ΒΑΡΒΑΡΑ-ΠΑΝΑΓΙΩΤΑ</t>
  </si>
  <si>
    <t>ΖΩΗΣ</t>
  </si>
  <si>
    <t>Φ212257</t>
  </si>
  <si>
    <t>1546,2</t>
  </si>
  <si>
    <t>205-206-207-210-209-212-201-203-211-202-204</t>
  </si>
  <si>
    <t>ΓΙΑΝΝΑΚΟΥ</t>
  </si>
  <si>
    <t>ΑΡΧΟΝΤΟΥΛΑ</t>
  </si>
  <si>
    <t>Χ862129</t>
  </si>
  <si>
    <t>875,6</t>
  </si>
  <si>
    <t>1545,6</t>
  </si>
  <si>
    <t>204-203-208-209-210-207-206-211-212-201</t>
  </si>
  <si>
    <t>ΚΑΛΑΜΑΚΗ</t>
  </si>
  <si>
    <t>ΒΗΣΣΑΡΙΑ</t>
  </si>
  <si>
    <t>ΠΑΝΤΕΛΕΗΜΩΝ</t>
  </si>
  <si>
    <t>ΑΙ637200</t>
  </si>
  <si>
    <t>1545,3</t>
  </si>
  <si>
    <t>ΖΑΪΡΗΣ</t>
  </si>
  <si>
    <t>ΑΑ804190</t>
  </si>
  <si>
    <t>827,2</t>
  </si>
  <si>
    <t>1545,2</t>
  </si>
  <si>
    <t>205-206-208-209-210-212-207</t>
  </si>
  <si>
    <t>ΣΤΕΦΑΝΙΔΗΣ</t>
  </si>
  <si>
    <t>ΒΛΑΣΙΟΣ</t>
  </si>
  <si>
    <t>ΘΕΟΛΟΓΟΣ</t>
  </si>
  <si>
    <t>Χ990319</t>
  </si>
  <si>
    <t>854,7</t>
  </si>
  <si>
    <t>1544,7</t>
  </si>
  <si>
    <t>203-204-211-208-209-206-205-210-212-207</t>
  </si>
  <si>
    <t>ΒΛΑΧΟΥ</t>
  </si>
  <si>
    <t>Χ181706</t>
  </si>
  <si>
    <t>1544,1</t>
  </si>
  <si>
    <t>207-209-206-208-205-210-212-202</t>
  </si>
  <si>
    <t>ΑΝΕΣΤΗ</t>
  </si>
  <si>
    <t>Φ162005</t>
  </si>
  <si>
    <t>1542,8</t>
  </si>
  <si>
    <t>ΠΟΛΥΓΕΝΗ</t>
  </si>
  <si>
    <t>Σ527681</t>
  </si>
  <si>
    <t>884,4</t>
  </si>
  <si>
    <t>1542,4</t>
  </si>
  <si>
    <t>209-207-206-205-210-212</t>
  </si>
  <si>
    <t>ΤΣΙΜΠΟΥΡΑ</t>
  </si>
  <si>
    <t>Χ455813</t>
  </si>
  <si>
    <t>1539,8</t>
  </si>
  <si>
    <t>ΒΑΣΣΑΛΟΥ</t>
  </si>
  <si>
    <t>ΑΒ202548</t>
  </si>
  <si>
    <t>204-202-203-201-211-205-206-207-209-210-212</t>
  </si>
  <si>
    <t>ΑΘΑΝΑΣΙΟΥ</t>
  </si>
  <si>
    <t>ΔΗΜΟΣΘΕΝΗΣ</t>
  </si>
  <si>
    <t>Χ616832</t>
  </si>
  <si>
    <t>215-214-205-206-207-209-210</t>
  </si>
  <si>
    <t>ΤΣΑΠΑΛΗΡΑ</t>
  </si>
  <si>
    <t>ΑΙ444171</t>
  </si>
  <si>
    <t>1536,9</t>
  </si>
  <si>
    <t>ΑΛΕΞΙΟΥ</t>
  </si>
  <si>
    <t>ΜΑΡΙΑ-ΑΝΝΑ</t>
  </si>
  <si>
    <t>ΑΚ301008</t>
  </si>
  <si>
    <t>203-211-205-206-207-208-209-210-212-204-201-202</t>
  </si>
  <si>
    <t>ΑΗ730842</t>
  </si>
  <si>
    <t>1536,2</t>
  </si>
  <si>
    <t>207-208-209-206-205-210-212-201-203-204-211-202</t>
  </si>
  <si>
    <t>ΑΝΕΣΤΙΔΗ</t>
  </si>
  <si>
    <t>ΕΥΣΤΑΘΙΑ</t>
  </si>
  <si>
    <t>ΑΕ723647</t>
  </si>
  <si>
    <t>1535,7</t>
  </si>
  <si>
    <t>205-206-207-210-203-209-208</t>
  </si>
  <si>
    <t>ΣΙΓΑΝΟΥ</t>
  </si>
  <si>
    <t>ΒΑΡΒΑΡΑ</t>
  </si>
  <si>
    <t>Χ704654</t>
  </si>
  <si>
    <t>1534,2</t>
  </si>
  <si>
    <t>203-208-205-206-207-209-210-212-211-201-204-202</t>
  </si>
  <si>
    <t>ΚΑΡΥΟΦΥΛΛΙΔΟΥ</t>
  </si>
  <si>
    <t>ΑΑ408125</t>
  </si>
  <si>
    <t>1533,9</t>
  </si>
  <si>
    <t>203-208-205-206-207-209-210</t>
  </si>
  <si>
    <t>ΚΟΥΡΚΟΥΤΑΣ</t>
  </si>
  <si>
    <t>ΑΚ649294</t>
  </si>
  <si>
    <t>643,5</t>
  </si>
  <si>
    <t>1531,5</t>
  </si>
  <si>
    <t>203-202-201-206-210-204-212-207-205-208-211-209</t>
  </si>
  <si>
    <t>ΜΠΑΡΤΣΩΚΑ</t>
  </si>
  <si>
    <t>Ξ814935</t>
  </si>
  <si>
    <t>1531,3</t>
  </si>
  <si>
    <t>203-211-204-210-206-205-208-209-207-212-201-202</t>
  </si>
  <si>
    <t>ΛΟΥΚΟΥ</t>
  </si>
  <si>
    <t>ΕΥΔΟΚΙΑ</t>
  </si>
  <si>
    <t>ΑΙ102366</t>
  </si>
  <si>
    <t>741,4</t>
  </si>
  <si>
    <t>1529,4</t>
  </si>
  <si>
    <t>206-205-207-208-209-210-212-202-201-203-211-204</t>
  </si>
  <si>
    <t>ΕΨΙΜΟΥ</t>
  </si>
  <si>
    <t>ΕΛΕΑΝΑ</t>
  </si>
  <si>
    <t>ΑΗ498315</t>
  </si>
  <si>
    <t>1529,3</t>
  </si>
  <si>
    <t>207-210-206-205-209-208-212</t>
  </si>
  <si>
    <t>ΖΑΦΕΙΡΑΚΟΥ</t>
  </si>
  <si>
    <t>ΜΑΡΙΑ-ΑΛΚΗΣΤΗ</t>
  </si>
  <si>
    <t>Χ001099</t>
  </si>
  <si>
    <t>207-205-206-210-209-212-203-201-202-204-211</t>
  </si>
  <si>
    <t>ΠΑΠΑΝΤΩΝΑΚΗ</t>
  </si>
  <si>
    <t>ΑΑ499576</t>
  </si>
  <si>
    <t>1527,7</t>
  </si>
  <si>
    <t>212-207-208-209-210</t>
  </si>
  <si>
    <t>ΤΡΙΑΝΤΟΥ</t>
  </si>
  <si>
    <t>ΑΛΕΞΙΑ</t>
  </si>
  <si>
    <t>Φ002898</t>
  </si>
  <si>
    <t>1526,1</t>
  </si>
  <si>
    <t>207-206-205-209-210-212</t>
  </si>
  <si>
    <t>ΜΠΑΝΤΗ</t>
  </si>
  <si>
    <t>ΣΤΕΛΛΑ</t>
  </si>
  <si>
    <t>ΑΖ187622</t>
  </si>
  <si>
    <t>1523,3</t>
  </si>
  <si>
    <t>203-211-212-204-205-206-207-208-209-210-202-201</t>
  </si>
  <si>
    <t>ΚΟΛΙΑΔΗ</t>
  </si>
  <si>
    <t>ΑΝΤΩΝΙΑ-ΜΥΡΣΙΝΗ</t>
  </si>
  <si>
    <t>ΑΚ159287</t>
  </si>
  <si>
    <t>208-209-205-206-210-207</t>
  </si>
  <si>
    <t>ΠΑΠΑΡΗΣ</t>
  </si>
  <si>
    <t>ΘΕΟΔΟΣΙΟΣ</t>
  </si>
  <si>
    <t>ΑΚ111899</t>
  </si>
  <si>
    <t>1522,3</t>
  </si>
  <si>
    <t>208-210-209-207-206-205-212-203-211-204</t>
  </si>
  <si>
    <t>ΡΟΚΚΑ</t>
  </si>
  <si>
    <t>ΑΝ266471</t>
  </si>
  <si>
    <t>ΤΡΙΑΜΠΕΛΑ</t>
  </si>
  <si>
    <t>ΤΑΞΙΑΡΧΗΣ</t>
  </si>
  <si>
    <t>ΑΙ638998</t>
  </si>
  <si>
    <t>1521,7</t>
  </si>
  <si>
    <t>207-205-206-210-209-212-208</t>
  </si>
  <si>
    <t>ΛΙΑΚΟΥ</t>
  </si>
  <si>
    <t>ΑΜ837891</t>
  </si>
  <si>
    <t>ΑΚ928546</t>
  </si>
  <si>
    <t>1518,9</t>
  </si>
  <si>
    <t>ΜΠΑΛΑΣΑ</t>
  </si>
  <si>
    <t>ΑΖ143641</t>
  </si>
  <si>
    <t>687,5</t>
  </si>
  <si>
    <t>1518,5</t>
  </si>
  <si>
    <t>ΜΑΛΑΚΟΥ</t>
  </si>
  <si>
    <t>ΑΗ530012</t>
  </si>
  <si>
    <t>208-206-207-205-209-210-212</t>
  </si>
  <si>
    <t>ΑΝΑΣΤΑΣΙΟΥ</t>
  </si>
  <si>
    <t>Χ067678</t>
  </si>
  <si>
    <t>201-202-203-204-205-206-207-208-209-210</t>
  </si>
  <si>
    <t>ΣΟΥΖΑΣ</t>
  </si>
  <si>
    <t>ΑΕ238371</t>
  </si>
  <si>
    <t>1517,5</t>
  </si>
  <si>
    <t>205-206-207-209-210-212-203-201-202-211-204</t>
  </si>
  <si>
    <t>ΕΛΕΝΗ-ΑΚΡΙΒΗ</t>
  </si>
  <si>
    <t>ΑΗ654001</t>
  </si>
  <si>
    <t>1517,1</t>
  </si>
  <si>
    <t>ΚΟΚΚΙΝΟΥ</t>
  </si>
  <si>
    <t>ΣΩΤΗΡΗΣ</t>
  </si>
  <si>
    <t>Χ287344</t>
  </si>
  <si>
    <t>658,9</t>
  </si>
  <si>
    <t>1516,9</t>
  </si>
  <si>
    <t>ΜΙΓΚΑ</t>
  </si>
  <si>
    <t>ΑΑ074200</t>
  </si>
  <si>
    <t>1516,8</t>
  </si>
  <si>
    <t>207-205-209-210-206-212-201-204-211-203-202</t>
  </si>
  <si>
    <t>ΧΑΤΖΗΣΤΑΘΗ</t>
  </si>
  <si>
    <t>ΑΖ470569</t>
  </si>
  <si>
    <t>1514,5</t>
  </si>
  <si>
    <t>202-203-205-206-207-209-210-212-201-211-204</t>
  </si>
  <si>
    <t>ΜΙΓΑΔΑΚΗ</t>
  </si>
  <si>
    <t>Χ109428</t>
  </si>
  <si>
    <t>ΣΙΟΥΝΤΡΗ</t>
  </si>
  <si>
    <t>ΑΙ088724</t>
  </si>
  <si>
    <t>1512,6</t>
  </si>
  <si>
    <t>207-205-209-206-210-212</t>
  </si>
  <si>
    <t>ΚΟΣΚΙΝΑΡΗ</t>
  </si>
  <si>
    <t>ΑΜ853929</t>
  </si>
  <si>
    <t>1512,5</t>
  </si>
  <si>
    <t>201-202-204-211-207-205-206-209-210-212-203</t>
  </si>
  <si>
    <t>ΣΠΗΛΙΩΤΟΠΟΥΛΟΣ</t>
  </si>
  <si>
    <t>ΛΕΑΝΔΡΟΣ</t>
  </si>
  <si>
    <t>ΔΗΜΟΣ</t>
  </si>
  <si>
    <t>ΑΖ704774</t>
  </si>
  <si>
    <t>654,5</t>
  </si>
  <si>
    <t>201-203-204</t>
  </si>
  <si>
    <t>ΚΟΥΚΟΥΛΑ</t>
  </si>
  <si>
    <t>ΑΝΝΑ-ΜΑΡΓΑΡΙΤΑ</t>
  </si>
  <si>
    <t>ΑΒ594883</t>
  </si>
  <si>
    <t>823,9</t>
  </si>
  <si>
    <t>1511,9</t>
  </si>
  <si>
    <t>205-206-207-209-210-212-208</t>
  </si>
  <si>
    <t>ΚΟΒΑΣ</t>
  </si>
  <si>
    <t>ΙΩΑΚΕΙΜ</t>
  </si>
  <si>
    <t>ΑΑ498206</t>
  </si>
  <si>
    <t>1511,7</t>
  </si>
  <si>
    <t>205-206-207-208-209-210-212-203-201-204-202-211</t>
  </si>
  <si>
    <t>ΜΑΡΚΟΥΛΑΚΗ</t>
  </si>
  <si>
    <t>ΚΑΝΑΚΗΣ</t>
  </si>
  <si>
    <t>Ν967074</t>
  </si>
  <si>
    <t>1511,6</t>
  </si>
  <si>
    <t>ΚΑΛΟΓΕΡΑ</t>
  </si>
  <si>
    <t>ΧΡΙΣΤΟΦΟΡΟΣ</t>
  </si>
  <si>
    <t>ΑΚ147096</t>
  </si>
  <si>
    <t>ΛΕΩΝΙΔΑΚΗ</t>
  </si>
  <si>
    <t>ΕΥΤΥΧΙΑ</t>
  </si>
  <si>
    <t>ΑΖ792718</t>
  </si>
  <si>
    <t>1511,2</t>
  </si>
  <si>
    <t>206-207-205-209-210-212-203-204-211-201</t>
  </si>
  <si>
    <t>ΖΑΧΟΥ</t>
  </si>
  <si>
    <t>ΜΑΛΑΜΑΤΗ</t>
  </si>
  <si>
    <t>ΑΚ872032</t>
  </si>
  <si>
    <t>208-203-206-205-207-209-210-212-211-204-202-201</t>
  </si>
  <si>
    <t>ΚΟΚΟΡΗ-ΚΟΓΙΑ</t>
  </si>
  <si>
    <t>Χ931651</t>
  </si>
  <si>
    <t>821,7</t>
  </si>
  <si>
    <t>1509,7</t>
  </si>
  <si>
    <t>209-210-205-206-207-212</t>
  </si>
  <si>
    <t>ΦΛΟΥΛΗ</t>
  </si>
  <si>
    <t>ΑΕ799080</t>
  </si>
  <si>
    <t>721,6</t>
  </si>
  <si>
    <t>1509,6</t>
  </si>
  <si>
    <t>211-204-203-201-212-210-205-206-207-209-202</t>
  </si>
  <si>
    <t>ΠΑΡΘΕΝΑ</t>
  </si>
  <si>
    <t>ΑΕ673092</t>
  </si>
  <si>
    <t>800,8</t>
  </si>
  <si>
    <t>1508,8</t>
  </si>
  <si>
    <t>202-203-211-204-201-205-206-207-209-210-212</t>
  </si>
  <si>
    <t>ΣΙΜΙΤΟΣ</t>
  </si>
  <si>
    <t>ΑΑ045322</t>
  </si>
  <si>
    <t>1508,5</t>
  </si>
  <si>
    <t>210-206-207-205-209-212-203-201</t>
  </si>
  <si>
    <t>ΠΑΠΑΖΟΓΛΟΥ</t>
  </si>
  <si>
    <t>Χ095575</t>
  </si>
  <si>
    <t>1506,4</t>
  </si>
  <si>
    <t>206-210-205-207-212-209</t>
  </si>
  <si>
    <t>ΠΑΡΑΦΟΡΟΥ</t>
  </si>
  <si>
    <t>ΑΒ832678</t>
  </si>
  <si>
    <t>1505,4</t>
  </si>
  <si>
    <t>211-203-202-201</t>
  </si>
  <si>
    <t>ΤΖΟΥΜΠΑΝΗ</t>
  </si>
  <si>
    <t>ΚΡΙΝΑΝΘΗ</t>
  </si>
  <si>
    <t>Ρ642026</t>
  </si>
  <si>
    <t>1505,2</t>
  </si>
  <si>
    <t>ΖΩΛΑΣ</t>
  </si>
  <si>
    <t>ΑΑ262897</t>
  </si>
  <si>
    <t>1504,7</t>
  </si>
  <si>
    <t>ΠΑΠΑΝΑΣΤΑΣΙΟΥ</t>
  </si>
  <si>
    <t>ΒΙΚΤΩΡΙΑ</t>
  </si>
  <si>
    <t>ΑΑ035180</t>
  </si>
  <si>
    <t>904,2</t>
  </si>
  <si>
    <t>1504,2</t>
  </si>
  <si>
    <t>ΒΟΛΤΣΗ</t>
  </si>
  <si>
    <t>ΑΕ340212</t>
  </si>
  <si>
    <t>1503,6</t>
  </si>
  <si>
    <t>202-206-205-209-204-211-203-210-207-212-201</t>
  </si>
  <si>
    <t>ΤΖΑΒΕΛΛΑ</t>
  </si>
  <si>
    <t>ΑΒ090514</t>
  </si>
  <si>
    <t>1503,1</t>
  </si>
  <si>
    <t>ΓΚΟΡΤΖΙΛΑ</t>
  </si>
  <si>
    <t>Φ153437</t>
  </si>
  <si>
    <t>1501,4</t>
  </si>
  <si>
    <t>ΜΙΧΑΛΑΚΑΚΟΥ</t>
  </si>
  <si>
    <t>ΑΖ602895</t>
  </si>
  <si>
    <t>1500,3</t>
  </si>
  <si>
    <t>206-205-209-207-210-212</t>
  </si>
  <si>
    <t>ΓΑΛΑΝΑΚΗ</t>
  </si>
  <si>
    <t>Σ190353</t>
  </si>
  <si>
    <t>1500,2</t>
  </si>
  <si>
    <t>ΑΗ415722</t>
  </si>
  <si>
    <t>1499,8</t>
  </si>
  <si>
    <t>ΔΕΡΜΙΤΖΑΚΗ</t>
  </si>
  <si>
    <t>Χ111986</t>
  </si>
  <si>
    <t>1499,7</t>
  </si>
  <si>
    <t>207-212-205-206-209-210-208</t>
  </si>
  <si>
    <t>ΜΕΣΣΗΝΗ</t>
  </si>
  <si>
    <t>ΕΥΑΓΓΕΛΙΑ-ΠΗΝΕΛΟΠΗ</t>
  </si>
  <si>
    <t>Χ104998</t>
  </si>
  <si>
    <t>864,6</t>
  </si>
  <si>
    <t>1498,6</t>
  </si>
  <si>
    <t>212-209-210-207-205-206-208</t>
  </si>
  <si>
    <t>ΒΑΣΙΛΕΙΑ</t>
  </si>
  <si>
    <t>ΜΑΤΘΑΙΟΣ</t>
  </si>
  <si>
    <t>ΑΜ200178</t>
  </si>
  <si>
    <t>710,6</t>
  </si>
  <si>
    <t>206-207-210-205-209-212-203-201-204-202</t>
  </si>
  <si>
    <t>ΜΠΛΑΝΤΖΩΝΗ</t>
  </si>
  <si>
    <t>ΠΑΡΑΣΚΕΥΗ ΕΙΡΗΝΗ</t>
  </si>
  <si>
    <t>Σ038212</t>
  </si>
  <si>
    <t>640,2</t>
  </si>
  <si>
    <t>1498,2</t>
  </si>
  <si>
    <t>206-205-207-209-210-212</t>
  </si>
  <si>
    <t>ΒΡΟΥΣΤΟΥΡΗ</t>
  </si>
  <si>
    <t>Φ285116</t>
  </si>
  <si>
    <t>809,6</t>
  </si>
  <si>
    <t>1497,6</t>
  </si>
  <si>
    <t>ΣΤΑΧΤΑΡΗ</t>
  </si>
  <si>
    <t>ΑΖ810053</t>
  </si>
  <si>
    <t>1496,6</t>
  </si>
  <si>
    <t>ΜΙΣΤΡΑ</t>
  </si>
  <si>
    <t>ΕΡΜΙΟΝΗ</t>
  </si>
  <si>
    <t>ΑΕ546959</t>
  </si>
  <si>
    <t>1496,5</t>
  </si>
  <si>
    <t>207-209-206</t>
  </si>
  <si>
    <t>ΜΑΥΡΙΤΣΑΚΗ</t>
  </si>
  <si>
    <t>ΜΑΡΙΑ ΑΡΓΥΡΩ</t>
  </si>
  <si>
    <t>ΑΖ959367</t>
  </si>
  <si>
    <t>ΑΕ818827</t>
  </si>
  <si>
    <t>1495,5</t>
  </si>
  <si>
    <t>210-206-205-207-209-212-203-208-204-202-211-201</t>
  </si>
  <si>
    <t>ΛΟΥΒΑΡΗ</t>
  </si>
  <si>
    <t>ΑΖ442747</t>
  </si>
  <si>
    <t>665,5</t>
  </si>
  <si>
    <t>1493,5</t>
  </si>
  <si>
    <t>207-208-209-210-206-205-212-201-203</t>
  </si>
  <si>
    <t>ΙΟΡΔΑΝΟΠΟΥΛΟΥ</t>
  </si>
  <si>
    <t>ΙΣΑΑΚ</t>
  </si>
  <si>
    <t>ΑΗ653667</t>
  </si>
  <si>
    <t>1492,9</t>
  </si>
  <si>
    <t>204-203-210</t>
  </si>
  <si>
    <t>ΓΙΑΝΝΑΚΙΔΟΥ</t>
  </si>
  <si>
    <t>ΑΒ428659</t>
  </si>
  <si>
    <t>1491,5</t>
  </si>
  <si>
    <t>211-203-205-206-207-209-210-204-212-201-202</t>
  </si>
  <si>
    <t>ΠΑΛΑΜΑ</t>
  </si>
  <si>
    <t>ΒΙΡΓΙΝΙΑ</t>
  </si>
  <si>
    <t>Τ376068</t>
  </si>
  <si>
    <t>1490,8</t>
  </si>
  <si>
    <t>203-204-211-212-201-202-205-206-207-209-210</t>
  </si>
  <si>
    <t>ΚΟΛΙΟΥΜΠΑ</t>
  </si>
  <si>
    <t>Ρ891091</t>
  </si>
  <si>
    <t>1490,6</t>
  </si>
  <si>
    <t>201-202-203-204-205-206-207-209-211-212</t>
  </si>
  <si>
    <t>ΑΚ308319</t>
  </si>
  <si>
    <t>1490,1</t>
  </si>
  <si>
    <t>203-205-206-207-209-210-204-211-212-201-202</t>
  </si>
  <si>
    <t>ΠΑΠΑΘΕΟΔΩΡΟΥ</t>
  </si>
  <si>
    <t>ΑΕ755999</t>
  </si>
  <si>
    <t>760,1</t>
  </si>
  <si>
    <t>1488,1</t>
  </si>
  <si>
    <t>ΡΟΓΚΟΤΗ</t>
  </si>
  <si>
    <t>ΑΕ757831</t>
  </si>
  <si>
    <t>1487,7</t>
  </si>
  <si>
    <t>ΠΑΝΤΕΡΑ</t>
  </si>
  <si>
    <t>ΒΗΣΣΑΡΙΩΝ</t>
  </si>
  <si>
    <t>ΑΕ812643</t>
  </si>
  <si>
    <t>1487,4</t>
  </si>
  <si>
    <t>205-206-207-209-210</t>
  </si>
  <si>
    <t>ΔΗΜΟΥ</t>
  </si>
  <si>
    <t>ΑΜ590935</t>
  </si>
  <si>
    <t>1487,3</t>
  </si>
  <si>
    <t>207-205-206-210-209-208</t>
  </si>
  <si>
    <t>ΝΙΚΟΛΑΟΥ</t>
  </si>
  <si>
    <t>ΑΙ558087</t>
  </si>
  <si>
    <t>1486,7</t>
  </si>
  <si>
    <t>212-206-210-207-205-209-201-204-202-203-211</t>
  </si>
  <si>
    <t>ΜΗΤΡΟΜΑΡΑΣ</t>
  </si>
  <si>
    <t>ΑΖ519925</t>
  </si>
  <si>
    <t>205-206-207-209-210-212-211-201-202-203-204</t>
  </si>
  <si>
    <t>Φ040411</t>
  </si>
  <si>
    <t>1485,9</t>
  </si>
  <si>
    <t>ΔΗΜΗΤΡΑΚΑΚΗΣ</t>
  </si>
  <si>
    <t>ΑΙ015222</t>
  </si>
  <si>
    <t>1484,1</t>
  </si>
  <si>
    <t>207-205-206-209-210-212-203-201-211-204-202</t>
  </si>
  <si>
    <t>ΠΕΠΕ</t>
  </si>
  <si>
    <t>ΑΖ913393</t>
  </si>
  <si>
    <t>1482,2</t>
  </si>
  <si>
    <t>203-210-206-205-207-209-212-202-211-204-201</t>
  </si>
  <si>
    <t>ΚΩΣΤΟΠΟΥΛΟΥ</t>
  </si>
  <si>
    <t>Σ630926</t>
  </si>
  <si>
    <t>1481,8</t>
  </si>
  <si>
    <t>206-210-207-209-212-205</t>
  </si>
  <si>
    <t>ΓΕΩΡΓΙΤΣΟΠΟΥΛΟΥ</t>
  </si>
  <si>
    <t>ΑΗ376223</t>
  </si>
  <si>
    <t>622,6</t>
  </si>
  <si>
    <t>1480,6</t>
  </si>
  <si>
    <t>202-201-206-210-208-203-204-207-212-211-205-209</t>
  </si>
  <si>
    <t>ΣΑΡΡΗ</t>
  </si>
  <si>
    <t>ΕΥΑΓΓΕΛΙΑ ΕΜΜΑΝΟΥΕΛΑ</t>
  </si>
  <si>
    <t>Χ849243</t>
  </si>
  <si>
    <t>1480,5</t>
  </si>
  <si>
    <t>202-207-205-206-209-210-212</t>
  </si>
  <si>
    <t>ΚΟΥΦΟΥ</t>
  </si>
  <si>
    <t xml:space="preserve">ΕΥΘΥΜΙΑ </t>
  </si>
  <si>
    <t>ΑΙ369746</t>
  </si>
  <si>
    <t>203-211-205-206-207-209-210-212</t>
  </si>
  <si>
    <t>ΖΑΧΑΡΑΚΗ</t>
  </si>
  <si>
    <t>ΕΛΕΝΗ-ΒΕΝΕΤΙΑ</t>
  </si>
  <si>
    <t>ΑΒ625975</t>
  </si>
  <si>
    <t>845,9</t>
  </si>
  <si>
    <t>1479,9</t>
  </si>
  <si>
    <t>ΠΑΠΑΔΟΠΟΥΛΟΣ</t>
  </si>
  <si>
    <t>ΑΗ204405</t>
  </si>
  <si>
    <t>1479,6</t>
  </si>
  <si>
    <t>201-206-210-205-204-203-212-207-209</t>
  </si>
  <si>
    <t>ΜΠΙΡΙΚΟΥ</t>
  </si>
  <si>
    <t>ΓΑΡΥΦΑΛΛΙΑ</t>
  </si>
  <si>
    <t>Φ255803</t>
  </si>
  <si>
    <t>1479,3</t>
  </si>
  <si>
    <t>202-207-205-206-210-212-211-201-203-204-209</t>
  </si>
  <si>
    <t>ΚΗΠΟΥΡΟΥ</t>
  </si>
  <si>
    <t>ΑΗ413082</t>
  </si>
  <si>
    <t>ΝΙΚΟΛΟΠΟΥΛΟΥ</t>
  </si>
  <si>
    <t>ΑΖ575997</t>
  </si>
  <si>
    <t>1477,3</t>
  </si>
  <si>
    <t>ΜΥΛΩΝΑ</t>
  </si>
  <si>
    <t>Χ736870</t>
  </si>
  <si>
    <t>1476,7</t>
  </si>
  <si>
    <t>207-209-210-202-211-204-201-206</t>
  </si>
  <si>
    <t>ΚΟΛΟΚΟΝΤΕ</t>
  </si>
  <si>
    <t>Χ899898</t>
  </si>
  <si>
    <t>1476,4</t>
  </si>
  <si>
    <t>ΓΙΩΤΑ</t>
  </si>
  <si>
    <t>ΑΒ317785</t>
  </si>
  <si>
    <t>756,8</t>
  </si>
  <si>
    <t>1474,8</t>
  </si>
  <si>
    <t>ΛΥΡΟΥΔΗ</t>
  </si>
  <si>
    <t>ΣΩΤΗΡΙΑ</t>
  </si>
  <si>
    <t>ΑΒ368986</t>
  </si>
  <si>
    <t>1474,5</t>
  </si>
  <si>
    <t>203-205-207-204-206-208-209-210-211-212-202-201</t>
  </si>
  <si>
    <t>ΜΙΧΑΛΑΚΗ</t>
  </si>
  <si>
    <t>Χ382678</t>
  </si>
  <si>
    <t>1474,1</t>
  </si>
  <si>
    <t>207-206-208-210-205-209-204-203</t>
  </si>
  <si>
    <t>ΞΕΝΟΣ</t>
  </si>
  <si>
    <t>ΑΜ082959</t>
  </si>
  <si>
    <t>633,6</t>
  </si>
  <si>
    <t>1471,6</t>
  </si>
  <si>
    <t>ΠΑΡΑΣΟΓΛΟΥ</t>
  </si>
  <si>
    <t>Φ180689</t>
  </si>
  <si>
    <t>1471,2</t>
  </si>
  <si>
    <t>207-205-206-209-210-208-212-203-211-204-202-201</t>
  </si>
  <si>
    <t>ΓΕΩΡΓΙΛΑ</t>
  </si>
  <si>
    <t>ΑΗ097352</t>
  </si>
  <si>
    <t>207-210-205-206-212-209-202-201-203</t>
  </si>
  <si>
    <t>ΑΝΤΩΝΟΠΟΥΛΟΣ</t>
  </si>
  <si>
    <t>Π708456</t>
  </si>
  <si>
    <t>1468,2</t>
  </si>
  <si>
    <t>207-205-206-209-210-212-201-211-204-203-202</t>
  </si>
  <si>
    <t>Χ515409</t>
  </si>
  <si>
    <t>1466,4</t>
  </si>
  <si>
    <t>212-205-206-207-209-210-201-211-203-202-204</t>
  </si>
  <si>
    <t>ΚΡΟΜΜΥΔΑ</t>
  </si>
  <si>
    <t>ΑΜ174176</t>
  </si>
  <si>
    <t>1465,5</t>
  </si>
  <si>
    <t>205-206-207-209-210-212-201-211-203-202-204</t>
  </si>
  <si>
    <t>ΠΟΛΙΤΙΔΗΣ</t>
  </si>
  <si>
    <t>ΚΟΣΜΑΣ</t>
  </si>
  <si>
    <t>204-203-211-201-202-212-208-207-209-210-205-206</t>
  </si>
  <si>
    <t>ΠΑΠΑΣΤΕΡΓΙΟΥ</t>
  </si>
  <si>
    <t>ΣΤΕΡΓΙΑΝΗ - ΑΘΑΝΑΣΙΑ</t>
  </si>
  <si>
    <t>ΑΖ193840</t>
  </si>
  <si>
    <t>1462,8</t>
  </si>
  <si>
    <t>203-211-210-205-212-207-206-209-204</t>
  </si>
  <si>
    <t>ΜΑΥΡΑΝΤΖΑ</t>
  </si>
  <si>
    <t>ΑΘΗΝΑ ΜΑΡΙΑ</t>
  </si>
  <si>
    <t>ΑΕ790899</t>
  </si>
  <si>
    <t>644,6</t>
  </si>
  <si>
    <t>1462,6</t>
  </si>
  <si>
    <t>211-203-204-205-206-207-208-209-212</t>
  </si>
  <si>
    <t>ΚΡΕΜΥΔΑ</t>
  </si>
  <si>
    <t>ΑΕ146810</t>
  </si>
  <si>
    <t>1461,5</t>
  </si>
  <si>
    <t>208-212-210-206-204-201-202-211-209-203-205-207</t>
  </si>
  <si>
    <t>ΤΑΠΑ</t>
  </si>
  <si>
    <t>ΑΙ717965</t>
  </si>
  <si>
    <t>1459,3</t>
  </si>
  <si>
    <t>ΚΑΤΑΤΡΙΩΤΗ</t>
  </si>
  <si>
    <t>ΑΚ739850</t>
  </si>
  <si>
    <t>1459,1</t>
  </si>
  <si>
    <t>206-210-202-212-207-209-205</t>
  </si>
  <si>
    <t>ΑΝΑΓΝΩΣΤΟΠΟΥΛΟΥ</t>
  </si>
  <si>
    <t>ΑΕ838291</t>
  </si>
  <si>
    <t>ΚΟΥΤΗ</t>
  </si>
  <si>
    <t>Χ068616</t>
  </si>
  <si>
    <t>206-207-210-205-212-203-209-201-208-211-204-202</t>
  </si>
  <si>
    <t>ΠΑΠΑΝΙΚΟΛΑΟΥ</t>
  </si>
  <si>
    <t>ΝΑΠΟΛΕΩΝ</t>
  </si>
  <si>
    <t>Τ173646</t>
  </si>
  <si>
    <t>1458,1</t>
  </si>
  <si>
    <t>ΔΑΜΙΓΟΥ</t>
  </si>
  <si>
    <t>ΑΒ140840</t>
  </si>
  <si>
    <t>ΔΑΒΡΑΔΟΥ</t>
  </si>
  <si>
    <t>ΑΙ953259</t>
  </si>
  <si>
    <t>1456,4</t>
  </si>
  <si>
    <t>212-207-205-206-209-210-208</t>
  </si>
  <si>
    <t>ΑΗ484110</t>
  </si>
  <si>
    <t>1455,8</t>
  </si>
  <si>
    <t>ΣΙΔΕΡΗ</t>
  </si>
  <si>
    <t>ΑΕ224258</t>
  </si>
  <si>
    <t>1455,4</t>
  </si>
  <si>
    <t>201-206-210-202-205-207-209-212-208-204-211-203</t>
  </si>
  <si>
    <t>ΑΖ318205</t>
  </si>
  <si>
    <t>1453,6</t>
  </si>
  <si>
    <t>ΑΛΕΞΟΠΟΥΛΟΥ</t>
  </si>
  <si>
    <t>ΑΒ146509</t>
  </si>
  <si>
    <t>205-206-207-208-209-210-212-201-203-211-204-202</t>
  </si>
  <si>
    <t>1453,2</t>
  </si>
  <si>
    <t>ΑΖ200191</t>
  </si>
  <si>
    <t>1451,8</t>
  </si>
  <si>
    <t>201-207-206-209-208-205-210-212-202-203-204-211</t>
  </si>
  <si>
    <t>ΜΠΟΓΡΗ</t>
  </si>
  <si>
    <t>Ρ615462</t>
  </si>
  <si>
    <t>1451,6</t>
  </si>
  <si>
    <t>ΑΡΑΒΙΑΔΗ</t>
  </si>
  <si>
    <t>ΑΒ113894</t>
  </si>
  <si>
    <t>1451,4</t>
  </si>
  <si>
    <t>206-210-212-204-201-202-203-205-207-208-209-211</t>
  </si>
  <si>
    <t>ΗΛΙΟΠΟΥΛΟΥ</t>
  </si>
  <si>
    <t>ΝΙΚΟΛΙΤΣΑ</t>
  </si>
  <si>
    <t>ΑΙ762462</t>
  </si>
  <si>
    <t>1450,5</t>
  </si>
  <si>
    <t>201-205-207-209-210-212-204-211-203</t>
  </si>
  <si>
    <t>ΜΠΑΝΤΑΒΑΝΟΥ</t>
  </si>
  <si>
    <t>ΑΒ669652</t>
  </si>
  <si>
    <t>1450,2</t>
  </si>
  <si>
    <t>210-209-207-206-205-212</t>
  </si>
  <si>
    <t>ΑΛΕΞΑΚΗ</t>
  </si>
  <si>
    <t>ΑΕ629694</t>
  </si>
  <si>
    <t>1449,4</t>
  </si>
  <si>
    <t>205-206-207-208-209-210-212-211-201-202-203-204</t>
  </si>
  <si>
    <t>ΑΠΟΣΤΟΛΙΔΟΥ</t>
  </si>
  <si>
    <t>ΑΖ192007</t>
  </si>
  <si>
    <t>1448,4</t>
  </si>
  <si>
    <t>203-201</t>
  </si>
  <si>
    <t>ΚΑΠΟΤΗ</t>
  </si>
  <si>
    <t>Χ275223</t>
  </si>
  <si>
    <t>207-208-209-212-205-206-210</t>
  </si>
  <si>
    <t>ΛΙΑΝΟΥ</t>
  </si>
  <si>
    <t>ΚΩΝΣΤΑΝΤΙΝΙΑ</t>
  </si>
  <si>
    <t>Χ867904</t>
  </si>
  <si>
    <t>828,3</t>
  </si>
  <si>
    <t>1448,3</t>
  </si>
  <si>
    <t>204-205-206-207-209-210-212-203-201-211-202</t>
  </si>
  <si>
    <t>ΚΡΗΤΙΚΟΣ</t>
  </si>
  <si>
    <t>ΑΖ444823</t>
  </si>
  <si>
    <t>1447,1</t>
  </si>
  <si>
    <t>207-206-210-205-208-209-212-203</t>
  </si>
  <si>
    <t>ΧΑΙΔΑ</t>
  </si>
  <si>
    <t>Ρ779307</t>
  </si>
  <si>
    <t>1446,7</t>
  </si>
  <si>
    <t>206-210-205-207-209-212</t>
  </si>
  <si>
    <t>Σ845786</t>
  </si>
  <si>
    <t>1446,3</t>
  </si>
  <si>
    <t>205-206-207-208-209-210-212-203-201-202-204-211</t>
  </si>
  <si>
    <t>1445,6</t>
  </si>
  <si>
    <t>ΑΖ374835</t>
  </si>
  <si>
    <t>203-204-206-210-212-201-211-202-207-205-209</t>
  </si>
  <si>
    <t>ΛΕΥΤΑΚΗ</t>
  </si>
  <si>
    <t>ΛΑΜΠΡΙΝΟΣ</t>
  </si>
  <si>
    <t>ΑΙ575523</t>
  </si>
  <si>
    <t>1445,5</t>
  </si>
  <si>
    <t>1445,3</t>
  </si>
  <si>
    <t>ΓΕΩΡΓΙΟΥ</t>
  </si>
  <si>
    <t>Σ038653</t>
  </si>
  <si>
    <t>1444,8</t>
  </si>
  <si>
    <t>207-209-205-206-210</t>
  </si>
  <si>
    <t>ΚΑΡΕΛΗ</t>
  </si>
  <si>
    <t>ΑΙ355149</t>
  </si>
  <si>
    <t>203-207-205-206-209-210-212-211-204-201-202-208</t>
  </si>
  <si>
    <t>ΜΠΑΡΚΑ</t>
  </si>
  <si>
    <t>ΑΚ359103</t>
  </si>
  <si>
    <t>1443,3</t>
  </si>
  <si>
    <t>201-202-204-203-211-212-206-205-209-210-207-208</t>
  </si>
  <si>
    <t>ΑΣΠΑΣΙΑ</t>
  </si>
  <si>
    <t>ΑΚ418220</t>
  </si>
  <si>
    <t>1442,6</t>
  </si>
  <si>
    <t>ΓΙΑΝΝΑΚΟΠΟΥΛΟΥ</t>
  </si>
  <si>
    <t>ΑΕ328369</t>
  </si>
  <si>
    <t>206-210-205-207-209-212-211-201-203-202-204</t>
  </si>
  <si>
    <t>ΒΑΚΙΡΤΖΗ</t>
  </si>
  <si>
    <t>ΑΜ 194851</t>
  </si>
  <si>
    <t>1440,1</t>
  </si>
  <si>
    <t>207-212-206-205-210-209-208</t>
  </si>
  <si>
    <t>ΚΑΝΕΛΛΟΠΟΥΛΟΣ</t>
  </si>
  <si>
    <t>ΑΙ029077</t>
  </si>
  <si>
    <t>651,2</t>
  </si>
  <si>
    <t>1439,2</t>
  </si>
  <si>
    <t>ΝΑΒΡΟΖΙΔΟΥ</t>
  </si>
  <si>
    <t>ΑΖ172797</t>
  </si>
  <si>
    <t>680,9</t>
  </si>
  <si>
    <t>1438,9</t>
  </si>
  <si>
    <t>203-211-204-209-210-207-205-206-212-201-202</t>
  </si>
  <si>
    <t>ΠΑΛΗΟΥ</t>
  </si>
  <si>
    <t>ΑΜ485435</t>
  </si>
  <si>
    <t>1436,8</t>
  </si>
  <si>
    <t>211-203-204-201-202-205-206-207-209-210-212</t>
  </si>
  <si>
    <t>ΤΖΕΛΕΠΗ</t>
  </si>
  <si>
    <t>ΑΕ882644</t>
  </si>
  <si>
    <t>678,7</t>
  </si>
  <si>
    <t>1436,7</t>
  </si>
  <si>
    <t>203-204-211-201-202-206-207-209-210-205-212</t>
  </si>
  <si>
    <t>ΠΑΣΧΑΛΙΔΟΥ</t>
  </si>
  <si>
    <t>ΑΒ371044</t>
  </si>
  <si>
    <t>1436,2</t>
  </si>
  <si>
    <t>203-202-211-204-205-206-207-208-209-210-212</t>
  </si>
  <si>
    <t>ΕΥΑΓΓΕΛΙΔΟΥ</t>
  </si>
  <si>
    <t>ΙΟΥΛΙΑ</t>
  </si>
  <si>
    <t>Φ227187</t>
  </si>
  <si>
    <t>1436,1</t>
  </si>
  <si>
    <t>203-205-206-207-208-209-210-212-202-201-204-211</t>
  </si>
  <si>
    <t>ΜΙΧΑΛΟΠΟΥΛΟΥ</t>
  </si>
  <si>
    <t>Χ432057</t>
  </si>
  <si>
    <t>1435,8</t>
  </si>
  <si>
    <t>ΦΑΣΣΑ</t>
  </si>
  <si>
    <t>Φ223565</t>
  </si>
  <si>
    <t>1435,6</t>
  </si>
  <si>
    <t>ΑΔΑΜ</t>
  </si>
  <si>
    <t>ΣΤΑΥΡΟΥΛΑ ΕΥΑΓΓΕΛΙΑ</t>
  </si>
  <si>
    <t>ΑΙ080143</t>
  </si>
  <si>
    <t>1434,8</t>
  </si>
  <si>
    <t>205-206-207-208-209-210-212-211-204-201-203</t>
  </si>
  <si>
    <t>ΒΟΥΤΣΑ</t>
  </si>
  <si>
    <t>ΑΖ947214</t>
  </si>
  <si>
    <t>1432,7</t>
  </si>
  <si>
    <t>203-205-207-206-208-209-210-212</t>
  </si>
  <si>
    <t>ΚΑΡΑΒΙΔΑΣ</t>
  </si>
  <si>
    <t>ΑΙ285956</t>
  </si>
  <si>
    <t>209-210-206-205-207-208-212-203-211-201-204-202</t>
  </si>
  <si>
    <t>ΚΟΥΡΑΚΗ</t>
  </si>
  <si>
    <t>Χ493260</t>
  </si>
  <si>
    <t>1431,7</t>
  </si>
  <si>
    <t>ΚΟΝΤΟΓΙΑΝΝΗ</t>
  </si>
  <si>
    <t>ΑΙ748624</t>
  </si>
  <si>
    <t>702,9</t>
  </si>
  <si>
    <t>1430,9</t>
  </si>
  <si>
    <t>203-207-205-210-206-209-212-204-211-201-202</t>
  </si>
  <si>
    <t>ΑΗ982352</t>
  </si>
  <si>
    <t>1429,1</t>
  </si>
  <si>
    <t>205-210-208-209-206-212-207-201-211-203-204-202</t>
  </si>
  <si>
    <t>ΚΤΙΣΤΗΣ</t>
  </si>
  <si>
    <t>ΑΙ095937</t>
  </si>
  <si>
    <t>1428,3</t>
  </si>
  <si>
    <t>ΓΡΑΦΑΝΑΚΗ</t>
  </si>
  <si>
    <t>ΑΚ743294</t>
  </si>
  <si>
    <t>1427,9</t>
  </si>
  <si>
    <t>ΚΑΡΟΥΤΗ</t>
  </si>
  <si>
    <t>ΣΕΡΑΙΝΑ</t>
  </si>
  <si>
    <t>ΑΚ262231</t>
  </si>
  <si>
    <t>1427,4</t>
  </si>
  <si>
    <t>207-209-210-205-206-212-202-201-211-204-203</t>
  </si>
  <si>
    <t>ΨΥΧΟΓΥΙΟΥ</t>
  </si>
  <si>
    <t>ΑΕ262010</t>
  </si>
  <si>
    <t>1426,1</t>
  </si>
  <si>
    <t>ΑΙ351629</t>
  </si>
  <si>
    <t>667,7</t>
  </si>
  <si>
    <t>1425,7</t>
  </si>
  <si>
    <t>204-203-211-205-206-207-209-210-212-201-202</t>
  </si>
  <si>
    <t>ΚΑΣΚΑΜΠΑ</t>
  </si>
  <si>
    <t>ΑΒ083006</t>
  </si>
  <si>
    <t>1425,3</t>
  </si>
  <si>
    <t>210-206-212-207-205-208-209-201-203-204-202-211</t>
  </si>
  <si>
    <t>ΠΑΝΑΓΙΩΤΑΚΗ</t>
  </si>
  <si>
    <t>ΑΒ653877</t>
  </si>
  <si>
    <t>1425,2</t>
  </si>
  <si>
    <t>207-210-206-205-212-209</t>
  </si>
  <si>
    <t>ΚΑΒΑΖΗ</t>
  </si>
  <si>
    <t>ΑΙ612169</t>
  </si>
  <si>
    <t>205-206-207-209-210-212-201</t>
  </si>
  <si>
    <t>ΤΣΑΡΟΥΧΑ</t>
  </si>
  <si>
    <t>ΑΝ182304</t>
  </si>
  <si>
    <t>1424,5</t>
  </si>
  <si>
    <t>ΜΕΡΟΝΙΑΝΑΚΗ</t>
  </si>
  <si>
    <t>ΑΖ966286</t>
  </si>
  <si>
    <t>1423,6</t>
  </si>
  <si>
    <t>ΤΣΙΓΑΡΑ</t>
  </si>
  <si>
    <t>ΕΛΙΣΣΑΒΕΤ</t>
  </si>
  <si>
    <t>ΑΕ510616</t>
  </si>
  <si>
    <t>1423,4</t>
  </si>
  <si>
    <t>207-208-210-209-205-206-212</t>
  </si>
  <si>
    <t>ΑΛΙΠΡΑΝΤΗ</t>
  </si>
  <si>
    <t>ΑΑ049834</t>
  </si>
  <si>
    <t>948,2</t>
  </si>
  <si>
    <t>1423,2</t>
  </si>
  <si>
    <t>208-207-205-209-206-210-212</t>
  </si>
  <si>
    <t>ΜΑΝΤΖΑΝΑΣ</t>
  </si>
  <si>
    <t>ΑΙ284221</t>
  </si>
  <si>
    <t>211-203-212</t>
  </si>
  <si>
    <t>AK609425</t>
  </si>
  <si>
    <t>212-210-206-205-207-209-211</t>
  </si>
  <si>
    <t>ΣΑΡΠΟΤΑ</t>
  </si>
  <si>
    <t>Χ750062</t>
  </si>
  <si>
    <t>1422,5</t>
  </si>
  <si>
    <t>ΧΑΛΚΙΑ</t>
  </si>
  <si>
    <t>Σ804016</t>
  </si>
  <si>
    <t>1422,1</t>
  </si>
  <si>
    <t>204-201-203-211-209-207-206-205-210-212-202</t>
  </si>
  <si>
    <t>ΝΤΑΒΑΝΑΓΓΕΛΗ</t>
  </si>
  <si>
    <t>ΑΙ105675</t>
  </si>
  <si>
    <t>1421,7</t>
  </si>
  <si>
    <t>205-207-209-206-210-212-203-201-211-204-202</t>
  </si>
  <si>
    <t>ΒΑΣΙΛΕΙΟΥ</t>
  </si>
  <si>
    <t>Φ267706</t>
  </si>
  <si>
    <t>1421,3</t>
  </si>
  <si>
    <t>211-208-206-207-205-209-210-212</t>
  </si>
  <si>
    <t>ΚΑΤΕΡΙΝΑ</t>
  </si>
  <si>
    <t>ΑΙ253246</t>
  </si>
  <si>
    <t>712,8</t>
  </si>
  <si>
    <t>1420,8</t>
  </si>
  <si>
    <t>204-203-211-201-206-209-210-207-212-205-202</t>
  </si>
  <si>
    <t>ΑΚ567123</t>
  </si>
  <si>
    <t>1420,3</t>
  </si>
  <si>
    <t>ΜΕΙΤΑΝΙΔΟΥ</t>
  </si>
  <si>
    <t>ΑΕ394685</t>
  </si>
  <si>
    <t>664,4</t>
  </si>
  <si>
    <t>1419,4</t>
  </si>
  <si>
    <t>203-208-212-209-207-205-206-204-210-211-201</t>
  </si>
  <si>
    <t>ΑΘΑΝΑΣΟΥΛΙΑ</t>
  </si>
  <si>
    <t>Ρ299664</t>
  </si>
  <si>
    <t>1418,9</t>
  </si>
  <si>
    <t>ΧΟΥΛΙΑΡΑ</t>
  </si>
  <si>
    <t>ΑΙΚΑΤΕΡΙΝΗ-ΜΑΡΙΝΑ</t>
  </si>
  <si>
    <t>ΑΕ602674</t>
  </si>
  <si>
    <t>1418,2</t>
  </si>
  <si>
    <t>ΓΙΑΝΝΟΠΟΥΛΟΥ</t>
  </si>
  <si>
    <t>ΠΑΝΤΑΖΗΣ</t>
  </si>
  <si>
    <t>ΑΙ255350</t>
  </si>
  <si>
    <t>204-211-212-206-205-207-209-208-210</t>
  </si>
  <si>
    <t>ΚΑΡΑΤΣΑΛΟΥ</t>
  </si>
  <si>
    <t>Ν846481</t>
  </si>
  <si>
    <t>207-205-203-202-204-201-212-211-206-209-210</t>
  </si>
  <si>
    <t>ΑΚ902956</t>
  </si>
  <si>
    <t>1417,9</t>
  </si>
  <si>
    <t>203-205-207-206-210-209-211-212-204-202-201</t>
  </si>
  <si>
    <t>ΠΟΥΛΗ</t>
  </si>
  <si>
    <t>ΑΖ369427</t>
  </si>
  <si>
    <t>1417,8</t>
  </si>
  <si>
    <t>205-206-207-209-210-212-208-201-202-203-204-211-214-215</t>
  </si>
  <si>
    <t>ΛΟΓΟΘΕΤΗ</t>
  </si>
  <si>
    <t>ΑΙ723637</t>
  </si>
  <si>
    <t>1417,6</t>
  </si>
  <si>
    <t>203-204-211</t>
  </si>
  <si>
    <t>ΚΟΥΤΡΟΥΜΠΑ</t>
  </si>
  <si>
    <t>ΑΕ704279</t>
  </si>
  <si>
    <t>1416,2</t>
  </si>
  <si>
    <t>201-205-206-207-209-210-212</t>
  </si>
  <si>
    <t>ΧΑΡΑΛΑΜΠΟΥΣ</t>
  </si>
  <si>
    <t>ΑΖ912911</t>
  </si>
  <si>
    <t>1415,9</t>
  </si>
  <si>
    <t>ΠΕΤΡΟΠΟΥΛΟΥ</t>
  </si>
  <si>
    <t>ΜΑΡΙΑ ΙΩΑΝΝΑ</t>
  </si>
  <si>
    <t>ΑΗ726352</t>
  </si>
  <si>
    <t>1413,8</t>
  </si>
  <si>
    <t>208-207-209-206-205-210</t>
  </si>
  <si>
    <t>ΓΕΝΝΑΔΗ</t>
  </si>
  <si>
    <t>ΖΑΧΑΡΟΥΛΑ</t>
  </si>
  <si>
    <t>ΧΡΥΣΟΣΤΟΜΟΣ</t>
  </si>
  <si>
    <t>Χ127428</t>
  </si>
  <si>
    <t>1412,9</t>
  </si>
  <si>
    <t>ΝΟΥΛΑ</t>
  </si>
  <si>
    <t>ΑΡΓΥΡΙΟΣ</t>
  </si>
  <si>
    <t>Τ396764</t>
  </si>
  <si>
    <t>ΘΑΝΟΥ</t>
  </si>
  <si>
    <t>Σ385433</t>
  </si>
  <si>
    <t>203-206-208-209-210-212-207-205-201-204-211-202</t>
  </si>
  <si>
    <t>ΑΑ059242</t>
  </si>
  <si>
    <t>ΚΟΥΦΟΠΟΥΛΟΣ</t>
  </si>
  <si>
    <t>ΓΕΩΡΓ</t>
  </si>
  <si>
    <t>ΑΗ013864</t>
  </si>
  <si>
    <t>1412,5</t>
  </si>
  <si>
    <t>206-210-205-207-209</t>
  </si>
  <si>
    <t>ΤΣΑΟΥΣΗ</t>
  </si>
  <si>
    <t>ΑΓΑΘΗ</t>
  </si>
  <si>
    <t>ΑΗ978668</t>
  </si>
  <si>
    <t>ΙΩΑΝΝΟΥ</t>
  </si>
  <si>
    <t>ΜΑΡΙΑ - ΕΥΑΝΘΙΑ</t>
  </si>
  <si>
    <t>ΑΕ574205</t>
  </si>
  <si>
    <t>1412,4</t>
  </si>
  <si>
    <t>205-206-207-209-210-212-211-201-203-202-204</t>
  </si>
  <si>
    <t>ΠΑΠΑΔΗΜΗΤΡΙΟΥ</t>
  </si>
  <si>
    <t>ΑΜ822616</t>
  </si>
  <si>
    <t>1412,2</t>
  </si>
  <si>
    <t>ΚΡΙΚΑ</t>
  </si>
  <si>
    <t>ΘΕΟΦΑΝΙΑ</t>
  </si>
  <si>
    <t>ΑΒ323953</t>
  </si>
  <si>
    <t>1411,8</t>
  </si>
  <si>
    <t>ΠΑΛΑΣΚΑ</t>
  </si>
  <si>
    <t>ΑΖ282194</t>
  </si>
  <si>
    <t>ΓΚΛΙΑΟΥ</t>
  </si>
  <si>
    <t>ΑΕ790572</t>
  </si>
  <si>
    <t>206-210-203-211-201-202-204-212-205-207-209</t>
  </si>
  <si>
    <t>ΜΕΡΚΟΥΡΗ</t>
  </si>
  <si>
    <t>Τ479829</t>
  </si>
  <si>
    <t>1411,7</t>
  </si>
  <si>
    <t>ΛΑΔΟΠΟΥΛΟΥ</t>
  </si>
  <si>
    <t>ΑΖ695685</t>
  </si>
  <si>
    <t>1411,6</t>
  </si>
  <si>
    <t>203-204-205-207-211-212-206-209-210-202-201</t>
  </si>
  <si>
    <t>ΚΑΤΣΙΟΥ</t>
  </si>
  <si>
    <t>ΔΩΡΟΘΕΑ</t>
  </si>
  <si>
    <t>ΑΙ185061</t>
  </si>
  <si>
    <t>1411,5</t>
  </si>
  <si>
    <t>ΤΡΙΚΑ</t>
  </si>
  <si>
    <t>ΑΜ546899</t>
  </si>
  <si>
    <t>1410,7</t>
  </si>
  <si>
    <t>207-206-210-205-212-209-201-203-211-202-204</t>
  </si>
  <si>
    <t>ΚΑΤΣΑΠΗ</t>
  </si>
  <si>
    <t>Χ137561</t>
  </si>
  <si>
    <t>1409,8</t>
  </si>
  <si>
    <t>206-207-205-209-210</t>
  </si>
  <si>
    <t>ΓΡΑΦΑΚΟΣ</t>
  </si>
  <si>
    <t>Τ389901</t>
  </si>
  <si>
    <t>1409,3</t>
  </si>
  <si>
    <t>ΜΟΣΧΙΔΟΥ</t>
  </si>
  <si>
    <t>ΑΗ414050</t>
  </si>
  <si>
    <t>1409,2</t>
  </si>
  <si>
    <t>203-211-204-202-201-207-212-209-205-210-206-208</t>
  </si>
  <si>
    <t>ΑΝΘΙΜΟΣ</t>
  </si>
  <si>
    <t>Ρ768392</t>
  </si>
  <si>
    <t>1408,9</t>
  </si>
  <si>
    <t>ΑΚΡΙΤΙΔΟΥ</t>
  </si>
  <si>
    <t>ΑΙ390868</t>
  </si>
  <si>
    <t>1408,6</t>
  </si>
  <si>
    <t>207-205-203-206-210-209-211-212-202-201-204-208</t>
  </si>
  <si>
    <t>ΛΥΜΠΕΡΟΠΟΥΛΟΥ</t>
  </si>
  <si>
    <t xml:space="preserve">ΙΩΑΝΝΑ </t>
  </si>
  <si>
    <t>ΑΜ147851</t>
  </si>
  <si>
    <t>1408,5</t>
  </si>
  <si>
    <t>206-209-210-205-207-212</t>
  </si>
  <si>
    <t>ΒΑΓΙΑΝΝΗ</t>
  </si>
  <si>
    <t>Τ406542</t>
  </si>
  <si>
    <t>203-205-206-207-208-209-210-212-201-211-202-204</t>
  </si>
  <si>
    <t>ΓΚΟΥΖΙΑ</t>
  </si>
  <si>
    <t>ΑΖ741998</t>
  </si>
  <si>
    <t>1407,6</t>
  </si>
  <si>
    <t>ΠΛΑΤΗ</t>
  </si>
  <si>
    <t>ΑΚ126017</t>
  </si>
  <si>
    <t>1407,2</t>
  </si>
  <si>
    <t>207-209-210-212-206-205-202</t>
  </si>
  <si>
    <t>ΚΑΝΑΚΑΡΑΚΗ</t>
  </si>
  <si>
    <t>ΠΕΛΑΓΙΑ</t>
  </si>
  <si>
    <t>ΑΕ463389</t>
  </si>
  <si>
    <t>1406,3</t>
  </si>
  <si>
    <t>202-205-210-209-206-207-212</t>
  </si>
  <si>
    <t>ΣΥΝΟΔΙΝΟΣ</t>
  </si>
  <si>
    <t>ΑΚ735115</t>
  </si>
  <si>
    <t>1405,3</t>
  </si>
  <si>
    <t>207-208-209-205-206-210</t>
  </si>
  <si>
    <t>ΑΗ726022</t>
  </si>
  <si>
    <t>931,7</t>
  </si>
  <si>
    <t>1404,7</t>
  </si>
  <si>
    <t>201-203-204-205-206-207-208-209-210-211-212</t>
  </si>
  <si>
    <t>ΒΑΦΑΚΟΥ</t>
  </si>
  <si>
    <t>ΠΡΟΚΟΠΙΟΣ</t>
  </si>
  <si>
    <t>ΑΚ520423</t>
  </si>
  <si>
    <t>1404,1</t>
  </si>
  <si>
    <t>ΑΣΗΜΑΚΟΠΟΥΛΟΥ</t>
  </si>
  <si>
    <t>ΑΑ055187</t>
  </si>
  <si>
    <t>1403,4</t>
  </si>
  <si>
    <t>202-206-210</t>
  </si>
  <si>
    <t>ΛΟΥΓΓΟΥ</t>
  </si>
  <si>
    <t>ΑΚ294126</t>
  </si>
  <si>
    <t>684,2</t>
  </si>
  <si>
    <t>1402,2</t>
  </si>
  <si>
    <t>ΣΑΙΤΑΚΗ</t>
  </si>
  <si>
    <t>Χ358549</t>
  </si>
  <si>
    <t>1400,8</t>
  </si>
  <si>
    <t>202-205-206-207-208-209-210-212-203-201-211-204</t>
  </si>
  <si>
    <t>ΣΤΡΑΤΙΩΤΟΥ</t>
  </si>
  <si>
    <t>ΑΚ645239</t>
  </si>
  <si>
    <t>632,5</t>
  </si>
  <si>
    <t>1400,5</t>
  </si>
  <si>
    <t>ΑΣΜΙΝΗ</t>
  </si>
  <si>
    <t>ΑΝΔΡΟΜΑΧΗ</t>
  </si>
  <si>
    <t>ΑΙ280731</t>
  </si>
  <si>
    <t>211-205-206-207-208-209-210-212-204</t>
  </si>
  <si>
    <t>ΦΑΤΟΥΡΟΥ</t>
  </si>
  <si>
    <t>ΑΖ223508</t>
  </si>
  <si>
    <t>1399,8</t>
  </si>
  <si>
    <t>201-212-204-205-206-207-209-210-211-202-203-208</t>
  </si>
  <si>
    <t>ΙΩΣΗΦΙΔΟΥ</t>
  </si>
  <si>
    <t>ΕΥΡΙΠΙΔΗΣ</t>
  </si>
  <si>
    <t>ΑΕ526352</t>
  </si>
  <si>
    <t>1399,7</t>
  </si>
  <si>
    <t>212-205-206-207-209-210</t>
  </si>
  <si>
    <t>ΣΑΛΤΑΡΗ</t>
  </si>
  <si>
    <t>Ρ170392</t>
  </si>
  <si>
    <t>1399,4</t>
  </si>
  <si>
    <t>203-211-204-202-205-206-207-209-210-212-201</t>
  </si>
  <si>
    <t>ΓΕΡΙΜΟΓΛΟΥ</t>
  </si>
  <si>
    <t>ΓΕΩΡΓΙΟΣ ΧΑΡΑΛΑΜΠΟΣ</t>
  </si>
  <si>
    <t>Σ206179</t>
  </si>
  <si>
    <t>210-206-205-207-212-209-208</t>
  </si>
  <si>
    <t>ΚΟΥΒΕΛΙΩΤΟΥ</t>
  </si>
  <si>
    <t>ΑΗ039546</t>
  </si>
  <si>
    <t>1398,3</t>
  </si>
  <si>
    <t>ΜΠΑΝΤΑΝΗ</t>
  </si>
  <si>
    <t>ΕΥΡΥΚΛΕΙΑ</t>
  </si>
  <si>
    <t>ΑΒ501598</t>
  </si>
  <si>
    <t>1397,7</t>
  </si>
  <si>
    <t>205-206-207-209-210-211-212-201-202-203-204</t>
  </si>
  <si>
    <t>ΔΙΑΜΑΝΤΟΠΟΥΛΟΥ</t>
  </si>
  <si>
    <t>ΠΑΣΧΑΛΗΣ</t>
  </si>
  <si>
    <t>ΑΕ175261</t>
  </si>
  <si>
    <t>1397,5</t>
  </si>
  <si>
    <t>203-204-211-202-205-206-207-209-210-212-201</t>
  </si>
  <si>
    <t>Χ374476</t>
  </si>
  <si>
    <t>1397,3</t>
  </si>
  <si>
    <t>211-203-206-210-205-207-209-212-201-204-202</t>
  </si>
  <si>
    <t>ΚΑΡΑΧΑΛΙΟΥ</t>
  </si>
  <si>
    <t>Χ516997</t>
  </si>
  <si>
    <t>1397,2</t>
  </si>
  <si>
    <t>205-207-206-209-210-212</t>
  </si>
  <si>
    <t>ΜΑΡΙΝΑ- ΕΛΕΝΗ</t>
  </si>
  <si>
    <t>ΑΑ104746</t>
  </si>
  <si>
    <t>206-210-207-205-208-209-212</t>
  </si>
  <si>
    <t>ΠΡΙΟΒΟΛΟΥ</t>
  </si>
  <si>
    <t>Χ020314</t>
  </si>
  <si>
    <t>1396,4</t>
  </si>
  <si>
    <t>206-207-205-210-212-209-208</t>
  </si>
  <si>
    <t>ΚΟΥΤΣΟΤΟΛΗ</t>
  </si>
  <si>
    <t>ΑΗ238936</t>
  </si>
  <si>
    <t>204-203-211-201-205-206-207-209-210-212-202</t>
  </si>
  <si>
    <t>ΠΕΡΕΠΗ</t>
  </si>
  <si>
    <t>ΛΕΩΝΗ</t>
  </si>
  <si>
    <t>ΑΒ775527</t>
  </si>
  <si>
    <t>1395,9</t>
  </si>
  <si>
    <t>207-209-205-210-206-212</t>
  </si>
  <si>
    <t>ΚΑΤΣΙΚΑ</t>
  </si>
  <si>
    <t>ΘΩΜΑΗ</t>
  </si>
  <si>
    <t>ΑΕ857208</t>
  </si>
  <si>
    <t>204-202-201-211-203-206-210-212-209-205-207</t>
  </si>
  <si>
    <t>ΦΡΑΓΚΑΚΗΣ</t>
  </si>
  <si>
    <t>Φ000612</t>
  </si>
  <si>
    <t>1393,5</t>
  </si>
  <si>
    <t>ΝΟΥΤΣΟΥ</t>
  </si>
  <si>
    <t>ΑΚ074788</t>
  </si>
  <si>
    <t>1393,4</t>
  </si>
  <si>
    <t>205-206-207-209-210-212-201-204-203-211-202-208</t>
  </si>
  <si>
    <t>ΜΠΟΥΓΙΟΥΚΟΥ</t>
  </si>
  <si>
    <t>ΑΗ634273</t>
  </si>
  <si>
    <t>1393,1</t>
  </si>
  <si>
    <t>205-206-207-208-209-210-212-203-201-204-211-202</t>
  </si>
  <si>
    <t>ΚΟΤΖΑΝΙΚΟΛΑΟΥ</t>
  </si>
  <si>
    <t>ΕΡΑΣΜΙΑ</t>
  </si>
  <si>
    <t>ΑΜ713312</t>
  </si>
  <si>
    <t>1392,4</t>
  </si>
  <si>
    <t>203-206-207-208-205-209-210-212-211-201-204-202</t>
  </si>
  <si>
    <t>ΛΥΣΣΑΡΗ</t>
  </si>
  <si>
    <t>ΠΑΝΤΟΛΕΩΝ</t>
  </si>
  <si>
    <t>Σ254220</t>
  </si>
  <si>
    <t>1391,8</t>
  </si>
  <si>
    <t>201-202-211-204-203-212-209-210-205-206-207</t>
  </si>
  <si>
    <t>ΝΑΤΣΙΟΠΟΥΛΟΥ</t>
  </si>
  <si>
    <t>ΒΑΓΙΑ</t>
  </si>
  <si>
    <t>ΑΒ448375</t>
  </si>
  <si>
    <t>1391,7</t>
  </si>
  <si>
    <t>203-204-205-206-207-209-210-212</t>
  </si>
  <si>
    <t>ΑΒ123417</t>
  </si>
  <si>
    <t>1391,3</t>
  </si>
  <si>
    <t>203-204-205-206-207-208-209-210-212</t>
  </si>
  <si>
    <t>ΡΑΧΙΩΤΗ</t>
  </si>
  <si>
    <t>Σ052781</t>
  </si>
  <si>
    <t>1388,4</t>
  </si>
  <si>
    <t>ΔΑΤΣΙΚΑΣ</t>
  </si>
  <si>
    <t>Χ151753</t>
  </si>
  <si>
    <t>1388,1</t>
  </si>
  <si>
    <t>207-209-206-205-208-210-212-201-211-203-202-204</t>
  </si>
  <si>
    <t>Λ513793</t>
  </si>
  <si>
    <t>ΑΓΓΕΛΟΚΩΣΤΟΠΟΥΛΟΥ</t>
  </si>
  <si>
    <t>ΑΙ684280</t>
  </si>
  <si>
    <t>1384,7</t>
  </si>
  <si>
    <t>207-205-209-206-210-212-203-202-201-211-204</t>
  </si>
  <si>
    <t>ΝΑΝΟΥ</t>
  </si>
  <si>
    <t>ΑΒ641134</t>
  </si>
  <si>
    <t>676,5</t>
  </si>
  <si>
    <t>1384,5</t>
  </si>
  <si>
    <t>ΚΩΝΣΤΑΝΤΙΝΙΔΗΣ</t>
  </si>
  <si>
    <t>ΑΒ118813</t>
  </si>
  <si>
    <t>1383,5</t>
  </si>
  <si>
    <t>201-203-204-211-202-205-206-207-208-209-210-212</t>
  </si>
  <si>
    <t>ΚΑΤΣΑΜΠΑΝΗ</t>
  </si>
  <si>
    <t>Χ519838</t>
  </si>
  <si>
    <t>1382,5</t>
  </si>
  <si>
    <t>207-205-206-208-209-210-212-201</t>
  </si>
  <si>
    <t>ΓΚΟΓΚΑ</t>
  </si>
  <si>
    <t>ΑΕ861788</t>
  </si>
  <si>
    <t>694,1</t>
  </si>
  <si>
    <t>1382,1</t>
  </si>
  <si>
    <t>ΝΤΟΥΤΣΗ</t>
  </si>
  <si>
    <t>ΑΖ241328</t>
  </si>
  <si>
    <t>204-203-211-201-205-206-208-207-209-210-212-202</t>
  </si>
  <si>
    <t>ΑΑ314941</t>
  </si>
  <si>
    <t>1381,8</t>
  </si>
  <si>
    <t>ΑΛΕΞΑΝΔΡΗ</t>
  </si>
  <si>
    <t>ΑΕ750572</t>
  </si>
  <si>
    <t>663,3</t>
  </si>
  <si>
    <t>1381,3</t>
  </si>
  <si>
    <t>204-212-203-201-202-205-207-206-209-210-211-208</t>
  </si>
  <si>
    <t>ΖΟΥΜΗ</t>
  </si>
  <si>
    <t>Χ171885</t>
  </si>
  <si>
    <t>1381,1</t>
  </si>
  <si>
    <t>ΑΛΕΞΕΑ</t>
  </si>
  <si>
    <t>ΑΒ792982</t>
  </si>
  <si>
    <t>1380,7</t>
  </si>
  <si>
    <t>201-205-206-207-209-210-204</t>
  </si>
  <si>
    <t>ΕΥΘΥΜΙΟΥ</t>
  </si>
  <si>
    <t>ΑΚ069700</t>
  </si>
  <si>
    <t>1380,2</t>
  </si>
  <si>
    <t>210-209-205-206-207-212</t>
  </si>
  <si>
    <t>ΜΠΑΚΟΓΕΩΡΓΟΥ</t>
  </si>
  <si>
    <t>ΕΥΦΡΟΣΥΝΗ</t>
  </si>
  <si>
    <t>ΧΑΡΙΛΑΟΣ</t>
  </si>
  <si>
    <t>Φ085403</t>
  </si>
  <si>
    <t>1379,7</t>
  </si>
  <si>
    <t>207-209-212-210-206-205</t>
  </si>
  <si>
    <t>ΜΑΜΑΤΖΑΚΗ</t>
  </si>
  <si>
    <t>ΑΖ964220</t>
  </si>
  <si>
    <t>661,1</t>
  </si>
  <si>
    <t>1379,1</t>
  </si>
  <si>
    <t>ΤΟΛΗ</t>
  </si>
  <si>
    <t>ΑΒ408131</t>
  </si>
  <si>
    <t>1378,8</t>
  </si>
  <si>
    <t>204-203-207-205-209-210</t>
  </si>
  <si>
    <t>ΓΚΟΛΦΙΝΟΠΟΥΛΟΣ</t>
  </si>
  <si>
    <t>ΑΙ202385</t>
  </si>
  <si>
    <t>1378,5</t>
  </si>
  <si>
    <t>ΠΟΛΚΑ</t>
  </si>
  <si>
    <t>ΑΦΕΝΤΟΥΛΗΣ</t>
  </si>
  <si>
    <t>ΑΒ152498</t>
  </si>
  <si>
    <t>1377,8</t>
  </si>
  <si>
    <t>203-211-204-202</t>
  </si>
  <si>
    <t>ΖΑΒΑΚΟΣ</t>
  </si>
  <si>
    <t>ΣΩΚΡΑΤΗΣ</t>
  </si>
  <si>
    <t>ΑΚ817923</t>
  </si>
  <si>
    <t>1376,9</t>
  </si>
  <si>
    <t>207-206-205-208-210-209</t>
  </si>
  <si>
    <t>ΨΑΡΟΓΙΑΝΝΗ</t>
  </si>
  <si>
    <t>ΑΚ647361</t>
  </si>
  <si>
    <t>1376,6</t>
  </si>
  <si>
    <t>Σ958554</t>
  </si>
  <si>
    <t>1375,2</t>
  </si>
  <si>
    <t>205-206-207-204-209-210-211-212-203-202-201</t>
  </si>
  <si>
    <t>ΑΙ753301</t>
  </si>
  <si>
    <t>201-205-206-207-209-210-212-202-203-204-211</t>
  </si>
  <si>
    <t>ΜΑΔΗΜΕΝΟΥ</t>
  </si>
  <si>
    <t>ΑΙ802955</t>
  </si>
  <si>
    <t>1372,9</t>
  </si>
  <si>
    <t>206-205-207-201-209-210-212-203</t>
  </si>
  <si>
    <t>ΜΑΘΙΟΠΟΥΛΟΥ</t>
  </si>
  <si>
    <t>Σ161809</t>
  </si>
  <si>
    <t>1372,6</t>
  </si>
  <si>
    <t>ΤΣΑΝΤΙΔΟΥ</t>
  </si>
  <si>
    <t>Σ630908</t>
  </si>
  <si>
    <t>ΤΣΙΟΥΡΗ</t>
  </si>
  <si>
    <t>ΑΗ173240</t>
  </si>
  <si>
    <t>1371,6</t>
  </si>
  <si>
    <t>204-206-210-212-201-202-203-205-207-209-211-208</t>
  </si>
  <si>
    <t>ΜΑΝΤΖΑΝΑ ΠΕΤΕΙΝΕΛΛΗ</t>
  </si>
  <si>
    <t>ΜΑΡΙΝΑ</t>
  </si>
  <si>
    <t>ΑΗ509020</t>
  </si>
  <si>
    <t>666,6</t>
  </si>
  <si>
    <t>ΧΡΟΝΗ</t>
  </si>
  <si>
    <t>ΑΡΤΕΜΙΣ</t>
  </si>
  <si>
    <t>Χ290797</t>
  </si>
  <si>
    <t>1371,2</t>
  </si>
  <si>
    <t>205-206-207-210-209-212</t>
  </si>
  <si>
    <t>ΧΡΙΣΤΟΥΛΑΚΗΣ</t>
  </si>
  <si>
    <t>ΜΑΡΙΟΣ</t>
  </si>
  <si>
    <t>ΑΗ457094</t>
  </si>
  <si>
    <t>1370,4</t>
  </si>
  <si>
    <t>ΓΚΕΤΣΙΟΥ</t>
  </si>
  <si>
    <t>ΑΖ587752</t>
  </si>
  <si>
    <t>1369,5</t>
  </si>
  <si>
    <t>211-203-204-202-205-206-207-209-210-212-201</t>
  </si>
  <si>
    <t xml:space="preserve">Σιαφαρίκα </t>
  </si>
  <si>
    <t>Αθηνά</t>
  </si>
  <si>
    <t xml:space="preserve">Παύλος </t>
  </si>
  <si>
    <t>Χ915371</t>
  </si>
  <si>
    <t>969,1</t>
  </si>
  <si>
    <t>1369,1</t>
  </si>
  <si>
    <t>208-207-205-209-206-210</t>
  </si>
  <si>
    <t>ΔΗΜΗΤΡΟΥΛΗ</t>
  </si>
  <si>
    <t>ΑΖ721473</t>
  </si>
  <si>
    <t>1368,9</t>
  </si>
  <si>
    <t>206-210-212-207-205-209</t>
  </si>
  <si>
    <t>ΠΑΝΤΕΛΑΚΗ</t>
  </si>
  <si>
    <t>ΑΗ501610</t>
  </si>
  <si>
    <t>1368,4</t>
  </si>
  <si>
    <t>ΜΟΥΣΙΟΥ</t>
  </si>
  <si>
    <t>ΧΡΥΣΑ</t>
  </si>
  <si>
    <t>ΑΗ273424</t>
  </si>
  <si>
    <t>1367,6</t>
  </si>
  <si>
    <t>XΡΥΣΙΚΟΠΟΥΛΟΥ</t>
  </si>
  <si>
    <t>Ρ027446</t>
  </si>
  <si>
    <t>1367,1</t>
  </si>
  <si>
    <t>208-210-205-206-207-212-209</t>
  </si>
  <si>
    <t>ΑΒ397309</t>
  </si>
  <si>
    <t>1366,4</t>
  </si>
  <si>
    <t>209-207-206-205-210</t>
  </si>
  <si>
    <t>ΣΑΜΑΡΤΖΗ</t>
  </si>
  <si>
    <t>ΑΚ605279</t>
  </si>
  <si>
    <t>1366,1</t>
  </si>
  <si>
    <t>207-205-206-208-209-210-203</t>
  </si>
  <si>
    <t>ΝΗΣΙΔΗ</t>
  </si>
  <si>
    <t>Χ805808</t>
  </si>
  <si>
    <t>1364,4</t>
  </si>
  <si>
    <t>ΑΝΔΡΙΩΤΟΥ</t>
  </si>
  <si>
    <t>ΒΑΣΙΛΕΙΑ ΕΙΡΗΝΗ</t>
  </si>
  <si>
    <t>ΑΣΗΜΑΚΗΣ</t>
  </si>
  <si>
    <t>ΑΜ109318</t>
  </si>
  <si>
    <t>1363,5</t>
  </si>
  <si>
    <t>207-206-210-205-209</t>
  </si>
  <si>
    <t>ΖΗΣΙΟΥ</t>
  </si>
  <si>
    <t>Χ476784</t>
  </si>
  <si>
    <t>1362,1</t>
  </si>
  <si>
    <t>ΚΑΡΑΠΑΝΟΥ</t>
  </si>
  <si>
    <t>ΑΗ539839</t>
  </si>
  <si>
    <t>ΤΖΕΡΜΙΑ</t>
  </si>
  <si>
    <t>ΑΜ959171</t>
  </si>
  <si>
    <t>713,9</t>
  </si>
  <si>
    <t>1361,9</t>
  </si>
  <si>
    <t>202-207-205-206-212-210-209-203-204-211-201</t>
  </si>
  <si>
    <t>ΠΑΣΙΑΤΑ</t>
  </si>
  <si>
    <t>Ρ759309</t>
  </si>
  <si>
    <t>ΓΚΙΩΚΑ</t>
  </si>
  <si>
    <t>ΕΥΘΑΛΙΑ</t>
  </si>
  <si>
    <t>ΑΗ737471</t>
  </si>
  <si>
    <t>1361,6</t>
  </si>
  <si>
    <t>ΑΖ525232</t>
  </si>
  <si>
    <t>ΜΠΕΛΛΟΣ</t>
  </si>
  <si>
    <t>ΑΖ743800</t>
  </si>
  <si>
    <t>1360,5</t>
  </si>
  <si>
    <t>204-203-201-202-211-210-206-205</t>
  </si>
  <si>
    <t>ΑΓΓΕΛΟΣ</t>
  </si>
  <si>
    <t>Φ286106</t>
  </si>
  <si>
    <t>652,3</t>
  </si>
  <si>
    <t>1360,3</t>
  </si>
  <si>
    <t>205-206-207-209-210-201-203-204-211</t>
  </si>
  <si>
    <t>ΠΕΤΣΙΟΥ</t>
  </si>
  <si>
    <t>ΜΟΝΙΚΑ</t>
  </si>
  <si>
    <t>ΑΗ240046</t>
  </si>
  <si>
    <t>1359,7</t>
  </si>
  <si>
    <t>ΛΑΤΣΙΟΥ</t>
  </si>
  <si>
    <t>ΠΟΛΥΧΡΟΝΗΣ</t>
  </si>
  <si>
    <t>ΑΚ886506</t>
  </si>
  <si>
    <t>1358,3</t>
  </si>
  <si>
    <t>203-211-204-205-206-207-209-210-212-202-201</t>
  </si>
  <si>
    <t>ΜΠΟΙΚΑΝΗ</t>
  </si>
  <si>
    <t>ΑΕ999499</t>
  </si>
  <si>
    <t>1357,7</t>
  </si>
  <si>
    <t>203-211-204-202-201-205-206-207-209-210-212</t>
  </si>
  <si>
    <t>ΣΓΟΥΡΑΛΗ</t>
  </si>
  <si>
    <t>ΑΙ849398</t>
  </si>
  <si>
    <t>1357,6</t>
  </si>
  <si>
    <t>210-209-207-206-205-212-201-202-203-204-211</t>
  </si>
  <si>
    <t>ΧΟΝΔΡΟΣ</t>
  </si>
  <si>
    <t>Φ118362</t>
  </si>
  <si>
    <t>1356,8</t>
  </si>
  <si>
    <t>206-210-205-207-208-209-212-201-203-211</t>
  </si>
  <si>
    <t>ΚΑΤΣΑΡΗ</t>
  </si>
  <si>
    <t>ΑΖ023257</t>
  </si>
  <si>
    <t>668,8</t>
  </si>
  <si>
    <t>209-207-206-205-212-210</t>
  </si>
  <si>
    <t>ΡΟΥΜΠΙΝΗ</t>
  </si>
  <si>
    <t>ΑΗ509630</t>
  </si>
  <si>
    <t>1355,5</t>
  </si>
  <si>
    <t>205-206-209-210-207-212</t>
  </si>
  <si>
    <t>ΠΑΧΙΟΣ</t>
  </si>
  <si>
    <t>Ι733696</t>
  </si>
  <si>
    <t>211-210-209-207-206-205-203-212-201-204-202</t>
  </si>
  <si>
    <t>ΒΛΑΣΗ</t>
  </si>
  <si>
    <t>ΑΑ474278</t>
  </si>
  <si>
    <t>1354,6</t>
  </si>
  <si>
    <t>211-203-206-205-207-210-209</t>
  </si>
  <si>
    <t>ΜΠΑΛΑΓΟΥΡΑ</t>
  </si>
  <si>
    <t>ΑΕ990820</t>
  </si>
  <si>
    <t>1354,1</t>
  </si>
  <si>
    <t>205-206-207-209-210-212-211-201-203-204-202</t>
  </si>
  <si>
    <t>ΑΒΡΑΜΙΔΟΥ</t>
  </si>
  <si>
    <t>ΑΕ791440</t>
  </si>
  <si>
    <t>1353,2</t>
  </si>
  <si>
    <t>ΠΑΝΤΑΖΗ</t>
  </si>
  <si>
    <t>ΜΑΡΙΑ ΡΟΔΟΠΗ</t>
  </si>
  <si>
    <t>Φ299939</t>
  </si>
  <si>
    <t>1352,8</t>
  </si>
  <si>
    <t>206-210-212-204-201-202-205-207-209-211-203</t>
  </si>
  <si>
    <t>ΤΖΗΚΑ</t>
  </si>
  <si>
    <t>ΑΖ194541</t>
  </si>
  <si>
    <t>1352,6</t>
  </si>
  <si>
    <t>203-211-205-206-207-210-212-202-204</t>
  </si>
  <si>
    <t>ΔΡΙΖΗΣ</t>
  </si>
  <si>
    <t>ΑΖ795344</t>
  </si>
  <si>
    <t>863,5</t>
  </si>
  <si>
    <t>1352,5</t>
  </si>
  <si>
    <t>208-203-204-211-205-206-207-209-210-212-202-201</t>
  </si>
  <si>
    <t>ΚΑΤΣΑΝΟΥ</t>
  </si>
  <si>
    <t>ΑΖ005343</t>
  </si>
  <si>
    <t>1352,1</t>
  </si>
  <si>
    <t>204-206-210-205-209-207-212-203-201-211-202</t>
  </si>
  <si>
    <t>Σ358277</t>
  </si>
  <si>
    <t>1351,7</t>
  </si>
  <si>
    <t>201-206-205-207-209-210-212-203-211-202</t>
  </si>
  <si>
    <t>ΚΩΤΣΗ</t>
  </si>
  <si>
    <t xml:space="preserve">ΕΥΔΟΚΙΑ </t>
  </si>
  <si>
    <t>ΚΩΣΤΑΣ</t>
  </si>
  <si>
    <t>ΑΙ130056</t>
  </si>
  <si>
    <t>212-205-206-207-208-209-210</t>
  </si>
  <si>
    <t>ΠΟΥΛΟΥΛΗ</t>
  </si>
  <si>
    <t>ΑΚ966959</t>
  </si>
  <si>
    <t>683,1</t>
  </si>
  <si>
    <t>1351,1</t>
  </si>
  <si>
    <t>ΤΟΜΑΡΑ</t>
  </si>
  <si>
    <t>ΧΡΥΣΟΥΛΑ ΑΝΤΙΓΟΝΗ</t>
  </si>
  <si>
    <t>ΑΚ583980</t>
  </si>
  <si>
    <t>212-207-209-206-208-205-210-203-201-202-204</t>
  </si>
  <si>
    <t>ΚΑΛΟΓΡΙΑΝΙΤΗ</t>
  </si>
  <si>
    <t>ΑΕ328521</t>
  </si>
  <si>
    <t>1350,6</t>
  </si>
  <si>
    <t>ΛΑΜΠΡΟΥ</t>
  </si>
  <si>
    <t>ΑΜ180581</t>
  </si>
  <si>
    <t>206-210-205-202-207-209-211</t>
  </si>
  <si>
    <t>ΚΥΡΙΟΠΟΥΛΟΣ</t>
  </si>
  <si>
    <t>Χ073486</t>
  </si>
  <si>
    <t>894,3</t>
  </si>
  <si>
    <t>1350,3</t>
  </si>
  <si>
    <t>ΦΑΚΑ</t>
  </si>
  <si>
    <t>ΑΙ810011</t>
  </si>
  <si>
    <t>1349,9</t>
  </si>
  <si>
    <t>211-202-201-203-204-205-206-207-209-210-212</t>
  </si>
  <si>
    <t>ΓΛΑΥΤΣΗ</t>
  </si>
  <si>
    <t>ΑΚ851815</t>
  </si>
  <si>
    <t>206-210-212-204-201-202-203-205-207-209-211</t>
  </si>
  <si>
    <t>ΔΑΓΔΑΛΙΑΝΙΔΟΥ</t>
  </si>
  <si>
    <t>ΑΑ869775</t>
  </si>
  <si>
    <t>1347,7</t>
  </si>
  <si>
    <t>203-204-211-202-205-207-206-209-210-212-201</t>
  </si>
  <si>
    <t>ΣΑΛΑΜΕΤΗ</t>
  </si>
  <si>
    <t>ΑΖ557627</t>
  </si>
  <si>
    <t>1347,3</t>
  </si>
  <si>
    <t>205-206-207-209-210-212-201-203-211</t>
  </si>
  <si>
    <t>ΛΙΩΣΗ</t>
  </si>
  <si>
    <t>ΑΚ680943</t>
  </si>
  <si>
    <t>1346,9</t>
  </si>
  <si>
    <t>ΤΣΕΠΗ</t>
  </si>
  <si>
    <t>ΧΡΥΣΟΒΑΛΑΝΤΟΥ</t>
  </si>
  <si>
    <t>Φ256610</t>
  </si>
  <si>
    <t>1346,7</t>
  </si>
  <si>
    <t>210-206-201-202-203-204-205-207-208-209-211</t>
  </si>
  <si>
    <t>ΦΟΥΡΛΑΝΟΥ</t>
  </si>
  <si>
    <t>ΑΝΝΑ ΤΖΟΥΛΙΑ</t>
  </si>
  <si>
    <t>ΑΙ122601</t>
  </si>
  <si>
    <t>1345,7</t>
  </si>
  <si>
    <t>205-207-212-209-210-206</t>
  </si>
  <si>
    <t>ΦΑΚΙΤΣΑΣ</t>
  </si>
  <si>
    <t>ΑΙ867591</t>
  </si>
  <si>
    <t>1345,5</t>
  </si>
  <si>
    <t>211-203-201-202-204-205-206-207-208-209-210-212</t>
  </si>
  <si>
    <t>ΛΑΛΑΟΥΝΗ</t>
  </si>
  <si>
    <t>Χ645497</t>
  </si>
  <si>
    <t>1344,5</t>
  </si>
  <si>
    <t>ΧΟΥΛΗ</t>
  </si>
  <si>
    <t>ΑΠΟΣΤΟΛΙΑ</t>
  </si>
  <si>
    <t>Χ925476</t>
  </si>
  <si>
    <t>1344,4</t>
  </si>
  <si>
    <t>211-203-205-206-207-209-210-212-201-202-204</t>
  </si>
  <si>
    <t>ΣΜΠΡΙΝΗ</t>
  </si>
  <si>
    <t>ΑΙ983952</t>
  </si>
  <si>
    <t>1343,7</t>
  </si>
  <si>
    <t>207-209-210-205-206-212</t>
  </si>
  <si>
    <t>Τσαΐρας</t>
  </si>
  <si>
    <t>Βασίλειος</t>
  </si>
  <si>
    <t>ΑΖ901748</t>
  </si>
  <si>
    <t>1343,2</t>
  </si>
  <si>
    <t>ΤΟΥΜΠΑΝΟΥ</t>
  </si>
  <si>
    <t>ΑΗ504812</t>
  </si>
  <si>
    <t>1342,9</t>
  </si>
  <si>
    <t>ΜΑΡΙΑ-ΠΑΝΑΓΟΥΛΑ</t>
  </si>
  <si>
    <t>Χ049273</t>
  </si>
  <si>
    <t>1342,2</t>
  </si>
  <si>
    <t>ΔΙΠΛΑ</t>
  </si>
  <si>
    <t>ΑΜ012353</t>
  </si>
  <si>
    <t>1341,4</t>
  </si>
  <si>
    <t>210-206-207-209-212-205</t>
  </si>
  <si>
    <t>ΓΚΟΥΡΟΓΙΑΝΝΗ</t>
  </si>
  <si>
    <t>Χ064702</t>
  </si>
  <si>
    <t>1341,3</t>
  </si>
  <si>
    <t>210-205-212-214-215-202-204-203-216</t>
  </si>
  <si>
    <t>ΔΟΛΜΑΤΖΗ</t>
  </si>
  <si>
    <t>ΑΗ836756</t>
  </si>
  <si>
    <t>1340,7</t>
  </si>
  <si>
    <t>ΑΙ312407</t>
  </si>
  <si>
    <t>1340,6</t>
  </si>
  <si>
    <t>211-216-209-206-205-207-210</t>
  </si>
  <si>
    <t>ΚΟΝΤΟΥ</t>
  </si>
  <si>
    <t>ΜΑΛΑΜΑΣ</t>
  </si>
  <si>
    <t>ΑΙ736514</t>
  </si>
  <si>
    <t>1340,5</t>
  </si>
  <si>
    <t>203-205-207-209-206-210-212-211-204-202-201</t>
  </si>
  <si>
    <t>ΝΤΙΝΤΗ</t>
  </si>
  <si>
    <t>Φ474285</t>
  </si>
  <si>
    <t>211-204-203</t>
  </si>
  <si>
    <t>ΠΕΤΡΙΔΟΥ</t>
  </si>
  <si>
    <t>ΠΑΣΧΑΛΙΑ</t>
  </si>
  <si>
    <t>ΑΙ155776</t>
  </si>
  <si>
    <t>203-209-210-205-206-207-212-211-204-201-202</t>
  </si>
  <si>
    <t>ΣΕΙΤΑΡΙΔΟΥ</t>
  </si>
  <si>
    <t>ΑΒ443041</t>
  </si>
  <si>
    <t>690,8</t>
  </si>
  <si>
    <t>1338,8</t>
  </si>
  <si>
    <t>ΣΙΒΕΝΑ</t>
  </si>
  <si>
    <t>ΕΛΠΙΔΑ</t>
  </si>
  <si>
    <t>ΑΜ863821</t>
  </si>
  <si>
    <t>1338,4</t>
  </si>
  <si>
    <t>ΦΩΤΟΠΟΥΛΟΥ</t>
  </si>
  <si>
    <t>ΑΕ512944</t>
  </si>
  <si>
    <t>1337,8</t>
  </si>
  <si>
    <t>206-210-212-205-207-209</t>
  </si>
  <si>
    <t>ΠΑΤΡΙΝΑ</t>
  </si>
  <si>
    <t>ΑΕ702917</t>
  </si>
  <si>
    <t>1337,4</t>
  </si>
  <si>
    <t>ΚΩΝΣΤΑΝΤΟΠΟΥΛΟΥ</t>
  </si>
  <si>
    <t>Μ780703</t>
  </si>
  <si>
    <t>1337,2</t>
  </si>
  <si>
    <t>206-210-207-209-205-212-204-201-203-211-202-208</t>
  </si>
  <si>
    <t>ΕΥΔΟΞΙΑ</t>
  </si>
  <si>
    <t>ΑΕ652223</t>
  </si>
  <si>
    <t>1336,8</t>
  </si>
  <si>
    <t>ΑΘΑΝΑΣΙΑΔΗ</t>
  </si>
  <si>
    <t>ΧΙΟΝΑ</t>
  </si>
  <si>
    <t>ΑΒ924760</t>
  </si>
  <si>
    <t>1336,3</t>
  </si>
  <si>
    <t>203-205-207-209-206-210-212-204-211-201</t>
  </si>
  <si>
    <t>ΣΤΑΜΑΤΙΑ</t>
  </si>
  <si>
    <t>Ξ716494</t>
  </si>
  <si>
    <t>1335,6</t>
  </si>
  <si>
    <t>212-204-203-205-206-207-209-210-211-201-202-208</t>
  </si>
  <si>
    <t>ΑΗ007590</t>
  </si>
  <si>
    <t>1335,2</t>
  </si>
  <si>
    <t>205-206-207-209-210-212-201-204-211-203-202</t>
  </si>
  <si>
    <t>ΜΠΟΖΙΝΑΚΗ</t>
  </si>
  <si>
    <t>ΑΑ023105</t>
  </si>
  <si>
    <t>1334,6</t>
  </si>
  <si>
    <t>207-209-212-205-206-210-202-203</t>
  </si>
  <si>
    <t>ΖΑΧΑΡΗ</t>
  </si>
  <si>
    <t>ΑΒ282340</t>
  </si>
  <si>
    <t>1331,3</t>
  </si>
  <si>
    <t>205-206-207-208-209-210-212-202-203</t>
  </si>
  <si>
    <t>ΓΕΩΡΓΑΚΗ</t>
  </si>
  <si>
    <t>Χ951084</t>
  </si>
  <si>
    <t>1329,7</t>
  </si>
  <si>
    <t>203-211-204-206-210-205-207-208-209-212-201-202</t>
  </si>
  <si>
    <t>ΜΕΛΕΓΟΣ</t>
  </si>
  <si>
    <t>ΑΙ230639</t>
  </si>
  <si>
    <t>1329,3</t>
  </si>
  <si>
    <t>201-205-206-207-208-209-210-212-213-214-215-204-211</t>
  </si>
  <si>
    <t>ΚΑΡΑΚΙΚΕ</t>
  </si>
  <si>
    <t>Χ982166</t>
  </si>
  <si>
    <t>1328,5</t>
  </si>
  <si>
    <t>208-207-206-205-210-209-212-201-203-211-204</t>
  </si>
  <si>
    <t>ΚΥΡΙΑΖΟΠΟΥΛΟΣ</t>
  </si>
  <si>
    <t>ΑΜ686299</t>
  </si>
  <si>
    <t>1328,4</t>
  </si>
  <si>
    <t>203-207-206-205-209-210-212-204-211-202-201</t>
  </si>
  <si>
    <t>ΣΤΑΜΠΟΛΙΔΟΥ</t>
  </si>
  <si>
    <t>ΑΗ548913</t>
  </si>
  <si>
    <t>669,9</t>
  </si>
  <si>
    <t>1327,9</t>
  </si>
  <si>
    <t>206-205-207-208-209-210-212-203-201-202-204-211</t>
  </si>
  <si>
    <t>ΣΕΡΕΝΙΔΟΥ</t>
  </si>
  <si>
    <t>Φ161850</t>
  </si>
  <si>
    <t>1326,9</t>
  </si>
  <si>
    <t>ΠΑΠΑΡΓΥΡΗ</t>
  </si>
  <si>
    <t>Χ406036</t>
  </si>
  <si>
    <t>1326,4</t>
  </si>
  <si>
    <t>211-203-205-206-207-209-210-212</t>
  </si>
  <si>
    <t>ΤΖΑΒΑΡΑ</t>
  </si>
  <si>
    <t>ΡΑΦΑΕΛΑ</t>
  </si>
  <si>
    <t>Χ712091</t>
  </si>
  <si>
    <t>1325,7</t>
  </si>
  <si>
    <t>ΔΑΝΑΗ</t>
  </si>
  <si>
    <t>ΑΒ119444</t>
  </si>
  <si>
    <t>1325,1</t>
  </si>
  <si>
    <t>208-207-205-206-209-210-212-203-211-202-201</t>
  </si>
  <si>
    <t>ΓΑΡΥΦΑΛΙΑ</t>
  </si>
  <si>
    <t>ΑΙ957977</t>
  </si>
  <si>
    <t>1324,7</t>
  </si>
  <si>
    <t>ΓΑΛΛΙΑΣ</t>
  </si>
  <si>
    <t>ΑΙ601936</t>
  </si>
  <si>
    <t>ΚΑΡΑΓΕΩΡΓΙΟΥ</t>
  </si>
  <si>
    <t>ΑΙ127768</t>
  </si>
  <si>
    <t>1322,4</t>
  </si>
  <si>
    <t>205-206-207-209-210-212-202-201-203-204-211</t>
  </si>
  <si>
    <t>ΑΙ574937</t>
  </si>
  <si>
    <t>210-205-212-209-206-207-201-203-211</t>
  </si>
  <si>
    <t>ΣΤΑΤΗΡΑΣ</t>
  </si>
  <si>
    <t>ΑΗ727418</t>
  </si>
  <si>
    <t>201-202-203-205-206-207-209-210-212</t>
  </si>
  <si>
    <t>ΠΑΠΑΧΡΗΣΤΟΥ</t>
  </si>
  <si>
    <t>ΑΚ378995</t>
  </si>
  <si>
    <t>1322,1</t>
  </si>
  <si>
    <t>202-211-201-204-203-205-206-207-208-209-210-212</t>
  </si>
  <si>
    <t>ΜΠΑΤΣΙΚΑΝΗ</t>
  </si>
  <si>
    <t>ΕΥΜΟΡΦΙΑ</t>
  </si>
  <si>
    <t>ΙΑΚΩΒΟΣ</t>
  </si>
  <si>
    <t>ΑΕ976950</t>
  </si>
  <si>
    <t>1321,6</t>
  </si>
  <si>
    <t>207-205-203-206-209-210-212-211-204-201-202</t>
  </si>
  <si>
    <t>ΚΑΡΑΝΤΑΚΟΥ</t>
  </si>
  <si>
    <t>ΑΖ272834</t>
  </si>
  <si>
    <t>1319,8</t>
  </si>
  <si>
    <t>204-206-210-212</t>
  </si>
  <si>
    <t>ΜΠΑΛΟΥ</t>
  </si>
  <si>
    <t>ΑΕ298356</t>
  </si>
  <si>
    <t>1319,5</t>
  </si>
  <si>
    <t>205-206-207-208-209-210-203-204-212-211-201-202</t>
  </si>
  <si>
    <t>NTOKA</t>
  </si>
  <si>
    <t>ΛΙΤΣΑ-ΧΡΙΣΤΙΝΑ</t>
  </si>
  <si>
    <t>Π904215</t>
  </si>
  <si>
    <t>211-210-206-212-204-201-203-205-207-209-202</t>
  </si>
  <si>
    <t>ΤΣΕΛΛΟΥ</t>
  </si>
  <si>
    <t>ΑΑ078719</t>
  </si>
  <si>
    <t>207-205-206-209-210-208-212-211-201</t>
  </si>
  <si>
    <t>ΚΟΥΜΑΝΤΖΕΛΗΣ</t>
  </si>
  <si>
    <t>ΝΙΚΟΣ</t>
  </si>
  <si>
    <t>ΑΙ867382</t>
  </si>
  <si>
    <t>1316,9</t>
  </si>
  <si>
    <t>211-203-206-210-212-204-201-202</t>
  </si>
  <si>
    <t>ΖΩΓΡΑΦΙΔΟΥ</t>
  </si>
  <si>
    <t>ΑΒ750564</t>
  </si>
  <si>
    <t>ΚΥΡΙΑΚΙΔΟΥ</t>
  </si>
  <si>
    <t>ΑΖ147508</t>
  </si>
  <si>
    <t>1314,7</t>
  </si>
  <si>
    <t>ΛΑΜΠΡΙΑΝΙΔΟΥ</t>
  </si>
  <si>
    <t>ΑΑ468385</t>
  </si>
  <si>
    <t>1313,6</t>
  </si>
  <si>
    <t>203-208</t>
  </si>
  <si>
    <t>ΧΑΥΔΑ</t>
  </si>
  <si>
    <t>ΑΖ264924</t>
  </si>
  <si>
    <t>1312,9</t>
  </si>
  <si>
    <t>ΔΕΛΗΓΕΩΡΓΗ</t>
  </si>
  <si>
    <t>Φ308412</t>
  </si>
  <si>
    <t>ΚΟΥΡΑΚΟΥ</t>
  </si>
  <si>
    <t>ΑΜ107945</t>
  </si>
  <si>
    <t>634,7</t>
  </si>
  <si>
    <t>1312,7</t>
  </si>
  <si>
    <t>206-210-212</t>
  </si>
  <si>
    <t>ΓΚΙΡΤΖΟΥ</t>
  </si>
  <si>
    <t>ΠΑΡΙΣΗΣ</t>
  </si>
  <si>
    <t>ΑΙ376732</t>
  </si>
  <si>
    <t>1311,4</t>
  </si>
  <si>
    <t>204-210-206-212-201-202-203-205-207-209</t>
  </si>
  <si>
    <t>ΣΚΡΙΒΑ</t>
  </si>
  <si>
    <t>ΛΙΛΙΑ</t>
  </si>
  <si>
    <t>ΑΜ094910</t>
  </si>
  <si>
    <t>ΑΕ681533</t>
  </si>
  <si>
    <t>1309,9</t>
  </si>
  <si>
    <t>ΑΜ587039</t>
  </si>
  <si>
    <t>1309,7</t>
  </si>
  <si>
    <t>ΠΟΛΥΜΕΡΟΥ</t>
  </si>
  <si>
    <t>Χ411877</t>
  </si>
  <si>
    <t>1309,4</t>
  </si>
  <si>
    <t>211-203-204-205-206-207-208-209-210-212</t>
  </si>
  <si>
    <t>Χ534447</t>
  </si>
  <si>
    <t>1308,7</t>
  </si>
  <si>
    <t>208-207-206-209-205-210-212</t>
  </si>
  <si>
    <t>ΚΛΩΜΙΔΙΩΤΗ</t>
  </si>
  <si>
    <t>ΑΖ370238</t>
  </si>
  <si>
    <t>203-205-206-207-209-210-212-201-202-204-211</t>
  </si>
  <si>
    <t>ΤΣΙΩΛΗ</t>
  </si>
  <si>
    <t>ΑΒ366030</t>
  </si>
  <si>
    <t>ΗΡΑΚΛΗΣ</t>
  </si>
  <si>
    <t>Χ806060</t>
  </si>
  <si>
    <t>1306,4</t>
  </si>
  <si>
    <t>208-209-210-205-207-206-212-201</t>
  </si>
  <si>
    <t>ΨΑΝΗ</t>
  </si>
  <si>
    <t>ΑΚ409909</t>
  </si>
  <si>
    <t>1305,7</t>
  </si>
  <si>
    <t>211-204-205-206-209-210-212</t>
  </si>
  <si>
    <t>ΑΙ995676</t>
  </si>
  <si>
    <t>1305,5</t>
  </si>
  <si>
    <t>206-210-201-202</t>
  </si>
  <si>
    <t>ΙΩΑΚΕΙΜΙΔΟΥ</t>
  </si>
  <si>
    <t>ΑΑ099855</t>
  </si>
  <si>
    <t>1303,7</t>
  </si>
  <si>
    <t>ΣΟΛΑΚΗ</t>
  </si>
  <si>
    <t>ΑΗ964495</t>
  </si>
  <si>
    <t>202-203</t>
  </si>
  <si>
    <t>Χ861394</t>
  </si>
  <si>
    <t>1299,8</t>
  </si>
  <si>
    <t>ΔΟΥΜΑ</t>
  </si>
  <si>
    <t>ΑΗ709266</t>
  </si>
  <si>
    <t>1298,9</t>
  </si>
  <si>
    <t>201-205-206-207-208-209-210-212-204-202-203-211</t>
  </si>
  <si>
    <t>ΚΑΛΑΛΑ</t>
  </si>
  <si>
    <t>ΑΕ251399</t>
  </si>
  <si>
    <t>1298,7</t>
  </si>
  <si>
    <t>208-207-210-205-206-209-212-201</t>
  </si>
  <si>
    <t>ΠΑΠΑΣΤΑΜΑΤΗ</t>
  </si>
  <si>
    <t>ΑΗ276726</t>
  </si>
  <si>
    <t>1297,9</t>
  </si>
  <si>
    <t>ΤΣΑΤΣΟΥ</t>
  </si>
  <si>
    <t>ΑΕ192342</t>
  </si>
  <si>
    <t>1296,4</t>
  </si>
  <si>
    <t>203-207-205-211-204-206-210-209-212</t>
  </si>
  <si>
    <t>ΠΑΝΟΥΣΑΚΗ</t>
  </si>
  <si>
    <t>ΑΙ672313</t>
  </si>
  <si>
    <t>1295,6</t>
  </si>
  <si>
    <t>206-210-212-207-209-205</t>
  </si>
  <si>
    <t>ΠΑΝΑΓΙΩΤΟΥ</t>
  </si>
  <si>
    <t>ΑΚ058939</t>
  </si>
  <si>
    <t>954,8</t>
  </si>
  <si>
    <t>1294,8</t>
  </si>
  <si>
    <t>208-210-209-207-206-205-212-203-204-201-202-211</t>
  </si>
  <si>
    <t>ΘΕΙΑΚΟΥ</t>
  </si>
  <si>
    <t>ΑΜ903873</t>
  </si>
  <si>
    <t>672,1</t>
  </si>
  <si>
    <t>1294,1</t>
  </si>
  <si>
    <t>202-206-210-212-201-204-208-203-205-207-209-211</t>
  </si>
  <si>
    <t>ΜΠΑΝΤΕΚΑ</t>
  </si>
  <si>
    <t>Τ024686</t>
  </si>
  <si>
    <t>205-206-207-209-210-211-204-201-202-203</t>
  </si>
  <si>
    <t>ΓΑΜΠΑ</t>
  </si>
  <si>
    <t>ΑΚ877634</t>
  </si>
  <si>
    <t>1293,9</t>
  </si>
  <si>
    <t>206-210-212-204-202-201-203-211-205-208-209</t>
  </si>
  <si>
    <t>ΚΟΥΝΔΟΥΡΑΚΗΣ</t>
  </si>
  <si>
    <t>ΑΙΜΙΛΙΟΣ</t>
  </si>
  <si>
    <t>ΑΚ621078</t>
  </si>
  <si>
    <t>1293,4</t>
  </si>
  <si>
    <t>207-210-212-205-209-206-202-201-211-203</t>
  </si>
  <si>
    <t>ΝΕΚΤΑΡΙΑ-ΜΑΡΙΑ</t>
  </si>
  <si>
    <t>ΑΝ022192</t>
  </si>
  <si>
    <t>1293,1</t>
  </si>
  <si>
    <t>202-212-206-210-204-201</t>
  </si>
  <si>
    <t>ΓΚΟΥΛΟΥΝΗ</t>
  </si>
  <si>
    <t>Χ968485</t>
  </si>
  <si>
    <t>1292,6</t>
  </si>
  <si>
    <t>203-204-211-201-202-205-207-212-206-208-209-210</t>
  </si>
  <si>
    <t>ΣΠΗΛΙΟΠΟΥΛΟΥ</t>
  </si>
  <si>
    <t>ΘΕΟΔΟΣΙΑ</t>
  </si>
  <si>
    <t>ΑΒ767167</t>
  </si>
  <si>
    <t>1292,3</t>
  </si>
  <si>
    <t>205-206-207-208-209-210-212-201-203-202-204-211</t>
  </si>
  <si>
    <t>ΣΥΝΟΛΑΚΗ</t>
  </si>
  <si>
    <t>Χ462061</t>
  </si>
  <si>
    <t>793,1</t>
  </si>
  <si>
    <t>1292,1</t>
  </si>
  <si>
    <t>202-205-206-207-208-209-210-212-203-201-204-211</t>
  </si>
  <si>
    <t>ΘΕΟΧΑΡΟΠΟΥΛΟΥ</t>
  </si>
  <si>
    <t>ΜΑΡΙΑ-ΤΕΡΕΖΑ</t>
  </si>
  <si>
    <t>ΘΕΟΧΑΡΗΣ</t>
  </si>
  <si>
    <t>ΑΒ549237</t>
  </si>
  <si>
    <t>1291,2</t>
  </si>
  <si>
    <t>205-207-203-210-206-212-209-204-201-211-202-208</t>
  </si>
  <si>
    <t>Ξ643656</t>
  </si>
  <si>
    <t>1290,9</t>
  </si>
  <si>
    <t>204-211-203-212-206-210-209-205-207-201-202-208</t>
  </si>
  <si>
    <t>ΤΕΡΖΟΥΔΗ</t>
  </si>
  <si>
    <t>ΑΗ774808</t>
  </si>
  <si>
    <t>1290,8</t>
  </si>
  <si>
    <t>211-203-212-205-206-207-208-209-210-204-201-202</t>
  </si>
  <si>
    <t>ΣΤΕΡΓΙΟΥ</t>
  </si>
  <si>
    <t>ΧΡΙΣΤΙΝΑ-ΓΕΩΡΓΙΑ</t>
  </si>
  <si>
    <t>Π543737</t>
  </si>
  <si>
    <t>642,4</t>
  </si>
  <si>
    <t>1290,4</t>
  </si>
  <si>
    <t>ΠΑΠΑΞΑΝΘΗ</t>
  </si>
  <si>
    <t>ΑΒ101621</t>
  </si>
  <si>
    <t>1288,5</t>
  </si>
  <si>
    <t>ΓΙΑΝΝΙΤΣΗ</t>
  </si>
  <si>
    <t>ΑΖ775004</t>
  </si>
  <si>
    <t>1286,8</t>
  </si>
  <si>
    <t>ΜΠΑΤΣΙΟΥ</t>
  </si>
  <si>
    <t>ΑΖ682610</t>
  </si>
  <si>
    <t>203-205-207-208-206-209-210-211-204-212-202-201</t>
  </si>
  <si>
    <t>ΑΗ197742</t>
  </si>
  <si>
    <t>1284,8</t>
  </si>
  <si>
    <t>202-204-203-206-207-208-209-210-205-211-212-201</t>
  </si>
  <si>
    <t>ΑΒ540894</t>
  </si>
  <si>
    <t>1284,4</t>
  </si>
  <si>
    <t>ΔΕΔΕ</t>
  </si>
  <si>
    <t>ΣΑΡΑΝΤΟΣ</t>
  </si>
  <si>
    <t>ΑΒ229645</t>
  </si>
  <si>
    <t>1282,1</t>
  </si>
  <si>
    <t>ΤΣΕΛΙΟΥ</t>
  </si>
  <si>
    <t>ΤΑΣΟΥΛΑ</t>
  </si>
  <si>
    <t>Φ351626</t>
  </si>
  <si>
    <t>1280,3</t>
  </si>
  <si>
    <t>205-206-207-209-210-208-212</t>
  </si>
  <si>
    <t>ΦΩΛΙΑ</t>
  </si>
  <si>
    <t>ΑΖ666056</t>
  </si>
  <si>
    <t>1279,9</t>
  </si>
  <si>
    <t>ΒΟΥΛΓΑΡΗ</t>
  </si>
  <si>
    <t>Ρ986619</t>
  </si>
  <si>
    <t>ΜΥΣΤΡΙΩΤΗ</t>
  </si>
  <si>
    <t>ΓΡΗΓΟΡΙΑ</t>
  </si>
  <si>
    <t>ΑΚ367781</t>
  </si>
  <si>
    <t>1279,1</t>
  </si>
  <si>
    <t>208-205-207-209-206-210-212-203</t>
  </si>
  <si>
    <t>ΒΑΛΑΡΗ</t>
  </si>
  <si>
    <t>ΑΜ059712</t>
  </si>
  <si>
    <t>1278,3</t>
  </si>
  <si>
    <t>207-206-210-205-209-211-212</t>
  </si>
  <si>
    <t>ΚΟΝΤΑΡΓΥΡΗ</t>
  </si>
  <si>
    <t>ΑΜ244288</t>
  </si>
  <si>
    <t>205-206-207-209-212-210</t>
  </si>
  <si>
    <t>ΓΚΛΑΒΑΝΟΣ</t>
  </si>
  <si>
    <t>ΠΑΝΑΓΙΩΤΗΣ-ΣΠΥΡΙΔΩΝ</t>
  </si>
  <si>
    <t>ΛΟΥΚΑΣ</t>
  </si>
  <si>
    <t>Χ219247</t>
  </si>
  <si>
    <t>ΜΟΙΡΑ</t>
  </si>
  <si>
    <t>ΜΑΡΙΑ ΑΓΓΕΛΙΚΗ</t>
  </si>
  <si>
    <t>ΑΙ475772</t>
  </si>
  <si>
    <t>1276,9</t>
  </si>
  <si>
    <t>205-206-207-209-210-212-202-211-203-201-204</t>
  </si>
  <si>
    <t>ΤΣΙΑΚΙΡΙΔΟΥ</t>
  </si>
  <si>
    <t>Π646629</t>
  </si>
  <si>
    <t>1275,8</t>
  </si>
  <si>
    <t>206-210-205-207-208-209-212-201-203-204-211-202</t>
  </si>
  <si>
    <t>ΚΕΠΕΝΟΥ</t>
  </si>
  <si>
    <t>ΑΣΗΜΩ</t>
  </si>
  <si>
    <t>Χ292935</t>
  </si>
  <si>
    <t>1275,4</t>
  </si>
  <si>
    <t>206-210-212-205-207-209-208</t>
  </si>
  <si>
    <t>ΤΣΟΔΟΥΛΟΥ</t>
  </si>
  <si>
    <t>ΑΒ408571</t>
  </si>
  <si>
    <t>1274,8</t>
  </si>
  <si>
    <t>208-205-206-207-209-210-204-212-201-203-211-202</t>
  </si>
  <si>
    <t>ΚΟΥΤΣΟΓΙΑΝΝΗ</t>
  </si>
  <si>
    <t>ΑΒ106451</t>
  </si>
  <si>
    <t>1274,7</t>
  </si>
  <si>
    <t>210-206-201-202-211-207-205-209-212-203-204</t>
  </si>
  <si>
    <t>ΚΙΡΚΑΣΙΑΔΟΥ</t>
  </si>
  <si>
    <t>ΘΕΑΝΩ</t>
  </si>
  <si>
    <t>ΑΖ381674</t>
  </si>
  <si>
    <t>1274,6</t>
  </si>
  <si>
    <t>201-202-206-210-203-204-205-207-208-209-211-212</t>
  </si>
  <si>
    <t>ΠΑΡΣΕΛΙΑ</t>
  </si>
  <si>
    <t>ΜΑΡΙΑ ΧΡΙΣΤΙΝΑ</t>
  </si>
  <si>
    <t>ΑΗ068086</t>
  </si>
  <si>
    <t>1272,7</t>
  </si>
  <si>
    <t>205-207-206-209-210-212-215</t>
  </si>
  <si>
    <t>ΚΟΛΩΝΙΑΡΗΣ</t>
  </si>
  <si>
    <t>ΑΗ820063</t>
  </si>
  <si>
    <t>1272,2</t>
  </si>
  <si>
    <t>202-203-205-206-207-208-209-210-211-212</t>
  </si>
  <si>
    <t>ΑΒ752072</t>
  </si>
  <si>
    <t>201-205-206-207-208-209-210-212-203-202-204-211</t>
  </si>
  <si>
    <t>ΣΤΟΥΠΑ</t>
  </si>
  <si>
    <t>ΕΠΑΜΕΙΝΩΝΔΑΣ</t>
  </si>
  <si>
    <t>ΑΙ229620</t>
  </si>
  <si>
    <t>1268,9</t>
  </si>
  <si>
    <t>201-204-206-210-212-202-203-205-207-209-211</t>
  </si>
  <si>
    <t>ΤΣΙΓΚΡΑ</t>
  </si>
  <si>
    <t>ΑΜ388103</t>
  </si>
  <si>
    <t>608,3</t>
  </si>
  <si>
    <t>1266,3</t>
  </si>
  <si>
    <t>211-203-210-209-208-207-206-205-212-204-201-202</t>
  </si>
  <si>
    <t>ΑΝΤΩΝΟΓΙΑΝΝΑΚΗ</t>
  </si>
  <si>
    <t>ΖΗΝΟΒΙΑ</t>
  </si>
  <si>
    <t>ΜΥΡΩΝ</t>
  </si>
  <si>
    <t>Φ250652</t>
  </si>
  <si>
    <t>1263,9</t>
  </si>
  <si>
    <t>207-209-210-206-205-212-203-202-201-211-204</t>
  </si>
  <si>
    <t>ΑΛΜΥΡΙΩΤΟΥ</t>
  </si>
  <si>
    <t>Χ726484</t>
  </si>
  <si>
    <t>1262,7</t>
  </si>
  <si>
    <t>ΑΜ440024</t>
  </si>
  <si>
    <t>1261,7</t>
  </si>
  <si>
    <t>Χ839416</t>
  </si>
  <si>
    <t>1261,5</t>
  </si>
  <si>
    <t>209-210-207-208-212-206-205</t>
  </si>
  <si>
    <t>ΚΑΛΟΓΕΡΟΠΟΥΛΟΥ</t>
  </si>
  <si>
    <t>Τ087107</t>
  </si>
  <si>
    <t>208-206-210-205-207-209-212</t>
  </si>
  <si>
    <t>ΤΣΙΑΧΡΗ</t>
  </si>
  <si>
    <t>ΚΩΝΣΤΑΝΤΙΑ</t>
  </si>
  <si>
    <t>ΑΕ724398</t>
  </si>
  <si>
    <t>205-206-207-209-210-212-211-203-202-204-201</t>
  </si>
  <si>
    <t>ΚΟΚΚΙΝΟΣ</t>
  </si>
  <si>
    <t>ΑΙ446264</t>
  </si>
  <si>
    <t>1260,4</t>
  </si>
  <si>
    <t>ΣΚΟΠΟΥΛΗ</t>
  </si>
  <si>
    <t>ΑΙ506023</t>
  </si>
  <si>
    <t>1259,8</t>
  </si>
  <si>
    <t>204-205-207-206-209-210-212-208</t>
  </si>
  <si>
    <t>ΠΟΛΥΒΙΟΣ</t>
  </si>
  <si>
    <t>ΑΑ016050</t>
  </si>
  <si>
    <t>1259,7</t>
  </si>
  <si>
    <t>ΓΑΖΗ</t>
  </si>
  <si>
    <t>ΑΒ263689</t>
  </si>
  <si>
    <t>784,3</t>
  </si>
  <si>
    <t>1259,3</t>
  </si>
  <si>
    <t>208-207-206-209-205-210-212-201-203-211-202-204</t>
  </si>
  <si>
    <t>ΑΙΒΑΛΗ</t>
  </si>
  <si>
    <t>ΧΡΙΣΤΙΝΑ - ΣΤΑΥΡΟΥΛΑ</t>
  </si>
  <si>
    <t>Χ010088</t>
  </si>
  <si>
    <t>647,9</t>
  </si>
  <si>
    <t>1258,9</t>
  </si>
  <si>
    <t>206-210-212-205-207-209-201-204-202-203-211</t>
  </si>
  <si>
    <t>ΚΟΥΦΕΛΟΥ</t>
  </si>
  <si>
    <t>ΕΥΓΕΝΙΑ - ΕΥΤΥΧΙΑ</t>
  </si>
  <si>
    <t>ΑΗ927146</t>
  </si>
  <si>
    <t>1256,8</t>
  </si>
  <si>
    <t>ΓΑΛΟΓΑΥΡΟΥ</t>
  </si>
  <si>
    <t>ΑΖ773675</t>
  </si>
  <si>
    <t>1255,2</t>
  </si>
  <si>
    <t>ΦΑΝΙΚΟΥ</t>
  </si>
  <si>
    <t>ΑΜ822249</t>
  </si>
  <si>
    <t>1255,1</t>
  </si>
  <si>
    <t>1252,5</t>
  </si>
  <si>
    <t>ΚΑΡΑΜΗΤΡΑΚΗ</t>
  </si>
  <si>
    <t>ΑΕ803233</t>
  </si>
  <si>
    <t>1250,8</t>
  </si>
  <si>
    <t>203-211-204-206-205-207-209-210-212-201-202</t>
  </si>
  <si>
    <t>ΚΟΥΤΣΙΜΠΟΥ</t>
  </si>
  <si>
    <t>ΑΗ282728</t>
  </si>
  <si>
    <t>212-205-206-207-208-209-210-211-203-201-204-202</t>
  </si>
  <si>
    <t>ΠΑΠΑΠΟΣΤΟΛΟΥ</t>
  </si>
  <si>
    <t>Χ910726</t>
  </si>
  <si>
    <t>1247,7</t>
  </si>
  <si>
    <t>211-203-205-206-207-209-210-212-204-201</t>
  </si>
  <si>
    <t>ΚΑΡΑΘΑΝΟΥ</t>
  </si>
  <si>
    <t>ΑΙ346048</t>
  </si>
  <si>
    <t>938,3</t>
  </si>
  <si>
    <t>1247,3</t>
  </si>
  <si>
    <t>ΖΑΒΙΤΣΑΝΑΚΗ</t>
  </si>
  <si>
    <t>ΜΑΡΙΑ-ΧΡΙΣΤΙΝΑ</t>
  </si>
  <si>
    <t>Χ776033</t>
  </si>
  <si>
    <t>1246,9</t>
  </si>
  <si>
    <t>ΚΩΣΤΑΚΟΠΟΥΛΟΥ</t>
  </si>
  <si>
    <t>ΝΙΚΟΛΙΑ</t>
  </si>
  <si>
    <t>Φ043329</t>
  </si>
  <si>
    <t>1246,1</t>
  </si>
  <si>
    <t>206-210-212-205-207-208-209-201-202-203-204-211</t>
  </si>
  <si>
    <t>ΤΣΟΧΑΝΤΑΡΗ</t>
  </si>
  <si>
    <t>Π446137</t>
  </si>
  <si>
    <t>628,1</t>
  </si>
  <si>
    <t>205-206-207-208-209-210-212-204-201-203-202-211</t>
  </si>
  <si>
    <t>ΔΕΛΗΜΑΝΗ</t>
  </si>
  <si>
    <t>ΑΒ562683</t>
  </si>
  <si>
    <t>624,8</t>
  </si>
  <si>
    <t>1242,8</t>
  </si>
  <si>
    <t>ΜΑΝΤΑ</t>
  </si>
  <si>
    <t>ΑΜ732935</t>
  </si>
  <si>
    <t>1242,1</t>
  </si>
  <si>
    <t>201-206-210-212-205-207-209</t>
  </si>
  <si>
    <t>ΒΑΣΙΛΕΙΑΔΟΥ</t>
  </si>
  <si>
    <t>Χ940514</t>
  </si>
  <si>
    <t>1240,9</t>
  </si>
  <si>
    <t>203-204-206-207-209-210-211-212-205-202-201</t>
  </si>
  <si>
    <t>ΧΡΙΣΤΟΦΙΛH</t>
  </si>
  <si>
    <t>ΑΜ632037</t>
  </si>
  <si>
    <t>209-208-205-210-206-212-207-203-202</t>
  </si>
  <si>
    <t>ΚΑΛΛΙΕΡΗ</t>
  </si>
  <si>
    <t>Χ207832</t>
  </si>
  <si>
    <t>1236,1</t>
  </si>
  <si>
    <t>207-208-209-210-205-206-212</t>
  </si>
  <si>
    <t>ΛΙΑΠΗ</t>
  </si>
  <si>
    <t>ΑΗ554821</t>
  </si>
  <si>
    <t>205-206-207-209-210-212-203-201-204-202-211</t>
  </si>
  <si>
    <t>ΛΕΓΓΑ</t>
  </si>
  <si>
    <t>ΑΗ513538</t>
  </si>
  <si>
    <t>614,9</t>
  </si>
  <si>
    <t>1232,9</t>
  </si>
  <si>
    <t>Χ335019</t>
  </si>
  <si>
    <t>1232,6</t>
  </si>
  <si>
    <t>207-205-206-209-210</t>
  </si>
  <si>
    <t>ΘΕΟΔΩΡΟΠΟΥΛΟΥ</t>
  </si>
  <si>
    <t>ΑΓΓΕΛΙΚΗ- ΝΕΦΕΛΗ</t>
  </si>
  <si>
    <t>ΦΡΑΓΚΙΣΚΟΣ</t>
  </si>
  <si>
    <t>Χ078133</t>
  </si>
  <si>
    <t>1231,4</t>
  </si>
  <si>
    <t>ΜΟΥΤΑΦΗ</t>
  </si>
  <si>
    <t>ΚΡΥΣΤΑΛΛΙΑ</t>
  </si>
  <si>
    <t>ΑΕ648959</t>
  </si>
  <si>
    <t>1230,7</t>
  </si>
  <si>
    <t>203-201-202-204-205-206-207-208-209-210-211-212</t>
  </si>
  <si>
    <t>ΚΟΜΠΟΥΡΗ</t>
  </si>
  <si>
    <t>Χ483341</t>
  </si>
  <si>
    <t>1228,1</t>
  </si>
  <si>
    <t>ΣΒΑΝΑ</t>
  </si>
  <si>
    <t>ΓΑΡΥΦΑΛΛΟΣ</t>
  </si>
  <si>
    <t>ΑΜ485709</t>
  </si>
  <si>
    <t>1227,4</t>
  </si>
  <si>
    <t>206-207-209-210-212-205-203-202-201-204</t>
  </si>
  <si>
    <t>ΣΕΜΚΟΥ</t>
  </si>
  <si>
    <t>ΑΒ151732</t>
  </si>
  <si>
    <t>842,6</t>
  </si>
  <si>
    <t>1226,6</t>
  </si>
  <si>
    <t>Φ147096</t>
  </si>
  <si>
    <t>1226,3</t>
  </si>
  <si>
    <t>ΣΑΛΑΠΑΤΑΣ</t>
  </si>
  <si>
    <t>ΑΙ243299</t>
  </si>
  <si>
    <t>1226,2</t>
  </si>
  <si>
    <t>203-204-211-201-202-212-207-205-206-209-210</t>
  </si>
  <si>
    <t>ΠΕΤΡΟΠΟΥΛΟΣ</t>
  </si>
  <si>
    <t>ΑΚ419972</t>
  </si>
  <si>
    <t xml:space="preserve">ΕΛΕΝΗ </t>
  </si>
  <si>
    <t>Χ957438</t>
  </si>
  <si>
    <t>1224,1</t>
  </si>
  <si>
    <t>203-205-206-207-208-209-210-212-211-202</t>
  </si>
  <si>
    <t>ΒΑΦΕΙΑΔΗ</t>
  </si>
  <si>
    <t>Τ350235</t>
  </si>
  <si>
    <t>673,2</t>
  </si>
  <si>
    <t>1213,2</t>
  </si>
  <si>
    <t>ΑΓΓΕΛΑΚΟΥ</t>
  </si>
  <si>
    <t>ΠΟΛΥΤΙΜΗ</t>
  </si>
  <si>
    <t>ΑΓΓΕΛΗΣ</t>
  </si>
  <si>
    <t>ΑΒ265840</t>
  </si>
  <si>
    <t>207-205-206-208-209-210</t>
  </si>
  <si>
    <t>ΚΕΚΕΡΗΣ</t>
  </si>
  <si>
    <t>ΑΑ487678</t>
  </si>
  <si>
    <t>1211,5</t>
  </si>
  <si>
    <t>203-204-202-201-211-205-206-207-208-209-210-212</t>
  </si>
  <si>
    <t>ΕΥΜΟΡΦΟΠΟΥΛΟΥ</t>
  </si>
  <si>
    <t>ΑΕ331420</t>
  </si>
  <si>
    <t>1211,4</t>
  </si>
  <si>
    <t>208-205-206-207-209-210-212-203-201-204-211</t>
  </si>
  <si>
    <t>ΝΙΚΟΛΑ</t>
  </si>
  <si>
    <t>ΜΙΧΑΛΗΣ</t>
  </si>
  <si>
    <t>ΑΜ598430</t>
  </si>
  <si>
    <t>210-206-212</t>
  </si>
  <si>
    <t>ΧΑΤΖΗΠΑΥΛΟΥ</t>
  </si>
  <si>
    <t>Φ167669</t>
  </si>
  <si>
    <t>1210,1</t>
  </si>
  <si>
    <t>203-211-204-206-210-207-212-205-209-202-201</t>
  </si>
  <si>
    <t>ΠΗΧΑ</t>
  </si>
  <si>
    <t>ΚΛΕΑΡΧΟΣ</t>
  </si>
  <si>
    <t>Σ596044</t>
  </si>
  <si>
    <t>207-205-203</t>
  </si>
  <si>
    <t>ΚΟΥΝΑΒΑ</t>
  </si>
  <si>
    <t>ΑΚ427761</t>
  </si>
  <si>
    <t>202-203-204-205-206-207-209-210-211-212</t>
  </si>
  <si>
    <t>ΣΑΚΚΑΛΗ</t>
  </si>
  <si>
    <t>ΜΑΡΙΑ ΒΑΣΙΛΙΚΗ</t>
  </si>
  <si>
    <t>ΑΖ998041</t>
  </si>
  <si>
    <t>201-205-206-207-208-209-210-211-212</t>
  </si>
  <si>
    <t>ΒΙΤΣΑΡΑ</t>
  </si>
  <si>
    <t>ΑΑ040097</t>
  </si>
  <si>
    <t>1205,6</t>
  </si>
  <si>
    <t>214-212-210-209-206-207-205-215-208-201-204-211-202-203-216-213</t>
  </si>
  <si>
    <t>ΝΤΡΕΓΚΑ</t>
  </si>
  <si>
    <t>ΙΩΑΝΝΑ ΕΛΕΥΘΕΡΙΑ</t>
  </si>
  <si>
    <t>ΑΚ054007</t>
  </si>
  <si>
    <t>1202,8</t>
  </si>
  <si>
    <t>ΑΖ587402</t>
  </si>
  <si>
    <t>1202,7</t>
  </si>
  <si>
    <t>ΝΕΡΑΝΤΖΗΣ</t>
  </si>
  <si>
    <t>ΑΙ843091</t>
  </si>
  <si>
    <t>1202,5</t>
  </si>
  <si>
    <t>ΑΚ149425</t>
  </si>
  <si>
    <t>1201,7</t>
  </si>
  <si>
    <t>205-206-207-208-209-210-212-202-201-211-203-204</t>
  </si>
  <si>
    <t>ΤΖΑΤΣΗ</t>
  </si>
  <si>
    <t>ΑΚ794252</t>
  </si>
  <si>
    <t>1201,4</t>
  </si>
  <si>
    <t>ΚΙΤΣΙΛΗ</t>
  </si>
  <si>
    <t>ΧΑΡΙΚΛΕΙΑ</t>
  </si>
  <si>
    <t>ΑΑ376125</t>
  </si>
  <si>
    <t>204-206-210-212-202-201-203-205-207-209-211</t>
  </si>
  <si>
    <t>ΜΑΛΑΦΟΥΡΗ</t>
  </si>
  <si>
    <t>Χ650532</t>
  </si>
  <si>
    <t>212-207-206-205-209-210-208</t>
  </si>
  <si>
    <t>ΚΟΚΟΡΗΣ</t>
  </si>
  <si>
    <t>ΑΚ242962</t>
  </si>
  <si>
    <t>1199,6</t>
  </si>
  <si>
    <t>212-210-209-207-206-205-201-203-202-211-204</t>
  </si>
  <si>
    <t>ΚΟΥΤΑΒΑ</t>
  </si>
  <si>
    <t>ΜΑΡΙΕΛΕΝΗ</t>
  </si>
  <si>
    <t>ΓΕΡΑΣΙΜΟΣ</t>
  </si>
  <si>
    <t>Χ810402</t>
  </si>
  <si>
    <t>1198,9</t>
  </si>
  <si>
    <t>205-207-206-209-210-212-201-203-202-204-211</t>
  </si>
  <si>
    <t>ΠΙΤΙΔΗ-ΠΟΥΤΟΥ</t>
  </si>
  <si>
    <t>ΧΡΙΣΤΙΑΝΝΑ-ΚΥΡΙΑΚΗ</t>
  </si>
  <si>
    <t>ΑΝ006331</t>
  </si>
  <si>
    <t>1198,1</t>
  </si>
  <si>
    <t>207-210-205-206-209-212-208</t>
  </si>
  <si>
    <t>Χ726485</t>
  </si>
  <si>
    <t>1197,8</t>
  </si>
  <si>
    <t>ΔΟΥΡΟΥ</t>
  </si>
  <si>
    <t>ΕΥΗ</t>
  </si>
  <si>
    <t>ΑΒ778120</t>
  </si>
  <si>
    <t>1192,3</t>
  </si>
  <si>
    <t>206-209-205-207-208-212-210-201-203-211-204-202</t>
  </si>
  <si>
    <t>ΑΚ724732</t>
  </si>
  <si>
    <t>1188,4</t>
  </si>
  <si>
    <t>209-205-207-206-210-212</t>
  </si>
  <si>
    <t>ΤΖΙΑΛΛΑ</t>
  </si>
  <si>
    <t>ΑΜ096221</t>
  </si>
  <si>
    <t>1181,1</t>
  </si>
  <si>
    <t>205-206-207-209-210-212-201-203-204-211-202</t>
  </si>
  <si>
    <t>ΜΗΤΡΟΠΟΥΛΟΥ</t>
  </si>
  <si>
    <t>ΑΑ090811</t>
  </si>
  <si>
    <t>1179,9</t>
  </si>
  <si>
    <t>203-205-206-207-209-210</t>
  </si>
  <si>
    <t>ΓΚΟΤΣΟΠΟΥΛΟΥ</t>
  </si>
  <si>
    <t>ΞΑΝΘΗ</t>
  </si>
  <si>
    <t>Χ300444</t>
  </si>
  <si>
    <t>1177,7</t>
  </si>
  <si>
    <t>201-205-206-207-209-210-212-203-204-211-202</t>
  </si>
  <si>
    <t>ΑΤΖΑΡΑΚΗ</t>
  </si>
  <si>
    <t>ΚΑΛΛΙΟΠΗ</t>
  </si>
  <si>
    <t>ΑΒ185296</t>
  </si>
  <si>
    <t>202-206-205-207-209-210-212-203-211-204-201</t>
  </si>
  <si>
    <t>ΝΙΩΤΑΚΗ</t>
  </si>
  <si>
    <t>Χ854683</t>
  </si>
  <si>
    <t>209-210-207-205-206</t>
  </si>
  <si>
    <t>ΣΑΚΕΛΛΑΡΙΟΥ</t>
  </si>
  <si>
    <t>ΑΙΚΑΤΕΡΙΝΗ ΠΑΡΑΣΚΕΥΗ</t>
  </si>
  <si>
    <t>Χ913268</t>
  </si>
  <si>
    <t>1169,4</t>
  </si>
  <si>
    <t>211-210-205-208-209-212-207-206-202-203-201-204</t>
  </si>
  <si>
    <t>ΚΑΡΑΝΤΖΑ</t>
  </si>
  <si>
    <t>Χ561975</t>
  </si>
  <si>
    <t>1168,6</t>
  </si>
  <si>
    <t>ΚΑΓΙΑΛΗΣ</t>
  </si>
  <si>
    <t>ΑΚ884830</t>
  </si>
  <si>
    <t>1168,3</t>
  </si>
  <si>
    <t>ΧΟΥΣΟΥ</t>
  </si>
  <si>
    <t>ΑΒ803936</t>
  </si>
  <si>
    <t>707,3</t>
  </si>
  <si>
    <t>1165,3</t>
  </si>
  <si>
    <t>ΤΣΙΑΝΑΒΑΣ</t>
  </si>
  <si>
    <t>ΑΗ577239</t>
  </si>
  <si>
    <t>1163,3</t>
  </si>
  <si>
    <t>208-207-205-206-210-209</t>
  </si>
  <si>
    <t>1159,3</t>
  </si>
  <si>
    <t>ΛΑΖΑΡΙΔΟΥ</t>
  </si>
  <si>
    <t>ΣΥΜΕΛΑ</t>
  </si>
  <si>
    <t>ΑΒ872486</t>
  </si>
  <si>
    <t>1158,4</t>
  </si>
  <si>
    <t>203-205-207-206-209-210-212-202-204-201</t>
  </si>
  <si>
    <t>ΠΑΠΑΜΙΧΑΛΟΠΟΥΛΟΥ</t>
  </si>
  <si>
    <t>ΑΒ002043</t>
  </si>
  <si>
    <t>ΚΟΚΚΑΛΗ</t>
  </si>
  <si>
    <t>Χ028448</t>
  </si>
  <si>
    <t>1155,9</t>
  </si>
  <si>
    <t>ΒΕΝΕΤΣΑΝΗ</t>
  </si>
  <si>
    <t>ΗΛΙΑ</t>
  </si>
  <si>
    <t>ΑΙ996815</t>
  </si>
  <si>
    <t>1154,5</t>
  </si>
  <si>
    <t>205-201-202-203-204-206-207-208-209-210-211-212</t>
  </si>
  <si>
    <t>ΠΟΘΗΤΑΚΗΣ</t>
  </si>
  <si>
    <t>ΔΑΜΙΑΝΟΣ</t>
  </si>
  <si>
    <t>Χ024046</t>
  </si>
  <si>
    <t>205-206-207-208-209-210-214-215</t>
  </si>
  <si>
    <t>ΜΥΡΤΩ</t>
  </si>
  <si>
    <t>ΑΕ337502</t>
  </si>
  <si>
    <t>1153,9</t>
  </si>
  <si>
    <t>210-206-201-202-203-204-205-207-209-211-212</t>
  </si>
  <si>
    <t>1152,5</t>
  </si>
  <si>
    <t>ΙΣΙΔΩΡΟΣ</t>
  </si>
  <si>
    <t>ΑΗ169282</t>
  </si>
  <si>
    <t>1152,1</t>
  </si>
  <si>
    <t>203-205-207</t>
  </si>
  <si>
    <t>ΣΙΣΜΑΝΙΔΟΥ</t>
  </si>
  <si>
    <t>Χ887682</t>
  </si>
  <si>
    <t>1150,1</t>
  </si>
  <si>
    <t>203-211-204-205-206-207-202-201-212</t>
  </si>
  <si>
    <t>ΚΑΡΑΜΟΥΖΗ</t>
  </si>
  <si>
    <t>ΑΒ450384</t>
  </si>
  <si>
    <t>898,7</t>
  </si>
  <si>
    <t>1147,7</t>
  </si>
  <si>
    <t>203-211-204-205-206-207-209-210-201-202-212</t>
  </si>
  <si>
    <t>ΟΛΓΑ-ΑΛΙΚΗ</t>
  </si>
  <si>
    <t>ΑΒ569414</t>
  </si>
  <si>
    <t>1138,7</t>
  </si>
  <si>
    <t>205-207-206-209-210-212-203-204-202-201-211</t>
  </si>
  <si>
    <t>ΤΣΟΥΤΣΗΣ</t>
  </si>
  <si>
    <t xml:space="preserve">ΓΕΩΡΓΙΟΣ </t>
  </si>
  <si>
    <t>ΑΚ622079</t>
  </si>
  <si>
    <t>1132,5</t>
  </si>
  <si>
    <t>205-207</t>
  </si>
  <si>
    <t>ΔΟΥΤΣΙΝΗ</t>
  </si>
  <si>
    <t>Σ469177</t>
  </si>
  <si>
    <t>205-207-203-208-209-212-206-210-201-202-211-204</t>
  </si>
  <si>
    <t>ΓΑΡΓΑΝΙΔΗ</t>
  </si>
  <si>
    <t>ΑΖ599136</t>
  </si>
  <si>
    <t>1131,5</t>
  </si>
  <si>
    <t>ΤΣΙΤΣΙΡΙΔΗ</t>
  </si>
  <si>
    <t>ΑΕ135723</t>
  </si>
  <si>
    <t>1130,2</t>
  </si>
  <si>
    <t>210-206-207-205-212</t>
  </si>
  <si>
    <t>ΑΘΑΝΑΣΟΠΟΥΛΟΥ</t>
  </si>
  <si>
    <t>ΑΖ132978</t>
  </si>
  <si>
    <t>1128,3</t>
  </si>
  <si>
    <t>ΣΑΡΑΝΤΑΡΗ</t>
  </si>
  <si>
    <t>ΙΟΡΔΑΝΗΣ</t>
  </si>
  <si>
    <t>ΑΒ284442</t>
  </si>
  <si>
    <t>905,3</t>
  </si>
  <si>
    <t>1125,3</t>
  </si>
  <si>
    <t>207-205-206-210-212-209</t>
  </si>
  <si>
    <t>ΠΑΡΠΟΥ</t>
  </si>
  <si>
    <t>Χ378610</t>
  </si>
  <si>
    <t>1124,7</t>
  </si>
  <si>
    <t>207-205-203-208-209-210-206-212-204-211-202-201</t>
  </si>
  <si>
    <t>ΜΠΟΥΚΑΟΥΡΗ</t>
  </si>
  <si>
    <t>ΖΑΦΕΙΡΙΑ</t>
  </si>
  <si>
    <t>Φ027440</t>
  </si>
  <si>
    <t>1121,9</t>
  </si>
  <si>
    <t>1121,6</t>
  </si>
  <si>
    <t>ΤΣΑΤΣΑΡΗ</t>
  </si>
  <si>
    <t>Φ279589</t>
  </si>
  <si>
    <t>1120,3</t>
  </si>
  <si>
    <t>207-206-205-209-210-212-201-203</t>
  </si>
  <si>
    <t>Χ618984</t>
  </si>
  <si>
    <t>1117,7</t>
  </si>
  <si>
    <t>ΛΕΜΟΝΑ</t>
  </si>
  <si>
    <t>ΑΙ292140</t>
  </si>
  <si>
    <t>1116,5</t>
  </si>
  <si>
    <t>203-205-207-204-202-211-201-212-206-209-210</t>
  </si>
  <si>
    <t>ΚΑΛΑΙΤΖΗΣ</t>
  </si>
  <si>
    <t>Χ032587</t>
  </si>
  <si>
    <t>1116,2</t>
  </si>
  <si>
    <t>ΧΑΝΤΖΗΧΡΗΣΤΟΥ</t>
  </si>
  <si>
    <t>ΜΑΡΙΑ ΠΑΡΑΣΚΕΥΗ</t>
  </si>
  <si>
    <t>Χ700035</t>
  </si>
  <si>
    <t>1115,4</t>
  </si>
  <si>
    <t>205-206-207-208-209-210-211-212-204-203-202-201</t>
  </si>
  <si>
    <t>ΨΑΡΑΚΗ</t>
  </si>
  <si>
    <t>ΑΑ008173</t>
  </si>
  <si>
    <t>208-207-209-205-210-212-206</t>
  </si>
  <si>
    <t>ΑΒ665137</t>
  </si>
  <si>
    <t>1109,4</t>
  </si>
  <si>
    <t>ΣΙΜΟΠΟΥΛΟΥ</t>
  </si>
  <si>
    <t>ΑΔΑΜΑΝΤΙΑ</t>
  </si>
  <si>
    <t>Χ015292</t>
  </si>
  <si>
    <t>1106,7</t>
  </si>
  <si>
    <t>205-207-206-210-208-209-212-201</t>
  </si>
  <si>
    <t>ΚΑΡΑΓΩΓΟΥ</t>
  </si>
  <si>
    <t>ΑΒ731832</t>
  </si>
  <si>
    <t>1106,5</t>
  </si>
  <si>
    <t>203-204-211-202-208-209-207-205-212-206-210-201</t>
  </si>
  <si>
    <t>ΣΑΡΑΦΟΓΛΟΥ</t>
  </si>
  <si>
    <t>ΑΒ355912</t>
  </si>
  <si>
    <t>876,7</t>
  </si>
  <si>
    <t>1096,7</t>
  </si>
  <si>
    <t>ΣΤΑΜΑΤΕΛΟΥ</t>
  </si>
  <si>
    <t>Φ260036</t>
  </si>
  <si>
    <t>1094,3</t>
  </si>
  <si>
    <t>ΚΥΜΙΓΚΕΛΗ</t>
  </si>
  <si>
    <t>Χ533649</t>
  </si>
  <si>
    <t>1094,2</t>
  </si>
  <si>
    <t>205-206-210-209-208-207-212</t>
  </si>
  <si>
    <t>ΑΓΓΕΛΟΠΟΥΛΟΥ</t>
  </si>
  <si>
    <t>Χ777276</t>
  </si>
  <si>
    <t>1091,6</t>
  </si>
  <si>
    <t>201-204-205-206-207-208-209-210-212-203-202-211</t>
  </si>
  <si>
    <t>ΕΜΜΑΝΟΥΗΛΙΔΟΥ</t>
  </si>
  <si>
    <t>Χ463457</t>
  </si>
  <si>
    <t>1091,5</t>
  </si>
  <si>
    <t>ΓΚΛΕΖΑΚΟΥ</t>
  </si>
  <si>
    <t>Χ588261</t>
  </si>
  <si>
    <t>1090,2</t>
  </si>
  <si>
    <t>212-207-205-209-210-206-203-202-201-211</t>
  </si>
  <si>
    <t>ΟΛΓΑ - ΧΡΙΣΤΙΝΑ</t>
  </si>
  <si>
    <t>ΑΑ430206</t>
  </si>
  <si>
    <t>1089,1</t>
  </si>
  <si>
    <t>ΑΜ613439</t>
  </si>
  <si>
    <t>1088,1</t>
  </si>
  <si>
    <t>ΚΑΤΣΙΜΙΧΑ</t>
  </si>
  <si>
    <t>ΑΒ196380</t>
  </si>
  <si>
    <t>1087,2</t>
  </si>
  <si>
    <t>ΠΑΠΑΖΗΚΟΥ</t>
  </si>
  <si>
    <t>Σ516802</t>
  </si>
  <si>
    <t>1086,8</t>
  </si>
  <si>
    <t>207-208-209-206-205-201</t>
  </si>
  <si>
    <t>ΤΕΝΤΕ</t>
  </si>
  <si>
    <t>ΑΜ024558</t>
  </si>
  <si>
    <t>1086,6</t>
  </si>
  <si>
    <t>205-206-207-208-209-210-211-212</t>
  </si>
  <si>
    <t>ΤΑΣΟΥΛΗ</t>
  </si>
  <si>
    <t>ΑΗ575227</t>
  </si>
  <si>
    <t>1084,6</t>
  </si>
  <si>
    <t>ΖΕΣΤΑ</t>
  </si>
  <si>
    <t>ΑΙ155287</t>
  </si>
  <si>
    <t>1081,8</t>
  </si>
  <si>
    <t>211-203-204-207-205-208-206-209-210-212-201-202</t>
  </si>
  <si>
    <t>ΣΟΥΡΛΑΤΖΗ</t>
  </si>
  <si>
    <t>ΧΡΙΣΤΙΝΑ ΜΑΡΙΑ</t>
  </si>
  <si>
    <t>ΑΕ790849</t>
  </si>
  <si>
    <t>203-205-207-211-206-210-209-212-201</t>
  </si>
  <si>
    <t>ΤΣΑΡΔΑΚΗ</t>
  </si>
  <si>
    <t>ΑΒ122147</t>
  </si>
  <si>
    <t>928,4</t>
  </si>
  <si>
    <t>1077,4</t>
  </si>
  <si>
    <t>203-207-205-202-204-211-201-206-208-209-210-212</t>
  </si>
  <si>
    <t>ΣΤΑΥΡΟΠΟΥΛΟΥ</t>
  </si>
  <si>
    <t>ΑΙ546471</t>
  </si>
  <si>
    <t>1076,9</t>
  </si>
  <si>
    <t>ΤΣΑΝΟΠΟΥΛΟΥ</t>
  </si>
  <si>
    <t>ΑΒ669247</t>
  </si>
  <si>
    <t>1076,6</t>
  </si>
  <si>
    <t>205-206-207-208-209-210-212-215-214</t>
  </si>
  <si>
    <t>Φ217936</t>
  </si>
  <si>
    <t>1075,5</t>
  </si>
  <si>
    <t>201-205-206-207-209-210-212-203-202-204-211</t>
  </si>
  <si>
    <t>ΡΩΜΑΛΕΑ</t>
  </si>
  <si>
    <t>ΑΙ100414</t>
  </si>
  <si>
    <t>1073,7</t>
  </si>
  <si>
    <t>210-206-205-207-209</t>
  </si>
  <si>
    <t>ΚΑΝΔΙΑΝΟΣ</t>
  </si>
  <si>
    <t>ΑΒ419744</t>
  </si>
  <si>
    <t>1072,2</t>
  </si>
  <si>
    <t>205-207-206-209-210-212-208</t>
  </si>
  <si>
    <t>ΤΣΙΤΩΝΑ</t>
  </si>
  <si>
    <t>Φ420086</t>
  </si>
  <si>
    <t>1070,4</t>
  </si>
  <si>
    <t>ΖΗΡΔΑΣ</t>
  </si>
  <si>
    <t>ΑΖ885887</t>
  </si>
  <si>
    <t>735,9</t>
  </si>
  <si>
    <t>1065,9</t>
  </si>
  <si>
    <t>203-208-207-205</t>
  </si>
  <si>
    <t>ΜΠΑΤΣΟΥ</t>
  </si>
  <si>
    <t>ΙΣΑΒΕΛΛΑ-ΕΥΤΥΧΙΑ</t>
  </si>
  <si>
    <t>Χ863470</t>
  </si>
  <si>
    <t>1064,7</t>
  </si>
  <si>
    <t>205-206-207-209-210-212-201-204-203-211-202</t>
  </si>
  <si>
    <t>ΑΗ736096</t>
  </si>
  <si>
    <t>1064,5</t>
  </si>
  <si>
    <t>206-205-207-210-209-212-201-203-211-204-202-215-213-216</t>
  </si>
  <si>
    <t>ΣΠΥΡΟΥ</t>
  </si>
  <si>
    <t>ΑΒ658225</t>
  </si>
  <si>
    <t>1062,3</t>
  </si>
  <si>
    <t>205-206-207-209-210-212-201-203-211-204-202</t>
  </si>
  <si>
    <t>ΑΝΤΩΝΟΥ</t>
  </si>
  <si>
    <t>ΠΕΤΡΟΥΛΑ</t>
  </si>
  <si>
    <t>ΕΜΜΑΝΟΥΗΛ-ΧΡΗΣΤΟΣ</t>
  </si>
  <si>
    <t>ΑΕ966377</t>
  </si>
  <si>
    <t>1061,7</t>
  </si>
  <si>
    <t>202-205-206-207-209-210-212</t>
  </si>
  <si>
    <t>ΓΡΑΜΜΕΝΟΣ</t>
  </si>
  <si>
    <t>Χ410189</t>
  </si>
  <si>
    <t>650,1</t>
  </si>
  <si>
    <t>1058,1</t>
  </si>
  <si>
    <t>211-203-205-207-201-202-204-206-208-209-210-212</t>
  </si>
  <si>
    <t>ΑΖ713433</t>
  </si>
  <si>
    <t>1057,1</t>
  </si>
  <si>
    <t>Χ074741</t>
  </si>
  <si>
    <t>205-206-207-209-210-201-203-202-211-204-212</t>
  </si>
  <si>
    <t>ΔΗΜΤΣΙΟΥΔΗ</t>
  </si>
  <si>
    <t>ΑΒ115747</t>
  </si>
  <si>
    <t>1055,9</t>
  </si>
  <si>
    <t>203-208-206-207-209-210</t>
  </si>
  <si>
    <t>ΚΩΝΣΤΑΝΤΙΝΟΥ</t>
  </si>
  <si>
    <t>ΜΑΡΙΑ ΓΕΩΡΓΙΑ</t>
  </si>
  <si>
    <t>Φ207729</t>
  </si>
  <si>
    <t>208-205-206-207-209-210-212-203-204-211-202-201</t>
  </si>
  <si>
    <t xml:space="preserve">ΚΟΥΤΡΑ </t>
  </si>
  <si>
    <t xml:space="preserve">ΝΙΚΟΛΑΟΣ </t>
  </si>
  <si>
    <t>ΑΜ213840</t>
  </si>
  <si>
    <t>1054,8</t>
  </si>
  <si>
    <t>ΚΟΥΤΡΑ</t>
  </si>
  <si>
    <t>Χ438105</t>
  </si>
  <si>
    <t>1054,2</t>
  </si>
  <si>
    <t>207-205</t>
  </si>
  <si>
    <t>ΣΑΜΙΩΤΗ</t>
  </si>
  <si>
    <t>ΑΑ111223</t>
  </si>
  <si>
    <t>206-210-207-205-212-209-203</t>
  </si>
  <si>
    <t>ΛΙΚΑΙ</t>
  </si>
  <si>
    <t>ΕΝΤΒΙΝΑ</t>
  </si>
  <si>
    <t>ΑΓΚΡΟΝ</t>
  </si>
  <si>
    <t>ΑΙ673127</t>
  </si>
  <si>
    <t>1051,8</t>
  </si>
  <si>
    <t>209-206-210-205-207-212-215-203</t>
  </si>
  <si>
    <t>ΠΕΤΚΟΓΛΟΥ</t>
  </si>
  <si>
    <t>ΑΕ207409</t>
  </si>
  <si>
    <t>1049,4</t>
  </si>
  <si>
    <t>ΚΑΡΑΜΠΕΛΑ</t>
  </si>
  <si>
    <t>ΑΖ484457</t>
  </si>
  <si>
    <t>1047,6</t>
  </si>
  <si>
    <t>207-205-203-201-202-206-212-210-209-211-204</t>
  </si>
  <si>
    <t>ΤΣΙΡΟΠΟΥΛΟΥ</t>
  </si>
  <si>
    <t>ΟΣΙΑ</t>
  </si>
  <si>
    <t>ΑΗ919392</t>
  </si>
  <si>
    <t>1043,7</t>
  </si>
  <si>
    <t>ΚΟΛΛΙΑΣ</t>
  </si>
  <si>
    <t>Χ898921</t>
  </si>
  <si>
    <t>1043,4</t>
  </si>
  <si>
    <t>205-206-207-209-210-201-202-203-204-211-212</t>
  </si>
  <si>
    <t>ΖΟΥΓΚΟΥΡΛΗ</t>
  </si>
  <si>
    <t>Χ314351</t>
  </si>
  <si>
    <t>1042,6</t>
  </si>
  <si>
    <t>203-205-207-209-211-206-210-201-204-212-202-208</t>
  </si>
  <si>
    <t>ΠΑΝΑΓΙΩΤΙΔΟΥ</t>
  </si>
  <si>
    <t>ΧΑΡΙΣ</t>
  </si>
  <si>
    <t>ΑΕ360807</t>
  </si>
  <si>
    <t>1041,4</t>
  </si>
  <si>
    <t>203-210-205-206-209-207-212-211-204-202-201</t>
  </si>
  <si>
    <t>ΚΛΑΡΑ</t>
  </si>
  <si>
    <t>ΠΗΝΕΛΟΠΗ</t>
  </si>
  <si>
    <t>ΑΚ828648</t>
  </si>
  <si>
    <t>870,1</t>
  </si>
  <si>
    <t>1040,1</t>
  </si>
  <si>
    <t>ΑΕ212611</t>
  </si>
  <si>
    <t>203-211-205-206-207-209-210-212-204-201-202</t>
  </si>
  <si>
    <t>1037,8</t>
  </si>
  <si>
    <t>ΜΠΛΕΤΑ</t>
  </si>
  <si>
    <t>Χ403436</t>
  </si>
  <si>
    <t>ΤΑΛΙΟΠΟΥΛΟΣ</t>
  </si>
  <si>
    <t>ΙΩΣΗΦ</t>
  </si>
  <si>
    <t>ΑΕ343217</t>
  </si>
  <si>
    <t>1029,9</t>
  </si>
  <si>
    <t>204-201-206-210-212-202-203-205-207-211-209</t>
  </si>
  <si>
    <t>ΤΑΜΒΑΚΟΥ</t>
  </si>
  <si>
    <t>Χ362852</t>
  </si>
  <si>
    <t>1029,4</t>
  </si>
  <si>
    <t>204-201-203-202</t>
  </si>
  <si>
    <t>ΛΑΠΑΤΑ</t>
  </si>
  <si>
    <t>ΕΥΑΓΓΕΛΙΑ-ΕΥΓΕΝΙΑ</t>
  </si>
  <si>
    <t>ΑΒ895150</t>
  </si>
  <si>
    <t>1027,9</t>
  </si>
  <si>
    <t>203-211-208-204-205-206-207-209-210-201-202-212</t>
  </si>
  <si>
    <t>ΨΥΧΑΡΗ</t>
  </si>
  <si>
    <t>ΑΚ803346</t>
  </si>
  <si>
    <t>1024,1</t>
  </si>
  <si>
    <t>212-205-206-207-209-210-201</t>
  </si>
  <si>
    <t>ΣΚΡΕΚΑ</t>
  </si>
  <si>
    <t>ΑΙ848826</t>
  </si>
  <si>
    <t>201-206-202-210-203-211-205-204-207-209-212-208</t>
  </si>
  <si>
    <t>ΣΑΓΡΗ</t>
  </si>
  <si>
    <t>ΑΑ000996</t>
  </si>
  <si>
    <t>1020,2</t>
  </si>
  <si>
    <t>212-208-205-206-207-209-210-203-201-211-204-202</t>
  </si>
  <si>
    <t>ΜΙΧΑΗΛΙΔΗ</t>
  </si>
  <si>
    <t>ΜΑΡΙΝΑ  ΣΟΦΙΑ</t>
  </si>
  <si>
    <t>Σ511980</t>
  </si>
  <si>
    <t>201-211-212-202-203-204-205-206-207-209-210</t>
  </si>
  <si>
    <t>ΑΚ599802</t>
  </si>
  <si>
    <t>1018,7</t>
  </si>
  <si>
    <t>ΑΘΗΝΑΙΟΥ</t>
  </si>
  <si>
    <t>ΕΥΑ ΓΕΩΡΓΙΑ</t>
  </si>
  <si>
    <t>ΑΙ191927</t>
  </si>
  <si>
    <t>1018,3</t>
  </si>
  <si>
    <t>ΧΑΛΑΚΑΤΕΒΑΚΗ</t>
  </si>
  <si>
    <t>ΑΖ870718</t>
  </si>
  <si>
    <t>205-206-207-209-210-212-201-203-202-204-211</t>
  </si>
  <si>
    <t>ΜΑΡΙΝΟΠΟΥΛΟΥ</t>
  </si>
  <si>
    <t>ΑΙ690754</t>
  </si>
  <si>
    <t>1017,7</t>
  </si>
  <si>
    <t>205-207-203-206-210-209-212-201-202-211-204</t>
  </si>
  <si>
    <t>ΤΣΟΥΚΑΡΑ</t>
  </si>
  <si>
    <t>Χ928521</t>
  </si>
  <si>
    <t>630,3</t>
  </si>
  <si>
    <t>1017,3</t>
  </si>
  <si>
    <t>ΤΡΑΚΑΝΙΑΡΗ</t>
  </si>
  <si>
    <t>ΑΚ093678</t>
  </si>
  <si>
    <t>1015,8</t>
  </si>
  <si>
    <t>203-205-207-204-202-211-201</t>
  </si>
  <si>
    <t>ΓΕΡΑΣΙΜΟΥ</t>
  </si>
  <si>
    <t>ΑΝΝΑ-ΜΑΡΙΑ</t>
  </si>
  <si>
    <t>ΑΙ225730</t>
  </si>
  <si>
    <t>1015,1</t>
  </si>
  <si>
    <t>ΚΡΕΜΜΥΔΑ</t>
  </si>
  <si>
    <t>ΓΙΩΡΓΟΣ</t>
  </si>
  <si>
    <t>ΑΖ751558</t>
  </si>
  <si>
    <t>1014,3</t>
  </si>
  <si>
    <t>206-210-212-204-201-202</t>
  </si>
  <si>
    <t>ΣΤΕΦΑΝΟΥ</t>
  </si>
  <si>
    <t>ΑΚ515975</t>
  </si>
  <si>
    <t>1014,2</t>
  </si>
  <si>
    <t>ΖΗΣΟΠΟΥΛΟΥ</t>
  </si>
  <si>
    <t>Χ 977332</t>
  </si>
  <si>
    <t>1013,4</t>
  </si>
  <si>
    <t>ΡΑΙΚΟΥ</t>
  </si>
  <si>
    <t>ΑΜ133813</t>
  </si>
  <si>
    <t>1013,3</t>
  </si>
  <si>
    <t>ΑΕ293904</t>
  </si>
  <si>
    <t>1013,1</t>
  </si>
  <si>
    <t>204-203-211-201-206-209-210-212-205-207-202</t>
  </si>
  <si>
    <t>ΣΑΡΛΑΜΗ</t>
  </si>
  <si>
    <t>ΧΡΥΣΑΥΓΗ</t>
  </si>
  <si>
    <t>ΑΙ220530</t>
  </si>
  <si>
    <t>620,4</t>
  </si>
  <si>
    <t>1012,4</t>
  </si>
  <si>
    <t>201-204-205-206-207-209-210-212-203-211-202</t>
  </si>
  <si>
    <t>ΤΣΟΥΤΣΗ</t>
  </si>
  <si>
    <t>ΜΑΙΡΗ</t>
  </si>
  <si>
    <t>ΑΚ060422</t>
  </si>
  <si>
    <t>1010,7</t>
  </si>
  <si>
    <t>ΚΑΡΥΔΑΚΗ</t>
  </si>
  <si>
    <t>ΑΒ763729</t>
  </si>
  <si>
    <t>1009,1</t>
  </si>
  <si>
    <t>ΚΟΛΟΒΟΥ</t>
  </si>
  <si>
    <t>Χ531789</t>
  </si>
  <si>
    <t>639,1</t>
  </si>
  <si>
    <t>1007,1</t>
  </si>
  <si>
    <t>205-209-210-206-207-208</t>
  </si>
  <si>
    <t>Χ501545</t>
  </si>
  <si>
    <t>1006,1</t>
  </si>
  <si>
    <t>ΡΑΦΑΗΛΙΔΟΥ</t>
  </si>
  <si>
    <t>Σ754898</t>
  </si>
  <si>
    <t>1004,7</t>
  </si>
  <si>
    <t>ΧΑΡΑΛΑΜΠΙΔΟΥ</t>
  </si>
  <si>
    <t>ΑΖ003799</t>
  </si>
  <si>
    <t>1001,6</t>
  </si>
  <si>
    <t>205-206-207-209-210-212-201-203-202-211-204</t>
  </si>
  <si>
    <t>ΧΑΛΑΝΟΥΛΗ</t>
  </si>
  <si>
    <t>ΝΙΚΟΛΕΤΑ ΠΑΡΑΣΚΕΥΗ</t>
  </si>
  <si>
    <t>ΑΚ054842</t>
  </si>
  <si>
    <t>1001,4</t>
  </si>
  <si>
    <t>ΔΗΜΗΤΡΟΥ</t>
  </si>
  <si>
    <t>ΑΚ440611</t>
  </si>
  <si>
    <t>1000,1</t>
  </si>
  <si>
    <t>203-211-204-205-206-209-212-202</t>
  </si>
  <si>
    <t>ΚΑΛΑΦΑΤΗ</t>
  </si>
  <si>
    <t>ΑΕ782135</t>
  </si>
  <si>
    <t>997,2</t>
  </si>
  <si>
    <t>202-203-210-201-207-206-204-209-208-211</t>
  </si>
  <si>
    <t>995,9</t>
  </si>
  <si>
    <t>ΑΝΑΣΤΑΣΟΠΟΥΛΟΥ</t>
  </si>
  <si>
    <t>ΑΗ714211</t>
  </si>
  <si>
    <t>994,9</t>
  </si>
  <si>
    <t>ΚΙΒΡΑΚΙΔΟΥ</t>
  </si>
  <si>
    <t>ΑΖ786959</t>
  </si>
  <si>
    <t>991,5</t>
  </si>
  <si>
    <t>203-207-210-209-205-206-211-212-204-201-202</t>
  </si>
  <si>
    <t>ΜΠΙΝΑ</t>
  </si>
  <si>
    <t>ΑΥΓΕΡΙΝΟΣ</t>
  </si>
  <si>
    <t>Χ605120</t>
  </si>
  <si>
    <t>990,8</t>
  </si>
  <si>
    <t>207-205-206-212-209-210</t>
  </si>
  <si>
    <t>ΛΟΥΛΟΥΔΗ</t>
  </si>
  <si>
    <t>ΑΒ374350</t>
  </si>
  <si>
    <t>917,4</t>
  </si>
  <si>
    <t>987,4</t>
  </si>
  <si>
    <t>205-207-203</t>
  </si>
  <si>
    <t>ΛΑΚΙΩΤΗ</t>
  </si>
  <si>
    <t>Χ815359</t>
  </si>
  <si>
    <t>985,7</t>
  </si>
  <si>
    <t>206-207-208-205-210-209</t>
  </si>
  <si>
    <t>ΚΑΡΔΑΡΑ</t>
  </si>
  <si>
    <t>Χ096393</t>
  </si>
  <si>
    <t>984,4</t>
  </si>
  <si>
    <t>ΑΝΑΓΝΩΣΤΟΥ</t>
  </si>
  <si>
    <t>Χ867093</t>
  </si>
  <si>
    <t>984,2</t>
  </si>
  <si>
    <t>ΤΖΙΟΓΚΑΣ</t>
  </si>
  <si>
    <t>Χ227012</t>
  </si>
  <si>
    <t>982,8</t>
  </si>
  <si>
    <t>203-205-207-201-209-211-212-210-204-206-202</t>
  </si>
  <si>
    <t>ΑΘΑΝΑΣΙΑΔΗΣ</t>
  </si>
  <si>
    <t>ΑΜ126454</t>
  </si>
  <si>
    <t>979,8</t>
  </si>
  <si>
    <t>ΑΓΓΕΛΟΠΟΥΛΟΣ</t>
  </si>
  <si>
    <t>Χ005963</t>
  </si>
  <si>
    <t>979,6</t>
  </si>
  <si>
    <t>205-207-206-210-209-212-201-203-204-211-202</t>
  </si>
  <si>
    <t>ΚΟΥΖΙΛΟΥ</t>
  </si>
  <si>
    <t>ΑΗ076597</t>
  </si>
  <si>
    <t>979,2</t>
  </si>
  <si>
    <t>212-210-206-207-205-209</t>
  </si>
  <si>
    <t>ΚΑΚΑΒΑ</t>
  </si>
  <si>
    <t>ΑΕ746140</t>
  </si>
  <si>
    <t>972,4</t>
  </si>
  <si>
    <t>205-207-206-209-210-212-201-203-211-202-204</t>
  </si>
  <si>
    <t>ΚΑΡΑΓΙΑΝΝΗ</t>
  </si>
  <si>
    <t>ΑΗ198620</t>
  </si>
  <si>
    <t>972,2</t>
  </si>
  <si>
    <t>203-211-204-202-205-206-207-208-209-210-212</t>
  </si>
  <si>
    <t>ΤΣΑΚΑΛΙΔΟΥ</t>
  </si>
  <si>
    <t>ΑΑ385732</t>
  </si>
  <si>
    <t>969,8</t>
  </si>
  <si>
    <t>203-204-211-201-202-212-205-206-207-209-210</t>
  </si>
  <si>
    <t>ΜΑΛΙΣΙΩΒΑ</t>
  </si>
  <si>
    <t>ΑΖ180350</t>
  </si>
  <si>
    <t>968,4</t>
  </si>
  <si>
    <t>ΚΟΝΑΞΗ</t>
  </si>
  <si>
    <t>Τ020645</t>
  </si>
  <si>
    <t>968,3</t>
  </si>
  <si>
    <t>205-206-207-209-210-212-211-204-201-203</t>
  </si>
  <si>
    <t>ΖΟΡΜΠΑ</t>
  </si>
  <si>
    <t>ΑΖ392363</t>
  </si>
  <si>
    <t>958,7</t>
  </si>
  <si>
    <t>203-206-210-212-209-207-205-208-201</t>
  </si>
  <si>
    <t>956,5</t>
  </si>
  <si>
    <t>ΓΚΙΚΙΖΑ-ΛΑΜΠΡΟΠΟΥΛΟΥ</t>
  </si>
  <si>
    <t>ΑΜ060561</t>
  </si>
  <si>
    <t>205-206-207-209-210-212-203-204</t>
  </si>
  <si>
    <t>ΤΑΣΚΟΥ</t>
  </si>
  <si>
    <t>ΑΑ227816</t>
  </si>
  <si>
    <t>953,5</t>
  </si>
  <si>
    <t>203-202-206-205-207-201-209-210-211-212-204</t>
  </si>
  <si>
    <t>ΑΖ289649</t>
  </si>
  <si>
    <t>950,7</t>
  </si>
  <si>
    <t>ΓΕΩΡΓΙΑΔΗ</t>
  </si>
  <si>
    <t>ΝΑΤΑΛΙΑ</t>
  </si>
  <si>
    <t>Χ141942</t>
  </si>
  <si>
    <t>950,4</t>
  </si>
  <si>
    <t>ΑΒ308092</t>
  </si>
  <si>
    <t>949,7</t>
  </si>
  <si>
    <t>206-210-212-205-207-209-203-201-202-204-211</t>
  </si>
  <si>
    <t>ΣΕΡΛΗ</t>
  </si>
  <si>
    <t>ΑΒ630719</t>
  </si>
  <si>
    <t>946,3</t>
  </si>
  <si>
    <t>202-207-208-205-206-209-210-212-203</t>
  </si>
  <si>
    <t>ΚΑΡΒΟΥΝΗ</t>
  </si>
  <si>
    <t>ΑΕ535768</t>
  </si>
  <si>
    <t>941,4</t>
  </si>
  <si>
    <t>205-206-207-209-210-212-201-203-211-202-204</t>
  </si>
  <si>
    <t>ΝΤΑΗ</t>
  </si>
  <si>
    <t>ΕΥΑΓΓΕΛΙΑ - ΑΜΑΛΙΑ</t>
  </si>
  <si>
    <t>Ρ978980</t>
  </si>
  <si>
    <t>936,6</t>
  </si>
  <si>
    <t>ΚΟΥΝΤΟΥΡΗ</t>
  </si>
  <si>
    <t>Χ619044</t>
  </si>
  <si>
    <t>933,4</t>
  </si>
  <si>
    <t>ΔΑΣΚΑΛΟΠΟΥΛΟΥ</t>
  </si>
  <si>
    <t>ΤΡΙΑΔΑ</t>
  </si>
  <si>
    <t>ΑΜ313707</t>
  </si>
  <si>
    <t>931,1</t>
  </si>
  <si>
    <t>201-212-210-206-204-202-205-207-203-209-211</t>
  </si>
  <si>
    <t>ΠΑΠΑΓΙΑΝΝΗ</t>
  </si>
  <si>
    <t>ΑΖ990966</t>
  </si>
  <si>
    <t>929,5</t>
  </si>
  <si>
    <t>205-206-207-208-209-210-212-203-201-211-202-204</t>
  </si>
  <si>
    <t>ΧΑΤΖΗΣ</t>
  </si>
  <si>
    <t>Χ703621</t>
  </si>
  <si>
    <t>925,9</t>
  </si>
  <si>
    <t>205-206-207-208-209-210-212-203-202-201-211</t>
  </si>
  <si>
    <t>ΤΣΟΥΚΑΛΑ</t>
  </si>
  <si>
    <t>ΜΑΡΙΝΑ - ΙΩΑΝΝΑ</t>
  </si>
  <si>
    <t>ΑΖ012964</t>
  </si>
  <si>
    <t>925,4</t>
  </si>
  <si>
    <t>ΚΟΖΑΜΑΝΗ</t>
  </si>
  <si>
    <t>924,9</t>
  </si>
  <si>
    <t>ΑΖ287524</t>
  </si>
  <si>
    <t>924,4</t>
  </si>
  <si>
    <t>203-205-207-204-202-206-201-209-210-211-212</t>
  </si>
  <si>
    <t>ΒΕΝΤΗΡΗ</t>
  </si>
  <si>
    <t>ΛΥΔΙΑ</t>
  </si>
  <si>
    <t>ΠΑΡΑΣΚΕΥΑΣ ΠΑΝΑΓΙΩΤΗ</t>
  </si>
  <si>
    <t>ΑΜ516676</t>
  </si>
  <si>
    <t>921,3</t>
  </si>
  <si>
    <t>ΝΤΑΚΑΚΗ</t>
  </si>
  <si>
    <t>ΑΒ187794</t>
  </si>
  <si>
    <t>ΚΑΡΑΜΕΡΗ</t>
  </si>
  <si>
    <t>Χ658503</t>
  </si>
  <si>
    <t>916,4</t>
  </si>
  <si>
    <t>ΑΕ054018</t>
  </si>
  <si>
    <t>915,4</t>
  </si>
  <si>
    <t>201-205-206-207-209-210-202-203-204-211-212-208</t>
  </si>
  <si>
    <t>ΒΛΑΣΟΠΟΥΛΟΥ</t>
  </si>
  <si>
    <t>ΑΚ600232</t>
  </si>
  <si>
    <t>206-207-210-212-209-205</t>
  </si>
  <si>
    <t>ΑΚ787326</t>
  </si>
  <si>
    <t>907,7</t>
  </si>
  <si>
    <t>205-206-207-212-209-215-210</t>
  </si>
  <si>
    <t>ΚΙΓΜΑΤΟΓΛΟΥ-ΠΟΥΤΟΥΡΟΓΛΟΥ</t>
  </si>
  <si>
    <t>ΡΟΔΑΜΑ</t>
  </si>
  <si>
    <t>Χ246197</t>
  </si>
  <si>
    <t>907,6</t>
  </si>
  <si>
    <t>ΜΑΥΡΙΔΟΥ</t>
  </si>
  <si>
    <t>ΑΖ396120</t>
  </si>
  <si>
    <t>906,6</t>
  </si>
  <si>
    <t>ΑΙ113334</t>
  </si>
  <si>
    <t>ΜΠΙΤΖΑΡΑΚΗ</t>
  </si>
  <si>
    <t>ΕΛΛΗ</t>
  </si>
  <si>
    <t>ΑΕ529953</t>
  </si>
  <si>
    <t>905,4</t>
  </si>
  <si>
    <t>ΠΑΡΑΘΥΡΑ</t>
  </si>
  <si>
    <t>ΦΙΛΑΝΘΗ</t>
  </si>
  <si>
    <t>ΑΙ189441</t>
  </si>
  <si>
    <t>203-205-206-207-208-209-210-212-211-204-202-201</t>
  </si>
  <si>
    <t>ΚΡΙΑΡΗ</t>
  </si>
  <si>
    <t>ΑΙ014942</t>
  </si>
  <si>
    <t>ΑΒ142940</t>
  </si>
  <si>
    <t>902,3</t>
  </si>
  <si>
    <t>203-207-208-209-205-206-210-212-211-201-202</t>
  </si>
  <si>
    <t>Χ362779</t>
  </si>
  <si>
    <t>899,6</t>
  </si>
  <si>
    <t>204-203-205-206</t>
  </si>
  <si>
    <t>ΚΟΡΔΟΡΟΥΜΠΑ</t>
  </si>
  <si>
    <t>Χ824336</t>
  </si>
  <si>
    <t>897,4</t>
  </si>
  <si>
    <t>ΠΑΠΟΥΛΙΑ</t>
  </si>
  <si>
    <t>ΕΛΕYΘΕΡΙΟΣ</t>
  </si>
  <si>
    <t>ΑΒ119916</t>
  </si>
  <si>
    <t>895,6</t>
  </si>
  <si>
    <t>ΚΑΞΙΡΑ</t>
  </si>
  <si>
    <t>ΑΚ379687</t>
  </si>
  <si>
    <t>895,2</t>
  </si>
  <si>
    <t>204-206-207-205-208-209-210-212-211-201-203-202</t>
  </si>
  <si>
    <t>ΜΑΚΕΔΟΝΑ</t>
  </si>
  <si>
    <t>ΑΗ118511</t>
  </si>
  <si>
    <t>894,8</t>
  </si>
  <si>
    <t>ΑΞΙΩΤΑΚΗ</t>
  </si>
  <si>
    <t>Χ780819</t>
  </si>
  <si>
    <t>890,4</t>
  </si>
  <si>
    <t>201-207-205-206-209-210-212-203-204-211-202</t>
  </si>
  <si>
    <t>Τόγια</t>
  </si>
  <si>
    <t>Αικατερίνη</t>
  </si>
  <si>
    <t>Φ235516</t>
  </si>
  <si>
    <t>890,3</t>
  </si>
  <si>
    <t>212-206-207-210-208-205-209-204-201-202-203-211</t>
  </si>
  <si>
    <t>889,1</t>
  </si>
  <si>
    <t>886,3</t>
  </si>
  <si>
    <t>885,7</t>
  </si>
  <si>
    <t>ΧΕΙΜΩΝΗ</t>
  </si>
  <si>
    <t>ΑΒ924207</t>
  </si>
  <si>
    <t>883,3</t>
  </si>
  <si>
    <t>214-205-206-207-208-209-210-212-215-203-211-216-201-213</t>
  </si>
  <si>
    <t>ΤΟΥΡΗ</t>
  </si>
  <si>
    <t>Χ062995</t>
  </si>
  <si>
    <t>882,5</t>
  </si>
  <si>
    <t>ΛΟΝΤΟΥ</t>
  </si>
  <si>
    <t>ΑΚ364768</t>
  </si>
  <si>
    <t>ΜΠΛΕΤΣΑ</t>
  </si>
  <si>
    <t>ΑΒ432433</t>
  </si>
  <si>
    <t>880,2</t>
  </si>
  <si>
    <t>ΠΑΤΡΙΑΡΧΕΑ</t>
  </si>
  <si>
    <t>ΑΙ619345</t>
  </si>
  <si>
    <t>877,9</t>
  </si>
  <si>
    <t>206-210-205-207-208-209-212</t>
  </si>
  <si>
    <t>ΛΙΤΟΣΕΛΙΤΗ</t>
  </si>
  <si>
    <t>ΑΙ977631</t>
  </si>
  <si>
    <t>203-204-202-211-201-212-205-206-207-209-210</t>
  </si>
  <si>
    <t>ΚΑΡΑΚΩΣΤΑ</t>
  </si>
  <si>
    <t>ΣΕΒΑΣΤΗ-ΜΑΡΙΑ</t>
  </si>
  <si>
    <t>ΑΒ851182</t>
  </si>
  <si>
    <t>875,4</t>
  </si>
  <si>
    <t>ΓΑΡΟΥΦΑ</t>
  </si>
  <si>
    <t>ΑΚ908109</t>
  </si>
  <si>
    <t>875,2</t>
  </si>
  <si>
    <t>203-205-206-207-209-210-211-212-201-202-204</t>
  </si>
  <si>
    <t>ΓΕΡΑΣΗ</t>
  </si>
  <si>
    <t>ΑΗ797038</t>
  </si>
  <si>
    <t>874,9</t>
  </si>
  <si>
    <t>215-202-206-207-209-210-212-216-211</t>
  </si>
  <si>
    <t>ΠΕΡΔΙΚΗΣ</t>
  </si>
  <si>
    <t>ΑΚ674553</t>
  </si>
  <si>
    <t>874,7</t>
  </si>
  <si>
    <t>ΜΟΡΦΟΒΑΣΙΛΗ</t>
  </si>
  <si>
    <t>ΜΑΡΓΑΡΙΤΑ ΓΕΩΡΓΙΑ</t>
  </si>
  <si>
    <t>Χ164668</t>
  </si>
  <si>
    <t>874,4</t>
  </si>
  <si>
    <t>207-206-205</t>
  </si>
  <si>
    <t>ΒΟΓΙΑΝΝΗ</t>
  </si>
  <si>
    <t>ΣΟΦΙΑ-ΧΡΥΣΑΝΘΗ</t>
  </si>
  <si>
    <t>Χ919759</t>
  </si>
  <si>
    <t>873,5</t>
  </si>
  <si>
    <t>ΠΑΣΣΑΣ</t>
  </si>
  <si>
    <t>Χ540499</t>
  </si>
  <si>
    <t>871,9</t>
  </si>
  <si>
    <t>205-203-201-210-212-202</t>
  </si>
  <si>
    <t>ΣΟΥΛΙΩΤΗ</t>
  </si>
  <si>
    <t>Χ687439</t>
  </si>
  <si>
    <t>870,9</t>
  </si>
  <si>
    <t>ΓΚΙΟΥΛΟΥ</t>
  </si>
  <si>
    <t>ΑΒ138229</t>
  </si>
  <si>
    <t>203-207-205-204-209-206-210-211-212-202-201</t>
  </si>
  <si>
    <t>ΚΑΓΙΑ</t>
  </si>
  <si>
    <t>ΑΑ387828</t>
  </si>
  <si>
    <t>868,6</t>
  </si>
  <si>
    <t>206-210-207-205-208-209-212-211-204</t>
  </si>
  <si>
    <t>ΝΙΚΗΦΟΡΟΣ</t>
  </si>
  <si>
    <t>Χ366468</t>
  </si>
  <si>
    <t>867,8</t>
  </si>
  <si>
    <t>203-205-207-204-201-211-206-209-210-212-202</t>
  </si>
  <si>
    <t>ΕΛΕΥΘΕΡΟΥΔΗ</t>
  </si>
  <si>
    <t>ΑΚ939487</t>
  </si>
  <si>
    <t>657,8</t>
  </si>
  <si>
    <t>ΤΣΕΚΟΥ</t>
  </si>
  <si>
    <t>ΑΒ660785</t>
  </si>
  <si>
    <t>623,7</t>
  </si>
  <si>
    <t>861,7</t>
  </si>
  <si>
    <t>207-212-205-206-210-209</t>
  </si>
  <si>
    <t>ΚΟΥΚΟΥΜΕΛΑ</t>
  </si>
  <si>
    <t>Χ696303</t>
  </si>
  <si>
    <t>857,6</t>
  </si>
  <si>
    <t>ΛΙΟΣΗ</t>
  </si>
  <si>
    <t>ΑΒ388328</t>
  </si>
  <si>
    <t>856,1</t>
  </si>
  <si>
    <t>ΓΙΑΝΝΟΠΟΥΛΟΣ</t>
  </si>
  <si>
    <t>Φ086236</t>
  </si>
  <si>
    <t>851,2</t>
  </si>
  <si>
    <t>207-206-210-205-208-209-212-201-203-202-204-211</t>
  </si>
  <si>
    <t>ΑΖ213369</t>
  </si>
  <si>
    <t>850,9</t>
  </si>
  <si>
    <t>201-202-203-204-205-206-207-209-210-212</t>
  </si>
  <si>
    <t>ΑΗ980789</t>
  </si>
  <si>
    <t>850,4</t>
  </si>
  <si>
    <t>203-211-205-206-207-209-210-204-212-201</t>
  </si>
  <si>
    <t>ΦΙΛΙΠΠΑ</t>
  </si>
  <si>
    <t>ΑΚ727800</t>
  </si>
  <si>
    <t>ΚΟΥΒΑΤΑ</t>
  </si>
  <si>
    <t>ΦΛΩΡΑ</t>
  </si>
  <si>
    <t>ΑΙ188465</t>
  </si>
  <si>
    <t>845,5</t>
  </si>
  <si>
    <t>ΓΚΑΙΤΑΤΖΗΣ</t>
  </si>
  <si>
    <t>ΑΜ875759</t>
  </si>
  <si>
    <t>ΤΑΝΑΚΑ</t>
  </si>
  <si>
    <t>ΑΗ165701</t>
  </si>
  <si>
    <t>844,7</t>
  </si>
  <si>
    <t>ΠΡΙΜΠΑ</t>
  </si>
  <si>
    <t>Χ742825</t>
  </si>
  <si>
    <t>841,4</t>
  </si>
  <si>
    <t>203-206-204-201-210-211-212-202-205-207-209</t>
  </si>
  <si>
    <t>ΓΚΑΒΟΓΙΑΝΝΑΚΗ</t>
  </si>
  <si>
    <t>Φ222376</t>
  </si>
  <si>
    <t>839,6</t>
  </si>
  <si>
    <t>207-209-205-206-208-210-212-211-203-201-204-202</t>
  </si>
  <si>
    <t>ΣΥΛΙΚΟΥ</t>
  </si>
  <si>
    <t>Χ184054</t>
  </si>
  <si>
    <t>835,2</t>
  </si>
  <si>
    <t>212-206-210-207-205-209</t>
  </si>
  <si>
    <t>ΚΛΑΠΑΝΗ</t>
  </si>
  <si>
    <t>ΑΖ320999</t>
  </si>
  <si>
    <t>832,3</t>
  </si>
  <si>
    <t>ΜΠΟΥΡΟΥ</t>
  </si>
  <si>
    <t>ΑΒ762720</t>
  </si>
  <si>
    <t>828,9</t>
  </si>
  <si>
    <t>ΤΣΑΟΥΣΟΓΛΟΥ</t>
  </si>
  <si>
    <t>ΑΕ140651</t>
  </si>
  <si>
    <t>828,5</t>
  </si>
  <si>
    <t>207-206-205-209-210-212-201-203-211-204-202</t>
  </si>
  <si>
    <t>ΤΖΟΛΑ</t>
  </si>
  <si>
    <t>ΑΗ205310</t>
  </si>
  <si>
    <t>621,5</t>
  </si>
  <si>
    <t>827,5</t>
  </si>
  <si>
    <t>201-204-205-206-207-209-210-212</t>
  </si>
  <si>
    <t>Χ301086</t>
  </si>
  <si>
    <t>820,7</t>
  </si>
  <si>
    <t>ΣΟΦΙΑΝΟΠΟΥΛΟΥ</t>
  </si>
  <si>
    <t>ΑΗ067185</t>
  </si>
  <si>
    <t>818,3</t>
  </si>
  <si>
    <t>815,4</t>
  </si>
  <si>
    <t>ΠΑΠΑΔΑΚΗ</t>
  </si>
  <si>
    <t>Φ167888</t>
  </si>
  <si>
    <t>812,6</t>
  </si>
  <si>
    <t>ΚΑΤΣΑΒΑΚΗ</t>
  </si>
  <si>
    <t>ΑΚ327970</t>
  </si>
  <si>
    <t>807,5</t>
  </si>
  <si>
    <t>ΜΟΣΧΟΥ</t>
  </si>
  <si>
    <t>ΑΙ530157</t>
  </si>
  <si>
    <t>ΓΕΩΡΓΟΥΛΑ</t>
  </si>
  <si>
    <t>ΑΖ763217</t>
  </si>
  <si>
    <t>ΖΕΥΓΟΛΑΤΑΚΟΥ</t>
  </si>
  <si>
    <t>ΖΑΦΕΙΡΟΥΛΑ</t>
  </si>
  <si>
    <t>ΑΖ235377</t>
  </si>
  <si>
    <t>805,3</t>
  </si>
  <si>
    <t>201-202-203-204-205-209-208-206-210-212</t>
  </si>
  <si>
    <t>ΒΑΣΣΑΚΗ</t>
  </si>
  <si>
    <t>ΜΟΔΕΣΤΟΣ</t>
  </si>
  <si>
    <t>Π978805</t>
  </si>
  <si>
    <t>203-205-207-210-204-206-209-212-202-201-211-208</t>
  </si>
  <si>
    <t>ΠΗΛΑΒΑΚΗ</t>
  </si>
  <si>
    <t>ΑΗ165119</t>
  </si>
  <si>
    <t>803,7</t>
  </si>
  <si>
    <t>Χ007754</t>
  </si>
  <si>
    <t>610,5</t>
  </si>
  <si>
    <t>803,5</t>
  </si>
  <si>
    <t>205-206-207-209-210-212-201-202-203-204</t>
  </si>
  <si>
    <t>ΣΚΛΑΒΟΥΝΟΥ</t>
  </si>
  <si>
    <t>ΑΕ484236</t>
  </si>
  <si>
    <t>801,5</t>
  </si>
  <si>
    <t>ΤΟΥΣΤΣΟΓΛΟΥ</t>
  </si>
  <si>
    <t>ΑΖ394499</t>
  </si>
  <si>
    <t>798,2</t>
  </si>
  <si>
    <t>ΛΙΑΝΟΣ</t>
  </si>
  <si>
    <t>ΑΒ579162</t>
  </si>
  <si>
    <t>ΜΠΙΤΖΙΟΥ</t>
  </si>
  <si>
    <t>ΑΑ415829</t>
  </si>
  <si>
    <t>797,6</t>
  </si>
  <si>
    <t>210-206-212-207-209-205-201-203-204-211</t>
  </si>
  <si>
    <t>ΤΣΑΤΣΑΡΑΓΓΟΥ</t>
  </si>
  <si>
    <t>KΩΝΣΤΑΝΤΙΝΑ</t>
  </si>
  <si>
    <t>ΑΚ663004</t>
  </si>
  <si>
    <t>795,2</t>
  </si>
  <si>
    <t>ΓΚΟΥΝΗ</t>
  </si>
  <si>
    <t>ΑΕ491004</t>
  </si>
  <si>
    <t>794,9</t>
  </si>
  <si>
    <t>206-210-207-205-203-209</t>
  </si>
  <si>
    <t>ΚΑΤΣΑΡΟΥ</t>
  </si>
  <si>
    <t>ΑΑ444308</t>
  </si>
  <si>
    <t>794,1</t>
  </si>
  <si>
    <t>ΚΟΡΟΚΥΘΑΚΗ</t>
  </si>
  <si>
    <t>Χ394012</t>
  </si>
  <si>
    <t>791,6</t>
  </si>
  <si>
    <t>203-205-206-207-209-210-212-211-204-202-201</t>
  </si>
  <si>
    <t>ΧΑΛΚΙΟΠΟΥΛΟΣ</t>
  </si>
  <si>
    <t>ΛΕΟΝΤΙΟΣ</t>
  </si>
  <si>
    <t>Π979774</t>
  </si>
  <si>
    <t>203-201-211-204-212-205-206-207-210-209-202</t>
  </si>
  <si>
    <t>ΓΙΑΓΚΙΝΑΣ</t>
  </si>
  <si>
    <t>ΑΚ919276</t>
  </si>
  <si>
    <t>788,3</t>
  </si>
  <si>
    <t>206-210-205-207-212-209-203-204-211-201-202</t>
  </si>
  <si>
    <t>ΠΛΟΥΜΗ</t>
  </si>
  <si>
    <t>ΑΙ458452</t>
  </si>
  <si>
    <t>787,2</t>
  </si>
  <si>
    <t>207-206-205-209-210-212-203</t>
  </si>
  <si>
    <t>ΜΟΚΑΣ</t>
  </si>
  <si>
    <t>ΑΜ382499</t>
  </si>
  <si>
    <t>205-206-207-208-209-210-212-211-203-201-204-202</t>
  </si>
  <si>
    <t>ΟΥΛΙΑΝΟΥΔΗ</t>
  </si>
  <si>
    <t>Χ785464</t>
  </si>
  <si>
    <t>ΣΚΑΡΛΗ</t>
  </si>
  <si>
    <t xml:space="preserve">ΔΗΜΗΤΡΙΟΣ </t>
  </si>
  <si>
    <t>ΑΒ559661</t>
  </si>
  <si>
    <t>781,8</t>
  </si>
  <si>
    <t>ΤΣΑΚΩΝΑ</t>
  </si>
  <si>
    <t>ΈΛΕΝΗ</t>
  </si>
  <si>
    <t>780,6</t>
  </si>
  <si>
    <t>201-205-206-207</t>
  </si>
  <si>
    <t>ΑΓΓΕΛΗ</t>
  </si>
  <si>
    <t>Χ938494</t>
  </si>
  <si>
    <t>779,3</t>
  </si>
  <si>
    <t>207-205-203-206-209-210-212-204</t>
  </si>
  <si>
    <t>ΜΑΜΜΑ</t>
  </si>
  <si>
    <t>Σ223038</t>
  </si>
  <si>
    <t>207-205-206-210-209-212-201-203-204-202-211</t>
  </si>
  <si>
    <t xml:space="preserve">ΓΚΟΝΤΑ </t>
  </si>
  <si>
    <t xml:space="preserve">ΚΑΛΛΙΡΟΗ </t>
  </si>
  <si>
    <t>Ξ606481</t>
  </si>
  <si>
    <t>775,1</t>
  </si>
  <si>
    <t>206-205-207-208-209-210</t>
  </si>
  <si>
    <t>ΜΠΑΚΟΓΙΑΝΝΗ</t>
  </si>
  <si>
    <t>ΑΖ742079</t>
  </si>
  <si>
    <t>769,6</t>
  </si>
  <si>
    <t>ΤΖΑΦΕΡΗ</t>
  </si>
  <si>
    <t>ΕΥΦΗΜΙΑ</t>
  </si>
  <si>
    <t>ΔΙΟΜΗΔΗΣ</t>
  </si>
  <si>
    <t>ΑΚ060908</t>
  </si>
  <si>
    <t>767,2</t>
  </si>
  <si>
    <t>ΜΑΝΩΚΑ</t>
  </si>
  <si>
    <t>ΑΚ793530</t>
  </si>
  <si>
    <t>766,5</t>
  </si>
  <si>
    <t>Κώστα</t>
  </si>
  <si>
    <t>Άννα</t>
  </si>
  <si>
    <t>Γιώργης</t>
  </si>
  <si>
    <t>ΑΚ042556</t>
  </si>
  <si>
    <t>765,2</t>
  </si>
  <si>
    <t>ΚΑΡΑΤΑΣΑΣ</t>
  </si>
  <si>
    <t>Χ592526</t>
  </si>
  <si>
    <t>760,8</t>
  </si>
  <si>
    <t>ΖΟΥΜΠΟΥΛΑΚΗ</t>
  </si>
  <si>
    <t>ΑΜ455844</t>
  </si>
  <si>
    <t>617,1</t>
  </si>
  <si>
    <t>757,1</t>
  </si>
  <si>
    <t>ΠΑΝΤΕΛΙΔΟΥ</t>
  </si>
  <si>
    <t>ΑΜ695163</t>
  </si>
  <si>
    <t>755,3</t>
  </si>
  <si>
    <t>ΧΡΥΣΑΔΑΚΟΥ</t>
  </si>
  <si>
    <t>ΑΒ406489</t>
  </si>
  <si>
    <t>ΣΕΡΕΜΕΤΗ</t>
  </si>
  <si>
    <t>ΑΕ710335</t>
  </si>
  <si>
    <t>201-202-204-206-210-212</t>
  </si>
  <si>
    <t>ΛΑΛΙΩΤΗ</t>
  </si>
  <si>
    <t>ΑΖ215846</t>
  </si>
  <si>
    <t>201-212-205-206-210-203-202-204-207-209-211</t>
  </si>
  <si>
    <t>ΒΕΡΒΕΣΟΥ</t>
  </si>
  <si>
    <t>ΠΑΝΑΓΙΩΤΑ ΣΤΥΛΙΑΝΗ</t>
  </si>
  <si>
    <t>ΑΜ342760</t>
  </si>
  <si>
    <t>750,3</t>
  </si>
  <si>
    <t>ΧΑΤΖΗΤΣΙΡΑΚΟΓΛΟΥ</t>
  </si>
  <si>
    <t>ΧΑΡΟΥΛΑ</t>
  </si>
  <si>
    <t>ΑΙ717168</t>
  </si>
  <si>
    <t>ΜΑΥΡΟΓΕΩΡΓΟΥ</t>
  </si>
  <si>
    <t>ΑΕ276544</t>
  </si>
  <si>
    <t>749,8</t>
  </si>
  <si>
    <t>ΠΟΥΛΙΟΥ</t>
  </si>
  <si>
    <t>ΑΙ369592</t>
  </si>
  <si>
    <t>746,4</t>
  </si>
  <si>
    <t>203-204-205-206-207-209-210-211</t>
  </si>
  <si>
    <t>ΛΟΥΛΑΣ</t>
  </si>
  <si>
    <t>ΑΑ050851</t>
  </si>
  <si>
    <t>ΑΒ791582</t>
  </si>
  <si>
    <t>ΤΣΑΜΗΣ</t>
  </si>
  <si>
    <t>ΑΙ496018</t>
  </si>
  <si>
    <t>204-201-211-203</t>
  </si>
  <si>
    <t>ΧΑΛΝΤΟΥΠΗ</t>
  </si>
  <si>
    <t>ΘΕΚΛΑ</t>
  </si>
  <si>
    <t>ΑΑ935723</t>
  </si>
  <si>
    <t>736,5</t>
  </si>
  <si>
    <t>206-210-205-207</t>
  </si>
  <si>
    <t>ΝΤΙΤΟΡΑΣ</t>
  </si>
  <si>
    <t>ΑΑ376311</t>
  </si>
  <si>
    <t>203-207-205</t>
  </si>
  <si>
    <t>ΠΕΛΤΕΚΗ</t>
  </si>
  <si>
    <t>Χ784348</t>
  </si>
  <si>
    <t>723,4</t>
  </si>
  <si>
    <t>203-206-210-212-207-205-209</t>
  </si>
  <si>
    <t>ΟΥΖΟΥΝΗ</t>
  </si>
  <si>
    <t>Ρ722563</t>
  </si>
  <si>
    <t>203-204-207</t>
  </si>
  <si>
    <t>Χ429498</t>
  </si>
  <si>
    <t>717,5</t>
  </si>
  <si>
    <t>ΑΙ697781</t>
  </si>
  <si>
    <t>714,8</t>
  </si>
  <si>
    <t>ΦΑΜΕΛΟΥ</t>
  </si>
  <si>
    <t>Χ842061</t>
  </si>
  <si>
    <t>705,4</t>
  </si>
  <si>
    <t>ΜΑΡΚΟΥ</t>
  </si>
  <si>
    <t>Χ 521918</t>
  </si>
  <si>
    <t>Χ968307</t>
  </si>
  <si>
    <t>ΚΑΟΥΡΗ</t>
  </si>
  <si>
    <t>ΑΒ385565</t>
  </si>
  <si>
    <t>696,8</t>
  </si>
  <si>
    <t>201-212-210-206-202-204</t>
  </si>
  <si>
    <t>ΜΗΛΙΩΝΗ</t>
  </si>
  <si>
    <t>Τ929010</t>
  </si>
  <si>
    <t>696,6</t>
  </si>
  <si>
    <t>203-204-211-206-205-207-210-209-201-212</t>
  </si>
  <si>
    <t>ΤΖΑΛΛΑΣ</t>
  </si>
  <si>
    <t>ΑΙ871569</t>
  </si>
  <si>
    <t>205-206-207-208-209-210-204-211</t>
  </si>
  <si>
    <t>Χ811280</t>
  </si>
  <si>
    <t>613,8</t>
  </si>
  <si>
    <t>693,8</t>
  </si>
  <si>
    <t>ΠΑΝΑΓΟΥΛΗ</t>
  </si>
  <si>
    <t>ΑΕ002448</t>
  </si>
  <si>
    <t>619,3</t>
  </si>
  <si>
    <t>689,3</t>
  </si>
  <si>
    <t>ΠΡΟΦΗΤΗ</t>
  </si>
  <si>
    <t>Χ992066</t>
  </si>
  <si>
    <t>686,7</t>
  </si>
  <si>
    <t>ΓΚΙΝΟΠΟΥΛΟΣ</t>
  </si>
  <si>
    <t>ΑΜ071835</t>
  </si>
  <si>
    <t>ΚΟΥΛΟΓΙΑΝΝΗΣ</t>
  </si>
  <si>
    <t>ΑΕ644760</t>
  </si>
  <si>
    <t>680,4</t>
  </si>
  <si>
    <t>ΚΑΡΠΑΘΑΚΗΣ</t>
  </si>
  <si>
    <t>ΑΖ532822</t>
  </si>
  <si>
    <t>680,3</t>
  </si>
  <si>
    <t>ΣΥΜΕΩΝΙΔΗΣ</t>
  </si>
  <si>
    <t>ΑΛΚΗΣ</t>
  </si>
  <si>
    <t>K00255215</t>
  </si>
  <si>
    <t>ΑΓΡΙΟΥ</t>
  </si>
  <si>
    <t>ΑΓΡΑΜΠΕΛΗ</t>
  </si>
  <si>
    <t>ΑΙ673661</t>
  </si>
  <si>
    <t>645,7</t>
  </si>
  <si>
    <t>675,7</t>
  </si>
  <si>
    <t>201-204-205-206-207-208-209-212</t>
  </si>
  <si>
    <t>ΚΟΥΣΑΗ</t>
  </si>
  <si>
    <t>ΑΖ011837</t>
  </si>
  <si>
    <t>206-210-209-205-207</t>
  </si>
  <si>
    <t>ΣΩΤΗΡΙΟΥ</t>
  </si>
  <si>
    <t>ΑΜ818671</t>
  </si>
  <si>
    <t>211-212-203-204-205-206-207-209-210-201-202</t>
  </si>
  <si>
    <t>ΔΟΣΗ</t>
  </si>
  <si>
    <t>Ρ800519</t>
  </si>
  <si>
    <t>Χ565299</t>
  </si>
  <si>
    <t>206-205-209-210-207</t>
  </si>
  <si>
    <t>ΚΟΡΟΜΗΛΙΑ</t>
  </si>
  <si>
    <t>ΑΡΙΣΤΟΦΑΝΗΣ</t>
  </si>
  <si>
    <t>ΑΙ069606</t>
  </si>
  <si>
    <t>ΦΩΚΑ</t>
  </si>
  <si>
    <t>ΑΙ821476</t>
  </si>
  <si>
    <t>201-204-206-210-205-207-209-212-203-211-202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</si>
  <si>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</si>
  <si>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</si>
  <si>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</si>
  <si>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</si>
  <si>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</si>
  <si>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</si>
  <si>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</si>
  <si>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</si>
  <si>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</si>
  <si>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</si>
  <si>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</si>
  <si>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</si>
  <si>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2</t>
  </si>
  <si>
    <t>14:ΑΛΛΗ ΓΛΩΣΣΑ 1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</si>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</sst>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21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2393</v>
      </c>
      <c r="C8" t="s">
        <v>13</v>
      </c>
      <c r="D8" t="s">
        <v>14</v>
      </c>
      <c r="E8" t="s">
        <v>15</v>
      </c>
      <c r="F8">
        <v>1436</v>
      </c>
      <c r="G8" t="str">
        <f>"201405000696"</f>
        <v>201405000696</v>
      </c>
      <c r="H8" t="s">
        <v>16</v>
      </c>
      <c r="I8">
        <v>0</v>
      </c>
      <c r="J8">
        <v>400</v>
      </c>
      <c r="K8">
        <v>0</v>
      </c>
      <c r="L8">
        <v>260</v>
      </c>
      <c r="M8">
        <v>0</v>
      </c>
      <c r="N8">
        <v>30</v>
      </c>
      <c r="O8">
        <v>70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128</v>
      </c>
      <c r="W8">
        <v>588</v>
      </c>
      <c r="Z8">
        <v>0</v>
      </c>
      <c r="AA8" t="s">
        <v>17</v>
      </c>
    </row>
    <row r="9" spans="1:27" x14ac:dyDescent="0.25">
      <c r="H9" t="s">
        <v>18</v>
      </c>
    </row>
    <row r="10" spans="1:27" x14ac:dyDescent="0.25">
      <c r="A10">
        <v>2</v>
      </c>
      <c r="B10">
        <v>1852</v>
      </c>
      <c r="C10" t="s">
        <v>19</v>
      </c>
      <c r="D10" t="s">
        <v>20</v>
      </c>
      <c r="E10" t="s">
        <v>21</v>
      </c>
      <c r="F10" t="s">
        <v>22</v>
      </c>
      <c r="G10" t="str">
        <f>"00011171"</f>
        <v>00011171</v>
      </c>
      <c r="H10" t="s">
        <v>23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50</v>
      </c>
      <c r="P10">
        <v>50</v>
      </c>
      <c r="Q10">
        <v>0</v>
      </c>
      <c r="R10">
        <v>0</v>
      </c>
      <c r="S10">
        <v>0</v>
      </c>
      <c r="T10">
        <v>0</v>
      </c>
      <c r="U10">
        <v>0</v>
      </c>
      <c r="V10">
        <v>149</v>
      </c>
      <c r="W10">
        <v>588</v>
      </c>
      <c r="Z10">
        <v>0</v>
      </c>
      <c r="AA10" t="s">
        <v>24</v>
      </c>
    </row>
    <row r="11" spans="1:27" x14ac:dyDescent="0.25">
      <c r="H11" t="s">
        <v>25</v>
      </c>
    </row>
    <row r="12" spans="1:27" x14ac:dyDescent="0.25">
      <c r="A12">
        <v>3</v>
      </c>
      <c r="B12">
        <v>2794</v>
      </c>
      <c r="C12" t="s">
        <v>26</v>
      </c>
      <c r="D12" t="s">
        <v>27</v>
      </c>
      <c r="E12" t="s">
        <v>28</v>
      </c>
      <c r="F12" t="s">
        <v>29</v>
      </c>
      <c r="G12" t="str">
        <f>"201406012177"</f>
        <v>201406012177</v>
      </c>
      <c r="H12" t="s">
        <v>30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70</v>
      </c>
      <c r="P12">
        <v>70</v>
      </c>
      <c r="Q12">
        <v>70</v>
      </c>
      <c r="R12">
        <v>70</v>
      </c>
      <c r="S12">
        <v>0</v>
      </c>
      <c r="T12">
        <v>0</v>
      </c>
      <c r="U12">
        <v>0</v>
      </c>
      <c r="V12">
        <v>130</v>
      </c>
      <c r="W12">
        <v>588</v>
      </c>
      <c r="Z12">
        <v>0</v>
      </c>
      <c r="AA12" t="s">
        <v>31</v>
      </c>
    </row>
    <row r="13" spans="1:27" x14ac:dyDescent="0.25">
      <c r="H13" t="s">
        <v>32</v>
      </c>
    </row>
    <row r="14" spans="1:27" x14ac:dyDescent="0.25">
      <c r="A14">
        <v>4</v>
      </c>
      <c r="B14">
        <v>2487</v>
      </c>
      <c r="C14" t="s">
        <v>33</v>
      </c>
      <c r="D14" t="s">
        <v>20</v>
      </c>
      <c r="E14" t="s">
        <v>34</v>
      </c>
      <c r="F14" t="s">
        <v>35</v>
      </c>
      <c r="G14" t="str">
        <f>"00013899"</f>
        <v>00013899</v>
      </c>
      <c r="H14" t="s">
        <v>36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70</v>
      </c>
      <c r="Q14">
        <v>30</v>
      </c>
      <c r="R14">
        <v>0</v>
      </c>
      <c r="S14">
        <v>0</v>
      </c>
      <c r="T14">
        <v>0</v>
      </c>
      <c r="U14">
        <v>0</v>
      </c>
      <c r="V14">
        <v>107</v>
      </c>
      <c r="W14">
        <v>588</v>
      </c>
      <c r="Z14">
        <v>0</v>
      </c>
      <c r="AA14" t="s">
        <v>37</v>
      </c>
    </row>
    <row r="15" spans="1:27" x14ac:dyDescent="0.25">
      <c r="H15" t="s">
        <v>38</v>
      </c>
    </row>
    <row r="16" spans="1:27" x14ac:dyDescent="0.25">
      <c r="A16">
        <v>5</v>
      </c>
      <c r="B16">
        <v>1704</v>
      </c>
      <c r="C16" t="s">
        <v>39</v>
      </c>
      <c r="D16" t="s">
        <v>40</v>
      </c>
      <c r="E16" t="s">
        <v>41</v>
      </c>
      <c r="F16" t="s">
        <v>42</v>
      </c>
      <c r="G16" t="str">
        <f>"201406001008"</f>
        <v>201406001008</v>
      </c>
      <c r="H16" t="s">
        <v>43</v>
      </c>
      <c r="I16">
        <v>0</v>
      </c>
      <c r="J16">
        <v>400</v>
      </c>
      <c r="K16">
        <v>0</v>
      </c>
      <c r="L16">
        <v>200</v>
      </c>
      <c r="M16">
        <v>0</v>
      </c>
      <c r="N16">
        <v>30</v>
      </c>
      <c r="O16">
        <v>30</v>
      </c>
      <c r="P16">
        <v>70</v>
      </c>
      <c r="Q16">
        <v>0</v>
      </c>
      <c r="R16">
        <v>0</v>
      </c>
      <c r="S16">
        <v>0</v>
      </c>
      <c r="T16">
        <v>0</v>
      </c>
      <c r="U16">
        <v>0</v>
      </c>
      <c r="V16">
        <v>142</v>
      </c>
      <c r="W16">
        <v>588</v>
      </c>
      <c r="Z16">
        <v>0</v>
      </c>
      <c r="AA16" t="s">
        <v>44</v>
      </c>
    </row>
    <row r="17" spans="1:27" x14ac:dyDescent="0.25">
      <c r="H17">
        <v>201</v>
      </c>
    </row>
    <row r="18" spans="1:27" x14ac:dyDescent="0.25">
      <c r="A18">
        <v>6</v>
      </c>
      <c r="B18">
        <v>1632</v>
      </c>
      <c r="C18" t="s">
        <v>45</v>
      </c>
      <c r="D18" t="s">
        <v>46</v>
      </c>
      <c r="E18" t="s">
        <v>47</v>
      </c>
      <c r="F18" t="s">
        <v>48</v>
      </c>
      <c r="G18" t="str">
        <f>"201411002551"</f>
        <v>201411002551</v>
      </c>
      <c r="H18" t="s">
        <v>49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70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147</v>
      </c>
      <c r="W18">
        <v>588</v>
      </c>
      <c r="Z18">
        <v>0</v>
      </c>
      <c r="AA18" t="s">
        <v>50</v>
      </c>
    </row>
    <row r="19" spans="1:27" x14ac:dyDescent="0.25">
      <c r="H19" t="s">
        <v>51</v>
      </c>
    </row>
    <row r="20" spans="1:27" x14ac:dyDescent="0.25">
      <c r="A20">
        <v>7</v>
      </c>
      <c r="B20">
        <v>3145</v>
      </c>
      <c r="C20" t="s">
        <v>52</v>
      </c>
      <c r="D20" t="s">
        <v>53</v>
      </c>
      <c r="E20" t="s">
        <v>54</v>
      </c>
      <c r="F20" t="s">
        <v>55</v>
      </c>
      <c r="G20" t="str">
        <f>"201304005505"</f>
        <v>201304005505</v>
      </c>
      <c r="H20">
        <v>770</v>
      </c>
      <c r="I20">
        <v>0</v>
      </c>
      <c r="J20">
        <v>400</v>
      </c>
      <c r="K20">
        <v>0</v>
      </c>
      <c r="L20">
        <v>200</v>
      </c>
      <c r="M20">
        <v>0</v>
      </c>
      <c r="N20">
        <v>50</v>
      </c>
      <c r="O20">
        <v>50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120</v>
      </c>
      <c r="W20">
        <v>588</v>
      </c>
      <c r="Z20">
        <v>0</v>
      </c>
      <c r="AA20">
        <v>2058</v>
      </c>
    </row>
    <row r="21" spans="1:27" x14ac:dyDescent="0.25">
      <c r="H21" t="s">
        <v>56</v>
      </c>
    </row>
    <row r="22" spans="1:27" x14ac:dyDescent="0.25">
      <c r="A22">
        <v>8</v>
      </c>
      <c r="B22">
        <v>2234</v>
      </c>
      <c r="C22" t="s">
        <v>57</v>
      </c>
      <c r="D22" t="s">
        <v>58</v>
      </c>
      <c r="E22" t="s">
        <v>59</v>
      </c>
      <c r="F22" t="s">
        <v>60</v>
      </c>
      <c r="G22" t="str">
        <f>"00014148"</f>
        <v>00014148</v>
      </c>
      <c r="H22" t="s">
        <v>61</v>
      </c>
      <c r="I22">
        <v>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0</v>
      </c>
      <c r="P22">
        <v>70</v>
      </c>
      <c r="Q22">
        <v>0</v>
      </c>
      <c r="R22">
        <v>0</v>
      </c>
      <c r="S22">
        <v>0</v>
      </c>
      <c r="T22">
        <v>0</v>
      </c>
      <c r="U22">
        <v>0</v>
      </c>
      <c r="V22">
        <v>71</v>
      </c>
      <c r="W22">
        <v>497</v>
      </c>
      <c r="Z22">
        <v>0</v>
      </c>
      <c r="AA22" t="s">
        <v>62</v>
      </c>
    </row>
    <row r="23" spans="1:27" x14ac:dyDescent="0.25">
      <c r="H23" t="s">
        <v>63</v>
      </c>
    </row>
    <row r="24" spans="1:27" x14ac:dyDescent="0.25">
      <c r="A24">
        <v>9</v>
      </c>
      <c r="B24">
        <v>864</v>
      </c>
      <c r="C24" t="s">
        <v>64</v>
      </c>
      <c r="D24" t="s">
        <v>20</v>
      </c>
      <c r="E24" t="s">
        <v>15</v>
      </c>
      <c r="F24" t="s">
        <v>65</v>
      </c>
      <c r="G24" t="str">
        <f>"00014920"</f>
        <v>00014920</v>
      </c>
      <c r="H24" t="s">
        <v>66</v>
      </c>
      <c r="I24">
        <v>0</v>
      </c>
      <c r="J24">
        <v>400</v>
      </c>
      <c r="K24">
        <v>0</v>
      </c>
      <c r="L24">
        <v>200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71</v>
      </c>
      <c r="W24">
        <v>497</v>
      </c>
      <c r="Z24">
        <v>0</v>
      </c>
      <c r="AA24" t="s">
        <v>67</v>
      </c>
    </row>
    <row r="25" spans="1:27" x14ac:dyDescent="0.25">
      <c r="H25">
        <v>203</v>
      </c>
    </row>
    <row r="26" spans="1:27" x14ac:dyDescent="0.25">
      <c r="A26">
        <v>10</v>
      </c>
      <c r="B26">
        <v>351</v>
      </c>
      <c r="C26" t="s">
        <v>68</v>
      </c>
      <c r="D26" t="s">
        <v>69</v>
      </c>
      <c r="E26" t="s">
        <v>54</v>
      </c>
      <c r="F26" t="s">
        <v>70</v>
      </c>
      <c r="G26" t="str">
        <f>"00014760"</f>
        <v>00014760</v>
      </c>
      <c r="H26" t="s">
        <v>71</v>
      </c>
      <c r="I26">
        <v>0</v>
      </c>
      <c r="J26">
        <v>400</v>
      </c>
      <c r="K26">
        <v>0</v>
      </c>
      <c r="L26">
        <v>200</v>
      </c>
      <c r="M26">
        <v>0</v>
      </c>
      <c r="N26">
        <v>70</v>
      </c>
      <c r="O26">
        <v>50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116</v>
      </c>
      <c r="W26">
        <v>588</v>
      </c>
      <c r="Z26">
        <v>1</v>
      </c>
      <c r="AA26" t="s">
        <v>72</v>
      </c>
    </row>
    <row r="27" spans="1:27" x14ac:dyDescent="0.25">
      <c r="H27" t="s">
        <v>73</v>
      </c>
    </row>
    <row r="28" spans="1:27" x14ac:dyDescent="0.25">
      <c r="A28">
        <v>11</v>
      </c>
      <c r="B28">
        <v>974</v>
      </c>
      <c r="C28" t="s">
        <v>74</v>
      </c>
      <c r="D28" t="s">
        <v>75</v>
      </c>
      <c r="E28" t="s">
        <v>76</v>
      </c>
      <c r="F28" t="s">
        <v>77</v>
      </c>
      <c r="G28" t="str">
        <f>"00014024"</f>
        <v>00014024</v>
      </c>
      <c r="H28">
        <v>957</v>
      </c>
      <c r="I28">
        <v>0</v>
      </c>
      <c r="J28">
        <v>0</v>
      </c>
      <c r="K28">
        <v>0</v>
      </c>
      <c r="L28">
        <v>260</v>
      </c>
      <c r="M28">
        <v>0</v>
      </c>
      <c r="N28">
        <v>70</v>
      </c>
      <c r="O28">
        <v>30</v>
      </c>
      <c r="P28">
        <v>50</v>
      </c>
      <c r="Q28">
        <v>0</v>
      </c>
      <c r="R28">
        <v>0</v>
      </c>
      <c r="S28">
        <v>0</v>
      </c>
      <c r="T28">
        <v>0</v>
      </c>
      <c r="U28">
        <v>0</v>
      </c>
      <c r="V28">
        <v>170</v>
      </c>
      <c r="W28">
        <v>588</v>
      </c>
      <c r="Z28">
        <v>0</v>
      </c>
      <c r="AA28">
        <v>1955</v>
      </c>
    </row>
    <row r="29" spans="1:27" x14ac:dyDescent="0.25">
      <c r="H29" t="s">
        <v>78</v>
      </c>
    </row>
    <row r="30" spans="1:27" x14ac:dyDescent="0.25">
      <c r="A30">
        <v>12</v>
      </c>
      <c r="B30">
        <v>1601</v>
      </c>
      <c r="C30" t="s">
        <v>79</v>
      </c>
      <c r="D30" t="s">
        <v>80</v>
      </c>
      <c r="E30" t="s">
        <v>81</v>
      </c>
      <c r="F30" t="s">
        <v>82</v>
      </c>
      <c r="G30" t="str">
        <f>"201505000212"</f>
        <v>201505000212</v>
      </c>
      <c r="H30" t="s">
        <v>83</v>
      </c>
      <c r="I30">
        <v>0</v>
      </c>
      <c r="J30">
        <v>0</v>
      </c>
      <c r="K30">
        <v>200</v>
      </c>
      <c r="L30">
        <v>200</v>
      </c>
      <c r="M30">
        <v>0</v>
      </c>
      <c r="N30">
        <v>70</v>
      </c>
      <c r="O30">
        <v>0</v>
      </c>
      <c r="P30">
        <v>50</v>
      </c>
      <c r="Q30">
        <v>0</v>
      </c>
      <c r="R30">
        <v>0</v>
      </c>
      <c r="S30">
        <v>0</v>
      </c>
      <c r="T30">
        <v>0</v>
      </c>
      <c r="U30">
        <v>0</v>
      </c>
      <c r="V30">
        <v>178</v>
      </c>
      <c r="W30">
        <v>588</v>
      </c>
      <c r="Z30">
        <v>0</v>
      </c>
      <c r="AA30" t="s">
        <v>84</v>
      </c>
    </row>
    <row r="31" spans="1:27" x14ac:dyDescent="0.25">
      <c r="H31" t="s">
        <v>85</v>
      </c>
    </row>
    <row r="32" spans="1:27" x14ac:dyDescent="0.25">
      <c r="A32">
        <v>13</v>
      </c>
      <c r="B32">
        <v>1881</v>
      </c>
      <c r="C32" t="s">
        <v>86</v>
      </c>
      <c r="D32" t="s">
        <v>87</v>
      </c>
      <c r="E32" t="s">
        <v>88</v>
      </c>
      <c r="F32" t="s">
        <v>89</v>
      </c>
      <c r="G32" t="str">
        <f>"201304000550"</f>
        <v>201304000550</v>
      </c>
      <c r="H32" t="s">
        <v>90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70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73</v>
      </c>
      <c r="W32">
        <v>511</v>
      </c>
      <c r="Z32">
        <v>0</v>
      </c>
      <c r="AA32" t="s">
        <v>91</v>
      </c>
    </row>
    <row r="33" spans="1:27" x14ac:dyDescent="0.25">
      <c r="H33" t="s">
        <v>92</v>
      </c>
    </row>
    <row r="34" spans="1:27" x14ac:dyDescent="0.25">
      <c r="A34">
        <v>14</v>
      </c>
      <c r="B34">
        <v>740</v>
      </c>
      <c r="C34" t="s">
        <v>93</v>
      </c>
      <c r="D34" t="s">
        <v>94</v>
      </c>
      <c r="E34" t="s">
        <v>88</v>
      </c>
      <c r="F34" t="s">
        <v>95</v>
      </c>
      <c r="G34" t="str">
        <f>"00014058"</f>
        <v>00014058</v>
      </c>
      <c r="H34" t="s">
        <v>96</v>
      </c>
      <c r="I34">
        <v>0</v>
      </c>
      <c r="J34">
        <v>400</v>
      </c>
      <c r="K34">
        <v>0</v>
      </c>
      <c r="L34">
        <v>0</v>
      </c>
      <c r="M34">
        <v>100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Z34">
        <v>0</v>
      </c>
      <c r="AA34" t="s">
        <v>97</v>
      </c>
    </row>
    <row r="35" spans="1:27" x14ac:dyDescent="0.25">
      <c r="H35" t="s">
        <v>98</v>
      </c>
    </row>
    <row r="36" spans="1:27" x14ac:dyDescent="0.25">
      <c r="A36">
        <v>15</v>
      </c>
      <c r="B36">
        <v>999</v>
      </c>
      <c r="C36" t="s">
        <v>99</v>
      </c>
      <c r="D36" t="s">
        <v>54</v>
      </c>
      <c r="E36" t="s">
        <v>100</v>
      </c>
      <c r="F36" t="s">
        <v>101</v>
      </c>
      <c r="G36" t="str">
        <f>"00013972"</f>
        <v>00013972</v>
      </c>
      <c r="H36" t="s">
        <v>102</v>
      </c>
      <c r="I36">
        <v>150</v>
      </c>
      <c r="J36">
        <v>0</v>
      </c>
      <c r="K36">
        <v>0</v>
      </c>
      <c r="L36">
        <v>200</v>
      </c>
      <c r="M36">
        <v>0</v>
      </c>
      <c r="N36">
        <v>70</v>
      </c>
      <c r="O36">
        <v>70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83</v>
      </c>
      <c r="W36">
        <v>581</v>
      </c>
      <c r="Z36">
        <v>0</v>
      </c>
      <c r="AA36" t="s">
        <v>103</v>
      </c>
    </row>
    <row r="37" spans="1:27" x14ac:dyDescent="0.25">
      <c r="H37" t="s">
        <v>104</v>
      </c>
    </row>
    <row r="38" spans="1:27" x14ac:dyDescent="0.25">
      <c r="A38">
        <v>16</v>
      </c>
      <c r="B38">
        <v>1129</v>
      </c>
      <c r="C38" t="s">
        <v>105</v>
      </c>
      <c r="D38" t="s">
        <v>106</v>
      </c>
      <c r="E38" t="s">
        <v>54</v>
      </c>
      <c r="F38" t="s">
        <v>107</v>
      </c>
      <c r="G38" t="str">
        <f>"00014665"</f>
        <v>00014665</v>
      </c>
      <c r="H38" t="s">
        <v>108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70</v>
      </c>
      <c r="P38">
        <v>70</v>
      </c>
      <c r="Q38">
        <v>0</v>
      </c>
      <c r="R38">
        <v>0</v>
      </c>
      <c r="S38">
        <v>0</v>
      </c>
      <c r="T38">
        <v>0</v>
      </c>
      <c r="U38">
        <v>0</v>
      </c>
      <c r="V38">
        <v>93</v>
      </c>
      <c r="W38">
        <v>588</v>
      </c>
      <c r="Z38">
        <v>0</v>
      </c>
      <c r="AA38" t="s">
        <v>109</v>
      </c>
    </row>
    <row r="39" spans="1:27" x14ac:dyDescent="0.25">
      <c r="H39" t="s">
        <v>110</v>
      </c>
    </row>
    <row r="40" spans="1:27" x14ac:dyDescent="0.25">
      <c r="A40">
        <v>17</v>
      </c>
      <c r="B40">
        <v>2743</v>
      </c>
      <c r="C40" t="s">
        <v>111</v>
      </c>
      <c r="D40" t="s">
        <v>112</v>
      </c>
      <c r="E40" t="s">
        <v>100</v>
      </c>
      <c r="F40" t="s">
        <v>113</v>
      </c>
      <c r="G40" t="str">
        <f>"00013845"</f>
        <v>00013845</v>
      </c>
      <c r="H40">
        <v>946</v>
      </c>
      <c r="I40">
        <v>0</v>
      </c>
      <c r="J40">
        <v>400</v>
      </c>
      <c r="K40">
        <v>0</v>
      </c>
      <c r="L40">
        <v>260</v>
      </c>
      <c r="M40">
        <v>0</v>
      </c>
      <c r="N40">
        <v>70</v>
      </c>
      <c r="O40">
        <v>50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17</v>
      </c>
      <c r="W40">
        <v>119</v>
      </c>
      <c r="Z40">
        <v>0</v>
      </c>
      <c r="AA40">
        <v>1845</v>
      </c>
    </row>
    <row r="41" spans="1:27" x14ac:dyDescent="0.25">
      <c r="H41" t="s">
        <v>114</v>
      </c>
    </row>
    <row r="42" spans="1:27" x14ac:dyDescent="0.25">
      <c r="A42">
        <v>18</v>
      </c>
      <c r="B42">
        <v>1142</v>
      </c>
      <c r="C42" t="s">
        <v>115</v>
      </c>
      <c r="D42" t="s">
        <v>116</v>
      </c>
      <c r="E42" t="s">
        <v>54</v>
      </c>
      <c r="F42" t="s">
        <v>117</v>
      </c>
      <c r="G42" t="str">
        <f>"00015250"</f>
        <v>00015250</v>
      </c>
      <c r="H42" t="s">
        <v>118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70</v>
      </c>
      <c r="P42">
        <v>0</v>
      </c>
      <c r="Q42">
        <v>30</v>
      </c>
      <c r="R42">
        <v>0</v>
      </c>
      <c r="S42">
        <v>0</v>
      </c>
      <c r="T42">
        <v>0</v>
      </c>
      <c r="U42">
        <v>0</v>
      </c>
      <c r="V42">
        <v>120</v>
      </c>
      <c r="W42">
        <v>588</v>
      </c>
      <c r="Z42">
        <v>0</v>
      </c>
      <c r="AA42" t="s">
        <v>119</v>
      </c>
    </row>
    <row r="43" spans="1:27" x14ac:dyDescent="0.25">
      <c r="H43">
        <v>203</v>
      </c>
    </row>
    <row r="44" spans="1:27" x14ac:dyDescent="0.25">
      <c r="A44">
        <v>19</v>
      </c>
      <c r="B44">
        <v>3075</v>
      </c>
      <c r="C44" t="s">
        <v>120</v>
      </c>
      <c r="D44" t="s">
        <v>112</v>
      </c>
      <c r="E44" t="s">
        <v>121</v>
      </c>
      <c r="F44" t="s">
        <v>122</v>
      </c>
      <c r="G44" t="str">
        <f>"00014100"</f>
        <v>00014100</v>
      </c>
      <c r="H44" t="s">
        <v>123</v>
      </c>
      <c r="I44">
        <v>0</v>
      </c>
      <c r="J44">
        <v>0</v>
      </c>
      <c r="K44">
        <v>0</v>
      </c>
      <c r="L44">
        <v>260</v>
      </c>
      <c r="M44">
        <v>0</v>
      </c>
      <c r="N44">
        <v>70</v>
      </c>
      <c r="O44">
        <v>70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94</v>
      </c>
      <c r="W44">
        <v>588</v>
      </c>
      <c r="Z44">
        <v>0</v>
      </c>
      <c r="AA44" t="s">
        <v>124</v>
      </c>
    </row>
    <row r="45" spans="1:27" x14ac:dyDescent="0.25">
      <c r="H45" t="s">
        <v>125</v>
      </c>
    </row>
    <row r="46" spans="1:27" x14ac:dyDescent="0.25">
      <c r="A46">
        <v>20</v>
      </c>
      <c r="B46">
        <v>1463</v>
      </c>
      <c r="C46" t="s">
        <v>126</v>
      </c>
      <c r="D46" t="s">
        <v>14</v>
      </c>
      <c r="E46" t="s">
        <v>54</v>
      </c>
      <c r="F46" t="s">
        <v>127</v>
      </c>
      <c r="G46" t="str">
        <f>"00014414"</f>
        <v>00014414</v>
      </c>
      <c r="H46" t="s">
        <v>128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70</v>
      </c>
      <c r="P46">
        <v>50</v>
      </c>
      <c r="Q46">
        <v>0</v>
      </c>
      <c r="R46">
        <v>0</v>
      </c>
      <c r="S46">
        <v>0</v>
      </c>
      <c r="T46">
        <v>0</v>
      </c>
      <c r="U46">
        <v>0</v>
      </c>
      <c r="V46">
        <v>112</v>
      </c>
      <c r="W46">
        <v>588</v>
      </c>
      <c r="Z46">
        <v>0</v>
      </c>
      <c r="AA46" t="s">
        <v>129</v>
      </c>
    </row>
    <row r="47" spans="1:27" x14ac:dyDescent="0.25">
      <c r="H47" t="s">
        <v>130</v>
      </c>
    </row>
    <row r="48" spans="1:27" x14ac:dyDescent="0.25">
      <c r="A48">
        <v>21</v>
      </c>
      <c r="B48">
        <v>2203</v>
      </c>
      <c r="C48" t="s">
        <v>131</v>
      </c>
      <c r="D48" t="s">
        <v>40</v>
      </c>
      <c r="E48" t="s">
        <v>121</v>
      </c>
      <c r="F48" t="s">
        <v>132</v>
      </c>
      <c r="G48" t="str">
        <f>"201506003034"</f>
        <v>201506003034</v>
      </c>
      <c r="H48" t="s">
        <v>133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30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159</v>
      </c>
      <c r="W48">
        <v>588</v>
      </c>
      <c r="Z48">
        <v>0</v>
      </c>
      <c r="AA48" t="s">
        <v>134</v>
      </c>
    </row>
    <row r="49" spans="1:27" x14ac:dyDescent="0.25">
      <c r="H49">
        <v>204</v>
      </c>
    </row>
    <row r="50" spans="1:27" x14ac:dyDescent="0.25">
      <c r="A50">
        <v>22</v>
      </c>
      <c r="B50">
        <v>534</v>
      </c>
      <c r="C50" t="s">
        <v>135</v>
      </c>
      <c r="D50" t="s">
        <v>136</v>
      </c>
      <c r="E50" t="s">
        <v>47</v>
      </c>
      <c r="F50" t="s">
        <v>137</v>
      </c>
      <c r="G50" t="str">
        <f>"201304003850"</f>
        <v>201304003850</v>
      </c>
      <c r="H50" t="s">
        <v>138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70</v>
      </c>
      <c r="P50">
        <v>50</v>
      </c>
      <c r="Q50">
        <v>0</v>
      </c>
      <c r="R50">
        <v>30</v>
      </c>
      <c r="S50">
        <v>0</v>
      </c>
      <c r="T50">
        <v>0</v>
      </c>
      <c r="U50">
        <v>0</v>
      </c>
      <c r="V50">
        <v>117</v>
      </c>
      <c r="W50">
        <v>588</v>
      </c>
      <c r="Z50">
        <v>1</v>
      </c>
      <c r="AA50" t="s">
        <v>139</v>
      </c>
    </row>
    <row r="51" spans="1:27" x14ac:dyDescent="0.25">
      <c r="H51" t="s">
        <v>140</v>
      </c>
    </row>
    <row r="52" spans="1:27" x14ac:dyDescent="0.25">
      <c r="A52">
        <v>23</v>
      </c>
      <c r="B52">
        <v>1788</v>
      </c>
      <c r="C52" t="s">
        <v>141</v>
      </c>
      <c r="D52" t="s">
        <v>142</v>
      </c>
      <c r="E52" t="s">
        <v>143</v>
      </c>
      <c r="F52" t="s">
        <v>144</v>
      </c>
      <c r="G52" t="str">
        <f>"201406002926"</f>
        <v>201406002926</v>
      </c>
      <c r="H52" t="s">
        <v>145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70</v>
      </c>
      <c r="P52">
        <v>70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Z52">
        <v>0</v>
      </c>
      <c r="AA52" t="s">
        <v>146</v>
      </c>
    </row>
    <row r="53" spans="1:27" x14ac:dyDescent="0.25">
      <c r="H53" t="s">
        <v>147</v>
      </c>
    </row>
    <row r="54" spans="1:27" x14ac:dyDescent="0.25">
      <c r="A54">
        <v>24</v>
      </c>
      <c r="B54">
        <v>1195</v>
      </c>
      <c r="C54" t="s">
        <v>148</v>
      </c>
      <c r="D54" t="s">
        <v>149</v>
      </c>
      <c r="E54" t="s">
        <v>100</v>
      </c>
      <c r="F54" t="s">
        <v>150</v>
      </c>
      <c r="G54" t="str">
        <f>"201406015656"</f>
        <v>201406015656</v>
      </c>
      <c r="H54" t="s">
        <v>151</v>
      </c>
      <c r="I54">
        <v>0</v>
      </c>
      <c r="J54">
        <v>0</v>
      </c>
      <c r="K54">
        <v>0</v>
      </c>
      <c r="L54">
        <v>260</v>
      </c>
      <c r="M54">
        <v>0</v>
      </c>
      <c r="N54">
        <v>70</v>
      </c>
      <c r="O54">
        <v>0</v>
      </c>
      <c r="P54">
        <v>50</v>
      </c>
      <c r="Q54">
        <v>0</v>
      </c>
      <c r="R54">
        <v>0</v>
      </c>
      <c r="S54">
        <v>0</v>
      </c>
      <c r="T54">
        <v>0</v>
      </c>
      <c r="U54">
        <v>0</v>
      </c>
      <c r="V54">
        <v>80</v>
      </c>
      <c r="W54">
        <v>560</v>
      </c>
      <c r="Z54">
        <v>0</v>
      </c>
      <c r="AA54" t="s">
        <v>152</v>
      </c>
    </row>
    <row r="55" spans="1:27" x14ac:dyDescent="0.25">
      <c r="H55" t="s">
        <v>153</v>
      </c>
    </row>
    <row r="56" spans="1:27" x14ac:dyDescent="0.25">
      <c r="A56">
        <v>25</v>
      </c>
      <c r="B56">
        <v>317</v>
      </c>
      <c r="C56" t="s">
        <v>154</v>
      </c>
      <c r="D56" t="s">
        <v>112</v>
      </c>
      <c r="E56" t="s">
        <v>155</v>
      </c>
      <c r="F56" t="s">
        <v>156</v>
      </c>
      <c r="G56" t="str">
        <f>"00014846"</f>
        <v>00014846</v>
      </c>
      <c r="H56">
        <v>935</v>
      </c>
      <c r="I56">
        <v>0</v>
      </c>
      <c r="J56">
        <v>0</v>
      </c>
      <c r="K56">
        <v>0</v>
      </c>
      <c r="L56">
        <v>200</v>
      </c>
      <c r="M56">
        <v>30</v>
      </c>
      <c r="N56">
        <v>0</v>
      </c>
      <c r="O56">
        <v>0</v>
      </c>
      <c r="P56">
        <v>50</v>
      </c>
      <c r="Q56">
        <v>0</v>
      </c>
      <c r="R56">
        <v>0</v>
      </c>
      <c r="S56">
        <v>0</v>
      </c>
      <c r="T56">
        <v>0</v>
      </c>
      <c r="U56">
        <v>0</v>
      </c>
      <c r="V56">
        <v>240</v>
      </c>
      <c r="W56">
        <v>588</v>
      </c>
      <c r="Z56">
        <v>0</v>
      </c>
      <c r="AA56">
        <v>1803</v>
      </c>
    </row>
    <row r="57" spans="1:27" x14ac:dyDescent="0.25">
      <c r="H57" t="s">
        <v>157</v>
      </c>
    </row>
    <row r="58" spans="1:27" x14ac:dyDescent="0.25">
      <c r="A58">
        <v>26</v>
      </c>
      <c r="B58">
        <v>2857</v>
      </c>
      <c r="C58" t="s">
        <v>158</v>
      </c>
      <c r="D58" t="s">
        <v>112</v>
      </c>
      <c r="E58" t="s">
        <v>159</v>
      </c>
      <c r="F58" t="s">
        <v>160</v>
      </c>
      <c r="G58" t="str">
        <f>"00013637"</f>
        <v>00013637</v>
      </c>
      <c r="H58" t="s">
        <v>161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70</v>
      </c>
      <c r="Q58">
        <v>0</v>
      </c>
      <c r="R58">
        <v>0</v>
      </c>
      <c r="S58">
        <v>0</v>
      </c>
      <c r="T58">
        <v>0</v>
      </c>
      <c r="U58">
        <v>0</v>
      </c>
      <c r="V58">
        <v>163</v>
      </c>
      <c r="W58">
        <v>588</v>
      </c>
      <c r="Z58">
        <v>0</v>
      </c>
      <c r="AA58" t="s">
        <v>162</v>
      </c>
    </row>
    <row r="59" spans="1:27" x14ac:dyDescent="0.25">
      <c r="H59" t="s">
        <v>163</v>
      </c>
    </row>
    <row r="60" spans="1:27" x14ac:dyDescent="0.25">
      <c r="A60">
        <v>27</v>
      </c>
      <c r="B60">
        <v>1251</v>
      </c>
      <c r="C60" t="s">
        <v>164</v>
      </c>
      <c r="D60" t="s">
        <v>20</v>
      </c>
      <c r="E60" t="s">
        <v>165</v>
      </c>
      <c r="F60" t="s">
        <v>166</v>
      </c>
      <c r="G60" t="str">
        <f>"00015130"</f>
        <v>00015130</v>
      </c>
      <c r="H60" t="s">
        <v>167</v>
      </c>
      <c r="I60">
        <v>0</v>
      </c>
      <c r="J60">
        <v>0</v>
      </c>
      <c r="K60">
        <v>0</v>
      </c>
      <c r="L60">
        <v>200</v>
      </c>
      <c r="M60">
        <v>30</v>
      </c>
      <c r="N60">
        <v>70</v>
      </c>
      <c r="O60">
        <v>0</v>
      </c>
      <c r="P60">
        <v>50</v>
      </c>
      <c r="Q60">
        <v>50</v>
      </c>
      <c r="R60">
        <v>0</v>
      </c>
      <c r="S60">
        <v>0</v>
      </c>
      <c r="T60">
        <v>0</v>
      </c>
      <c r="U60">
        <v>0</v>
      </c>
      <c r="V60">
        <v>139</v>
      </c>
      <c r="W60">
        <v>588</v>
      </c>
      <c r="Z60">
        <v>0</v>
      </c>
      <c r="AA60" t="s">
        <v>168</v>
      </c>
    </row>
    <row r="61" spans="1:27" x14ac:dyDescent="0.25">
      <c r="H61">
        <v>211</v>
      </c>
    </row>
    <row r="62" spans="1:27" x14ac:dyDescent="0.25">
      <c r="A62">
        <v>28</v>
      </c>
      <c r="B62">
        <v>2002</v>
      </c>
      <c r="C62" t="s">
        <v>169</v>
      </c>
      <c r="D62" t="s">
        <v>170</v>
      </c>
      <c r="E62" t="s">
        <v>47</v>
      </c>
      <c r="F62" t="s">
        <v>171</v>
      </c>
      <c r="G62" t="str">
        <f>"00014791"</f>
        <v>00014791</v>
      </c>
      <c r="H62" t="s">
        <v>172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70</v>
      </c>
      <c r="Q62">
        <v>0</v>
      </c>
      <c r="R62">
        <v>0</v>
      </c>
      <c r="S62">
        <v>0</v>
      </c>
      <c r="T62">
        <v>0</v>
      </c>
      <c r="U62">
        <v>0</v>
      </c>
      <c r="V62">
        <v>107</v>
      </c>
      <c r="W62">
        <v>588</v>
      </c>
      <c r="Z62">
        <v>0</v>
      </c>
      <c r="AA62" t="s">
        <v>173</v>
      </c>
    </row>
    <row r="63" spans="1:27" x14ac:dyDescent="0.25">
      <c r="H63" t="s">
        <v>174</v>
      </c>
    </row>
    <row r="64" spans="1:27" x14ac:dyDescent="0.25">
      <c r="A64">
        <v>29</v>
      </c>
      <c r="B64">
        <v>2095</v>
      </c>
      <c r="C64" t="s">
        <v>175</v>
      </c>
      <c r="D64" t="s">
        <v>176</v>
      </c>
      <c r="E64" t="s">
        <v>100</v>
      </c>
      <c r="F64" t="s">
        <v>177</v>
      </c>
      <c r="G64" t="str">
        <f>"00015172"</f>
        <v>00015172</v>
      </c>
      <c r="H64" t="s">
        <v>178</v>
      </c>
      <c r="I64">
        <v>0</v>
      </c>
      <c r="J64">
        <v>0</v>
      </c>
      <c r="K64">
        <v>0</v>
      </c>
      <c r="L64">
        <v>260</v>
      </c>
      <c r="M64">
        <v>0</v>
      </c>
      <c r="N64">
        <v>70</v>
      </c>
      <c r="O64">
        <v>30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145</v>
      </c>
      <c r="W64">
        <v>588</v>
      </c>
      <c r="Z64">
        <v>0</v>
      </c>
      <c r="AA64" t="s">
        <v>179</v>
      </c>
    </row>
    <row r="65" spans="1:27" x14ac:dyDescent="0.25">
      <c r="H65" t="s">
        <v>180</v>
      </c>
    </row>
    <row r="66" spans="1:27" x14ac:dyDescent="0.25">
      <c r="A66">
        <v>30</v>
      </c>
      <c r="B66">
        <v>800</v>
      </c>
      <c r="C66" t="s">
        <v>181</v>
      </c>
      <c r="D66" t="s">
        <v>182</v>
      </c>
      <c r="E66" t="s">
        <v>143</v>
      </c>
      <c r="F66" t="s">
        <v>183</v>
      </c>
      <c r="G66" t="str">
        <f>"00015054"</f>
        <v>00015054</v>
      </c>
      <c r="H66" t="s">
        <v>184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30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137</v>
      </c>
      <c r="W66">
        <v>588</v>
      </c>
      <c r="Z66">
        <v>0</v>
      </c>
      <c r="AA66" t="s">
        <v>185</v>
      </c>
    </row>
    <row r="67" spans="1:27" x14ac:dyDescent="0.25">
      <c r="H67" t="s">
        <v>186</v>
      </c>
    </row>
    <row r="68" spans="1:27" x14ac:dyDescent="0.25">
      <c r="A68">
        <v>31</v>
      </c>
      <c r="B68">
        <v>2517</v>
      </c>
      <c r="C68" t="s">
        <v>187</v>
      </c>
      <c r="D68" t="s">
        <v>136</v>
      </c>
      <c r="E68" t="s">
        <v>54</v>
      </c>
      <c r="F68" t="s">
        <v>188</v>
      </c>
      <c r="G68" t="str">
        <f>"201406011933"</f>
        <v>201406011933</v>
      </c>
      <c r="H68" t="s">
        <v>189</v>
      </c>
      <c r="I68">
        <v>0</v>
      </c>
      <c r="J68">
        <v>0</v>
      </c>
      <c r="K68">
        <v>0</v>
      </c>
      <c r="L68">
        <v>200</v>
      </c>
      <c r="M68">
        <v>30</v>
      </c>
      <c r="N68">
        <v>70</v>
      </c>
      <c r="O68">
        <v>70</v>
      </c>
      <c r="P68">
        <v>0</v>
      </c>
      <c r="Q68">
        <v>0</v>
      </c>
      <c r="R68">
        <v>50</v>
      </c>
      <c r="S68">
        <v>0</v>
      </c>
      <c r="T68">
        <v>0</v>
      </c>
      <c r="U68">
        <v>0</v>
      </c>
      <c r="V68">
        <v>129</v>
      </c>
      <c r="W68">
        <v>588</v>
      </c>
      <c r="Z68">
        <v>0</v>
      </c>
      <c r="AA68" t="s">
        <v>190</v>
      </c>
    </row>
    <row r="69" spans="1:27" x14ac:dyDescent="0.25">
      <c r="H69" t="s">
        <v>191</v>
      </c>
    </row>
    <row r="70" spans="1:27" x14ac:dyDescent="0.25">
      <c r="A70">
        <v>32</v>
      </c>
      <c r="B70">
        <v>2504</v>
      </c>
      <c r="C70" t="s">
        <v>192</v>
      </c>
      <c r="D70" t="s">
        <v>94</v>
      </c>
      <c r="E70" t="s">
        <v>100</v>
      </c>
      <c r="F70" t="s">
        <v>193</v>
      </c>
      <c r="G70" t="str">
        <f>"201406006237"</f>
        <v>201406006237</v>
      </c>
      <c r="H70" t="s">
        <v>194</v>
      </c>
      <c r="I70">
        <v>0</v>
      </c>
      <c r="J70">
        <v>0</v>
      </c>
      <c r="K70">
        <v>0</v>
      </c>
      <c r="L70">
        <v>260</v>
      </c>
      <c r="M70">
        <v>0</v>
      </c>
      <c r="N70">
        <v>70</v>
      </c>
      <c r="O70">
        <v>0</v>
      </c>
      <c r="P70">
        <v>50</v>
      </c>
      <c r="Q70">
        <v>0</v>
      </c>
      <c r="R70">
        <v>50</v>
      </c>
      <c r="S70">
        <v>0</v>
      </c>
      <c r="T70">
        <v>0</v>
      </c>
      <c r="U70">
        <v>0</v>
      </c>
      <c r="V70">
        <v>76</v>
      </c>
      <c r="W70">
        <v>532</v>
      </c>
      <c r="Z70">
        <v>0</v>
      </c>
      <c r="AA70" t="s">
        <v>195</v>
      </c>
    </row>
    <row r="71" spans="1:27" x14ac:dyDescent="0.25">
      <c r="H71" t="s">
        <v>196</v>
      </c>
    </row>
    <row r="72" spans="1:27" x14ac:dyDescent="0.25">
      <c r="A72">
        <v>33</v>
      </c>
      <c r="B72">
        <v>523</v>
      </c>
      <c r="C72" t="s">
        <v>197</v>
      </c>
      <c r="D72" t="s">
        <v>198</v>
      </c>
      <c r="E72" t="s">
        <v>155</v>
      </c>
      <c r="F72" t="s">
        <v>199</v>
      </c>
      <c r="G72" t="str">
        <f>"201506002756"</f>
        <v>201506002756</v>
      </c>
      <c r="H72" t="s">
        <v>200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70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87</v>
      </c>
      <c r="W72">
        <v>588</v>
      </c>
      <c r="Z72">
        <v>0</v>
      </c>
      <c r="AA72" t="s">
        <v>201</v>
      </c>
    </row>
    <row r="73" spans="1:27" x14ac:dyDescent="0.25">
      <c r="H73" t="s">
        <v>202</v>
      </c>
    </row>
    <row r="74" spans="1:27" x14ac:dyDescent="0.25">
      <c r="A74">
        <v>34</v>
      </c>
      <c r="B74">
        <v>1550</v>
      </c>
      <c r="C74" t="s">
        <v>203</v>
      </c>
      <c r="D74" t="s">
        <v>204</v>
      </c>
      <c r="E74" t="s">
        <v>165</v>
      </c>
      <c r="F74" t="s">
        <v>205</v>
      </c>
      <c r="G74" t="str">
        <f>"201304005550"</f>
        <v>201304005550</v>
      </c>
      <c r="H74" t="s">
        <v>206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70</v>
      </c>
      <c r="P74">
        <v>50</v>
      </c>
      <c r="Q74">
        <v>50</v>
      </c>
      <c r="R74">
        <v>0</v>
      </c>
      <c r="S74">
        <v>0</v>
      </c>
      <c r="T74">
        <v>0</v>
      </c>
      <c r="U74">
        <v>0</v>
      </c>
      <c r="V74">
        <v>96</v>
      </c>
      <c r="W74">
        <v>588</v>
      </c>
      <c r="Z74">
        <v>0</v>
      </c>
      <c r="AA74" t="s">
        <v>207</v>
      </c>
    </row>
    <row r="75" spans="1:27" x14ac:dyDescent="0.25">
      <c r="H75" t="s">
        <v>208</v>
      </c>
    </row>
    <row r="76" spans="1:27" x14ac:dyDescent="0.25">
      <c r="A76">
        <v>35</v>
      </c>
      <c r="B76">
        <v>4</v>
      </c>
      <c r="C76" t="s">
        <v>209</v>
      </c>
      <c r="D76" t="s">
        <v>210</v>
      </c>
      <c r="E76" t="s">
        <v>143</v>
      </c>
      <c r="F76" t="s">
        <v>211</v>
      </c>
      <c r="G76" t="str">
        <f>"201402002993"</f>
        <v>201402002993</v>
      </c>
      <c r="H76" t="s">
        <v>212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70</v>
      </c>
      <c r="P76">
        <v>50</v>
      </c>
      <c r="Q76">
        <v>0</v>
      </c>
      <c r="R76">
        <v>0</v>
      </c>
      <c r="S76">
        <v>0</v>
      </c>
      <c r="T76">
        <v>0</v>
      </c>
      <c r="U76">
        <v>0</v>
      </c>
      <c r="V76">
        <v>111</v>
      </c>
      <c r="W76">
        <v>588</v>
      </c>
      <c r="Z76">
        <v>0</v>
      </c>
      <c r="AA76" t="s">
        <v>213</v>
      </c>
    </row>
    <row r="77" spans="1:27" x14ac:dyDescent="0.25">
      <c r="H77" t="s">
        <v>214</v>
      </c>
    </row>
    <row r="78" spans="1:27" x14ac:dyDescent="0.25">
      <c r="A78">
        <v>36</v>
      </c>
      <c r="B78">
        <v>2793</v>
      </c>
      <c r="C78" t="s">
        <v>215</v>
      </c>
      <c r="D78" t="s">
        <v>216</v>
      </c>
      <c r="E78" t="s">
        <v>41</v>
      </c>
      <c r="F78" t="s">
        <v>217</v>
      </c>
      <c r="G78" t="str">
        <f>"00012441"</f>
        <v>00012441</v>
      </c>
      <c r="H78" t="s">
        <v>218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70</v>
      </c>
      <c r="P78">
        <v>50</v>
      </c>
      <c r="Q78">
        <v>0</v>
      </c>
      <c r="R78">
        <v>0</v>
      </c>
      <c r="S78">
        <v>0</v>
      </c>
      <c r="T78">
        <v>0</v>
      </c>
      <c r="U78">
        <v>0</v>
      </c>
      <c r="V78">
        <v>90</v>
      </c>
      <c r="W78">
        <v>588</v>
      </c>
      <c r="Z78">
        <v>0</v>
      </c>
      <c r="AA78" t="s">
        <v>219</v>
      </c>
    </row>
    <row r="79" spans="1:27" x14ac:dyDescent="0.25">
      <c r="H79" t="s">
        <v>220</v>
      </c>
    </row>
    <row r="80" spans="1:27" x14ac:dyDescent="0.25">
      <c r="A80">
        <v>37</v>
      </c>
      <c r="B80">
        <v>806</v>
      </c>
      <c r="C80" t="s">
        <v>221</v>
      </c>
      <c r="D80" t="s">
        <v>136</v>
      </c>
      <c r="E80" t="s">
        <v>222</v>
      </c>
      <c r="F80" t="s">
        <v>223</v>
      </c>
      <c r="G80" t="str">
        <f>"201405000854"</f>
        <v>201405000854</v>
      </c>
      <c r="H80" t="s">
        <v>224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50</v>
      </c>
      <c r="P80">
        <v>0</v>
      </c>
      <c r="Q80">
        <v>0</v>
      </c>
      <c r="R80">
        <v>0</v>
      </c>
      <c r="S80">
        <v>0</v>
      </c>
      <c r="T80">
        <v>0</v>
      </c>
      <c r="U80">
        <v>30</v>
      </c>
      <c r="V80">
        <v>84</v>
      </c>
      <c r="W80">
        <v>588</v>
      </c>
      <c r="Z80">
        <v>0</v>
      </c>
      <c r="AA80" t="s">
        <v>225</v>
      </c>
    </row>
    <row r="81" spans="1:27" x14ac:dyDescent="0.25">
      <c r="H81" t="s">
        <v>226</v>
      </c>
    </row>
    <row r="82" spans="1:27" x14ac:dyDescent="0.25">
      <c r="A82">
        <v>38</v>
      </c>
      <c r="B82">
        <v>2173</v>
      </c>
      <c r="C82" t="s">
        <v>227</v>
      </c>
      <c r="D82" t="s">
        <v>81</v>
      </c>
      <c r="E82" t="s">
        <v>47</v>
      </c>
      <c r="F82" t="s">
        <v>228</v>
      </c>
      <c r="G82" t="str">
        <f>"201406006580"</f>
        <v>201406006580</v>
      </c>
      <c r="H82" t="s">
        <v>229</v>
      </c>
      <c r="I82">
        <v>150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119</v>
      </c>
      <c r="W82">
        <v>588</v>
      </c>
      <c r="Z82">
        <v>0</v>
      </c>
      <c r="AA82" t="s">
        <v>230</v>
      </c>
    </row>
    <row r="83" spans="1:27" x14ac:dyDescent="0.25">
      <c r="H83" t="s">
        <v>231</v>
      </c>
    </row>
    <row r="84" spans="1:27" x14ac:dyDescent="0.25">
      <c r="A84">
        <v>39</v>
      </c>
      <c r="B84">
        <v>2560</v>
      </c>
      <c r="C84" t="s">
        <v>232</v>
      </c>
      <c r="D84" t="s">
        <v>20</v>
      </c>
      <c r="E84" t="s">
        <v>233</v>
      </c>
      <c r="F84" t="s">
        <v>234</v>
      </c>
      <c r="G84" t="str">
        <f>"201304002901"</f>
        <v>201304002901</v>
      </c>
      <c r="H84" t="s">
        <v>189</v>
      </c>
      <c r="I84">
        <v>0</v>
      </c>
      <c r="J84">
        <v>0</v>
      </c>
      <c r="K84">
        <v>0</v>
      </c>
      <c r="L84">
        <v>260</v>
      </c>
      <c r="M84">
        <v>0</v>
      </c>
      <c r="N84">
        <v>70</v>
      </c>
      <c r="O84">
        <v>30</v>
      </c>
      <c r="P84">
        <v>0</v>
      </c>
      <c r="Q84">
        <v>0</v>
      </c>
      <c r="R84">
        <v>30</v>
      </c>
      <c r="S84">
        <v>0</v>
      </c>
      <c r="T84">
        <v>0</v>
      </c>
      <c r="U84">
        <v>0</v>
      </c>
      <c r="V84">
        <v>90</v>
      </c>
      <c r="W84">
        <v>588</v>
      </c>
      <c r="Z84">
        <v>0</v>
      </c>
      <c r="AA84" t="s">
        <v>235</v>
      </c>
    </row>
    <row r="85" spans="1:27" x14ac:dyDescent="0.25">
      <c r="H85" t="s">
        <v>236</v>
      </c>
    </row>
    <row r="86" spans="1:27" x14ac:dyDescent="0.25">
      <c r="A86">
        <v>40</v>
      </c>
      <c r="B86">
        <v>2655</v>
      </c>
      <c r="C86" t="s">
        <v>237</v>
      </c>
      <c r="D86" t="s">
        <v>210</v>
      </c>
      <c r="E86" t="s">
        <v>155</v>
      </c>
      <c r="F86" t="s">
        <v>238</v>
      </c>
      <c r="G86" t="str">
        <f>"201506002113"</f>
        <v>201506002113</v>
      </c>
      <c r="H86" t="s">
        <v>239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50</v>
      </c>
      <c r="P86">
        <v>50</v>
      </c>
      <c r="Q86">
        <v>0</v>
      </c>
      <c r="R86">
        <v>0</v>
      </c>
      <c r="S86">
        <v>0</v>
      </c>
      <c r="T86">
        <v>0</v>
      </c>
      <c r="U86">
        <v>0</v>
      </c>
      <c r="V86">
        <v>106</v>
      </c>
      <c r="W86">
        <v>588</v>
      </c>
      <c r="Z86">
        <v>0</v>
      </c>
      <c r="AA86" t="s">
        <v>240</v>
      </c>
    </row>
    <row r="87" spans="1:27" x14ac:dyDescent="0.25">
      <c r="H87" t="s">
        <v>241</v>
      </c>
    </row>
    <row r="88" spans="1:27" x14ac:dyDescent="0.25">
      <c r="A88">
        <v>41</v>
      </c>
      <c r="B88">
        <v>1160</v>
      </c>
      <c r="C88" t="s">
        <v>242</v>
      </c>
      <c r="D88" t="s">
        <v>243</v>
      </c>
      <c r="E88" t="s">
        <v>155</v>
      </c>
      <c r="F88" t="s">
        <v>244</v>
      </c>
      <c r="G88" t="str">
        <f>"00014812"</f>
        <v>00014812</v>
      </c>
      <c r="H88">
        <v>770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70</v>
      </c>
      <c r="P88">
        <v>0</v>
      </c>
      <c r="Q88">
        <v>50</v>
      </c>
      <c r="R88">
        <v>0</v>
      </c>
      <c r="S88">
        <v>0</v>
      </c>
      <c r="T88">
        <v>0</v>
      </c>
      <c r="U88">
        <v>0</v>
      </c>
      <c r="V88">
        <v>114</v>
      </c>
      <c r="W88">
        <v>588</v>
      </c>
      <c r="Z88">
        <v>0</v>
      </c>
      <c r="AA88">
        <v>1748</v>
      </c>
    </row>
    <row r="89" spans="1:27" x14ac:dyDescent="0.25">
      <c r="H89" t="s">
        <v>245</v>
      </c>
    </row>
    <row r="90" spans="1:27" x14ac:dyDescent="0.25">
      <c r="A90">
        <v>42</v>
      </c>
      <c r="B90">
        <v>3337</v>
      </c>
      <c r="C90" t="s">
        <v>246</v>
      </c>
      <c r="D90" t="s">
        <v>87</v>
      </c>
      <c r="E90" t="s">
        <v>15</v>
      </c>
      <c r="F90" t="s">
        <v>247</v>
      </c>
      <c r="G90" t="str">
        <f>"201506001550"</f>
        <v>201506001550</v>
      </c>
      <c r="H90" t="s">
        <v>248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70</v>
      </c>
      <c r="P90">
        <v>0</v>
      </c>
      <c r="Q90">
        <v>0</v>
      </c>
      <c r="R90">
        <v>30</v>
      </c>
      <c r="S90">
        <v>0</v>
      </c>
      <c r="T90">
        <v>0</v>
      </c>
      <c r="U90">
        <v>0</v>
      </c>
      <c r="V90">
        <v>144</v>
      </c>
      <c r="W90">
        <v>588</v>
      </c>
      <c r="Z90">
        <v>0</v>
      </c>
      <c r="AA90" t="s">
        <v>249</v>
      </c>
    </row>
    <row r="91" spans="1:27" x14ac:dyDescent="0.25">
      <c r="H91" t="s">
        <v>250</v>
      </c>
    </row>
    <row r="92" spans="1:27" x14ac:dyDescent="0.25">
      <c r="A92">
        <v>43</v>
      </c>
      <c r="B92">
        <v>1620</v>
      </c>
      <c r="C92" t="s">
        <v>251</v>
      </c>
      <c r="D92" t="s">
        <v>252</v>
      </c>
      <c r="E92" t="s">
        <v>81</v>
      </c>
      <c r="F92" t="s">
        <v>253</v>
      </c>
      <c r="G92" t="str">
        <f>"200802009327"</f>
        <v>200802009327</v>
      </c>
      <c r="H92" t="s">
        <v>254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50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119</v>
      </c>
      <c r="W92">
        <v>588</v>
      </c>
      <c r="Z92">
        <v>0</v>
      </c>
      <c r="AA92" t="s">
        <v>255</v>
      </c>
    </row>
    <row r="93" spans="1:27" x14ac:dyDescent="0.25">
      <c r="H93" t="s">
        <v>256</v>
      </c>
    </row>
    <row r="94" spans="1:27" x14ac:dyDescent="0.25">
      <c r="A94">
        <v>44</v>
      </c>
      <c r="B94">
        <v>111</v>
      </c>
      <c r="C94" t="s">
        <v>257</v>
      </c>
      <c r="D94" t="s">
        <v>258</v>
      </c>
      <c r="E94" t="s">
        <v>143</v>
      </c>
      <c r="F94" t="s">
        <v>259</v>
      </c>
      <c r="G94" t="str">
        <f>"201506003770"</f>
        <v>201506003770</v>
      </c>
      <c r="H94">
        <v>814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70</v>
      </c>
      <c r="Q94">
        <v>0</v>
      </c>
      <c r="R94">
        <v>0</v>
      </c>
      <c r="S94">
        <v>0</v>
      </c>
      <c r="T94">
        <v>0</v>
      </c>
      <c r="U94">
        <v>0</v>
      </c>
      <c r="V94">
        <v>97</v>
      </c>
      <c r="W94">
        <v>588</v>
      </c>
      <c r="Z94">
        <v>0</v>
      </c>
      <c r="AA94">
        <v>1742</v>
      </c>
    </row>
    <row r="95" spans="1:27" x14ac:dyDescent="0.25">
      <c r="H95" t="s">
        <v>260</v>
      </c>
    </row>
    <row r="96" spans="1:27" x14ac:dyDescent="0.25">
      <c r="A96">
        <v>45</v>
      </c>
      <c r="B96">
        <v>1853</v>
      </c>
      <c r="C96" t="s">
        <v>261</v>
      </c>
      <c r="D96" t="s">
        <v>262</v>
      </c>
      <c r="E96" t="s">
        <v>263</v>
      </c>
      <c r="F96" t="s">
        <v>264</v>
      </c>
      <c r="G96" t="str">
        <f>"201304006035"</f>
        <v>201304006035</v>
      </c>
      <c r="H96" t="s">
        <v>265</v>
      </c>
      <c r="I96">
        <v>0</v>
      </c>
      <c r="J96">
        <v>0</v>
      </c>
      <c r="K96">
        <v>0</v>
      </c>
      <c r="L96">
        <v>260</v>
      </c>
      <c r="M96">
        <v>0</v>
      </c>
      <c r="N96">
        <v>70</v>
      </c>
      <c r="O96">
        <v>50</v>
      </c>
      <c r="P96">
        <v>30</v>
      </c>
      <c r="Q96">
        <v>0</v>
      </c>
      <c r="R96">
        <v>0</v>
      </c>
      <c r="S96">
        <v>0</v>
      </c>
      <c r="T96">
        <v>0</v>
      </c>
      <c r="U96">
        <v>0</v>
      </c>
      <c r="V96">
        <v>105</v>
      </c>
      <c r="W96">
        <v>588</v>
      </c>
      <c r="Z96">
        <v>0</v>
      </c>
      <c r="AA96" t="s">
        <v>266</v>
      </c>
    </row>
    <row r="97" spans="1:27" x14ac:dyDescent="0.25">
      <c r="H97" t="s">
        <v>267</v>
      </c>
    </row>
    <row r="98" spans="1:27" x14ac:dyDescent="0.25">
      <c r="A98">
        <v>46</v>
      </c>
      <c r="B98">
        <v>1005</v>
      </c>
      <c r="C98" t="s">
        <v>268</v>
      </c>
      <c r="D98" t="s">
        <v>216</v>
      </c>
      <c r="E98" t="s">
        <v>54</v>
      </c>
      <c r="F98" t="s">
        <v>269</v>
      </c>
      <c r="G98" t="str">
        <f>"00014653"</f>
        <v>00014653</v>
      </c>
      <c r="H98" t="s">
        <v>270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50</v>
      </c>
      <c r="Q98">
        <v>30</v>
      </c>
      <c r="R98">
        <v>0</v>
      </c>
      <c r="S98">
        <v>0</v>
      </c>
      <c r="T98">
        <v>0</v>
      </c>
      <c r="U98">
        <v>0</v>
      </c>
      <c r="V98">
        <v>82</v>
      </c>
      <c r="W98">
        <v>574</v>
      </c>
      <c r="Z98">
        <v>0</v>
      </c>
      <c r="AA98" t="s">
        <v>271</v>
      </c>
    </row>
    <row r="99" spans="1:27" x14ac:dyDescent="0.25">
      <c r="H99" t="s">
        <v>272</v>
      </c>
    </row>
    <row r="100" spans="1:27" x14ac:dyDescent="0.25">
      <c r="A100">
        <v>47</v>
      </c>
      <c r="B100">
        <v>1427</v>
      </c>
      <c r="C100" t="s">
        <v>273</v>
      </c>
      <c r="D100" t="s">
        <v>100</v>
      </c>
      <c r="E100" t="s">
        <v>54</v>
      </c>
      <c r="F100" t="s">
        <v>274</v>
      </c>
      <c r="G100" t="str">
        <f>"00014123"</f>
        <v>00014123</v>
      </c>
      <c r="H100">
        <v>803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50</v>
      </c>
      <c r="Q100">
        <v>30</v>
      </c>
      <c r="R100">
        <v>0</v>
      </c>
      <c r="S100">
        <v>0</v>
      </c>
      <c r="T100">
        <v>0</v>
      </c>
      <c r="U100">
        <v>0</v>
      </c>
      <c r="V100">
        <v>112</v>
      </c>
      <c r="W100">
        <v>588</v>
      </c>
      <c r="Z100">
        <v>0</v>
      </c>
      <c r="AA100">
        <v>1741</v>
      </c>
    </row>
    <row r="101" spans="1:27" x14ac:dyDescent="0.25">
      <c r="H101" t="s">
        <v>130</v>
      </c>
    </row>
    <row r="102" spans="1:27" x14ac:dyDescent="0.25">
      <c r="A102">
        <v>48</v>
      </c>
      <c r="B102">
        <v>87</v>
      </c>
      <c r="C102" t="s">
        <v>275</v>
      </c>
      <c r="D102" t="s">
        <v>81</v>
      </c>
      <c r="E102" t="s">
        <v>276</v>
      </c>
      <c r="F102" t="s">
        <v>277</v>
      </c>
      <c r="G102" t="str">
        <f>"201505000165"</f>
        <v>201505000165</v>
      </c>
      <c r="H102" t="s">
        <v>278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30</v>
      </c>
      <c r="O102">
        <v>30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252</v>
      </c>
      <c r="W102">
        <v>588</v>
      </c>
      <c r="Z102">
        <v>0</v>
      </c>
      <c r="AA102" t="s">
        <v>279</v>
      </c>
    </row>
    <row r="103" spans="1:27" x14ac:dyDescent="0.25">
      <c r="H103">
        <v>203</v>
      </c>
    </row>
    <row r="104" spans="1:27" x14ac:dyDescent="0.25">
      <c r="A104">
        <v>49</v>
      </c>
      <c r="B104">
        <v>2530</v>
      </c>
      <c r="C104" t="s">
        <v>280</v>
      </c>
      <c r="D104" t="s">
        <v>281</v>
      </c>
      <c r="E104" t="s">
        <v>282</v>
      </c>
      <c r="F104" t="s">
        <v>283</v>
      </c>
      <c r="G104" t="str">
        <f>"201304004597"</f>
        <v>201304004597</v>
      </c>
      <c r="H104" t="s">
        <v>284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70</v>
      </c>
      <c r="Q104">
        <v>0</v>
      </c>
      <c r="R104">
        <v>30</v>
      </c>
      <c r="S104">
        <v>0</v>
      </c>
      <c r="T104">
        <v>0</v>
      </c>
      <c r="U104">
        <v>0</v>
      </c>
      <c r="V104">
        <v>108</v>
      </c>
      <c r="W104">
        <v>588</v>
      </c>
      <c r="Z104">
        <v>0</v>
      </c>
      <c r="AA104" t="s">
        <v>285</v>
      </c>
    </row>
    <row r="105" spans="1:27" x14ac:dyDescent="0.25">
      <c r="H105" t="s">
        <v>286</v>
      </c>
    </row>
    <row r="106" spans="1:27" x14ac:dyDescent="0.25">
      <c r="A106">
        <v>50</v>
      </c>
      <c r="B106">
        <v>390</v>
      </c>
      <c r="C106" t="s">
        <v>287</v>
      </c>
      <c r="D106" t="s">
        <v>288</v>
      </c>
      <c r="E106" t="s">
        <v>88</v>
      </c>
      <c r="F106" t="s">
        <v>289</v>
      </c>
      <c r="G106" t="str">
        <f>"201406013284"</f>
        <v>201406013284</v>
      </c>
      <c r="H106" t="s">
        <v>71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70</v>
      </c>
      <c r="P106">
        <v>30</v>
      </c>
      <c r="Q106">
        <v>30</v>
      </c>
      <c r="R106">
        <v>70</v>
      </c>
      <c r="S106">
        <v>0</v>
      </c>
      <c r="T106">
        <v>0</v>
      </c>
      <c r="U106">
        <v>0</v>
      </c>
      <c r="V106">
        <v>97</v>
      </c>
      <c r="W106">
        <v>588</v>
      </c>
      <c r="Z106">
        <v>0</v>
      </c>
      <c r="AA106" t="s">
        <v>290</v>
      </c>
    </row>
    <row r="107" spans="1:27" x14ac:dyDescent="0.25">
      <c r="H107" t="s">
        <v>291</v>
      </c>
    </row>
    <row r="108" spans="1:27" x14ac:dyDescent="0.25">
      <c r="A108">
        <v>51</v>
      </c>
      <c r="B108">
        <v>2732</v>
      </c>
      <c r="C108" t="s">
        <v>292</v>
      </c>
      <c r="D108" t="s">
        <v>293</v>
      </c>
      <c r="E108" t="s">
        <v>81</v>
      </c>
      <c r="F108" t="s">
        <v>294</v>
      </c>
      <c r="G108" t="str">
        <f>"201304001660"</f>
        <v>201304001660</v>
      </c>
      <c r="H108" t="s">
        <v>265</v>
      </c>
      <c r="I108">
        <v>150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30</v>
      </c>
      <c r="S108">
        <v>0</v>
      </c>
      <c r="T108">
        <v>0</v>
      </c>
      <c r="U108">
        <v>0</v>
      </c>
      <c r="V108">
        <v>77</v>
      </c>
      <c r="W108">
        <v>539</v>
      </c>
      <c r="Z108">
        <v>0</v>
      </c>
      <c r="AA108" t="s">
        <v>295</v>
      </c>
    </row>
    <row r="109" spans="1:27" x14ac:dyDescent="0.25">
      <c r="H109" t="s">
        <v>296</v>
      </c>
    </row>
    <row r="110" spans="1:27" x14ac:dyDescent="0.25">
      <c r="A110">
        <v>52</v>
      </c>
      <c r="B110">
        <v>3011</v>
      </c>
      <c r="C110" t="s">
        <v>297</v>
      </c>
      <c r="D110" t="s">
        <v>58</v>
      </c>
      <c r="E110" t="s">
        <v>94</v>
      </c>
      <c r="F110" t="s">
        <v>298</v>
      </c>
      <c r="G110" t="str">
        <f>"201406009584"</f>
        <v>201406009584</v>
      </c>
      <c r="H110" t="s">
        <v>299</v>
      </c>
      <c r="I110">
        <v>0</v>
      </c>
      <c r="J110">
        <v>0</v>
      </c>
      <c r="K110">
        <v>0</v>
      </c>
      <c r="L110">
        <v>260</v>
      </c>
      <c r="M110">
        <v>0</v>
      </c>
      <c r="N110">
        <v>70</v>
      </c>
      <c r="O110">
        <v>50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105</v>
      </c>
      <c r="W110">
        <v>588</v>
      </c>
      <c r="Z110">
        <v>0</v>
      </c>
      <c r="AA110" t="s">
        <v>300</v>
      </c>
    </row>
    <row r="111" spans="1:27" x14ac:dyDescent="0.25">
      <c r="H111" t="s">
        <v>301</v>
      </c>
    </row>
    <row r="112" spans="1:27" x14ac:dyDescent="0.25">
      <c r="A112">
        <v>53</v>
      </c>
      <c r="B112">
        <v>3055</v>
      </c>
      <c r="C112" t="s">
        <v>302</v>
      </c>
      <c r="D112" t="s">
        <v>303</v>
      </c>
      <c r="E112" t="s">
        <v>41</v>
      </c>
      <c r="F112" t="s">
        <v>304</v>
      </c>
      <c r="G112" t="str">
        <f>"201406014054"</f>
        <v>201406014054</v>
      </c>
      <c r="H112" t="s">
        <v>305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70</v>
      </c>
      <c r="R112">
        <v>0</v>
      </c>
      <c r="S112">
        <v>0</v>
      </c>
      <c r="T112">
        <v>0</v>
      </c>
      <c r="U112">
        <v>0</v>
      </c>
      <c r="V112">
        <v>71</v>
      </c>
      <c r="W112">
        <v>497</v>
      </c>
      <c r="Z112">
        <v>0</v>
      </c>
      <c r="AA112" t="s">
        <v>306</v>
      </c>
    </row>
    <row r="113" spans="1:27" x14ac:dyDescent="0.25">
      <c r="H113" t="s">
        <v>307</v>
      </c>
    </row>
    <row r="114" spans="1:27" x14ac:dyDescent="0.25">
      <c r="A114">
        <v>54</v>
      </c>
      <c r="B114">
        <v>1548</v>
      </c>
      <c r="C114" t="s">
        <v>308</v>
      </c>
      <c r="D114" t="s">
        <v>309</v>
      </c>
      <c r="E114" t="s">
        <v>310</v>
      </c>
      <c r="F114" t="s">
        <v>311</v>
      </c>
      <c r="G114" t="str">
        <f>"201304003425"</f>
        <v>201304003425</v>
      </c>
      <c r="H114" t="s">
        <v>138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70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99</v>
      </c>
      <c r="W114">
        <v>588</v>
      </c>
      <c r="Z114">
        <v>0</v>
      </c>
      <c r="AA114" t="s">
        <v>312</v>
      </c>
    </row>
    <row r="115" spans="1:27" x14ac:dyDescent="0.25">
      <c r="H115" t="s">
        <v>56</v>
      </c>
    </row>
    <row r="116" spans="1:27" x14ac:dyDescent="0.25">
      <c r="A116">
        <v>55</v>
      </c>
      <c r="B116">
        <v>2058</v>
      </c>
      <c r="C116" t="s">
        <v>313</v>
      </c>
      <c r="D116" t="s">
        <v>314</v>
      </c>
      <c r="E116" t="s">
        <v>276</v>
      </c>
      <c r="F116" t="s">
        <v>315</v>
      </c>
      <c r="G116" t="str">
        <f>"00015050"</f>
        <v>00015050</v>
      </c>
      <c r="H116" t="s">
        <v>161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Z116">
        <v>0</v>
      </c>
      <c r="AA116" t="s">
        <v>316</v>
      </c>
    </row>
    <row r="117" spans="1:27" x14ac:dyDescent="0.25">
      <c r="H117" t="s">
        <v>317</v>
      </c>
    </row>
    <row r="118" spans="1:27" x14ac:dyDescent="0.25">
      <c r="A118">
        <v>56</v>
      </c>
      <c r="B118">
        <v>524</v>
      </c>
      <c r="C118" t="s">
        <v>318</v>
      </c>
      <c r="D118" t="s">
        <v>210</v>
      </c>
      <c r="E118" t="s">
        <v>21</v>
      </c>
      <c r="F118" t="s">
        <v>319</v>
      </c>
      <c r="G118" t="str">
        <f>"201406009994"</f>
        <v>201406009994</v>
      </c>
      <c r="H118" t="s">
        <v>36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104</v>
      </c>
      <c r="W118">
        <v>588</v>
      </c>
      <c r="Z118">
        <v>0</v>
      </c>
      <c r="AA118" t="s">
        <v>320</v>
      </c>
    </row>
    <row r="119" spans="1:27" x14ac:dyDescent="0.25">
      <c r="H119" t="s">
        <v>321</v>
      </c>
    </row>
    <row r="120" spans="1:27" x14ac:dyDescent="0.25">
      <c r="A120">
        <v>57</v>
      </c>
      <c r="B120">
        <v>1207</v>
      </c>
      <c r="C120" t="s">
        <v>322</v>
      </c>
      <c r="D120" t="s">
        <v>323</v>
      </c>
      <c r="E120" t="s">
        <v>155</v>
      </c>
      <c r="F120" t="s">
        <v>324</v>
      </c>
      <c r="G120" t="str">
        <f>"00013653"</f>
        <v>00013653</v>
      </c>
      <c r="H120" t="s">
        <v>325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30</v>
      </c>
      <c r="O120">
        <v>0</v>
      </c>
      <c r="P120">
        <v>50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108</v>
      </c>
      <c r="W120">
        <v>588</v>
      </c>
      <c r="Z120">
        <v>0</v>
      </c>
      <c r="AA120" t="s">
        <v>326</v>
      </c>
    </row>
    <row r="121" spans="1:27" x14ac:dyDescent="0.25">
      <c r="H121" t="s">
        <v>327</v>
      </c>
    </row>
    <row r="122" spans="1:27" x14ac:dyDescent="0.25">
      <c r="A122">
        <v>58</v>
      </c>
      <c r="B122">
        <v>220</v>
      </c>
      <c r="C122" t="s">
        <v>328</v>
      </c>
      <c r="D122" t="s">
        <v>329</v>
      </c>
      <c r="E122" t="s">
        <v>88</v>
      </c>
      <c r="F122" t="s">
        <v>330</v>
      </c>
      <c r="G122" t="str">
        <f>"00015035"</f>
        <v>00015035</v>
      </c>
      <c r="H122" t="s">
        <v>325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50</v>
      </c>
      <c r="Q122">
        <v>30</v>
      </c>
      <c r="R122">
        <v>0</v>
      </c>
      <c r="S122">
        <v>0</v>
      </c>
      <c r="T122">
        <v>0</v>
      </c>
      <c r="U122">
        <v>0</v>
      </c>
      <c r="V122">
        <v>74</v>
      </c>
      <c r="W122">
        <v>518</v>
      </c>
      <c r="Z122">
        <v>0</v>
      </c>
      <c r="AA122" t="s">
        <v>326</v>
      </c>
    </row>
    <row r="123" spans="1:27" x14ac:dyDescent="0.25">
      <c r="H123">
        <v>203</v>
      </c>
    </row>
    <row r="124" spans="1:27" x14ac:dyDescent="0.25">
      <c r="A124">
        <v>59</v>
      </c>
      <c r="B124">
        <v>1735</v>
      </c>
      <c r="C124" t="s">
        <v>331</v>
      </c>
      <c r="D124" t="s">
        <v>332</v>
      </c>
      <c r="E124" t="s">
        <v>47</v>
      </c>
      <c r="F124" t="s">
        <v>333</v>
      </c>
      <c r="G124" t="str">
        <f>"200801001344"</f>
        <v>200801001344</v>
      </c>
      <c r="H124" t="s">
        <v>334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30</v>
      </c>
      <c r="P124">
        <v>0</v>
      </c>
      <c r="Q124">
        <v>50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Z124">
        <v>0</v>
      </c>
      <c r="AA124" t="s">
        <v>335</v>
      </c>
    </row>
    <row r="125" spans="1:27" x14ac:dyDescent="0.25">
      <c r="H125" t="s">
        <v>336</v>
      </c>
    </row>
    <row r="126" spans="1:27" x14ac:dyDescent="0.25">
      <c r="A126">
        <v>60</v>
      </c>
      <c r="B126">
        <v>906</v>
      </c>
      <c r="C126" t="s">
        <v>337</v>
      </c>
      <c r="D126" t="s">
        <v>338</v>
      </c>
      <c r="E126" t="s">
        <v>155</v>
      </c>
      <c r="F126" t="s">
        <v>339</v>
      </c>
      <c r="G126" t="str">
        <f>"201406014083"</f>
        <v>201406014083</v>
      </c>
      <c r="H126">
        <v>836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30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127</v>
      </c>
      <c r="W126">
        <v>588</v>
      </c>
      <c r="Z126">
        <v>0</v>
      </c>
      <c r="AA126">
        <v>1724</v>
      </c>
    </row>
    <row r="127" spans="1:27" x14ac:dyDescent="0.25">
      <c r="H127" t="s">
        <v>340</v>
      </c>
    </row>
    <row r="128" spans="1:27" x14ac:dyDescent="0.25">
      <c r="A128">
        <v>61</v>
      </c>
      <c r="B128">
        <v>2100</v>
      </c>
      <c r="C128" t="s">
        <v>341</v>
      </c>
      <c r="D128" t="s">
        <v>14</v>
      </c>
      <c r="E128" t="s">
        <v>41</v>
      </c>
      <c r="F128" t="s">
        <v>342</v>
      </c>
      <c r="G128" t="str">
        <f>"00013330"</f>
        <v>00013330</v>
      </c>
      <c r="H128" t="s">
        <v>343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70</v>
      </c>
      <c r="P128">
        <v>50</v>
      </c>
      <c r="Q128">
        <v>0</v>
      </c>
      <c r="R128">
        <v>30</v>
      </c>
      <c r="S128">
        <v>0</v>
      </c>
      <c r="T128">
        <v>0</v>
      </c>
      <c r="U128">
        <v>0</v>
      </c>
      <c r="V128">
        <v>67</v>
      </c>
      <c r="W128">
        <v>469</v>
      </c>
      <c r="Z128">
        <v>0</v>
      </c>
      <c r="AA128" t="s">
        <v>344</v>
      </c>
    </row>
    <row r="129" spans="1:27" x14ac:dyDescent="0.25">
      <c r="H129">
        <v>201</v>
      </c>
    </row>
    <row r="130" spans="1:27" x14ac:dyDescent="0.25">
      <c r="A130">
        <v>62</v>
      </c>
      <c r="B130">
        <v>3325</v>
      </c>
      <c r="C130" t="s">
        <v>345</v>
      </c>
      <c r="D130" t="s">
        <v>346</v>
      </c>
      <c r="E130" t="s">
        <v>54</v>
      </c>
      <c r="F130" t="s">
        <v>347</v>
      </c>
      <c r="G130" t="str">
        <f>"201405000367"</f>
        <v>201405000367</v>
      </c>
      <c r="H130" t="s">
        <v>343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30</v>
      </c>
      <c r="R130">
        <v>0</v>
      </c>
      <c r="S130">
        <v>0</v>
      </c>
      <c r="T130">
        <v>0</v>
      </c>
      <c r="U130">
        <v>0</v>
      </c>
      <c r="V130">
        <v>113</v>
      </c>
      <c r="W130">
        <v>588</v>
      </c>
      <c r="Z130">
        <v>0</v>
      </c>
      <c r="AA130" t="s">
        <v>348</v>
      </c>
    </row>
    <row r="131" spans="1:27" x14ac:dyDescent="0.25">
      <c r="H131" t="s">
        <v>349</v>
      </c>
    </row>
    <row r="132" spans="1:27" x14ac:dyDescent="0.25">
      <c r="A132">
        <v>63</v>
      </c>
      <c r="B132">
        <v>2120</v>
      </c>
      <c r="C132" t="s">
        <v>350</v>
      </c>
      <c r="D132" t="s">
        <v>351</v>
      </c>
      <c r="E132" t="s">
        <v>94</v>
      </c>
      <c r="F132" t="s">
        <v>352</v>
      </c>
      <c r="G132" t="str">
        <f>"201405001809"</f>
        <v>201405001809</v>
      </c>
      <c r="H132" t="s">
        <v>123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70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76</v>
      </c>
      <c r="W132">
        <v>532</v>
      </c>
      <c r="Z132">
        <v>0</v>
      </c>
      <c r="AA132" t="s">
        <v>353</v>
      </c>
    </row>
    <row r="133" spans="1:27" x14ac:dyDescent="0.25">
      <c r="H133" t="s">
        <v>354</v>
      </c>
    </row>
    <row r="134" spans="1:27" x14ac:dyDescent="0.25">
      <c r="A134">
        <v>64</v>
      </c>
      <c r="B134">
        <v>933</v>
      </c>
      <c r="C134" t="s">
        <v>355</v>
      </c>
      <c r="D134" t="s">
        <v>356</v>
      </c>
      <c r="E134" t="s">
        <v>47</v>
      </c>
      <c r="F134" t="s">
        <v>357</v>
      </c>
      <c r="G134" t="str">
        <f>"00012714"</f>
        <v>00012714</v>
      </c>
      <c r="H134" t="s">
        <v>284</v>
      </c>
      <c r="I134">
        <v>150</v>
      </c>
      <c r="J134">
        <v>0</v>
      </c>
      <c r="K134">
        <v>0</v>
      </c>
      <c r="L134">
        <v>0</v>
      </c>
      <c r="M134">
        <v>100</v>
      </c>
      <c r="N134">
        <v>70</v>
      </c>
      <c r="O134">
        <v>0</v>
      </c>
      <c r="P134">
        <v>0</v>
      </c>
      <c r="Q134">
        <v>30</v>
      </c>
      <c r="R134">
        <v>0</v>
      </c>
      <c r="S134">
        <v>0</v>
      </c>
      <c r="T134">
        <v>0</v>
      </c>
      <c r="U134">
        <v>0</v>
      </c>
      <c r="V134">
        <v>106</v>
      </c>
      <c r="W134">
        <v>588</v>
      </c>
      <c r="Z134">
        <v>0</v>
      </c>
      <c r="AA134" t="s">
        <v>358</v>
      </c>
    </row>
    <row r="135" spans="1:27" x14ac:dyDescent="0.25">
      <c r="H135" t="s">
        <v>359</v>
      </c>
    </row>
    <row r="136" spans="1:27" x14ac:dyDescent="0.25">
      <c r="A136">
        <v>65</v>
      </c>
      <c r="B136">
        <v>2527</v>
      </c>
      <c r="C136" t="s">
        <v>360</v>
      </c>
      <c r="D136" t="s">
        <v>361</v>
      </c>
      <c r="E136" t="s">
        <v>143</v>
      </c>
      <c r="F136" t="s">
        <v>362</v>
      </c>
      <c r="G136" t="str">
        <f>"200802000758"</f>
        <v>200802000758</v>
      </c>
      <c r="H136" t="s">
        <v>284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30</v>
      </c>
      <c r="P136">
        <v>50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112</v>
      </c>
      <c r="W136">
        <v>588</v>
      </c>
      <c r="Z136">
        <v>0</v>
      </c>
      <c r="AA136" t="s">
        <v>358</v>
      </c>
    </row>
    <row r="137" spans="1:27" x14ac:dyDescent="0.25">
      <c r="H137" t="s">
        <v>363</v>
      </c>
    </row>
    <row r="138" spans="1:27" x14ac:dyDescent="0.25">
      <c r="A138">
        <v>66</v>
      </c>
      <c r="B138">
        <v>2249</v>
      </c>
      <c r="C138" t="s">
        <v>364</v>
      </c>
      <c r="D138" t="s">
        <v>365</v>
      </c>
      <c r="E138" t="s">
        <v>54</v>
      </c>
      <c r="F138" t="s">
        <v>366</v>
      </c>
      <c r="G138" t="str">
        <f>"00013605"</f>
        <v>00013605</v>
      </c>
      <c r="H138" t="s">
        <v>367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70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75</v>
      </c>
      <c r="W138">
        <v>525</v>
      </c>
      <c r="Z138">
        <v>0</v>
      </c>
      <c r="AA138" t="s">
        <v>368</v>
      </c>
    </row>
    <row r="139" spans="1:27" x14ac:dyDescent="0.25">
      <c r="H139" t="s">
        <v>369</v>
      </c>
    </row>
    <row r="140" spans="1:27" x14ac:dyDescent="0.25">
      <c r="A140">
        <v>67</v>
      </c>
      <c r="B140">
        <v>1600</v>
      </c>
      <c r="C140" t="s">
        <v>370</v>
      </c>
      <c r="D140" t="s">
        <v>371</v>
      </c>
      <c r="E140" t="s">
        <v>372</v>
      </c>
      <c r="F140" t="s">
        <v>373</v>
      </c>
      <c r="G140" t="str">
        <f>"00012981"</f>
        <v>00012981</v>
      </c>
      <c r="H140" t="s">
        <v>374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70</v>
      </c>
      <c r="P140">
        <v>0</v>
      </c>
      <c r="Q140">
        <v>50</v>
      </c>
      <c r="R140">
        <v>0</v>
      </c>
      <c r="S140">
        <v>0</v>
      </c>
      <c r="T140">
        <v>0</v>
      </c>
      <c r="U140">
        <v>0</v>
      </c>
      <c r="V140">
        <v>129</v>
      </c>
      <c r="W140">
        <v>588</v>
      </c>
      <c r="Z140">
        <v>0</v>
      </c>
      <c r="AA140" t="s">
        <v>375</v>
      </c>
    </row>
    <row r="141" spans="1:27" x14ac:dyDescent="0.25">
      <c r="H141" t="s">
        <v>147</v>
      </c>
    </row>
    <row r="142" spans="1:27" x14ac:dyDescent="0.25">
      <c r="A142">
        <v>68</v>
      </c>
      <c r="B142">
        <v>1905</v>
      </c>
      <c r="C142" t="s">
        <v>376</v>
      </c>
      <c r="D142" t="s">
        <v>377</v>
      </c>
      <c r="E142" t="s">
        <v>155</v>
      </c>
      <c r="F142" t="s">
        <v>378</v>
      </c>
      <c r="G142" t="str">
        <f>"201304001675"</f>
        <v>201304001675</v>
      </c>
      <c r="H142" t="s">
        <v>379</v>
      </c>
      <c r="I142">
        <v>0</v>
      </c>
      <c r="J142">
        <v>0</v>
      </c>
      <c r="K142">
        <v>0</v>
      </c>
      <c r="L142">
        <v>200</v>
      </c>
      <c r="M142">
        <v>30</v>
      </c>
      <c r="N142">
        <v>50</v>
      </c>
      <c r="O142">
        <v>70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102</v>
      </c>
      <c r="W142">
        <v>588</v>
      </c>
      <c r="Z142">
        <v>0</v>
      </c>
      <c r="AA142" t="s">
        <v>380</v>
      </c>
    </row>
    <row r="143" spans="1:27" x14ac:dyDescent="0.25">
      <c r="H143" t="s">
        <v>381</v>
      </c>
    </row>
    <row r="144" spans="1:27" x14ac:dyDescent="0.25">
      <c r="A144">
        <v>69</v>
      </c>
      <c r="B144">
        <v>3100</v>
      </c>
      <c r="C144" t="s">
        <v>382</v>
      </c>
      <c r="D144" t="s">
        <v>100</v>
      </c>
      <c r="E144" t="s">
        <v>47</v>
      </c>
      <c r="F144" t="s">
        <v>383</v>
      </c>
      <c r="G144" t="str">
        <f>"201405000421"</f>
        <v>201405000421</v>
      </c>
      <c r="H144" t="s">
        <v>384</v>
      </c>
      <c r="I144">
        <v>150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78</v>
      </c>
      <c r="W144">
        <v>546</v>
      </c>
      <c r="Z144">
        <v>0</v>
      </c>
      <c r="AA144" t="s">
        <v>385</v>
      </c>
    </row>
    <row r="145" spans="1:27" x14ac:dyDescent="0.25">
      <c r="H145" t="s">
        <v>386</v>
      </c>
    </row>
    <row r="146" spans="1:27" x14ac:dyDescent="0.25">
      <c r="A146">
        <v>70</v>
      </c>
      <c r="B146">
        <v>2937</v>
      </c>
      <c r="C146" t="s">
        <v>387</v>
      </c>
      <c r="D146" t="s">
        <v>216</v>
      </c>
      <c r="E146" t="s">
        <v>94</v>
      </c>
      <c r="F146" t="s">
        <v>388</v>
      </c>
      <c r="G146" t="str">
        <f>"201406006413"</f>
        <v>201406006413</v>
      </c>
      <c r="H146" t="s">
        <v>389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50</v>
      </c>
      <c r="P146">
        <v>0</v>
      </c>
      <c r="Q146">
        <v>0</v>
      </c>
      <c r="R146">
        <v>30</v>
      </c>
      <c r="S146">
        <v>0</v>
      </c>
      <c r="T146">
        <v>0</v>
      </c>
      <c r="U146">
        <v>0</v>
      </c>
      <c r="V146">
        <v>89</v>
      </c>
      <c r="W146">
        <v>588</v>
      </c>
      <c r="Z146">
        <v>0</v>
      </c>
      <c r="AA146" t="s">
        <v>390</v>
      </c>
    </row>
    <row r="147" spans="1:27" x14ac:dyDescent="0.25">
      <c r="H147" t="s">
        <v>391</v>
      </c>
    </row>
    <row r="148" spans="1:27" x14ac:dyDescent="0.25">
      <c r="A148">
        <v>71</v>
      </c>
      <c r="B148">
        <v>2324</v>
      </c>
      <c r="C148" t="s">
        <v>392</v>
      </c>
      <c r="D148" t="s">
        <v>87</v>
      </c>
      <c r="E148" t="s">
        <v>393</v>
      </c>
      <c r="F148" t="s">
        <v>394</v>
      </c>
      <c r="G148" t="str">
        <f>"00013767"</f>
        <v>00013767</v>
      </c>
      <c r="H148" t="s">
        <v>83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50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86</v>
      </c>
      <c r="W148">
        <v>588</v>
      </c>
      <c r="Z148">
        <v>0</v>
      </c>
      <c r="AA148" t="s">
        <v>395</v>
      </c>
    </row>
    <row r="149" spans="1:27" x14ac:dyDescent="0.25">
      <c r="H149" t="s">
        <v>396</v>
      </c>
    </row>
    <row r="150" spans="1:27" x14ac:dyDescent="0.25">
      <c r="A150">
        <v>72</v>
      </c>
      <c r="B150">
        <v>318</v>
      </c>
      <c r="C150" t="s">
        <v>397</v>
      </c>
      <c r="D150" t="s">
        <v>398</v>
      </c>
      <c r="E150" t="s">
        <v>94</v>
      </c>
      <c r="F150" t="s">
        <v>399</v>
      </c>
      <c r="G150" t="str">
        <f>"00014923"</f>
        <v>00014923</v>
      </c>
      <c r="H150" t="s">
        <v>400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30</v>
      </c>
      <c r="P150">
        <v>50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195</v>
      </c>
      <c r="W150">
        <v>588</v>
      </c>
      <c r="Z150">
        <v>0</v>
      </c>
      <c r="AA150" t="s">
        <v>401</v>
      </c>
    </row>
    <row r="151" spans="1:27" x14ac:dyDescent="0.25">
      <c r="H151">
        <v>203</v>
      </c>
    </row>
    <row r="152" spans="1:27" x14ac:dyDescent="0.25">
      <c r="A152">
        <v>73</v>
      </c>
      <c r="B152">
        <v>2745</v>
      </c>
      <c r="C152" t="s">
        <v>402</v>
      </c>
      <c r="D152" t="s">
        <v>372</v>
      </c>
      <c r="E152" t="s">
        <v>100</v>
      </c>
      <c r="F152" t="s">
        <v>403</v>
      </c>
      <c r="G152" t="str">
        <f>"00014869"</f>
        <v>00014869</v>
      </c>
      <c r="H152">
        <v>704</v>
      </c>
      <c r="I152">
        <v>150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264</v>
      </c>
      <c r="W152">
        <v>588</v>
      </c>
      <c r="Z152">
        <v>0</v>
      </c>
      <c r="AA152">
        <v>1712</v>
      </c>
    </row>
    <row r="153" spans="1:27" x14ac:dyDescent="0.25">
      <c r="H153" t="s">
        <v>404</v>
      </c>
    </row>
    <row r="154" spans="1:27" x14ac:dyDescent="0.25">
      <c r="A154">
        <v>74</v>
      </c>
      <c r="B154">
        <v>1803</v>
      </c>
      <c r="C154" t="s">
        <v>405</v>
      </c>
      <c r="D154" t="s">
        <v>20</v>
      </c>
      <c r="E154" t="s">
        <v>406</v>
      </c>
      <c r="F154" t="s">
        <v>407</v>
      </c>
      <c r="G154" t="str">
        <f>"201406018202"</f>
        <v>201406018202</v>
      </c>
      <c r="H154" t="s">
        <v>189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50</v>
      </c>
      <c r="P154">
        <v>0</v>
      </c>
      <c r="Q154">
        <v>0</v>
      </c>
      <c r="R154">
        <v>30</v>
      </c>
      <c r="S154">
        <v>0</v>
      </c>
      <c r="T154">
        <v>0</v>
      </c>
      <c r="U154">
        <v>0</v>
      </c>
      <c r="V154">
        <v>147</v>
      </c>
      <c r="W154">
        <v>588</v>
      </c>
      <c r="Z154">
        <v>0</v>
      </c>
      <c r="AA154" t="s">
        <v>408</v>
      </c>
    </row>
    <row r="155" spans="1:27" x14ac:dyDescent="0.25">
      <c r="H155">
        <v>204</v>
      </c>
    </row>
    <row r="156" spans="1:27" x14ac:dyDescent="0.25">
      <c r="A156">
        <v>75</v>
      </c>
      <c r="B156">
        <v>3078</v>
      </c>
      <c r="C156" t="s">
        <v>409</v>
      </c>
      <c r="D156" t="s">
        <v>410</v>
      </c>
      <c r="E156" t="s">
        <v>165</v>
      </c>
      <c r="F156" t="s">
        <v>411</v>
      </c>
      <c r="G156" t="str">
        <f>"201406012804"</f>
        <v>201406012804</v>
      </c>
      <c r="H156" t="s">
        <v>412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50</v>
      </c>
      <c r="Q156">
        <v>0</v>
      </c>
      <c r="R156">
        <v>30</v>
      </c>
      <c r="S156">
        <v>0</v>
      </c>
      <c r="T156">
        <v>0</v>
      </c>
      <c r="U156">
        <v>0</v>
      </c>
      <c r="V156">
        <v>125</v>
      </c>
      <c r="W156">
        <v>588</v>
      </c>
      <c r="Z156">
        <v>0</v>
      </c>
      <c r="AA156" t="s">
        <v>413</v>
      </c>
    </row>
    <row r="157" spans="1:27" x14ac:dyDescent="0.25">
      <c r="H157" t="s">
        <v>414</v>
      </c>
    </row>
    <row r="158" spans="1:27" x14ac:dyDescent="0.25">
      <c r="A158">
        <v>76</v>
      </c>
      <c r="B158">
        <v>3282</v>
      </c>
      <c r="C158" t="s">
        <v>415</v>
      </c>
      <c r="D158" t="s">
        <v>416</v>
      </c>
      <c r="E158" t="s">
        <v>100</v>
      </c>
      <c r="F158" t="s">
        <v>417</v>
      </c>
      <c r="G158" t="str">
        <f>"201505000343"</f>
        <v>201505000343</v>
      </c>
      <c r="H158" t="s">
        <v>43</v>
      </c>
      <c r="I158">
        <v>0</v>
      </c>
      <c r="J158">
        <v>0</v>
      </c>
      <c r="K158">
        <v>0</v>
      </c>
      <c r="L158">
        <v>200</v>
      </c>
      <c r="M158">
        <v>30</v>
      </c>
      <c r="N158">
        <v>70</v>
      </c>
      <c r="O158">
        <v>0</v>
      </c>
      <c r="P158">
        <v>70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116</v>
      </c>
      <c r="W158">
        <v>588</v>
      </c>
      <c r="Z158">
        <v>0</v>
      </c>
      <c r="AA158" t="s">
        <v>418</v>
      </c>
    </row>
    <row r="159" spans="1:27" x14ac:dyDescent="0.25">
      <c r="H159" t="s">
        <v>419</v>
      </c>
    </row>
    <row r="160" spans="1:27" x14ac:dyDescent="0.25">
      <c r="A160">
        <v>77</v>
      </c>
      <c r="B160">
        <v>2399</v>
      </c>
      <c r="C160" t="s">
        <v>420</v>
      </c>
      <c r="D160" t="s">
        <v>421</v>
      </c>
      <c r="E160" t="s">
        <v>422</v>
      </c>
      <c r="F160" t="s">
        <v>423</v>
      </c>
      <c r="G160" t="str">
        <f>"00013219"</f>
        <v>00013219</v>
      </c>
      <c r="H160" t="s">
        <v>424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Z160">
        <v>0</v>
      </c>
      <c r="AA160" t="s">
        <v>425</v>
      </c>
    </row>
    <row r="161" spans="1:27" x14ac:dyDescent="0.25">
      <c r="H161">
        <v>202</v>
      </c>
    </row>
    <row r="162" spans="1:27" x14ac:dyDescent="0.25">
      <c r="A162">
        <v>78</v>
      </c>
      <c r="B162">
        <v>657</v>
      </c>
      <c r="C162" t="s">
        <v>426</v>
      </c>
      <c r="D162" t="s">
        <v>149</v>
      </c>
      <c r="E162" t="s">
        <v>81</v>
      </c>
      <c r="F162" t="s">
        <v>427</v>
      </c>
      <c r="G162" t="str">
        <f>"201406014800"</f>
        <v>201406014800</v>
      </c>
      <c r="H162" t="s">
        <v>428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50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141</v>
      </c>
      <c r="W162">
        <v>588</v>
      </c>
      <c r="Z162">
        <v>0</v>
      </c>
      <c r="AA162" t="s">
        <v>429</v>
      </c>
    </row>
    <row r="163" spans="1:27" x14ac:dyDescent="0.25">
      <c r="H163" t="s">
        <v>430</v>
      </c>
    </row>
    <row r="164" spans="1:27" x14ac:dyDescent="0.25">
      <c r="A164">
        <v>79</v>
      </c>
      <c r="B164">
        <v>1586</v>
      </c>
      <c r="C164" t="s">
        <v>431</v>
      </c>
      <c r="D164" t="s">
        <v>143</v>
      </c>
      <c r="E164" t="s">
        <v>81</v>
      </c>
      <c r="F164" t="s">
        <v>432</v>
      </c>
      <c r="G164" t="str">
        <f>"201406003817"</f>
        <v>201406003817</v>
      </c>
      <c r="H164" t="s">
        <v>433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70</v>
      </c>
      <c r="P164">
        <v>30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109</v>
      </c>
      <c r="W164">
        <v>588</v>
      </c>
      <c r="Z164">
        <v>0</v>
      </c>
      <c r="AA164" t="s">
        <v>434</v>
      </c>
    </row>
    <row r="165" spans="1:27" x14ac:dyDescent="0.25">
      <c r="H165" t="s">
        <v>435</v>
      </c>
    </row>
    <row r="166" spans="1:27" x14ac:dyDescent="0.25">
      <c r="A166">
        <v>80</v>
      </c>
      <c r="B166">
        <v>1285</v>
      </c>
      <c r="C166" t="s">
        <v>436</v>
      </c>
      <c r="D166" t="s">
        <v>88</v>
      </c>
      <c r="E166" t="s">
        <v>54</v>
      </c>
      <c r="F166" t="s">
        <v>437</v>
      </c>
      <c r="G166" t="str">
        <f>"00014724"</f>
        <v>00014724</v>
      </c>
      <c r="H166" t="s">
        <v>438</v>
      </c>
      <c r="I166">
        <v>0</v>
      </c>
      <c r="J166">
        <v>0</v>
      </c>
      <c r="K166">
        <v>0</v>
      </c>
      <c r="L166">
        <v>200</v>
      </c>
      <c r="M166">
        <v>30</v>
      </c>
      <c r="N166">
        <v>50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105</v>
      </c>
      <c r="W166">
        <v>588</v>
      </c>
      <c r="Z166">
        <v>0</v>
      </c>
      <c r="AA166" t="s">
        <v>439</v>
      </c>
    </row>
    <row r="167" spans="1:27" x14ac:dyDescent="0.25">
      <c r="H167" t="s">
        <v>440</v>
      </c>
    </row>
    <row r="168" spans="1:27" x14ac:dyDescent="0.25">
      <c r="A168">
        <v>81</v>
      </c>
      <c r="B168">
        <v>272</v>
      </c>
      <c r="C168" t="s">
        <v>441</v>
      </c>
      <c r="D168" t="s">
        <v>20</v>
      </c>
      <c r="E168" t="s">
        <v>81</v>
      </c>
      <c r="F168" t="s">
        <v>442</v>
      </c>
      <c r="G168" t="str">
        <f>"201402010863"</f>
        <v>201402010863</v>
      </c>
      <c r="H168" t="s">
        <v>128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123</v>
      </c>
      <c r="W168">
        <v>588</v>
      </c>
      <c r="Z168">
        <v>0</v>
      </c>
      <c r="AA168" t="s">
        <v>443</v>
      </c>
    </row>
    <row r="169" spans="1:27" x14ac:dyDescent="0.25">
      <c r="H169" t="s">
        <v>444</v>
      </c>
    </row>
    <row r="170" spans="1:27" x14ac:dyDescent="0.25">
      <c r="A170">
        <v>82</v>
      </c>
      <c r="B170">
        <v>1635</v>
      </c>
      <c r="C170" t="s">
        <v>445</v>
      </c>
      <c r="D170" t="s">
        <v>446</v>
      </c>
      <c r="E170" t="s">
        <v>81</v>
      </c>
      <c r="F170" t="s">
        <v>447</v>
      </c>
      <c r="G170" t="str">
        <f>"201406015501"</f>
        <v>201406015501</v>
      </c>
      <c r="H170">
        <v>814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30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Z170">
        <v>0</v>
      </c>
      <c r="AA170">
        <v>1702</v>
      </c>
    </row>
    <row r="171" spans="1:27" x14ac:dyDescent="0.25">
      <c r="H171" t="s">
        <v>448</v>
      </c>
    </row>
    <row r="172" spans="1:27" x14ac:dyDescent="0.25">
      <c r="A172">
        <v>83</v>
      </c>
      <c r="B172">
        <v>3195</v>
      </c>
      <c r="C172" t="s">
        <v>449</v>
      </c>
      <c r="D172" t="s">
        <v>450</v>
      </c>
      <c r="E172" t="s">
        <v>143</v>
      </c>
      <c r="F172" t="s">
        <v>451</v>
      </c>
      <c r="G172" t="str">
        <f>"00014113"</f>
        <v>00014113</v>
      </c>
      <c r="H172" t="s">
        <v>452</v>
      </c>
      <c r="I172">
        <v>0</v>
      </c>
      <c r="J172">
        <v>0</v>
      </c>
      <c r="K172">
        <v>0</v>
      </c>
      <c r="L172">
        <v>260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74</v>
      </c>
      <c r="W172">
        <v>518</v>
      </c>
      <c r="Z172">
        <v>0</v>
      </c>
      <c r="AA172" t="s">
        <v>453</v>
      </c>
    </row>
    <row r="173" spans="1:27" x14ac:dyDescent="0.25">
      <c r="H173" t="s">
        <v>454</v>
      </c>
    </row>
    <row r="174" spans="1:27" x14ac:dyDescent="0.25">
      <c r="A174">
        <v>84</v>
      </c>
      <c r="B174">
        <v>1283</v>
      </c>
      <c r="C174" t="s">
        <v>455</v>
      </c>
      <c r="D174" t="s">
        <v>41</v>
      </c>
      <c r="E174" t="s">
        <v>456</v>
      </c>
      <c r="F174" t="s">
        <v>457</v>
      </c>
      <c r="G174" t="str">
        <f>"201412005694"</f>
        <v>201412005694</v>
      </c>
      <c r="H174" t="s">
        <v>458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30</v>
      </c>
      <c r="P174">
        <v>70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Z174">
        <v>0</v>
      </c>
      <c r="AA174" t="s">
        <v>459</v>
      </c>
    </row>
    <row r="175" spans="1:27" x14ac:dyDescent="0.25">
      <c r="H175" t="s">
        <v>460</v>
      </c>
    </row>
    <row r="176" spans="1:27" x14ac:dyDescent="0.25">
      <c r="A176">
        <v>85</v>
      </c>
      <c r="B176">
        <v>117</v>
      </c>
      <c r="C176" t="s">
        <v>461</v>
      </c>
      <c r="D176" t="s">
        <v>462</v>
      </c>
      <c r="E176" t="s">
        <v>21</v>
      </c>
      <c r="F176" t="s">
        <v>463</v>
      </c>
      <c r="G176" t="str">
        <f>"00013576"</f>
        <v>00013576</v>
      </c>
      <c r="H176" t="s">
        <v>464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50</v>
      </c>
      <c r="P176">
        <v>70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76</v>
      </c>
      <c r="W176">
        <v>532</v>
      </c>
      <c r="Z176">
        <v>0</v>
      </c>
      <c r="AA176" t="s">
        <v>465</v>
      </c>
    </row>
    <row r="177" spans="1:27" x14ac:dyDescent="0.25">
      <c r="H177" t="s">
        <v>466</v>
      </c>
    </row>
    <row r="178" spans="1:27" x14ac:dyDescent="0.25">
      <c r="A178">
        <v>86</v>
      </c>
      <c r="B178">
        <v>1243</v>
      </c>
      <c r="C178" t="s">
        <v>467</v>
      </c>
      <c r="D178" t="s">
        <v>100</v>
      </c>
      <c r="E178" t="s">
        <v>81</v>
      </c>
      <c r="F178" t="s">
        <v>468</v>
      </c>
      <c r="G178" t="str">
        <f>"201304006260"</f>
        <v>201304006260</v>
      </c>
      <c r="H178" t="s">
        <v>379</v>
      </c>
      <c r="I178">
        <v>0</v>
      </c>
      <c r="J178">
        <v>0</v>
      </c>
      <c r="K178">
        <v>0</v>
      </c>
      <c r="L178">
        <v>260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Z178">
        <v>0</v>
      </c>
      <c r="AA178" t="s">
        <v>469</v>
      </c>
    </row>
    <row r="179" spans="1:27" x14ac:dyDescent="0.25">
      <c r="H179" t="s">
        <v>470</v>
      </c>
    </row>
    <row r="180" spans="1:27" x14ac:dyDescent="0.25">
      <c r="A180">
        <v>87</v>
      </c>
      <c r="B180">
        <v>446</v>
      </c>
      <c r="C180" t="s">
        <v>471</v>
      </c>
      <c r="D180" t="s">
        <v>472</v>
      </c>
      <c r="E180" t="s">
        <v>155</v>
      </c>
      <c r="F180">
        <v>288613013</v>
      </c>
      <c r="G180" t="str">
        <f>"00014468"</f>
        <v>00014468</v>
      </c>
      <c r="H180" t="s">
        <v>473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70</v>
      </c>
      <c r="P180">
        <v>0</v>
      </c>
      <c r="Q180">
        <v>50</v>
      </c>
      <c r="R180">
        <v>0</v>
      </c>
      <c r="S180">
        <v>0</v>
      </c>
      <c r="T180">
        <v>0</v>
      </c>
      <c r="U180">
        <v>0</v>
      </c>
      <c r="V180">
        <v>77</v>
      </c>
      <c r="W180">
        <v>539</v>
      </c>
      <c r="Z180">
        <v>0</v>
      </c>
      <c r="AA180" t="s">
        <v>469</v>
      </c>
    </row>
    <row r="181" spans="1:27" x14ac:dyDescent="0.25">
      <c r="H181" t="s">
        <v>474</v>
      </c>
    </row>
    <row r="182" spans="1:27" x14ac:dyDescent="0.25">
      <c r="A182">
        <v>88</v>
      </c>
      <c r="B182">
        <v>1873</v>
      </c>
      <c r="C182" t="s">
        <v>475</v>
      </c>
      <c r="D182" t="s">
        <v>476</v>
      </c>
      <c r="E182" t="s">
        <v>41</v>
      </c>
      <c r="F182" t="s">
        <v>477</v>
      </c>
      <c r="G182" t="str">
        <f>"201304001731"</f>
        <v>201304001731</v>
      </c>
      <c r="H182" t="s">
        <v>458</v>
      </c>
      <c r="I182">
        <v>0</v>
      </c>
      <c r="J182">
        <v>0</v>
      </c>
      <c r="K182">
        <v>0</v>
      </c>
      <c r="L182">
        <v>260</v>
      </c>
      <c r="M182">
        <v>0</v>
      </c>
      <c r="N182">
        <v>70</v>
      </c>
      <c r="O182">
        <v>50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82</v>
      </c>
      <c r="W182">
        <v>574</v>
      </c>
      <c r="Z182">
        <v>0</v>
      </c>
      <c r="AA182" t="s">
        <v>478</v>
      </c>
    </row>
    <row r="183" spans="1:27" x14ac:dyDescent="0.25">
      <c r="H183" t="s">
        <v>56</v>
      </c>
    </row>
    <row r="184" spans="1:27" x14ac:dyDescent="0.25">
      <c r="A184">
        <v>89</v>
      </c>
      <c r="B184">
        <v>2513</v>
      </c>
      <c r="C184" t="s">
        <v>479</v>
      </c>
      <c r="D184" t="s">
        <v>480</v>
      </c>
      <c r="E184" t="s">
        <v>100</v>
      </c>
      <c r="F184" t="s">
        <v>481</v>
      </c>
      <c r="G184" t="str">
        <f>"201304003544"</f>
        <v>201304003544</v>
      </c>
      <c r="H184" t="s">
        <v>30</v>
      </c>
      <c r="I184">
        <v>0</v>
      </c>
      <c r="J184">
        <v>0</v>
      </c>
      <c r="K184">
        <v>0</v>
      </c>
      <c r="L184">
        <v>200</v>
      </c>
      <c r="M184">
        <v>30</v>
      </c>
      <c r="N184">
        <v>70</v>
      </c>
      <c r="O184">
        <v>70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115</v>
      </c>
      <c r="W184">
        <v>588</v>
      </c>
      <c r="Z184">
        <v>0</v>
      </c>
      <c r="AA184" t="s">
        <v>482</v>
      </c>
    </row>
    <row r="185" spans="1:27" x14ac:dyDescent="0.25">
      <c r="H185" t="s">
        <v>286</v>
      </c>
    </row>
    <row r="186" spans="1:27" x14ac:dyDescent="0.25">
      <c r="A186">
        <v>90</v>
      </c>
      <c r="B186">
        <v>1191</v>
      </c>
      <c r="C186" t="s">
        <v>483</v>
      </c>
      <c r="D186" t="s">
        <v>121</v>
      </c>
      <c r="E186" t="s">
        <v>100</v>
      </c>
      <c r="F186" t="s">
        <v>484</v>
      </c>
      <c r="G186" t="str">
        <f>"201406014755"</f>
        <v>201406014755</v>
      </c>
      <c r="H186" t="s">
        <v>194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30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118</v>
      </c>
      <c r="W186">
        <v>588</v>
      </c>
      <c r="Z186">
        <v>0</v>
      </c>
      <c r="AA186" t="s">
        <v>485</v>
      </c>
    </row>
    <row r="187" spans="1:27" x14ac:dyDescent="0.25">
      <c r="H187" t="s">
        <v>486</v>
      </c>
    </row>
    <row r="188" spans="1:27" x14ac:dyDescent="0.25">
      <c r="A188">
        <v>91</v>
      </c>
      <c r="B188">
        <v>694</v>
      </c>
      <c r="C188" t="s">
        <v>487</v>
      </c>
      <c r="D188" t="s">
        <v>332</v>
      </c>
      <c r="E188" t="s">
        <v>100</v>
      </c>
      <c r="F188" t="s">
        <v>488</v>
      </c>
      <c r="G188" t="str">
        <f>"201304005810"</f>
        <v>201304005810</v>
      </c>
      <c r="H188" t="s">
        <v>464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30</v>
      </c>
      <c r="P188">
        <v>30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104</v>
      </c>
      <c r="W188">
        <v>588</v>
      </c>
      <c r="Z188">
        <v>0</v>
      </c>
      <c r="AA188" t="s">
        <v>489</v>
      </c>
    </row>
    <row r="189" spans="1:27" x14ac:dyDescent="0.25">
      <c r="H189" t="s">
        <v>349</v>
      </c>
    </row>
    <row r="190" spans="1:27" x14ac:dyDescent="0.25">
      <c r="A190">
        <v>92</v>
      </c>
      <c r="B190">
        <v>2736</v>
      </c>
      <c r="C190" t="s">
        <v>490</v>
      </c>
      <c r="D190" t="s">
        <v>491</v>
      </c>
      <c r="E190" t="s">
        <v>47</v>
      </c>
      <c r="F190" t="s">
        <v>492</v>
      </c>
      <c r="G190" t="str">
        <f>"00015133"</f>
        <v>00015133</v>
      </c>
      <c r="H190" t="s">
        <v>96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50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90</v>
      </c>
      <c r="W190">
        <v>588</v>
      </c>
      <c r="Z190">
        <v>0</v>
      </c>
      <c r="AA190" t="s">
        <v>493</v>
      </c>
    </row>
    <row r="191" spans="1:27" x14ac:dyDescent="0.25">
      <c r="H191" t="s">
        <v>494</v>
      </c>
    </row>
    <row r="192" spans="1:27" x14ac:dyDescent="0.25">
      <c r="A192">
        <v>93</v>
      </c>
      <c r="B192">
        <v>1978</v>
      </c>
      <c r="C192" t="s">
        <v>495</v>
      </c>
      <c r="D192" t="s">
        <v>496</v>
      </c>
      <c r="E192" t="s">
        <v>497</v>
      </c>
      <c r="F192" t="s">
        <v>498</v>
      </c>
      <c r="G192" t="str">
        <f>"201412004299"</f>
        <v>201412004299</v>
      </c>
      <c r="H192" t="s">
        <v>499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30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96</v>
      </c>
      <c r="W192">
        <v>588</v>
      </c>
      <c r="Z192">
        <v>0</v>
      </c>
      <c r="AA192" t="s">
        <v>500</v>
      </c>
    </row>
    <row r="193" spans="1:27" x14ac:dyDescent="0.25">
      <c r="H193" t="s">
        <v>98</v>
      </c>
    </row>
    <row r="194" spans="1:27" x14ac:dyDescent="0.25">
      <c r="A194">
        <v>94</v>
      </c>
      <c r="B194">
        <v>104</v>
      </c>
      <c r="C194" t="s">
        <v>501</v>
      </c>
      <c r="D194" t="s">
        <v>502</v>
      </c>
      <c r="E194" t="s">
        <v>143</v>
      </c>
      <c r="F194" t="s">
        <v>503</v>
      </c>
      <c r="G194" t="str">
        <f>"201406013511"</f>
        <v>201406013511</v>
      </c>
      <c r="H194" t="s">
        <v>49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50</v>
      </c>
      <c r="P194">
        <v>50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Z194">
        <v>0</v>
      </c>
      <c r="AA194" t="s">
        <v>504</v>
      </c>
    </row>
    <row r="195" spans="1:27" x14ac:dyDescent="0.25">
      <c r="H195" t="s">
        <v>505</v>
      </c>
    </row>
    <row r="196" spans="1:27" x14ac:dyDescent="0.25">
      <c r="A196">
        <v>95</v>
      </c>
      <c r="B196">
        <v>104</v>
      </c>
      <c r="C196" t="s">
        <v>501</v>
      </c>
      <c r="D196" t="s">
        <v>502</v>
      </c>
      <c r="E196" t="s">
        <v>143</v>
      </c>
      <c r="F196" t="s">
        <v>503</v>
      </c>
      <c r="G196" t="str">
        <f>"201406013511"</f>
        <v>201406013511</v>
      </c>
      <c r="H196" t="s">
        <v>49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50</v>
      </c>
      <c r="P196">
        <v>50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94</v>
      </c>
      <c r="W196">
        <v>588</v>
      </c>
      <c r="Z196">
        <v>0</v>
      </c>
      <c r="AA196" t="s">
        <v>504</v>
      </c>
    </row>
    <row r="197" spans="1:27" x14ac:dyDescent="0.25">
      <c r="H197" t="s">
        <v>505</v>
      </c>
    </row>
    <row r="198" spans="1:27" x14ac:dyDescent="0.25">
      <c r="A198">
        <v>96</v>
      </c>
      <c r="B198">
        <v>520</v>
      </c>
      <c r="C198" t="s">
        <v>506</v>
      </c>
      <c r="D198" t="s">
        <v>20</v>
      </c>
      <c r="E198" t="s">
        <v>507</v>
      </c>
      <c r="F198" t="s">
        <v>508</v>
      </c>
      <c r="G198" t="str">
        <f>"00011638"</f>
        <v>00011638</v>
      </c>
      <c r="H198" t="s">
        <v>509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50</v>
      </c>
      <c r="O198">
        <v>30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Z198">
        <v>0</v>
      </c>
      <c r="AA198" t="s">
        <v>510</v>
      </c>
    </row>
    <row r="199" spans="1:27" x14ac:dyDescent="0.25">
      <c r="H199" t="s">
        <v>511</v>
      </c>
    </row>
    <row r="200" spans="1:27" x14ac:dyDescent="0.25">
      <c r="A200">
        <v>97</v>
      </c>
      <c r="B200">
        <v>1849</v>
      </c>
      <c r="C200" t="s">
        <v>512</v>
      </c>
      <c r="D200" t="s">
        <v>176</v>
      </c>
      <c r="E200" t="s">
        <v>15</v>
      </c>
      <c r="F200" t="s">
        <v>513</v>
      </c>
      <c r="G200" t="str">
        <f>"201304005869"</f>
        <v>201304005869</v>
      </c>
      <c r="H200" t="s">
        <v>514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146</v>
      </c>
      <c r="W200">
        <v>588</v>
      </c>
      <c r="Z200">
        <v>0</v>
      </c>
      <c r="AA200" t="s">
        <v>515</v>
      </c>
    </row>
    <row r="201" spans="1:27" x14ac:dyDescent="0.25">
      <c r="H201" t="s">
        <v>516</v>
      </c>
    </row>
    <row r="202" spans="1:27" x14ac:dyDescent="0.25">
      <c r="A202">
        <v>98</v>
      </c>
      <c r="B202">
        <v>3355</v>
      </c>
      <c r="C202" t="s">
        <v>517</v>
      </c>
      <c r="D202" t="s">
        <v>40</v>
      </c>
      <c r="E202" t="s">
        <v>276</v>
      </c>
      <c r="F202" t="s">
        <v>518</v>
      </c>
      <c r="G202" t="str">
        <f>"201406004375"</f>
        <v>201406004375</v>
      </c>
      <c r="H202" t="s">
        <v>519</v>
      </c>
      <c r="I202">
        <v>0</v>
      </c>
      <c r="J202">
        <v>0</v>
      </c>
      <c r="K202">
        <v>0</v>
      </c>
      <c r="L202">
        <v>260</v>
      </c>
      <c r="M202">
        <v>0</v>
      </c>
      <c r="N202">
        <v>70</v>
      </c>
      <c r="O202">
        <v>50</v>
      </c>
      <c r="P202">
        <v>30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65</v>
      </c>
      <c r="W202">
        <v>455</v>
      </c>
      <c r="Z202">
        <v>0</v>
      </c>
      <c r="AA202" t="s">
        <v>520</v>
      </c>
    </row>
    <row r="203" spans="1:27" x14ac:dyDescent="0.25">
      <c r="H203" t="s">
        <v>521</v>
      </c>
    </row>
    <row r="204" spans="1:27" x14ac:dyDescent="0.25">
      <c r="A204">
        <v>99</v>
      </c>
      <c r="B204">
        <v>140</v>
      </c>
      <c r="C204" t="s">
        <v>522</v>
      </c>
      <c r="D204" t="s">
        <v>20</v>
      </c>
      <c r="E204" t="s">
        <v>54</v>
      </c>
      <c r="F204" t="s">
        <v>523</v>
      </c>
      <c r="G204" t="str">
        <f>"200910000691"</f>
        <v>200910000691</v>
      </c>
      <c r="H204" t="s">
        <v>524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109</v>
      </c>
      <c r="W204">
        <v>588</v>
      </c>
      <c r="Z204">
        <v>0</v>
      </c>
      <c r="AA204" t="s">
        <v>525</v>
      </c>
    </row>
    <row r="205" spans="1:27" x14ac:dyDescent="0.25">
      <c r="H205" t="s">
        <v>526</v>
      </c>
    </row>
    <row r="206" spans="1:27" x14ac:dyDescent="0.25">
      <c r="A206">
        <v>100</v>
      </c>
      <c r="B206">
        <v>2641</v>
      </c>
      <c r="C206" t="s">
        <v>527</v>
      </c>
      <c r="D206" t="s">
        <v>81</v>
      </c>
      <c r="E206" t="s">
        <v>310</v>
      </c>
      <c r="F206" t="s">
        <v>528</v>
      </c>
      <c r="G206" t="str">
        <f>"201405002341"</f>
        <v>201405002341</v>
      </c>
      <c r="H206" t="s">
        <v>400</v>
      </c>
      <c r="I206">
        <v>0</v>
      </c>
      <c r="J206">
        <v>0</v>
      </c>
      <c r="K206">
        <v>0</v>
      </c>
      <c r="L206">
        <v>260</v>
      </c>
      <c r="M206">
        <v>0</v>
      </c>
      <c r="N206">
        <v>70</v>
      </c>
      <c r="O206">
        <v>70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73</v>
      </c>
      <c r="W206">
        <v>511</v>
      </c>
      <c r="Z206">
        <v>0</v>
      </c>
      <c r="AA206" t="s">
        <v>529</v>
      </c>
    </row>
    <row r="207" spans="1:27" x14ac:dyDescent="0.25">
      <c r="H207" t="s">
        <v>530</v>
      </c>
    </row>
    <row r="208" spans="1:27" x14ac:dyDescent="0.25">
      <c r="A208">
        <v>101</v>
      </c>
      <c r="B208">
        <v>1206</v>
      </c>
      <c r="C208" t="s">
        <v>531</v>
      </c>
      <c r="D208" t="s">
        <v>532</v>
      </c>
      <c r="E208" t="s">
        <v>94</v>
      </c>
      <c r="F208" t="s">
        <v>533</v>
      </c>
      <c r="G208" t="str">
        <f>"00013667"</f>
        <v>00013667</v>
      </c>
      <c r="H208" t="s">
        <v>534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30</v>
      </c>
      <c r="P208">
        <v>70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65</v>
      </c>
      <c r="W208">
        <v>455</v>
      </c>
      <c r="Z208">
        <v>0</v>
      </c>
      <c r="AA208" t="s">
        <v>535</v>
      </c>
    </row>
    <row r="209" spans="1:27" x14ac:dyDescent="0.25">
      <c r="H209" t="s">
        <v>536</v>
      </c>
    </row>
    <row r="210" spans="1:27" x14ac:dyDescent="0.25">
      <c r="A210">
        <v>102</v>
      </c>
      <c r="B210">
        <v>1364</v>
      </c>
      <c r="C210" t="s">
        <v>537</v>
      </c>
      <c r="D210" t="s">
        <v>143</v>
      </c>
      <c r="E210" t="s">
        <v>121</v>
      </c>
      <c r="F210" t="s">
        <v>538</v>
      </c>
      <c r="G210" t="str">
        <f>"201304000431"</f>
        <v>201304000431</v>
      </c>
      <c r="H210" t="s">
        <v>464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50</v>
      </c>
      <c r="R210">
        <v>0</v>
      </c>
      <c r="S210">
        <v>0</v>
      </c>
      <c r="T210">
        <v>0</v>
      </c>
      <c r="U210">
        <v>0</v>
      </c>
      <c r="V210">
        <v>150</v>
      </c>
      <c r="W210">
        <v>588</v>
      </c>
      <c r="Z210">
        <v>0</v>
      </c>
      <c r="AA210" t="s">
        <v>539</v>
      </c>
    </row>
    <row r="211" spans="1:27" x14ac:dyDescent="0.25">
      <c r="H211">
        <v>204</v>
      </c>
    </row>
    <row r="212" spans="1:27" x14ac:dyDescent="0.25">
      <c r="A212">
        <v>103</v>
      </c>
      <c r="B212">
        <v>622</v>
      </c>
      <c r="C212" t="s">
        <v>540</v>
      </c>
      <c r="D212" t="s">
        <v>541</v>
      </c>
      <c r="E212" t="s">
        <v>542</v>
      </c>
      <c r="F212" t="s">
        <v>543</v>
      </c>
      <c r="G212" t="str">
        <f>"201506000180"</f>
        <v>201506000180</v>
      </c>
      <c r="H212" t="s">
        <v>544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70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115</v>
      </c>
      <c r="W212">
        <v>588</v>
      </c>
      <c r="Z212">
        <v>0</v>
      </c>
      <c r="AA212" t="s">
        <v>545</v>
      </c>
    </row>
    <row r="213" spans="1:27" x14ac:dyDescent="0.25">
      <c r="H213" t="s">
        <v>98</v>
      </c>
    </row>
    <row r="214" spans="1:27" x14ac:dyDescent="0.25">
      <c r="A214">
        <v>104</v>
      </c>
      <c r="B214">
        <v>1087</v>
      </c>
      <c r="C214" t="s">
        <v>546</v>
      </c>
      <c r="D214" t="s">
        <v>142</v>
      </c>
      <c r="E214" t="s">
        <v>121</v>
      </c>
      <c r="F214" t="s">
        <v>547</v>
      </c>
      <c r="G214" t="str">
        <f>"201304005520"</f>
        <v>201304005520</v>
      </c>
      <c r="H214" t="s">
        <v>400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50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255</v>
      </c>
      <c r="W214">
        <v>588</v>
      </c>
      <c r="Z214">
        <v>0</v>
      </c>
      <c r="AA214" t="s">
        <v>548</v>
      </c>
    </row>
    <row r="215" spans="1:27" x14ac:dyDescent="0.25">
      <c r="H215" t="s">
        <v>549</v>
      </c>
    </row>
    <row r="216" spans="1:27" x14ac:dyDescent="0.25">
      <c r="A216">
        <v>105</v>
      </c>
      <c r="B216">
        <v>1094</v>
      </c>
      <c r="C216" t="s">
        <v>550</v>
      </c>
      <c r="D216" t="s">
        <v>551</v>
      </c>
      <c r="E216" t="s">
        <v>552</v>
      </c>
      <c r="F216" t="s">
        <v>553</v>
      </c>
      <c r="G216" t="str">
        <f>"201304001857"</f>
        <v>201304001857</v>
      </c>
      <c r="H216" t="s">
        <v>554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70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117</v>
      </c>
      <c r="W216">
        <v>588</v>
      </c>
      <c r="Z216">
        <v>0</v>
      </c>
      <c r="AA216" t="s">
        <v>555</v>
      </c>
    </row>
    <row r="217" spans="1:27" x14ac:dyDescent="0.25">
      <c r="H217" t="s">
        <v>556</v>
      </c>
    </row>
    <row r="218" spans="1:27" x14ac:dyDescent="0.25">
      <c r="A218">
        <v>106</v>
      </c>
      <c r="B218">
        <v>1381</v>
      </c>
      <c r="C218" t="s">
        <v>557</v>
      </c>
      <c r="D218" t="s">
        <v>87</v>
      </c>
      <c r="E218" t="s">
        <v>143</v>
      </c>
      <c r="F218" t="s">
        <v>558</v>
      </c>
      <c r="G218" t="str">
        <f>"200802002386"</f>
        <v>200802002386</v>
      </c>
      <c r="H218" t="s">
        <v>559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30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149</v>
      </c>
      <c r="W218">
        <v>588</v>
      </c>
      <c r="Z218">
        <v>0</v>
      </c>
      <c r="AA218" t="s">
        <v>560</v>
      </c>
    </row>
    <row r="219" spans="1:27" x14ac:dyDescent="0.25">
      <c r="H219" t="s">
        <v>561</v>
      </c>
    </row>
    <row r="220" spans="1:27" x14ac:dyDescent="0.25">
      <c r="A220">
        <v>107</v>
      </c>
      <c r="B220">
        <v>2154</v>
      </c>
      <c r="C220" t="s">
        <v>562</v>
      </c>
      <c r="D220" t="s">
        <v>112</v>
      </c>
      <c r="E220" t="s">
        <v>121</v>
      </c>
      <c r="F220" t="s">
        <v>563</v>
      </c>
      <c r="G220" t="str">
        <f>"00014559"</f>
        <v>00014559</v>
      </c>
      <c r="H220" t="s">
        <v>559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30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99</v>
      </c>
      <c r="W220">
        <v>588</v>
      </c>
      <c r="Z220">
        <v>0</v>
      </c>
      <c r="AA220" t="s">
        <v>560</v>
      </c>
    </row>
    <row r="221" spans="1:27" x14ac:dyDescent="0.25">
      <c r="H221" t="s">
        <v>564</v>
      </c>
    </row>
    <row r="222" spans="1:27" x14ac:dyDescent="0.25">
      <c r="A222">
        <v>108</v>
      </c>
      <c r="B222">
        <v>951</v>
      </c>
      <c r="C222" t="s">
        <v>565</v>
      </c>
      <c r="D222" t="s">
        <v>532</v>
      </c>
      <c r="E222" t="s">
        <v>81</v>
      </c>
      <c r="F222" t="s">
        <v>566</v>
      </c>
      <c r="G222" t="str">
        <f>"00012558"</f>
        <v>00012558</v>
      </c>
      <c r="H222" t="s">
        <v>567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0</v>
      </c>
      <c r="P222">
        <v>50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63</v>
      </c>
      <c r="W222">
        <v>441</v>
      </c>
      <c r="Z222">
        <v>0</v>
      </c>
      <c r="AA222" t="s">
        <v>568</v>
      </c>
    </row>
    <row r="223" spans="1:27" x14ac:dyDescent="0.25">
      <c r="H223" t="s">
        <v>569</v>
      </c>
    </row>
    <row r="224" spans="1:27" x14ac:dyDescent="0.25">
      <c r="A224">
        <v>109</v>
      </c>
      <c r="B224">
        <v>2377</v>
      </c>
      <c r="C224" t="s">
        <v>570</v>
      </c>
      <c r="D224" t="s">
        <v>571</v>
      </c>
      <c r="E224" t="s">
        <v>81</v>
      </c>
      <c r="F224" t="s">
        <v>572</v>
      </c>
      <c r="G224" t="str">
        <f>"201406012901"</f>
        <v>201406012901</v>
      </c>
      <c r="H224" t="s">
        <v>573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50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63</v>
      </c>
      <c r="W224">
        <v>441</v>
      </c>
      <c r="Z224">
        <v>0</v>
      </c>
      <c r="AA224" t="s">
        <v>574</v>
      </c>
    </row>
    <row r="225" spans="1:27" x14ac:dyDescent="0.25">
      <c r="H225">
        <v>203</v>
      </c>
    </row>
    <row r="226" spans="1:27" x14ac:dyDescent="0.25">
      <c r="A226">
        <v>110</v>
      </c>
      <c r="B226">
        <v>1844</v>
      </c>
      <c r="C226" t="s">
        <v>575</v>
      </c>
      <c r="D226" t="s">
        <v>576</v>
      </c>
      <c r="E226" t="s">
        <v>47</v>
      </c>
      <c r="F226" t="s">
        <v>577</v>
      </c>
      <c r="G226" t="str">
        <f>"201406012779"</f>
        <v>201406012779</v>
      </c>
      <c r="H226" t="s">
        <v>458</v>
      </c>
      <c r="I226">
        <v>150</v>
      </c>
      <c r="J226">
        <v>0</v>
      </c>
      <c r="K226">
        <v>0</v>
      </c>
      <c r="L226">
        <v>0</v>
      </c>
      <c r="M226">
        <v>100</v>
      </c>
      <c r="N226">
        <v>70</v>
      </c>
      <c r="O226">
        <v>0</v>
      </c>
      <c r="P226">
        <v>30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Z226">
        <v>0</v>
      </c>
      <c r="AA226" t="s">
        <v>578</v>
      </c>
    </row>
    <row r="227" spans="1:27" x14ac:dyDescent="0.25">
      <c r="H227" t="s">
        <v>579</v>
      </c>
    </row>
    <row r="228" spans="1:27" x14ac:dyDescent="0.25">
      <c r="A228">
        <v>111</v>
      </c>
      <c r="B228">
        <v>472</v>
      </c>
      <c r="C228" t="s">
        <v>580</v>
      </c>
      <c r="D228" t="s">
        <v>581</v>
      </c>
      <c r="E228" t="s">
        <v>81</v>
      </c>
      <c r="F228" t="s">
        <v>582</v>
      </c>
      <c r="G228" t="str">
        <f>"201406008416"</f>
        <v>201406008416</v>
      </c>
      <c r="H228">
        <v>792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95</v>
      </c>
      <c r="W228">
        <v>588</v>
      </c>
      <c r="Z228">
        <v>0</v>
      </c>
      <c r="AA228">
        <v>1680</v>
      </c>
    </row>
    <row r="229" spans="1:27" x14ac:dyDescent="0.25">
      <c r="H229" t="s">
        <v>583</v>
      </c>
    </row>
    <row r="230" spans="1:27" x14ac:dyDescent="0.25">
      <c r="A230">
        <v>112</v>
      </c>
      <c r="B230">
        <v>959</v>
      </c>
      <c r="C230" t="s">
        <v>584</v>
      </c>
      <c r="D230" t="s">
        <v>585</v>
      </c>
      <c r="E230" t="s">
        <v>586</v>
      </c>
      <c r="F230" t="s">
        <v>587</v>
      </c>
      <c r="G230" t="str">
        <f>"201506003289"</f>
        <v>201506003289</v>
      </c>
      <c r="H230" t="s">
        <v>343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82</v>
      </c>
      <c r="W230">
        <v>574</v>
      </c>
      <c r="Z230">
        <v>0</v>
      </c>
      <c r="AA230" t="s">
        <v>588</v>
      </c>
    </row>
    <row r="231" spans="1:27" x14ac:dyDescent="0.25">
      <c r="H231" t="s">
        <v>589</v>
      </c>
    </row>
    <row r="232" spans="1:27" x14ac:dyDescent="0.25">
      <c r="A232">
        <v>113</v>
      </c>
      <c r="B232">
        <v>115</v>
      </c>
      <c r="C232" t="s">
        <v>590</v>
      </c>
      <c r="D232" t="s">
        <v>58</v>
      </c>
      <c r="E232" t="s">
        <v>47</v>
      </c>
      <c r="F232" t="s">
        <v>591</v>
      </c>
      <c r="G232" t="str">
        <f>"00014126"</f>
        <v>00014126</v>
      </c>
      <c r="H232" t="s">
        <v>592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99</v>
      </c>
      <c r="W232">
        <v>588</v>
      </c>
      <c r="Z232">
        <v>1</v>
      </c>
      <c r="AA232" t="s">
        <v>593</v>
      </c>
    </row>
    <row r="233" spans="1:27" x14ac:dyDescent="0.25">
      <c r="H233" t="s">
        <v>594</v>
      </c>
    </row>
    <row r="234" spans="1:27" x14ac:dyDescent="0.25">
      <c r="A234">
        <v>114</v>
      </c>
      <c r="B234">
        <v>2430</v>
      </c>
      <c r="C234" t="s">
        <v>595</v>
      </c>
      <c r="D234" t="s">
        <v>361</v>
      </c>
      <c r="E234" t="s">
        <v>507</v>
      </c>
      <c r="F234" t="s">
        <v>596</v>
      </c>
      <c r="G234" t="str">
        <f>"00014605"</f>
        <v>00014605</v>
      </c>
      <c r="H234" t="s">
        <v>597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50</v>
      </c>
      <c r="O234">
        <v>70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125</v>
      </c>
      <c r="W234">
        <v>588</v>
      </c>
      <c r="Z234">
        <v>0</v>
      </c>
      <c r="AA234" t="s">
        <v>598</v>
      </c>
    </row>
    <row r="235" spans="1:27" x14ac:dyDescent="0.25">
      <c r="H235" t="s">
        <v>599</v>
      </c>
    </row>
    <row r="236" spans="1:27" x14ac:dyDescent="0.25">
      <c r="A236">
        <v>115</v>
      </c>
      <c r="B236">
        <v>80</v>
      </c>
      <c r="C236" t="s">
        <v>584</v>
      </c>
      <c r="D236" t="s">
        <v>54</v>
      </c>
      <c r="E236" t="s">
        <v>80</v>
      </c>
      <c r="F236" t="s">
        <v>600</v>
      </c>
      <c r="G236" t="str">
        <f>"200802003923"</f>
        <v>200802003923</v>
      </c>
      <c r="H236" t="s">
        <v>597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50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141</v>
      </c>
      <c r="W236">
        <v>588</v>
      </c>
      <c r="Z236">
        <v>0</v>
      </c>
      <c r="AA236" t="s">
        <v>598</v>
      </c>
    </row>
    <row r="237" spans="1:27" x14ac:dyDescent="0.25">
      <c r="H237">
        <v>203</v>
      </c>
    </row>
    <row r="238" spans="1:27" x14ac:dyDescent="0.25">
      <c r="A238">
        <v>116</v>
      </c>
      <c r="B238">
        <v>2499</v>
      </c>
      <c r="C238" t="s">
        <v>601</v>
      </c>
      <c r="D238" t="s">
        <v>40</v>
      </c>
      <c r="E238" t="s">
        <v>602</v>
      </c>
      <c r="F238" t="s">
        <v>603</v>
      </c>
      <c r="G238" t="str">
        <f>"00011286"</f>
        <v>00011286</v>
      </c>
      <c r="H238" t="s">
        <v>102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183</v>
      </c>
      <c r="W238">
        <v>588</v>
      </c>
      <c r="Z238">
        <v>0</v>
      </c>
      <c r="AA238" t="s">
        <v>604</v>
      </c>
    </row>
    <row r="239" spans="1:27" x14ac:dyDescent="0.25">
      <c r="H239" t="s">
        <v>605</v>
      </c>
    </row>
    <row r="240" spans="1:27" x14ac:dyDescent="0.25">
      <c r="A240">
        <v>117</v>
      </c>
      <c r="B240">
        <v>328</v>
      </c>
      <c r="C240" t="s">
        <v>606</v>
      </c>
      <c r="D240" t="s">
        <v>607</v>
      </c>
      <c r="E240" t="s">
        <v>54</v>
      </c>
      <c r="F240" t="s">
        <v>608</v>
      </c>
      <c r="G240" t="str">
        <f>"201604002674"</f>
        <v>201604002674</v>
      </c>
      <c r="H240" t="s">
        <v>400</v>
      </c>
      <c r="I240">
        <v>150</v>
      </c>
      <c r="J240">
        <v>0</v>
      </c>
      <c r="K240">
        <v>0</v>
      </c>
      <c r="L240">
        <v>0</v>
      </c>
      <c r="M240">
        <v>100</v>
      </c>
      <c r="N240">
        <v>30</v>
      </c>
      <c r="O240">
        <v>30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87</v>
      </c>
      <c r="W240">
        <v>588</v>
      </c>
      <c r="Z240">
        <v>0</v>
      </c>
      <c r="AA240" t="s">
        <v>609</v>
      </c>
    </row>
    <row r="241" spans="1:27" x14ac:dyDescent="0.25">
      <c r="H241" t="s">
        <v>610</v>
      </c>
    </row>
    <row r="242" spans="1:27" x14ac:dyDescent="0.25">
      <c r="A242">
        <v>118</v>
      </c>
      <c r="B242">
        <v>2654</v>
      </c>
      <c r="C242" t="s">
        <v>611</v>
      </c>
      <c r="D242" t="s">
        <v>210</v>
      </c>
      <c r="E242" t="s">
        <v>422</v>
      </c>
      <c r="F242" t="s">
        <v>612</v>
      </c>
      <c r="G242" t="str">
        <f>"00014322"</f>
        <v>00014322</v>
      </c>
      <c r="H242" t="s">
        <v>96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30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Z242">
        <v>0</v>
      </c>
      <c r="AA242" t="s">
        <v>613</v>
      </c>
    </row>
    <row r="243" spans="1:27" x14ac:dyDescent="0.25">
      <c r="H243" t="s">
        <v>307</v>
      </c>
    </row>
    <row r="244" spans="1:27" x14ac:dyDescent="0.25">
      <c r="A244">
        <v>119</v>
      </c>
      <c r="B244">
        <v>1465</v>
      </c>
      <c r="C244" t="s">
        <v>614</v>
      </c>
      <c r="D244" t="s">
        <v>615</v>
      </c>
      <c r="E244" t="s">
        <v>616</v>
      </c>
      <c r="F244" t="s">
        <v>617</v>
      </c>
      <c r="G244" t="str">
        <f>"00011318"</f>
        <v>00011318</v>
      </c>
      <c r="H244" t="s">
        <v>438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30</v>
      </c>
      <c r="O244">
        <v>0</v>
      </c>
      <c r="P244">
        <v>50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137</v>
      </c>
      <c r="W244">
        <v>588</v>
      </c>
      <c r="Z244">
        <v>0</v>
      </c>
      <c r="AA244" t="s">
        <v>618</v>
      </c>
    </row>
    <row r="245" spans="1:27" x14ac:dyDescent="0.25">
      <c r="H245">
        <v>203</v>
      </c>
    </row>
    <row r="246" spans="1:27" x14ac:dyDescent="0.25">
      <c r="A246">
        <v>120</v>
      </c>
      <c r="B246">
        <v>1855</v>
      </c>
      <c r="C246" t="s">
        <v>619</v>
      </c>
      <c r="D246" t="s">
        <v>620</v>
      </c>
      <c r="E246" t="s">
        <v>155</v>
      </c>
      <c r="F246" t="s">
        <v>621</v>
      </c>
      <c r="G246" t="str">
        <f>"00013527"</f>
        <v>00013527</v>
      </c>
      <c r="H246">
        <v>715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30</v>
      </c>
      <c r="P246">
        <v>70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Z246">
        <v>0</v>
      </c>
      <c r="AA246">
        <v>1673</v>
      </c>
    </row>
    <row r="247" spans="1:27" x14ac:dyDescent="0.25">
      <c r="H247" t="s">
        <v>622</v>
      </c>
    </row>
    <row r="248" spans="1:27" x14ac:dyDescent="0.25">
      <c r="A248">
        <v>121</v>
      </c>
      <c r="B248">
        <v>289</v>
      </c>
      <c r="C248" t="s">
        <v>623</v>
      </c>
      <c r="D248" t="s">
        <v>69</v>
      </c>
      <c r="E248" t="s">
        <v>624</v>
      </c>
      <c r="F248" t="s">
        <v>625</v>
      </c>
      <c r="G248" t="str">
        <f>"00013938"</f>
        <v>00013938</v>
      </c>
      <c r="H248" t="s">
        <v>626</v>
      </c>
      <c r="I248">
        <v>0</v>
      </c>
      <c r="J248">
        <v>0</v>
      </c>
      <c r="K248">
        <v>0</v>
      </c>
      <c r="L248">
        <v>260</v>
      </c>
      <c r="M248">
        <v>0</v>
      </c>
      <c r="N248">
        <v>70</v>
      </c>
      <c r="O248">
        <v>0</v>
      </c>
      <c r="P248">
        <v>30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117</v>
      </c>
      <c r="W248">
        <v>588</v>
      </c>
      <c r="Z248">
        <v>0</v>
      </c>
      <c r="AA248" t="s">
        <v>627</v>
      </c>
    </row>
    <row r="249" spans="1:27" x14ac:dyDescent="0.25">
      <c r="H249" t="s">
        <v>628</v>
      </c>
    </row>
    <row r="250" spans="1:27" x14ac:dyDescent="0.25">
      <c r="A250">
        <v>122</v>
      </c>
      <c r="B250">
        <v>537</v>
      </c>
      <c r="C250" t="s">
        <v>629</v>
      </c>
      <c r="D250" t="s">
        <v>54</v>
      </c>
      <c r="E250" t="s">
        <v>165</v>
      </c>
      <c r="F250" t="s">
        <v>630</v>
      </c>
      <c r="G250" t="str">
        <f>"201406008210"</f>
        <v>201406008210</v>
      </c>
      <c r="H250" t="s">
        <v>145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Z250">
        <v>0</v>
      </c>
      <c r="AA250" t="s">
        <v>631</v>
      </c>
    </row>
    <row r="251" spans="1:27" x14ac:dyDescent="0.25">
      <c r="H251" t="s">
        <v>632</v>
      </c>
    </row>
    <row r="252" spans="1:27" x14ac:dyDescent="0.25">
      <c r="A252">
        <v>123</v>
      </c>
      <c r="B252">
        <v>323</v>
      </c>
      <c r="C252" t="s">
        <v>633</v>
      </c>
      <c r="D252" t="s">
        <v>634</v>
      </c>
      <c r="E252" t="s">
        <v>21</v>
      </c>
      <c r="F252" t="s">
        <v>635</v>
      </c>
      <c r="G252" t="str">
        <f>"201406000469"</f>
        <v>201406000469</v>
      </c>
      <c r="H252" t="s">
        <v>167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Z252">
        <v>0</v>
      </c>
      <c r="AA252" t="s">
        <v>636</v>
      </c>
    </row>
    <row r="253" spans="1:27" x14ac:dyDescent="0.25">
      <c r="H253">
        <v>202</v>
      </c>
    </row>
    <row r="254" spans="1:27" x14ac:dyDescent="0.25">
      <c r="A254">
        <v>124</v>
      </c>
      <c r="B254">
        <v>2900</v>
      </c>
      <c r="C254" t="s">
        <v>637</v>
      </c>
      <c r="D254" t="s">
        <v>638</v>
      </c>
      <c r="E254" t="s">
        <v>310</v>
      </c>
      <c r="F254" t="s">
        <v>639</v>
      </c>
      <c r="G254" t="str">
        <f>"201406010556"</f>
        <v>201406010556</v>
      </c>
      <c r="H254" t="s">
        <v>412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0</v>
      </c>
      <c r="P254">
        <v>30</v>
      </c>
      <c r="Q254">
        <v>30</v>
      </c>
      <c r="R254">
        <v>0</v>
      </c>
      <c r="S254">
        <v>0</v>
      </c>
      <c r="T254">
        <v>0</v>
      </c>
      <c r="U254">
        <v>0</v>
      </c>
      <c r="V254">
        <v>81</v>
      </c>
      <c r="W254">
        <v>567</v>
      </c>
      <c r="Z254">
        <v>0</v>
      </c>
      <c r="AA254" t="s">
        <v>640</v>
      </c>
    </row>
    <row r="255" spans="1:27" x14ac:dyDescent="0.25">
      <c r="H255" t="s">
        <v>641</v>
      </c>
    </row>
    <row r="256" spans="1:27" x14ac:dyDescent="0.25">
      <c r="A256">
        <v>125</v>
      </c>
      <c r="B256">
        <v>529</v>
      </c>
      <c r="C256" t="s">
        <v>642</v>
      </c>
      <c r="D256" t="s">
        <v>643</v>
      </c>
      <c r="E256" t="s">
        <v>644</v>
      </c>
      <c r="F256" t="s">
        <v>645</v>
      </c>
      <c r="G256" t="str">
        <f>"201304005390"</f>
        <v>201304005390</v>
      </c>
      <c r="H256" t="s">
        <v>284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30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149</v>
      </c>
      <c r="W256">
        <v>588</v>
      </c>
      <c r="Z256">
        <v>0</v>
      </c>
      <c r="AA256" t="s">
        <v>646</v>
      </c>
    </row>
    <row r="257" spans="1:27" x14ac:dyDescent="0.25">
      <c r="H257">
        <v>206</v>
      </c>
    </row>
    <row r="258" spans="1:27" x14ac:dyDescent="0.25">
      <c r="A258">
        <v>126</v>
      </c>
      <c r="B258">
        <v>1393</v>
      </c>
      <c r="C258" t="s">
        <v>647</v>
      </c>
      <c r="D258" t="s">
        <v>20</v>
      </c>
      <c r="E258" t="s">
        <v>155</v>
      </c>
      <c r="F258" t="s">
        <v>648</v>
      </c>
      <c r="G258" t="str">
        <f>"00015267"</f>
        <v>00015267</v>
      </c>
      <c r="H258" t="s">
        <v>200</v>
      </c>
      <c r="I258">
        <v>0</v>
      </c>
      <c r="J258">
        <v>0</v>
      </c>
      <c r="K258">
        <v>0</v>
      </c>
      <c r="L258">
        <v>0</v>
      </c>
      <c r="M258">
        <v>100</v>
      </c>
      <c r="N258">
        <v>70</v>
      </c>
      <c r="O258">
        <v>70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385</v>
      </c>
      <c r="W258">
        <v>588</v>
      </c>
      <c r="Z258">
        <v>0</v>
      </c>
      <c r="AA258" t="s">
        <v>649</v>
      </c>
    </row>
    <row r="259" spans="1:27" x14ac:dyDescent="0.25">
      <c r="H259" t="s">
        <v>650</v>
      </c>
    </row>
    <row r="260" spans="1:27" x14ac:dyDescent="0.25">
      <c r="A260">
        <v>127</v>
      </c>
      <c r="B260">
        <v>1829</v>
      </c>
      <c r="C260" t="s">
        <v>651</v>
      </c>
      <c r="D260" t="s">
        <v>652</v>
      </c>
      <c r="E260" t="s">
        <v>41</v>
      </c>
      <c r="F260" t="s">
        <v>653</v>
      </c>
      <c r="G260" t="str">
        <f>"00015033"</f>
        <v>00015033</v>
      </c>
      <c r="H260">
        <v>759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50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144</v>
      </c>
      <c r="W260">
        <v>588</v>
      </c>
      <c r="Z260">
        <v>0</v>
      </c>
      <c r="AA260">
        <v>1667</v>
      </c>
    </row>
    <row r="261" spans="1:27" x14ac:dyDescent="0.25">
      <c r="H261">
        <v>202</v>
      </c>
    </row>
    <row r="262" spans="1:27" x14ac:dyDescent="0.25">
      <c r="A262">
        <v>128</v>
      </c>
      <c r="B262">
        <v>2792</v>
      </c>
      <c r="C262" t="s">
        <v>345</v>
      </c>
      <c r="D262" t="s">
        <v>210</v>
      </c>
      <c r="E262" t="s">
        <v>121</v>
      </c>
      <c r="F262" t="s">
        <v>654</v>
      </c>
      <c r="G262" t="str">
        <f>"201406014947"</f>
        <v>201406014947</v>
      </c>
      <c r="H262" t="s">
        <v>379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0</v>
      </c>
      <c r="P262">
        <v>30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89</v>
      </c>
      <c r="W262">
        <v>588</v>
      </c>
      <c r="Z262">
        <v>0</v>
      </c>
      <c r="AA262" t="s">
        <v>655</v>
      </c>
    </row>
    <row r="263" spans="1:27" x14ac:dyDescent="0.25">
      <c r="H263" t="s">
        <v>656</v>
      </c>
    </row>
    <row r="264" spans="1:27" x14ac:dyDescent="0.25">
      <c r="A264">
        <v>129</v>
      </c>
      <c r="B264">
        <v>2054</v>
      </c>
      <c r="C264" t="s">
        <v>657</v>
      </c>
      <c r="D264" t="s">
        <v>658</v>
      </c>
      <c r="E264" t="s">
        <v>81</v>
      </c>
      <c r="F264" t="s">
        <v>659</v>
      </c>
      <c r="G264" t="str">
        <f>"201402007398"</f>
        <v>201402007398</v>
      </c>
      <c r="H264" t="s">
        <v>660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86</v>
      </c>
      <c r="W264">
        <v>588</v>
      </c>
      <c r="Z264">
        <v>0</v>
      </c>
      <c r="AA264" t="s">
        <v>661</v>
      </c>
    </row>
    <row r="265" spans="1:27" x14ac:dyDescent="0.25">
      <c r="H265" t="s">
        <v>662</v>
      </c>
    </row>
    <row r="266" spans="1:27" x14ac:dyDescent="0.25">
      <c r="A266">
        <v>130</v>
      </c>
      <c r="B266">
        <v>1795</v>
      </c>
      <c r="C266" t="s">
        <v>663</v>
      </c>
      <c r="D266" t="s">
        <v>338</v>
      </c>
      <c r="E266" t="s">
        <v>81</v>
      </c>
      <c r="F266" t="s">
        <v>664</v>
      </c>
      <c r="G266" t="str">
        <f>"201506002295"</f>
        <v>201506002295</v>
      </c>
      <c r="H266" t="s">
        <v>665</v>
      </c>
      <c r="I266">
        <v>0</v>
      </c>
      <c r="J266">
        <v>0</v>
      </c>
      <c r="K266">
        <v>0</v>
      </c>
      <c r="L266">
        <v>260</v>
      </c>
      <c r="M266">
        <v>0</v>
      </c>
      <c r="N266">
        <v>70</v>
      </c>
      <c r="O266">
        <v>30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96</v>
      </c>
      <c r="W266">
        <v>588</v>
      </c>
      <c r="Z266">
        <v>0</v>
      </c>
      <c r="AA266" t="s">
        <v>666</v>
      </c>
    </row>
    <row r="267" spans="1:27" x14ac:dyDescent="0.25">
      <c r="H267" t="s">
        <v>667</v>
      </c>
    </row>
    <row r="268" spans="1:27" x14ac:dyDescent="0.25">
      <c r="A268">
        <v>131</v>
      </c>
      <c r="B268">
        <v>1163</v>
      </c>
      <c r="C268" t="s">
        <v>668</v>
      </c>
      <c r="D268" t="s">
        <v>581</v>
      </c>
      <c r="E268" t="s">
        <v>54</v>
      </c>
      <c r="F268" t="s">
        <v>669</v>
      </c>
      <c r="G268" t="str">
        <f>"201506003110"</f>
        <v>201506003110</v>
      </c>
      <c r="H268" t="s">
        <v>544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50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Z268">
        <v>0</v>
      </c>
      <c r="AA268" t="s">
        <v>670</v>
      </c>
    </row>
    <row r="269" spans="1:27" x14ac:dyDescent="0.25">
      <c r="H269" t="s">
        <v>671</v>
      </c>
    </row>
    <row r="270" spans="1:27" x14ac:dyDescent="0.25">
      <c r="A270">
        <v>132</v>
      </c>
      <c r="B270">
        <v>1249</v>
      </c>
      <c r="C270" t="s">
        <v>672</v>
      </c>
      <c r="D270" t="s">
        <v>673</v>
      </c>
      <c r="E270" t="s">
        <v>155</v>
      </c>
      <c r="F270" t="s">
        <v>674</v>
      </c>
      <c r="G270" t="str">
        <f>"00013865"</f>
        <v>00013865</v>
      </c>
      <c r="H270" t="s">
        <v>438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Z270">
        <v>0</v>
      </c>
      <c r="AA270" t="s">
        <v>675</v>
      </c>
    </row>
    <row r="271" spans="1:27" x14ac:dyDescent="0.25">
      <c r="H271" t="s">
        <v>98</v>
      </c>
    </row>
    <row r="272" spans="1:27" x14ac:dyDescent="0.25">
      <c r="A272">
        <v>133</v>
      </c>
      <c r="B272">
        <v>1105</v>
      </c>
      <c r="C272" t="s">
        <v>676</v>
      </c>
      <c r="D272" t="s">
        <v>176</v>
      </c>
      <c r="E272" t="s">
        <v>677</v>
      </c>
      <c r="F272" t="s">
        <v>678</v>
      </c>
      <c r="G272" t="str">
        <f>"201406011677"</f>
        <v>201406011677</v>
      </c>
      <c r="H272" t="s">
        <v>499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96</v>
      </c>
      <c r="W272">
        <v>588</v>
      </c>
      <c r="Z272">
        <v>0</v>
      </c>
      <c r="AA272" t="s">
        <v>679</v>
      </c>
    </row>
    <row r="273" spans="1:27" x14ac:dyDescent="0.25">
      <c r="H273" t="s">
        <v>680</v>
      </c>
    </row>
    <row r="274" spans="1:27" x14ac:dyDescent="0.25">
      <c r="A274">
        <v>134</v>
      </c>
      <c r="B274">
        <v>2073</v>
      </c>
      <c r="C274" t="s">
        <v>681</v>
      </c>
      <c r="D274" t="s">
        <v>210</v>
      </c>
      <c r="E274" t="s">
        <v>100</v>
      </c>
      <c r="F274" t="s">
        <v>682</v>
      </c>
      <c r="G274" t="str">
        <f>"201304001016"</f>
        <v>201304001016</v>
      </c>
      <c r="H274" t="s">
        <v>683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50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112</v>
      </c>
      <c r="W274">
        <v>588</v>
      </c>
      <c r="Z274">
        <v>0</v>
      </c>
      <c r="AA274" t="s">
        <v>684</v>
      </c>
    </row>
    <row r="275" spans="1:27" x14ac:dyDescent="0.25">
      <c r="H275" t="s">
        <v>685</v>
      </c>
    </row>
    <row r="276" spans="1:27" x14ac:dyDescent="0.25">
      <c r="A276">
        <v>135</v>
      </c>
      <c r="B276">
        <v>263</v>
      </c>
      <c r="C276" t="s">
        <v>601</v>
      </c>
      <c r="D276" t="s">
        <v>210</v>
      </c>
      <c r="E276" t="s">
        <v>54</v>
      </c>
      <c r="F276" t="s">
        <v>686</v>
      </c>
      <c r="G276" t="str">
        <f>"201506003735"</f>
        <v>201506003735</v>
      </c>
      <c r="H276" t="s">
        <v>49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70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89</v>
      </c>
      <c r="W276">
        <v>588</v>
      </c>
      <c r="Z276">
        <v>0</v>
      </c>
      <c r="AA276" t="s">
        <v>687</v>
      </c>
    </row>
    <row r="277" spans="1:27" x14ac:dyDescent="0.25">
      <c r="H277" t="s">
        <v>250</v>
      </c>
    </row>
    <row r="278" spans="1:27" x14ac:dyDescent="0.25">
      <c r="A278">
        <v>136</v>
      </c>
      <c r="B278">
        <v>538</v>
      </c>
      <c r="C278" t="s">
        <v>688</v>
      </c>
      <c r="D278" t="s">
        <v>216</v>
      </c>
      <c r="E278" t="s">
        <v>41</v>
      </c>
      <c r="F278" t="s">
        <v>689</v>
      </c>
      <c r="G278" t="str">
        <f>"201304006436"</f>
        <v>201304006436</v>
      </c>
      <c r="H278" t="s">
        <v>690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50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94</v>
      </c>
      <c r="W278">
        <v>588</v>
      </c>
      <c r="Z278">
        <v>1</v>
      </c>
      <c r="AA278" t="s">
        <v>691</v>
      </c>
    </row>
    <row r="279" spans="1:27" x14ac:dyDescent="0.25">
      <c r="H279" t="s">
        <v>692</v>
      </c>
    </row>
    <row r="280" spans="1:27" x14ac:dyDescent="0.25">
      <c r="A280">
        <v>137</v>
      </c>
      <c r="B280">
        <v>2289</v>
      </c>
      <c r="C280" t="s">
        <v>693</v>
      </c>
      <c r="D280" t="s">
        <v>694</v>
      </c>
      <c r="E280" t="s">
        <v>695</v>
      </c>
      <c r="F280" t="s">
        <v>696</v>
      </c>
      <c r="G280" t="str">
        <f>"00015182"</f>
        <v>00015182</v>
      </c>
      <c r="H280" t="s">
        <v>697</v>
      </c>
      <c r="I280">
        <v>0</v>
      </c>
      <c r="J280">
        <v>0</v>
      </c>
      <c r="K280">
        <v>0</v>
      </c>
      <c r="L280">
        <v>0</v>
      </c>
      <c r="M280">
        <v>100</v>
      </c>
      <c r="N280">
        <v>70</v>
      </c>
      <c r="O280">
        <v>70</v>
      </c>
      <c r="P280">
        <v>0</v>
      </c>
      <c r="Q280">
        <v>50</v>
      </c>
      <c r="R280">
        <v>70</v>
      </c>
      <c r="S280">
        <v>0</v>
      </c>
      <c r="T280">
        <v>0</v>
      </c>
      <c r="U280">
        <v>0</v>
      </c>
      <c r="V280">
        <v>122</v>
      </c>
      <c r="W280">
        <v>588</v>
      </c>
      <c r="Z280">
        <v>0</v>
      </c>
      <c r="AA280" t="s">
        <v>698</v>
      </c>
    </row>
    <row r="281" spans="1:27" x14ac:dyDescent="0.25">
      <c r="H281" t="s">
        <v>699</v>
      </c>
    </row>
    <row r="282" spans="1:27" x14ac:dyDescent="0.25">
      <c r="A282">
        <v>138</v>
      </c>
      <c r="B282">
        <v>1976</v>
      </c>
      <c r="C282" t="s">
        <v>700</v>
      </c>
      <c r="D282" t="s">
        <v>701</v>
      </c>
      <c r="E282" t="s">
        <v>422</v>
      </c>
      <c r="F282" t="s">
        <v>702</v>
      </c>
      <c r="G282" t="str">
        <f>"00014584"</f>
        <v>00014584</v>
      </c>
      <c r="H282" t="s">
        <v>412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30</v>
      </c>
      <c r="S282">
        <v>0</v>
      </c>
      <c r="T282">
        <v>0</v>
      </c>
      <c r="U282">
        <v>0</v>
      </c>
      <c r="V282">
        <v>118</v>
      </c>
      <c r="W282">
        <v>588</v>
      </c>
      <c r="Z282">
        <v>0</v>
      </c>
      <c r="AA282" t="s">
        <v>703</v>
      </c>
    </row>
    <row r="283" spans="1:27" x14ac:dyDescent="0.25">
      <c r="H283" t="s">
        <v>704</v>
      </c>
    </row>
    <row r="284" spans="1:27" x14ac:dyDescent="0.25">
      <c r="A284">
        <v>139</v>
      </c>
      <c r="B284">
        <v>1171</v>
      </c>
      <c r="C284" t="s">
        <v>705</v>
      </c>
      <c r="D284" t="s">
        <v>706</v>
      </c>
      <c r="E284" t="s">
        <v>94</v>
      </c>
      <c r="F284" t="s">
        <v>707</v>
      </c>
      <c r="G284" t="str">
        <f>"201506002167"</f>
        <v>201506002167</v>
      </c>
      <c r="H284" t="s">
        <v>708</v>
      </c>
      <c r="I284">
        <v>0</v>
      </c>
      <c r="J284">
        <v>0</v>
      </c>
      <c r="K284">
        <v>0</v>
      </c>
      <c r="L284">
        <v>260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141</v>
      </c>
      <c r="W284">
        <v>588</v>
      </c>
      <c r="Z284">
        <v>0</v>
      </c>
      <c r="AA284" t="s">
        <v>709</v>
      </c>
    </row>
    <row r="285" spans="1:27" x14ac:dyDescent="0.25">
      <c r="H285" t="s">
        <v>710</v>
      </c>
    </row>
    <row r="286" spans="1:27" x14ac:dyDescent="0.25">
      <c r="A286">
        <v>140</v>
      </c>
      <c r="B286">
        <v>736</v>
      </c>
      <c r="C286" t="s">
        <v>711</v>
      </c>
      <c r="D286" t="s">
        <v>620</v>
      </c>
      <c r="E286" t="s">
        <v>21</v>
      </c>
      <c r="F286" t="s">
        <v>712</v>
      </c>
      <c r="G286" t="str">
        <f>"201304006307"</f>
        <v>201304006307</v>
      </c>
      <c r="H286" t="s">
        <v>708</v>
      </c>
      <c r="I286">
        <v>0</v>
      </c>
      <c r="J286">
        <v>0</v>
      </c>
      <c r="K286">
        <v>0</v>
      </c>
      <c r="L286">
        <v>260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Z286">
        <v>0</v>
      </c>
      <c r="AA286" t="s">
        <v>709</v>
      </c>
    </row>
    <row r="287" spans="1:27" x14ac:dyDescent="0.25">
      <c r="H287" t="s">
        <v>713</v>
      </c>
    </row>
    <row r="288" spans="1:27" x14ac:dyDescent="0.25">
      <c r="A288">
        <v>141</v>
      </c>
      <c r="B288">
        <v>1802</v>
      </c>
      <c r="C288" t="s">
        <v>714</v>
      </c>
      <c r="D288" t="s">
        <v>332</v>
      </c>
      <c r="E288" t="s">
        <v>121</v>
      </c>
      <c r="F288" t="s">
        <v>715</v>
      </c>
      <c r="G288" t="str">
        <f>"201406000082"</f>
        <v>201406000082</v>
      </c>
      <c r="H288" t="s">
        <v>716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70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97</v>
      </c>
      <c r="W288">
        <v>588</v>
      </c>
      <c r="Z288">
        <v>0</v>
      </c>
      <c r="AA288" t="s">
        <v>717</v>
      </c>
    </row>
    <row r="289" spans="1:27" x14ac:dyDescent="0.25">
      <c r="H289" t="s">
        <v>404</v>
      </c>
    </row>
    <row r="290" spans="1:27" x14ac:dyDescent="0.25">
      <c r="A290">
        <v>142</v>
      </c>
      <c r="B290">
        <v>3042</v>
      </c>
      <c r="C290" t="s">
        <v>718</v>
      </c>
      <c r="D290" t="s">
        <v>14</v>
      </c>
      <c r="E290" t="s">
        <v>719</v>
      </c>
      <c r="F290" t="s">
        <v>720</v>
      </c>
      <c r="G290" t="str">
        <f>"00012823"</f>
        <v>00012823</v>
      </c>
      <c r="H290" t="s">
        <v>660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30</v>
      </c>
      <c r="O290">
        <v>30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171</v>
      </c>
      <c r="W290">
        <v>588</v>
      </c>
      <c r="Z290">
        <v>0</v>
      </c>
      <c r="AA290" t="s">
        <v>721</v>
      </c>
    </row>
    <row r="291" spans="1:27" x14ac:dyDescent="0.25">
      <c r="H291" t="s">
        <v>722</v>
      </c>
    </row>
    <row r="292" spans="1:27" x14ac:dyDescent="0.25">
      <c r="A292">
        <v>143</v>
      </c>
      <c r="B292">
        <v>2052</v>
      </c>
      <c r="C292" t="s">
        <v>723</v>
      </c>
      <c r="D292" t="s">
        <v>332</v>
      </c>
      <c r="E292" t="s">
        <v>41</v>
      </c>
      <c r="F292" t="s">
        <v>724</v>
      </c>
      <c r="G292" t="str">
        <f>"201406015909"</f>
        <v>201406015909</v>
      </c>
      <c r="H292" t="s">
        <v>30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30</v>
      </c>
      <c r="O292">
        <v>70</v>
      </c>
      <c r="P292">
        <v>0</v>
      </c>
      <c r="Q292">
        <v>0</v>
      </c>
      <c r="R292">
        <v>30</v>
      </c>
      <c r="S292">
        <v>0</v>
      </c>
      <c r="T292">
        <v>0</v>
      </c>
      <c r="U292">
        <v>0</v>
      </c>
      <c r="V292">
        <v>147</v>
      </c>
      <c r="W292">
        <v>588</v>
      </c>
      <c r="Z292">
        <v>0</v>
      </c>
      <c r="AA292" t="s">
        <v>725</v>
      </c>
    </row>
    <row r="293" spans="1:27" x14ac:dyDescent="0.25">
      <c r="H293" t="s">
        <v>726</v>
      </c>
    </row>
    <row r="294" spans="1:27" x14ac:dyDescent="0.25">
      <c r="A294">
        <v>144</v>
      </c>
      <c r="B294">
        <v>1564</v>
      </c>
      <c r="C294" t="s">
        <v>727</v>
      </c>
      <c r="D294" t="s">
        <v>81</v>
      </c>
      <c r="E294" t="s">
        <v>728</v>
      </c>
      <c r="F294" t="s">
        <v>729</v>
      </c>
      <c r="G294" t="str">
        <f>"201304005905"</f>
        <v>201304005905</v>
      </c>
      <c r="H294" t="s">
        <v>730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181</v>
      </c>
      <c r="W294">
        <v>588</v>
      </c>
      <c r="Z294">
        <v>0</v>
      </c>
      <c r="AA294" t="s">
        <v>731</v>
      </c>
    </row>
    <row r="295" spans="1:27" x14ac:dyDescent="0.25">
      <c r="H295" t="s">
        <v>732</v>
      </c>
    </row>
    <row r="296" spans="1:27" x14ac:dyDescent="0.25">
      <c r="A296">
        <v>145</v>
      </c>
      <c r="B296">
        <v>1475</v>
      </c>
      <c r="C296" t="s">
        <v>733</v>
      </c>
      <c r="D296" t="s">
        <v>143</v>
      </c>
      <c r="E296" t="s">
        <v>100</v>
      </c>
      <c r="F296" t="s">
        <v>734</v>
      </c>
      <c r="G296" t="str">
        <f>"201304006143"</f>
        <v>201304006143</v>
      </c>
      <c r="H296" t="s">
        <v>735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50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57</v>
      </c>
      <c r="W296">
        <v>399</v>
      </c>
      <c r="Z296">
        <v>0</v>
      </c>
      <c r="AA296" t="s">
        <v>736</v>
      </c>
    </row>
    <row r="297" spans="1:27" x14ac:dyDescent="0.25">
      <c r="H297" t="s">
        <v>737</v>
      </c>
    </row>
    <row r="298" spans="1:27" x14ac:dyDescent="0.25">
      <c r="A298">
        <v>146</v>
      </c>
      <c r="B298">
        <v>966</v>
      </c>
      <c r="C298" t="s">
        <v>738</v>
      </c>
      <c r="D298" t="s">
        <v>739</v>
      </c>
      <c r="E298" t="s">
        <v>54</v>
      </c>
      <c r="F298" t="s">
        <v>740</v>
      </c>
      <c r="G298" t="str">
        <f>"00014926"</f>
        <v>00014926</v>
      </c>
      <c r="H298" t="s">
        <v>741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70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123</v>
      </c>
      <c r="W298">
        <v>588</v>
      </c>
      <c r="Z298">
        <v>0</v>
      </c>
      <c r="AA298" t="s">
        <v>736</v>
      </c>
    </row>
    <row r="299" spans="1:27" x14ac:dyDescent="0.25">
      <c r="H299" t="s">
        <v>742</v>
      </c>
    </row>
    <row r="300" spans="1:27" x14ac:dyDescent="0.25">
      <c r="A300">
        <v>147</v>
      </c>
      <c r="B300">
        <v>966</v>
      </c>
      <c r="C300" t="s">
        <v>738</v>
      </c>
      <c r="D300" t="s">
        <v>739</v>
      </c>
      <c r="E300" t="s">
        <v>54</v>
      </c>
      <c r="F300" t="s">
        <v>740</v>
      </c>
      <c r="G300" t="str">
        <f>"00014926"</f>
        <v>00014926</v>
      </c>
      <c r="H300" t="s">
        <v>741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0</v>
      </c>
      <c r="P300">
        <v>70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129</v>
      </c>
      <c r="W300">
        <v>588</v>
      </c>
      <c r="Z300">
        <v>0</v>
      </c>
      <c r="AA300" t="s">
        <v>736</v>
      </c>
    </row>
    <row r="301" spans="1:27" x14ac:dyDescent="0.25">
      <c r="H301" t="s">
        <v>742</v>
      </c>
    </row>
    <row r="302" spans="1:27" x14ac:dyDescent="0.25">
      <c r="A302">
        <v>148</v>
      </c>
      <c r="B302">
        <v>2887</v>
      </c>
      <c r="C302" t="s">
        <v>743</v>
      </c>
      <c r="D302" t="s">
        <v>744</v>
      </c>
      <c r="E302" t="s">
        <v>542</v>
      </c>
      <c r="F302" t="s">
        <v>745</v>
      </c>
      <c r="G302" t="str">
        <f>"00013104"</f>
        <v>00013104</v>
      </c>
      <c r="H302" t="s">
        <v>746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70</v>
      </c>
      <c r="P302">
        <v>70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132</v>
      </c>
      <c r="W302">
        <v>588</v>
      </c>
      <c r="Z302">
        <v>0</v>
      </c>
      <c r="AA302" t="s">
        <v>747</v>
      </c>
    </row>
    <row r="303" spans="1:27" x14ac:dyDescent="0.25">
      <c r="H303" t="s">
        <v>748</v>
      </c>
    </row>
    <row r="304" spans="1:27" x14ac:dyDescent="0.25">
      <c r="A304">
        <v>149</v>
      </c>
      <c r="B304">
        <v>2449</v>
      </c>
      <c r="C304" t="s">
        <v>749</v>
      </c>
      <c r="D304" t="s">
        <v>87</v>
      </c>
      <c r="E304" t="s">
        <v>81</v>
      </c>
      <c r="F304" t="s">
        <v>750</v>
      </c>
      <c r="G304" t="str">
        <f>"201304003214"</f>
        <v>201304003214</v>
      </c>
      <c r="H304">
        <v>726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70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104</v>
      </c>
      <c r="W304">
        <v>588</v>
      </c>
      <c r="Z304">
        <v>0</v>
      </c>
      <c r="AA304">
        <v>1654</v>
      </c>
    </row>
    <row r="305" spans="1:27" x14ac:dyDescent="0.25">
      <c r="H305" t="s">
        <v>751</v>
      </c>
    </row>
    <row r="306" spans="1:27" x14ac:dyDescent="0.25">
      <c r="A306">
        <v>150</v>
      </c>
      <c r="B306">
        <v>350</v>
      </c>
      <c r="C306" t="s">
        <v>752</v>
      </c>
      <c r="D306" t="s">
        <v>753</v>
      </c>
      <c r="E306" t="s">
        <v>143</v>
      </c>
      <c r="F306" t="s">
        <v>754</v>
      </c>
      <c r="G306" t="str">
        <f>"201406013240"</f>
        <v>201406013240</v>
      </c>
      <c r="H306">
        <v>726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70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92</v>
      </c>
      <c r="W306">
        <v>588</v>
      </c>
      <c r="Z306">
        <v>0</v>
      </c>
      <c r="AA306">
        <v>1654</v>
      </c>
    </row>
    <row r="307" spans="1:27" x14ac:dyDescent="0.25">
      <c r="H307">
        <v>202</v>
      </c>
    </row>
    <row r="308" spans="1:27" x14ac:dyDescent="0.25">
      <c r="A308">
        <v>151</v>
      </c>
      <c r="B308">
        <v>1777</v>
      </c>
      <c r="C308" t="s">
        <v>141</v>
      </c>
      <c r="D308" t="s">
        <v>532</v>
      </c>
      <c r="E308" t="s">
        <v>143</v>
      </c>
      <c r="F308" t="s">
        <v>755</v>
      </c>
      <c r="G308" t="str">
        <f>"201304005838"</f>
        <v>201304005838</v>
      </c>
      <c r="H308" t="s">
        <v>756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70</v>
      </c>
      <c r="P308">
        <v>70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123</v>
      </c>
      <c r="W308">
        <v>588</v>
      </c>
      <c r="Z308">
        <v>0</v>
      </c>
      <c r="AA308" t="s">
        <v>757</v>
      </c>
    </row>
    <row r="309" spans="1:27" x14ac:dyDescent="0.25">
      <c r="H309" t="s">
        <v>758</v>
      </c>
    </row>
    <row r="310" spans="1:27" x14ac:dyDescent="0.25">
      <c r="A310">
        <v>152</v>
      </c>
      <c r="B310">
        <v>876</v>
      </c>
      <c r="C310" t="s">
        <v>759</v>
      </c>
      <c r="D310" t="s">
        <v>165</v>
      </c>
      <c r="E310" t="s">
        <v>81</v>
      </c>
      <c r="F310" t="s">
        <v>760</v>
      </c>
      <c r="G310" t="str">
        <f>"201304006622"</f>
        <v>201304006622</v>
      </c>
      <c r="H310" t="s">
        <v>761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92</v>
      </c>
      <c r="W310">
        <v>588</v>
      </c>
      <c r="Z310">
        <v>3</v>
      </c>
      <c r="AA310" t="s">
        <v>762</v>
      </c>
    </row>
    <row r="311" spans="1:27" x14ac:dyDescent="0.25">
      <c r="H311" t="s">
        <v>763</v>
      </c>
    </row>
    <row r="312" spans="1:27" x14ac:dyDescent="0.25">
      <c r="A312">
        <v>153</v>
      </c>
      <c r="B312">
        <v>445</v>
      </c>
      <c r="C312" t="s">
        <v>764</v>
      </c>
      <c r="D312" t="s">
        <v>58</v>
      </c>
      <c r="E312" t="s">
        <v>47</v>
      </c>
      <c r="F312" t="s">
        <v>765</v>
      </c>
      <c r="G312" t="str">
        <f>"201504000347"</f>
        <v>201504000347</v>
      </c>
      <c r="H312" t="s">
        <v>766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30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Z312">
        <v>0</v>
      </c>
      <c r="AA312" t="s">
        <v>767</v>
      </c>
    </row>
    <row r="313" spans="1:27" x14ac:dyDescent="0.25">
      <c r="H313" t="s">
        <v>768</v>
      </c>
    </row>
    <row r="314" spans="1:27" x14ac:dyDescent="0.25">
      <c r="A314">
        <v>154</v>
      </c>
      <c r="B314">
        <v>1902</v>
      </c>
      <c r="C314" t="s">
        <v>769</v>
      </c>
      <c r="D314" t="s">
        <v>770</v>
      </c>
      <c r="E314" t="s">
        <v>233</v>
      </c>
      <c r="F314" t="s">
        <v>771</v>
      </c>
      <c r="G314" t="str">
        <f>"201402009167"</f>
        <v>201402009167</v>
      </c>
      <c r="H314" t="s">
        <v>212</v>
      </c>
      <c r="I314">
        <v>150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30</v>
      </c>
      <c r="P314">
        <v>0</v>
      </c>
      <c r="Q314">
        <v>0</v>
      </c>
      <c r="R314">
        <v>30</v>
      </c>
      <c r="S314">
        <v>0</v>
      </c>
      <c r="T314">
        <v>0</v>
      </c>
      <c r="U314">
        <v>0</v>
      </c>
      <c r="V314">
        <v>84</v>
      </c>
      <c r="W314">
        <v>588</v>
      </c>
      <c r="Z314">
        <v>0</v>
      </c>
      <c r="AA314" t="s">
        <v>772</v>
      </c>
    </row>
    <row r="315" spans="1:27" x14ac:dyDescent="0.25">
      <c r="H315" t="s">
        <v>773</v>
      </c>
    </row>
    <row r="316" spans="1:27" x14ac:dyDescent="0.25">
      <c r="A316">
        <v>155</v>
      </c>
      <c r="B316">
        <v>2219</v>
      </c>
      <c r="C316" t="s">
        <v>774</v>
      </c>
      <c r="D316" t="s">
        <v>775</v>
      </c>
      <c r="E316" t="s">
        <v>155</v>
      </c>
      <c r="F316" t="s">
        <v>776</v>
      </c>
      <c r="G316" t="str">
        <f>"201505000452"</f>
        <v>201505000452</v>
      </c>
      <c r="H316" t="s">
        <v>458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50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92</v>
      </c>
      <c r="W316">
        <v>588</v>
      </c>
      <c r="Z316">
        <v>0</v>
      </c>
      <c r="AA316" t="s">
        <v>777</v>
      </c>
    </row>
    <row r="317" spans="1:27" x14ac:dyDescent="0.25">
      <c r="H317" t="s">
        <v>250</v>
      </c>
    </row>
    <row r="318" spans="1:27" x14ac:dyDescent="0.25">
      <c r="A318">
        <v>156</v>
      </c>
      <c r="B318">
        <v>626</v>
      </c>
      <c r="C318" t="s">
        <v>778</v>
      </c>
      <c r="D318" t="s">
        <v>652</v>
      </c>
      <c r="E318" t="s">
        <v>310</v>
      </c>
      <c r="F318" t="s">
        <v>779</v>
      </c>
      <c r="G318" t="str">
        <f>"201505000328"</f>
        <v>201505000328</v>
      </c>
      <c r="H318" t="s">
        <v>780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75</v>
      </c>
      <c r="W318">
        <v>525</v>
      </c>
      <c r="Z318">
        <v>0</v>
      </c>
      <c r="AA318" t="s">
        <v>781</v>
      </c>
    </row>
    <row r="319" spans="1:27" x14ac:dyDescent="0.25">
      <c r="H319" t="s">
        <v>782</v>
      </c>
    </row>
    <row r="320" spans="1:27" x14ac:dyDescent="0.25">
      <c r="A320">
        <v>157</v>
      </c>
      <c r="B320">
        <v>1013</v>
      </c>
      <c r="C320" t="s">
        <v>783</v>
      </c>
      <c r="D320" t="s">
        <v>739</v>
      </c>
      <c r="E320" t="s">
        <v>47</v>
      </c>
      <c r="F320" t="s">
        <v>784</v>
      </c>
      <c r="G320" t="str">
        <f>"201406006401"</f>
        <v>201406006401</v>
      </c>
      <c r="H320" t="s">
        <v>785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70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Z320">
        <v>0</v>
      </c>
      <c r="AA320" t="s">
        <v>786</v>
      </c>
    </row>
    <row r="321" spans="1:27" x14ac:dyDescent="0.25">
      <c r="H321">
        <v>202</v>
      </c>
    </row>
    <row r="322" spans="1:27" x14ac:dyDescent="0.25">
      <c r="A322">
        <v>158</v>
      </c>
      <c r="B322">
        <v>1157</v>
      </c>
      <c r="C322" t="s">
        <v>787</v>
      </c>
      <c r="D322" t="s">
        <v>20</v>
      </c>
      <c r="E322" t="s">
        <v>54</v>
      </c>
      <c r="F322" t="s">
        <v>788</v>
      </c>
      <c r="G322" t="str">
        <f>"200801007687"</f>
        <v>200801007687</v>
      </c>
      <c r="H322" t="s">
        <v>789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0</v>
      </c>
      <c r="P322">
        <v>0</v>
      </c>
      <c r="Q322">
        <v>30</v>
      </c>
      <c r="R322">
        <v>30</v>
      </c>
      <c r="S322">
        <v>0</v>
      </c>
      <c r="T322">
        <v>0</v>
      </c>
      <c r="U322">
        <v>0</v>
      </c>
      <c r="V322">
        <v>176</v>
      </c>
      <c r="W322">
        <v>588</v>
      </c>
      <c r="Z322">
        <v>0</v>
      </c>
      <c r="AA322" t="s">
        <v>790</v>
      </c>
    </row>
    <row r="323" spans="1:27" x14ac:dyDescent="0.25">
      <c r="H323" t="s">
        <v>791</v>
      </c>
    </row>
    <row r="324" spans="1:27" x14ac:dyDescent="0.25">
      <c r="A324">
        <v>159</v>
      </c>
      <c r="B324">
        <v>273</v>
      </c>
      <c r="C324" t="s">
        <v>792</v>
      </c>
      <c r="D324" t="s">
        <v>323</v>
      </c>
      <c r="E324" t="s">
        <v>34</v>
      </c>
      <c r="F324" t="s">
        <v>793</v>
      </c>
      <c r="G324" t="str">
        <f>"00013513"</f>
        <v>00013513</v>
      </c>
      <c r="H324" t="s">
        <v>708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70</v>
      </c>
      <c r="O324">
        <v>0</v>
      </c>
      <c r="P324">
        <v>50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159</v>
      </c>
      <c r="W324">
        <v>588</v>
      </c>
      <c r="Z324">
        <v>0</v>
      </c>
      <c r="AA324" t="s">
        <v>794</v>
      </c>
    </row>
    <row r="325" spans="1:27" x14ac:dyDescent="0.25">
      <c r="H325" t="s">
        <v>98</v>
      </c>
    </row>
    <row r="326" spans="1:27" x14ac:dyDescent="0.25">
      <c r="A326">
        <v>160</v>
      </c>
      <c r="B326">
        <v>113</v>
      </c>
      <c r="C326" t="s">
        <v>795</v>
      </c>
      <c r="D326" t="s">
        <v>652</v>
      </c>
      <c r="E326" t="s">
        <v>94</v>
      </c>
      <c r="F326" t="s">
        <v>796</v>
      </c>
      <c r="G326" t="str">
        <f>"00014560"</f>
        <v>00014560</v>
      </c>
      <c r="H326" t="s">
        <v>716</v>
      </c>
      <c r="I326">
        <v>0</v>
      </c>
      <c r="J326">
        <v>0</v>
      </c>
      <c r="K326">
        <v>0</v>
      </c>
      <c r="L326">
        <v>200</v>
      </c>
      <c r="M326">
        <v>30</v>
      </c>
      <c r="N326">
        <v>30</v>
      </c>
      <c r="O326">
        <v>0</v>
      </c>
      <c r="P326">
        <v>70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144</v>
      </c>
      <c r="W326">
        <v>588</v>
      </c>
      <c r="Z326">
        <v>0</v>
      </c>
      <c r="AA326" t="s">
        <v>797</v>
      </c>
    </row>
    <row r="327" spans="1:27" x14ac:dyDescent="0.25">
      <c r="H327" t="s">
        <v>56</v>
      </c>
    </row>
    <row r="328" spans="1:27" x14ac:dyDescent="0.25">
      <c r="A328">
        <v>161</v>
      </c>
      <c r="B328">
        <v>1408</v>
      </c>
      <c r="C328" t="s">
        <v>798</v>
      </c>
      <c r="D328" t="s">
        <v>112</v>
      </c>
      <c r="E328" t="s">
        <v>799</v>
      </c>
      <c r="F328" t="s">
        <v>800</v>
      </c>
      <c r="G328" t="str">
        <f>"201304002455"</f>
        <v>201304002455</v>
      </c>
      <c r="H328" t="s">
        <v>801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50</v>
      </c>
      <c r="P328">
        <v>0</v>
      </c>
      <c r="Q328">
        <v>0</v>
      </c>
      <c r="R328">
        <v>50</v>
      </c>
      <c r="S328">
        <v>0</v>
      </c>
      <c r="T328">
        <v>0</v>
      </c>
      <c r="U328">
        <v>0</v>
      </c>
      <c r="V328">
        <v>101</v>
      </c>
      <c r="W328">
        <v>588</v>
      </c>
      <c r="Z328">
        <v>0</v>
      </c>
      <c r="AA328" t="s">
        <v>802</v>
      </c>
    </row>
    <row r="329" spans="1:27" x14ac:dyDescent="0.25">
      <c r="H329" t="s">
        <v>803</v>
      </c>
    </row>
    <row r="330" spans="1:27" x14ac:dyDescent="0.25">
      <c r="A330">
        <v>162</v>
      </c>
      <c r="B330">
        <v>120</v>
      </c>
      <c r="C330" t="s">
        <v>804</v>
      </c>
      <c r="D330" t="s">
        <v>20</v>
      </c>
      <c r="E330" t="s">
        <v>81</v>
      </c>
      <c r="F330" t="s">
        <v>805</v>
      </c>
      <c r="G330" t="str">
        <f>"201406007438"</f>
        <v>201406007438</v>
      </c>
      <c r="H330" t="s">
        <v>690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50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82</v>
      </c>
      <c r="W330">
        <v>574</v>
      </c>
      <c r="Z330">
        <v>0</v>
      </c>
      <c r="AA330" t="s">
        <v>806</v>
      </c>
    </row>
    <row r="331" spans="1:27" x14ac:dyDescent="0.25">
      <c r="H331" t="s">
        <v>807</v>
      </c>
    </row>
    <row r="332" spans="1:27" x14ac:dyDescent="0.25">
      <c r="A332">
        <v>163</v>
      </c>
      <c r="B332">
        <v>146</v>
      </c>
      <c r="C332" t="s">
        <v>808</v>
      </c>
      <c r="D332" t="s">
        <v>576</v>
      </c>
      <c r="E332" t="s">
        <v>100</v>
      </c>
      <c r="F332" t="s">
        <v>809</v>
      </c>
      <c r="G332" t="str">
        <f>"201506003792"</f>
        <v>201506003792</v>
      </c>
      <c r="H332" t="s">
        <v>16</v>
      </c>
      <c r="I332">
        <v>0</v>
      </c>
      <c r="J332">
        <v>0</v>
      </c>
      <c r="K332">
        <v>0</v>
      </c>
      <c r="L332">
        <v>260</v>
      </c>
      <c r="M332">
        <v>0</v>
      </c>
      <c r="N332">
        <v>70</v>
      </c>
      <c r="O332">
        <v>70</v>
      </c>
      <c r="P332">
        <v>70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39</v>
      </c>
      <c r="W332">
        <v>273</v>
      </c>
      <c r="Z332">
        <v>0</v>
      </c>
      <c r="AA332" t="s">
        <v>810</v>
      </c>
    </row>
    <row r="333" spans="1:27" x14ac:dyDescent="0.25">
      <c r="H333" t="s">
        <v>811</v>
      </c>
    </row>
    <row r="334" spans="1:27" x14ac:dyDescent="0.25">
      <c r="A334">
        <v>164</v>
      </c>
      <c r="B334">
        <v>2735</v>
      </c>
      <c r="C334" t="s">
        <v>812</v>
      </c>
      <c r="D334" t="s">
        <v>813</v>
      </c>
      <c r="E334" t="s">
        <v>21</v>
      </c>
      <c r="F334" t="s">
        <v>814</v>
      </c>
      <c r="G334" t="str">
        <f>"201406007384"</f>
        <v>201406007384</v>
      </c>
      <c r="H334" t="s">
        <v>741</v>
      </c>
      <c r="I334">
        <v>0</v>
      </c>
      <c r="J334">
        <v>0</v>
      </c>
      <c r="K334">
        <v>0</v>
      </c>
      <c r="L334">
        <v>200</v>
      </c>
      <c r="M334">
        <v>30</v>
      </c>
      <c r="N334">
        <v>70</v>
      </c>
      <c r="O334">
        <v>0</v>
      </c>
      <c r="P334">
        <v>30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98</v>
      </c>
      <c r="W334">
        <v>588</v>
      </c>
      <c r="Z334">
        <v>0</v>
      </c>
      <c r="AA334" t="s">
        <v>815</v>
      </c>
    </row>
    <row r="335" spans="1:27" x14ac:dyDescent="0.25">
      <c r="H335" t="s">
        <v>816</v>
      </c>
    </row>
    <row r="336" spans="1:27" x14ac:dyDescent="0.25">
      <c r="A336">
        <v>165</v>
      </c>
      <c r="B336">
        <v>2571</v>
      </c>
      <c r="C336" t="s">
        <v>817</v>
      </c>
      <c r="D336" t="s">
        <v>818</v>
      </c>
      <c r="E336" t="s">
        <v>276</v>
      </c>
      <c r="F336" t="s">
        <v>819</v>
      </c>
      <c r="G336" t="str">
        <f>"201506001283"</f>
        <v>201506001283</v>
      </c>
      <c r="H336">
        <v>737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50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101</v>
      </c>
      <c r="W336">
        <v>588</v>
      </c>
      <c r="Z336">
        <v>0</v>
      </c>
      <c r="AA336">
        <v>1645</v>
      </c>
    </row>
    <row r="337" spans="1:27" x14ac:dyDescent="0.25">
      <c r="H337" t="s">
        <v>820</v>
      </c>
    </row>
    <row r="338" spans="1:27" x14ac:dyDescent="0.25">
      <c r="A338">
        <v>166</v>
      </c>
      <c r="B338">
        <v>2508</v>
      </c>
      <c r="C338" t="s">
        <v>821</v>
      </c>
      <c r="D338" t="s">
        <v>507</v>
      </c>
      <c r="E338" t="s">
        <v>822</v>
      </c>
      <c r="F338" t="s">
        <v>823</v>
      </c>
      <c r="G338" t="str">
        <f>"201506003020"</f>
        <v>201506003020</v>
      </c>
      <c r="H338" t="s">
        <v>597</v>
      </c>
      <c r="I338">
        <v>0</v>
      </c>
      <c r="J338">
        <v>0</v>
      </c>
      <c r="K338">
        <v>0</v>
      </c>
      <c r="L338">
        <v>0</v>
      </c>
      <c r="M338">
        <v>100</v>
      </c>
      <c r="N338">
        <v>70</v>
      </c>
      <c r="O338">
        <v>50</v>
      </c>
      <c r="P338">
        <v>0</v>
      </c>
      <c r="Q338">
        <v>70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Z338">
        <v>0</v>
      </c>
      <c r="AA338" t="s">
        <v>824</v>
      </c>
    </row>
    <row r="339" spans="1:27" x14ac:dyDescent="0.25">
      <c r="H339" t="s">
        <v>825</v>
      </c>
    </row>
    <row r="340" spans="1:27" x14ac:dyDescent="0.25">
      <c r="A340">
        <v>167</v>
      </c>
      <c r="B340">
        <v>2128</v>
      </c>
      <c r="C340" t="s">
        <v>826</v>
      </c>
      <c r="D340" t="s">
        <v>410</v>
      </c>
      <c r="E340" t="s">
        <v>799</v>
      </c>
      <c r="F340" t="s">
        <v>827</v>
      </c>
      <c r="G340" t="str">
        <f>"201304005835"</f>
        <v>201304005835</v>
      </c>
      <c r="H340" t="s">
        <v>206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50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99</v>
      </c>
      <c r="W340">
        <v>588</v>
      </c>
      <c r="Z340">
        <v>0</v>
      </c>
      <c r="AA340" t="s">
        <v>828</v>
      </c>
    </row>
    <row r="341" spans="1:27" x14ac:dyDescent="0.25">
      <c r="H341" t="s">
        <v>829</v>
      </c>
    </row>
    <row r="342" spans="1:27" x14ac:dyDescent="0.25">
      <c r="A342">
        <v>168</v>
      </c>
      <c r="B342">
        <v>1135</v>
      </c>
      <c r="C342" t="s">
        <v>830</v>
      </c>
      <c r="D342" t="s">
        <v>20</v>
      </c>
      <c r="E342" t="s">
        <v>831</v>
      </c>
      <c r="F342" t="s">
        <v>832</v>
      </c>
      <c r="G342" t="str">
        <f>"201505000308"</f>
        <v>201505000308</v>
      </c>
      <c r="H342" t="s">
        <v>833</v>
      </c>
      <c r="I342">
        <v>0</v>
      </c>
      <c r="J342">
        <v>0</v>
      </c>
      <c r="K342">
        <v>0</v>
      </c>
      <c r="L342">
        <v>260</v>
      </c>
      <c r="M342">
        <v>0</v>
      </c>
      <c r="N342">
        <v>70</v>
      </c>
      <c r="O342">
        <v>0</v>
      </c>
      <c r="P342">
        <v>50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103</v>
      </c>
      <c r="W342">
        <v>588</v>
      </c>
      <c r="Z342">
        <v>0</v>
      </c>
      <c r="AA342" t="s">
        <v>834</v>
      </c>
    </row>
    <row r="343" spans="1:27" x14ac:dyDescent="0.25">
      <c r="H343" t="s">
        <v>56</v>
      </c>
    </row>
    <row r="344" spans="1:27" x14ac:dyDescent="0.25">
      <c r="A344">
        <v>169</v>
      </c>
      <c r="B344">
        <v>3093</v>
      </c>
      <c r="C344" t="s">
        <v>835</v>
      </c>
      <c r="D344" t="s">
        <v>332</v>
      </c>
      <c r="E344" t="s">
        <v>100</v>
      </c>
      <c r="F344" t="s">
        <v>836</v>
      </c>
      <c r="G344" t="str">
        <f>"201506000063"</f>
        <v>201506000063</v>
      </c>
      <c r="H344" t="s">
        <v>30</v>
      </c>
      <c r="I344">
        <v>0</v>
      </c>
      <c r="J344">
        <v>0</v>
      </c>
      <c r="K344">
        <v>0</v>
      </c>
      <c r="L344">
        <v>200</v>
      </c>
      <c r="M344">
        <v>30</v>
      </c>
      <c r="N344">
        <v>70</v>
      </c>
      <c r="O344">
        <v>0</v>
      </c>
      <c r="P344">
        <v>50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79</v>
      </c>
      <c r="W344">
        <v>553</v>
      </c>
      <c r="Z344">
        <v>0</v>
      </c>
      <c r="AA344" t="s">
        <v>837</v>
      </c>
    </row>
    <row r="345" spans="1:27" x14ac:dyDescent="0.25">
      <c r="H345" t="s">
        <v>838</v>
      </c>
    </row>
    <row r="346" spans="1:27" x14ac:dyDescent="0.25">
      <c r="A346">
        <v>170</v>
      </c>
      <c r="B346">
        <v>2419</v>
      </c>
      <c r="C346" t="s">
        <v>839</v>
      </c>
      <c r="D346" t="s">
        <v>840</v>
      </c>
      <c r="E346" t="s">
        <v>81</v>
      </c>
      <c r="F346" t="s">
        <v>841</v>
      </c>
      <c r="G346" t="str">
        <f>"201506001564"</f>
        <v>201506001564</v>
      </c>
      <c r="H346" t="s">
        <v>842</v>
      </c>
      <c r="I346">
        <v>0</v>
      </c>
      <c r="J346">
        <v>0</v>
      </c>
      <c r="K346">
        <v>0</v>
      </c>
      <c r="L346">
        <v>0</v>
      </c>
      <c r="M346">
        <v>100</v>
      </c>
      <c r="N346">
        <v>70</v>
      </c>
      <c r="O346">
        <v>0</v>
      </c>
      <c r="P346">
        <v>50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118</v>
      </c>
      <c r="W346">
        <v>588</v>
      </c>
      <c r="Z346">
        <v>0</v>
      </c>
      <c r="AA346" t="s">
        <v>843</v>
      </c>
    </row>
    <row r="347" spans="1:27" x14ac:dyDescent="0.25">
      <c r="H347" t="s">
        <v>844</v>
      </c>
    </row>
    <row r="348" spans="1:27" x14ac:dyDescent="0.25">
      <c r="A348">
        <v>171</v>
      </c>
      <c r="B348">
        <v>257</v>
      </c>
      <c r="C348" t="s">
        <v>845</v>
      </c>
      <c r="D348" t="s">
        <v>332</v>
      </c>
      <c r="E348" t="s">
        <v>165</v>
      </c>
      <c r="F348" t="s">
        <v>846</v>
      </c>
      <c r="G348" t="str">
        <f>"201304004941"</f>
        <v>201304004941</v>
      </c>
      <c r="H348" t="s">
        <v>785</v>
      </c>
      <c r="I348">
        <v>0</v>
      </c>
      <c r="J348">
        <v>0</v>
      </c>
      <c r="K348">
        <v>0</v>
      </c>
      <c r="L348">
        <v>200</v>
      </c>
      <c r="M348">
        <v>30</v>
      </c>
      <c r="N348">
        <v>70</v>
      </c>
      <c r="O348">
        <v>0</v>
      </c>
      <c r="P348">
        <v>0</v>
      </c>
      <c r="Q348">
        <v>30</v>
      </c>
      <c r="R348">
        <v>0</v>
      </c>
      <c r="S348">
        <v>0</v>
      </c>
      <c r="T348">
        <v>0</v>
      </c>
      <c r="U348">
        <v>0</v>
      </c>
      <c r="V348">
        <v>152</v>
      </c>
      <c r="W348">
        <v>588</v>
      </c>
      <c r="Z348">
        <v>0</v>
      </c>
      <c r="AA348" t="s">
        <v>847</v>
      </c>
    </row>
    <row r="349" spans="1:27" x14ac:dyDescent="0.25">
      <c r="H349" t="s">
        <v>848</v>
      </c>
    </row>
    <row r="350" spans="1:27" x14ac:dyDescent="0.25">
      <c r="A350">
        <v>172</v>
      </c>
      <c r="B350">
        <v>1019</v>
      </c>
      <c r="C350" t="s">
        <v>849</v>
      </c>
      <c r="D350" t="s">
        <v>332</v>
      </c>
      <c r="E350" t="s">
        <v>850</v>
      </c>
      <c r="F350" t="s">
        <v>851</v>
      </c>
      <c r="G350" t="str">
        <f>"201406012566"</f>
        <v>201406012566</v>
      </c>
      <c r="H350" t="s">
        <v>789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0</v>
      </c>
      <c r="P350">
        <v>50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138</v>
      </c>
      <c r="W350">
        <v>588</v>
      </c>
      <c r="Z350">
        <v>0</v>
      </c>
      <c r="AA350" t="s">
        <v>852</v>
      </c>
    </row>
    <row r="351" spans="1:27" x14ac:dyDescent="0.25">
      <c r="H351" t="s">
        <v>56</v>
      </c>
    </row>
    <row r="352" spans="1:27" x14ac:dyDescent="0.25">
      <c r="A352">
        <v>173</v>
      </c>
      <c r="B352">
        <v>2837</v>
      </c>
      <c r="C352" t="s">
        <v>853</v>
      </c>
      <c r="D352" t="s">
        <v>40</v>
      </c>
      <c r="E352" t="s">
        <v>143</v>
      </c>
      <c r="F352" t="s">
        <v>854</v>
      </c>
      <c r="G352" t="str">
        <f>"00015068"</f>
        <v>00015068</v>
      </c>
      <c r="H352" t="s">
        <v>789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0</v>
      </c>
      <c r="P352">
        <v>50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150</v>
      </c>
      <c r="W352">
        <v>588</v>
      </c>
      <c r="Z352">
        <v>1</v>
      </c>
      <c r="AA352" t="s">
        <v>852</v>
      </c>
    </row>
    <row r="353" spans="1:27" x14ac:dyDescent="0.25">
      <c r="H353" t="s">
        <v>855</v>
      </c>
    </row>
    <row r="354" spans="1:27" x14ac:dyDescent="0.25">
      <c r="A354">
        <v>174</v>
      </c>
      <c r="B354">
        <v>834</v>
      </c>
      <c r="C354" t="s">
        <v>856</v>
      </c>
      <c r="D354" t="s">
        <v>581</v>
      </c>
      <c r="E354" t="s">
        <v>456</v>
      </c>
      <c r="F354" t="s">
        <v>857</v>
      </c>
      <c r="G354" t="str">
        <f>"00015264"</f>
        <v>00015264</v>
      </c>
      <c r="H354">
        <v>748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30</v>
      </c>
      <c r="O354">
        <v>0</v>
      </c>
      <c r="P354">
        <v>70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100</v>
      </c>
      <c r="W354">
        <v>588</v>
      </c>
      <c r="Z354">
        <v>0</v>
      </c>
      <c r="AA354">
        <v>1636</v>
      </c>
    </row>
    <row r="355" spans="1:27" x14ac:dyDescent="0.25">
      <c r="H355" t="s">
        <v>536</v>
      </c>
    </row>
    <row r="356" spans="1:27" x14ac:dyDescent="0.25">
      <c r="A356">
        <v>175</v>
      </c>
      <c r="B356">
        <v>1045</v>
      </c>
      <c r="C356" t="s">
        <v>858</v>
      </c>
      <c r="D356" t="s">
        <v>40</v>
      </c>
      <c r="E356" t="s">
        <v>406</v>
      </c>
      <c r="F356" t="s">
        <v>859</v>
      </c>
      <c r="G356" t="str">
        <f>"00014726"</f>
        <v>00014726</v>
      </c>
      <c r="H356" t="s">
        <v>30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30</v>
      </c>
      <c r="P356">
        <v>30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81</v>
      </c>
      <c r="W356">
        <v>567</v>
      </c>
      <c r="Z356">
        <v>0</v>
      </c>
      <c r="AA356" t="s">
        <v>860</v>
      </c>
    </row>
    <row r="357" spans="1:27" x14ac:dyDescent="0.25">
      <c r="H357" t="s">
        <v>861</v>
      </c>
    </row>
    <row r="358" spans="1:27" x14ac:dyDescent="0.25">
      <c r="A358">
        <v>176</v>
      </c>
      <c r="B358">
        <v>3294</v>
      </c>
      <c r="C358" t="s">
        <v>862</v>
      </c>
      <c r="D358" t="s">
        <v>143</v>
      </c>
      <c r="E358" t="s">
        <v>863</v>
      </c>
      <c r="F358" t="s">
        <v>864</v>
      </c>
      <c r="G358" t="str">
        <f>"201304001180"</f>
        <v>201304001180</v>
      </c>
      <c r="H358" t="s">
        <v>865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70</v>
      </c>
      <c r="O358">
        <v>70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96</v>
      </c>
      <c r="W358">
        <v>588</v>
      </c>
      <c r="Z358">
        <v>0</v>
      </c>
      <c r="AA358" t="s">
        <v>866</v>
      </c>
    </row>
    <row r="359" spans="1:27" x14ac:dyDescent="0.25">
      <c r="H359" t="s">
        <v>867</v>
      </c>
    </row>
    <row r="360" spans="1:27" x14ac:dyDescent="0.25">
      <c r="A360">
        <v>177</v>
      </c>
      <c r="B360">
        <v>109</v>
      </c>
      <c r="C360" t="s">
        <v>868</v>
      </c>
      <c r="D360" t="s">
        <v>869</v>
      </c>
      <c r="E360" t="s">
        <v>81</v>
      </c>
      <c r="F360" t="s">
        <v>870</v>
      </c>
      <c r="G360" t="str">
        <f>"201406017459"</f>
        <v>201406017459</v>
      </c>
      <c r="H360" t="s">
        <v>218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70</v>
      </c>
      <c r="O360">
        <v>70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73</v>
      </c>
      <c r="W360">
        <v>511</v>
      </c>
      <c r="Z360">
        <v>0</v>
      </c>
      <c r="AA360" t="s">
        <v>871</v>
      </c>
    </row>
    <row r="361" spans="1:27" x14ac:dyDescent="0.25">
      <c r="H361" t="s">
        <v>872</v>
      </c>
    </row>
    <row r="362" spans="1:27" x14ac:dyDescent="0.25">
      <c r="A362">
        <v>178</v>
      </c>
      <c r="B362">
        <v>1115</v>
      </c>
      <c r="C362" t="s">
        <v>873</v>
      </c>
      <c r="D362" t="s">
        <v>69</v>
      </c>
      <c r="E362" t="s">
        <v>47</v>
      </c>
      <c r="F362" t="s">
        <v>874</v>
      </c>
      <c r="G362" t="str">
        <f>"201506001720"</f>
        <v>201506001720</v>
      </c>
      <c r="H362" t="s">
        <v>559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50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192</v>
      </c>
      <c r="W362">
        <v>588</v>
      </c>
      <c r="Z362">
        <v>0</v>
      </c>
      <c r="AA362" t="s">
        <v>875</v>
      </c>
    </row>
    <row r="363" spans="1:27" x14ac:dyDescent="0.25">
      <c r="H363" t="s">
        <v>876</v>
      </c>
    </row>
    <row r="364" spans="1:27" x14ac:dyDescent="0.25">
      <c r="A364">
        <v>179</v>
      </c>
      <c r="B364">
        <v>139</v>
      </c>
      <c r="C364" t="s">
        <v>877</v>
      </c>
      <c r="D364" t="s">
        <v>323</v>
      </c>
      <c r="E364" t="s">
        <v>293</v>
      </c>
      <c r="F364" t="s">
        <v>878</v>
      </c>
      <c r="G364" t="str">
        <f>"201505000462"</f>
        <v>201505000462</v>
      </c>
      <c r="H364" t="s">
        <v>879</v>
      </c>
      <c r="I364">
        <v>0</v>
      </c>
      <c r="J364">
        <v>0</v>
      </c>
      <c r="K364">
        <v>0</v>
      </c>
      <c r="L364">
        <v>0</v>
      </c>
      <c r="M364">
        <v>100</v>
      </c>
      <c r="N364">
        <v>70</v>
      </c>
      <c r="O364">
        <v>70</v>
      </c>
      <c r="P364">
        <v>0</v>
      </c>
      <c r="Q364">
        <v>30</v>
      </c>
      <c r="R364">
        <v>0</v>
      </c>
      <c r="S364">
        <v>0</v>
      </c>
      <c r="T364">
        <v>0</v>
      </c>
      <c r="U364">
        <v>50</v>
      </c>
      <c r="V364">
        <v>118</v>
      </c>
      <c r="W364">
        <v>588</v>
      </c>
      <c r="Z364">
        <v>0</v>
      </c>
      <c r="AA364" t="s">
        <v>880</v>
      </c>
    </row>
    <row r="365" spans="1:27" x14ac:dyDescent="0.25">
      <c r="H365" t="s">
        <v>369</v>
      </c>
    </row>
    <row r="366" spans="1:27" x14ac:dyDescent="0.25">
      <c r="A366">
        <v>180</v>
      </c>
      <c r="B366">
        <v>1754</v>
      </c>
      <c r="C366" t="s">
        <v>881</v>
      </c>
      <c r="D366" t="s">
        <v>47</v>
      </c>
      <c r="E366" t="s">
        <v>882</v>
      </c>
      <c r="F366" t="s">
        <v>883</v>
      </c>
      <c r="G366" t="str">
        <f>"201304002442"</f>
        <v>201304002442</v>
      </c>
      <c r="H366" t="s">
        <v>683</v>
      </c>
      <c r="I366">
        <v>0</v>
      </c>
      <c r="J366">
        <v>0</v>
      </c>
      <c r="K366">
        <v>0</v>
      </c>
      <c r="L366">
        <v>260</v>
      </c>
      <c r="M366">
        <v>0</v>
      </c>
      <c r="N366">
        <v>70</v>
      </c>
      <c r="O366">
        <v>30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74</v>
      </c>
      <c r="W366">
        <v>518</v>
      </c>
      <c r="Z366">
        <v>0</v>
      </c>
      <c r="AA366" t="s">
        <v>884</v>
      </c>
    </row>
    <row r="367" spans="1:27" x14ac:dyDescent="0.25">
      <c r="H367" t="s">
        <v>885</v>
      </c>
    </row>
    <row r="368" spans="1:27" x14ac:dyDescent="0.25">
      <c r="A368">
        <v>181</v>
      </c>
      <c r="B368">
        <v>1835</v>
      </c>
      <c r="C368" t="s">
        <v>886</v>
      </c>
      <c r="D368" t="s">
        <v>887</v>
      </c>
      <c r="E368" t="s">
        <v>80</v>
      </c>
      <c r="F368" t="s">
        <v>888</v>
      </c>
      <c r="G368" t="str">
        <f>"201304001798"</f>
        <v>201304001798</v>
      </c>
      <c r="H368" t="s">
        <v>212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30</v>
      </c>
      <c r="O368">
        <v>30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89</v>
      </c>
      <c r="W368">
        <v>588</v>
      </c>
      <c r="Z368">
        <v>1</v>
      </c>
      <c r="AA368" t="s">
        <v>889</v>
      </c>
    </row>
    <row r="369" spans="1:27" x14ac:dyDescent="0.25">
      <c r="H369" t="s">
        <v>890</v>
      </c>
    </row>
    <row r="370" spans="1:27" x14ac:dyDescent="0.25">
      <c r="A370">
        <v>182</v>
      </c>
      <c r="B370">
        <v>484</v>
      </c>
      <c r="C370" t="s">
        <v>891</v>
      </c>
      <c r="D370" t="s">
        <v>892</v>
      </c>
      <c r="E370" t="s">
        <v>47</v>
      </c>
      <c r="F370" t="s">
        <v>893</v>
      </c>
      <c r="G370" t="str">
        <f>"00014890"</f>
        <v>00014890</v>
      </c>
      <c r="H370" t="s">
        <v>894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50</v>
      </c>
      <c r="R370">
        <v>30</v>
      </c>
      <c r="S370">
        <v>0</v>
      </c>
      <c r="T370">
        <v>0</v>
      </c>
      <c r="U370">
        <v>0</v>
      </c>
      <c r="V370">
        <v>96</v>
      </c>
      <c r="W370">
        <v>588</v>
      </c>
      <c r="Z370">
        <v>0</v>
      </c>
      <c r="AA370" t="s">
        <v>895</v>
      </c>
    </row>
    <row r="371" spans="1:27" x14ac:dyDescent="0.25">
      <c r="H371" t="s">
        <v>404</v>
      </c>
    </row>
    <row r="372" spans="1:27" x14ac:dyDescent="0.25">
      <c r="A372">
        <v>183</v>
      </c>
      <c r="B372">
        <v>202</v>
      </c>
      <c r="C372" t="s">
        <v>896</v>
      </c>
      <c r="D372" t="s">
        <v>652</v>
      </c>
      <c r="E372" t="s">
        <v>263</v>
      </c>
      <c r="F372" t="s">
        <v>897</v>
      </c>
      <c r="G372" t="str">
        <f>"201406013392"</f>
        <v>201406013392</v>
      </c>
      <c r="H372" t="s">
        <v>544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0</v>
      </c>
      <c r="P372">
        <v>70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82</v>
      </c>
      <c r="W372">
        <v>574</v>
      </c>
      <c r="Z372">
        <v>0</v>
      </c>
      <c r="AA372" t="s">
        <v>898</v>
      </c>
    </row>
    <row r="373" spans="1:27" x14ac:dyDescent="0.25">
      <c r="H373" t="s">
        <v>899</v>
      </c>
    </row>
    <row r="374" spans="1:27" x14ac:dyDescent="0.25">
      <c r="A374">
        <v>184</v>
      </c>
      <c r="B374">
        <v>1947</v>
      </c>
      <c r="C374" t="s">
        <v>900</v>
      </c>
      <c r="D374" t="s">
        <v>901</v>
      </c>
      <c r="E374" t="s">
        <v>54</v>
      </c>
      <c r="F374" t="s">
        <v>902</v>
      </c>
      <c r="G374" t="str">
        <f>"201304004897"</f>
        <v>201304004897</v>
      </c>
      <c r="H374" t="s">
        <v>206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70</v>
      </c>
      <c r="P374">
        <v>0</v>
      </c>
      <c r="Q374">
        <v>0</v>
      </c>
      <c r="R374">
        <v>50</v>
      </c>
      <c r="S374">
        <v>0</v>
      </c>
      <c r="T374">
        <v>0</v>
      </c>
      <c r="U374">
        <v>0</v>
      </c>
      <c r="V374">
        <v>72</v>
      </c>
      <c r="W374">
        <v>504</v>
      </c>
      <c r="Z374">
        <v>0</v>
      </c>
      <c r="AA374" t="s">
        <v>903</v>
      </c>
    </row>
    <row r="375" spans="1:27" x14ac:dyDescent="0.25">
      <c r="H375" t="s">
        <v>904</v>
      </c>
    </row>
    <row r="376" spans="1:27" x14ac:dyDescent="0.25">
      <c r="A376">
        <v>185</v>
      </c>
      <c r="B376">
        <v>1205</v>
      </c>
      <c r="C376" t="s">
        <v>905</v>
      </c>
      <c r="D376" t="s">
        <v>112</v>
      </c>
      <c r="E376" t="s">
        <v>906</v>
      </c>
      <c r="F376" t="s">
        <v>907</v>
      </c>
      <c r="G376" t="str">
        <f>"201304004711"</f>
        <v>201304004711</v>
      </c>
      <c r="H376" t="s">
        <v>908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70</v>
      </c>
      <c r="O376">
        <v>70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70</v>
      </c>
      <c r="W376">
        <v>490</v>
      </c>
      <c r="Z376">
        <v>0</v>
      </c>
      <c r="AA376" t="s">
        <v>909</v>
      </c>
    </row>
    <row r="377" spans="1:27" x14ac:dyDescent="0.25">
      <c r="H377" t="s">
        <v>327</v>
      </c>
    </row>
    <row r="378" spans="1:27" x14ac:dyDescent="0.25">
      <c r="A378">
        <v>186</v>
      </c>
      <c r="B378">
        <v>2946</v>
      </c>
      <c r="C378" t="s">
        <v>910</v>
      </c>
      <c r="D378" t="s">
        <v>739</v>
      </c>
      <c r="E378" t="s">
        <v>54</v>
      </c>
      <c r="F378" t="s">
        <v>911</v>
      </c>
      <c r="G378" t="str">
        <f>"201304001948"</f>
        <v>201304001948</v>
      </c>
      <c r="H378" t="s">
        <v>708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70</v>
      </c>
      <c r="O378">
        <v>30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87</v>
      </c>
      <c r="W378">
        <v>588</v>
      </c>
      <c r="Z378">
        <v>0</v>
      </c>
      <c r="AA378" t="s">
        <v>912</v>
      </c>
    </row>
    <row r="379" spans="1:27" x14ac:dyDescent="0.25">
      <c r="H379" t="s">
        <v>913</v>
      </c>
    </row>
    <row r="380" spans="1:27" x14ac:dyDescent="0.25">
      <c r="A380">
        <v>187</v>
      </c>
      <c r="B380">
        <v>1238</v>
      </c>
      <c r="C380" t="s">
        <v>914</v>
      </c>
      <c r="D380" t="s">
        <v>915</v>
      </c>
      <c r="E380" t="s">
        <v>507</v>
      </c>
      <c r="F380" t="s">
        <v>916</v>
      </c>
      <c r="G380" t="str">
        <f>"201304001878"</f>
        <v>201304001878</v>
      </c>
      <c r="H380">
        <v>836</v>
      </c>
      <c r="I380">
        <v>0</v>
      </c>
      <c r="J380">
        <v>0</v>
      </c>
      <c r="K380">
        <v>0</v>
      </c>
      <c r="L380">
        <v>260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66</v>
      </c>
      <c r="W380">
        <v>462</v>
      </c>
      <c r="Z380">
        <v>0</v>
      </c>
      <c r="AA380">
        <v>1628</v>
      </c>
    </row>
    <row r="381" spans="1:27" x14ac:dyDescent="0.25">
      <c r="H381" t="s">
        <v>917</v>
      </c>
    </row>
    <row r="382" spans="1:27" x14ac:dyDescent="0.25">
      <c r="A382">
        <v>188</v>
      </c>
      <c r="B382">
        <v>1953</v>
      </c>
      <c r="C382" t="s">
        <v>918</v>
      </c>
      <c r="D382" t="s">
        <v>20</v>
      </c>
      <c r="E382" t="s">
        <v>100</v>
      </c>
      <c r="F382" t="s">
        <v>919</v>
      </c>
      <c r="G382" t="str">
        <f>"00014439"</f>
        <v>00014439</v>
      </c>
      <c r="H382" t="s">
        <v>920</v>
      </c>
      <c r="I382">
        <v>0</v>
      </c>
      <c r="J382">
        <v>0</v>
      </c>
      <c r="K382">
        <v>0</v>
      </c>
      <c r="L382">
        <v>0</v>
      </c>
      <c r="M382">
        <v>100</v>
      </c>
      <c r="N382">
        <v>70</v>
      </c>
      <c r="O382">
        <v>70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Z382">
        <v>0</v>
      </c>
      <c r="AA382" t="s">
        <v>921</v>
      </c>
    </row>
    <row r="383" spans="1:27" x14ac:dyDescent="0.25">
      <c r="H383" t="s">
        <v>922</v>
      </c>
    </row>
    <row r="384" spans="1:27" x14ac:dyDescent="0.25">
      <c r="A384">
        <v>189</v>
      </c>
      <c r="B384">
        <v>3008</v>
      </c>
      <c r="C384" t="s">
        <v>923</v>
      </c>
      <c r="D384" t="s">
        <v>924</v>
      </c>
      <c r="E384" t="s">
        <v>81</v>
      </c>
      <c r="F384" t="s">
        <v>925</v>
      </c>
      <c r="G384" t="str">
        <f>"201506000339"</f>
        <v>201506000339</v>
      </c>
      <c r="H384" t="s">
        <v>926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70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140</v>
      </c>
      <c r="W384">
        <v>588</v>
      </c>
      <c r="Z384">
        <v>0</v>
      </c>
      <c r="AA384" t="s">
        <v>927</v>
      </c>
    </row>
    <row r="385" spans="1:27" x14ac:dyDescent="0.25">
      <c r="H385" t="s">
        <v>928</v>
      </c>
    </row>
    <row r="386" spans="1:27" x14ac:dyDescent="0.25">
      <c r="A386">
        <v>190</v>
      </c>
      <c r="B386">
        <v>755</v>
      </c>
      <c r="C386" t="s">
        <v>929</v>
      </c>
      <c r="D386" t="s">
        <v>930</v>
      </c>
      <c r="E386" t="s">
        <v>54</v>
      </c>
      <c r="F386" t="s">
        <v>931</v>
      </c>
      <c r="G386" t="str">
        <f>"201406007320"</f>
        <v>201406007320</v>
      </c>
      <c r="H386" t="s">
        <v>374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70</v>
      </c>
      <c r="O386">
        <v>30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100</v>
      </c>
      <c r="W386">
        <v>588</v>
      </c>
      <c r="Z386">
        <v>0</v>
      </c>
      <c r="AA386" t="s">
        <v>932</v>
      </c>
    </row>
    <row r="387" spans="1:27" x14ac:dyDescent="0.25">
      <c r="H387" t="s">
        <v>933</v>
      </c>
    </row>
    <row r="388" spans="1:27" x14ac:dyDescent="0.25">
      <c r="A388">
        <v>191</v>
      </c>
      <c r="B388">
        <v>3148</v>
      </c>
      <c r="C388" t="s">
        <v>934</v>
      </c>
      <c r="D388" t="s">
        <v>210</v>
      </c>
      <c r="E388" t="s">
        <v>94</v>
      </c>
      <c r="F388" t="s">
        <v>935</v>
      </c>
      <c r="G388" t="str">
        <f>"201406003643"</f>
        <v>201406003643</v>
      </c>
      <c r="H388" t="s">
        <v>374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70</v>
      </c>
      <c r="O388">
        <v>0</v>
      </c>
      <c r="P388">
        <v>0</v>
      </c>
      <c r="Q388">
        <v>30</v>
      </c>
      <c r="R388">
        <v>0</v>
      </c>
      <c r="S388">
        <v>0</v>
      </c>
      <c r="T388">
        <v>0</v>
      </c>
      <c r="U388">
        <v>0</v>
      </c>
      <c r="V388">
        <v>86</v>
      </c>
      <c r="W388">
        <v>588</v>
      </c>
      <c r="Z388">
        <v>0</v>
      </c>
      <c r="AA388" t="s">
        <v>932</v>
      </c>
    </row>
    <row r="389" spans="1:27" x14ac:dyDescent="0.25">
      <c r="H389" t="s">
        <v>936</v>
      </c>
    </row>
    <row r="390" spans="1:27" x14ac:dyDescent="0.25">
      <c r="A390">
        <v>192</v>
      </c>
      <c r="B390">
        <v>2211</v>
      </c>
      <c r="C390" t="s">
        <v>937</v>
      </c>
      <c r="D390" t="s">
        <v>706</v>
      </c>
      <c r="E390" t="s">
        <v>143</v>
      </c>
      <c r="F390" t="s">
        <v>938</v>
      </c>
      <c r="G390" t="str">
        <f>"201304001785"</f>
        <v>201304001785</v>
      </c>
      <c r="H390" t="s">
        <v>30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30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94</v>
      </c>
      <c r="W390">
        <v>588</v>
      </c>
      <c r="Z390">
        <v>0</v>
      </c>
      <c r="AA390" t="s">
        <v>939</v>
      </c>
    </row>
    <row r="391" spans="1:27" x14ac:dyDescent="0.25">
      <c r="H391" t="s">
        <v>56</v>
      </c>
    </row>
    <row r="392" spans="1:27" x14ac:dyDescent="0.25">
      <c r="A392">
        <v>193</v>
      </c>
      <c r="B392">
        <v>465</v>
      </c>
      <c r="C392" t="s">
        <v>940</v>
      </c>
      <c r="D392" t="s">
        <v>941</v>
      </c>
      <c r="E392" t="s">
        <v>81</v>
      </c>
      <c r="F392" t="s">
        <v>942</v>
      </c>
      <c r="G392" t="str">
        <f>"201406003124"</f>
        <v>201406003124</v>
      </c>
      <c r="H392" t="s">
        <v>433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70</v>
      </c>
      <c r="P392">
        <v>0</v>
      </c>
      <c r="Q392">
        <v>50</v>
      </c>
      <c r="R392">
        <v>0</v>
      </c>
      <c r="S392">
        <v>0</v>
      </c>
      <c r="T392">
        <v>0</v>
      </c>
      <c r="U392">
        <v>0</v>
      </c>
      <c r="V392">
        <v>70</v>
      </c>
      <c r="W392">
        <v>490</v>
      </c>
      <c r="Z392">
        <v>0</v>
      </c>
      <c r="AA392" t="s">
        <v>943</v>
      </c>
    </row>
    <row r="393" spans="1:27" x14ac:dyDescent="0.25">
      <c r="H393" t="s">
        <v>944</v>
      </c>
    </row>
    <row r="394" spans="1:27" x14ac:dyDescent="0.25">
      <c r="A394">
        <v>194</v>
      </c>
      <c r="B394">
        <v>528</v>
      </c>
      <c r="C394" t="s">
        <v>945</v>
      </c>
      <c r="D394" t="s">
        <v>20</v>
      </c>
      <c r="E394" t="s">
        <v>41</v>
      </c>
      <c r="F394" t="s">
        <v>946</v>
      </c>
      <c r="G394" t="str">
        <f>"201406003133"</f>
        <v>201406003133</v>
      </c>
      <c r="H394" t="s">
        <v>947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50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135</v>
      </c>
      <c r="W394">
        <v>588</v>
      </c>
      <c r="Z394">
        <v>0</v>
      </c>
      <c r="AA394" t="s">
        <v>948</v>
      </c>
    </row>
    <row r="395" spans="1:27" x14ac:dyDescent="0.25">
      <c r="H395" t="s">
        <v>949</v>
      </c>
    </row>
    <row r="396" spans="1:27" x14ac:dyDescent="0.25">
      <c r="A396">
        <v>195</v>
      </c>
      <c r="B396">
        <v>1081</v>
      </c>
      <c r="C396" t="s">
        <v>950</v>
      </c>
      <c r="D396" t="s">
        <v>739</v>
      </c>
      <c r="E396" t="s">
        <v>951</v>
      </c>
      <c r="F396" t="s">
        <v>952</v>
      </c>
      <c r="G396" t="str">
        <f>"201304001558"</f>
        <v>201304001558</v>
      </c>
      <c r="H396" t="s">
        <v>741</v>
      </c>
      <c r="I396">
        <v>0</v>
      </c>
      <c r="J396">
        <v>0</v>
      </c>
      <c r="K396">
        <v>0</v>
      </c>
      <c r="L396">
        <v>200</v>
      </c>
      <c r="M396">
        <v>30</v>
      </c>
      <c r="N396">
        <v>50</v>
      </c>
      <c r="O396">
        <v>0</v>
      </c>
      <c r="P396">
        <v>0</v>
      </c>
      <c r="Q396">
        <v>30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Z396">
        <v>0</v>
      </c>
      <c r="AA396" t="s">
        <v>953</v>
      </c>
    </row>
    <row r="397" spans="1:27" x14ac:dyDescent="0.25">
      <c r="H397" t="s">
        <v>954</v>
      </c>
    </row>
    <row r="398" spans="1:27" x14ac:dyDescent="0.25">
      <c r="A398">
        <v>196</v>
      </c>
      <c r="B398">
        <v>543</v>
      </c>
      <c r="C398" t="s">
        <v>955</v>
      </c>
      <c r="D398" t="s">
        <v>165</v>
      </c>
      <c r="E398" t="s">
        <v>143</v>
      </c>
      <c r="F398" t="s">
        <v>956</v>
      </c>
      <c r="G398" t="str">
        <f>"201304000290"</f>
        <v>201304000290</v>
      </c>
      <c r="H398" t="s">
        <v>957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50</v>
      </c>
      <c r="O398">
        <v>50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59</v>
      </c>
      <c r="W398">
        <v>413</v>
      </c>
      <c r="Z398">
        <v>0</v>
      </c>
      <c r="AA398" t="s">
        <v>958</v>
      </c>
    </row>
    <row r="399" spans="1:27" x14ac:dyDescent="0.25">
      <c r="H399" t="s">
        <v>391</v>
      </c>
    </row>
    <row r="400" spans="1:27" x14ac:dyDescent="0.25">
      <c r="A400">
        <v>197</v>
      </c>
      <c r="B400">
        <v>1755</v>
      </c>
      <c r="C400" t="s">
        <v>959</v>
      </c>
      <c r="D400" t="s">
        <v>100</v>
      </c>
      <c r="E400" t="s">
        <v>80</v>
      </c>
      <c r="F400" t="s">
        <v>960</v>
      </c>
      <c r="G400" t="str">
        <f>"00014075"</f>
        <v>00014075</v>
      </c>
      <c r="H400" t="s">
        <v>128</v>
      </c>
      <c r="I400">
        <v>0</v>
      </c>
      <c r="J400">
        <v>0</v>
      </c>
      <c r="K400">
        <v>0</v>
      </c>
      <c r="L400">
        <v>260</v>
      </c>
      <c r="M400">
        <v>0</v>
      </c>
      <c r="N400">
        <v>70</v>
      </c>
      <c r="O400">
        <v>70</v>
      </c>
      <c r="P400">
        <v>30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50</v>
      </c>
      <c r="W400">
        <v>350</v>
      </c>
      <c r="Z400">
        <v>0</v>
      </c>
      <c r="AA400" t="s">
        <v>961</v>
      </c>
    </row>
    <row r="401" spans="1:27" x14ac:dyDescent="0.25">
      <c r="H401" t="s">
        <v>962</v>
      </c>
    </row>
    <row r="402" spans="1:27" x14ac:dyDescent="0.25">
      <c r="A402">
        <v>198</v>
      </c>
      <c r="B402">
        <v>358</v>
      </c>
      <c r="C402" t="s">
        <v>963</v>
      </c>
      <c r="D402" t="s">
        <v>87</v>
      </c>
      <c r="E402" t="s">
        <v>81</v>
      </c>
      <c r="F402" t="s">
        <v>964</v>
      </c>
      <c r="G402" t="str">
        <f>"201304005289"</f>
        <v>201304005289</v>
      </c>
      <c r="H402" t="s">
        <v>965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70</v>
      </c>
      <c r="O402">
        <v>50</v>
      </c>
      <c r="P402">
        <v>70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Z402">
        <v>2</v>
      </c>
      <c r="AA402" t="s">
        <v>961</v>
      </c>
    </row>
    <row r="403" spans="1:27" x14ac:dyDescent="0.25">
      <c r="H403" t="s">
        <v>966</v>
      </c>
    </row>
    <row r="404" spans="1:27" x14ac:dyDescent="0.25">
      <c r="A404">
        <v>199</v>
      </c>
      <c r="B404">
        <v>3274</v>
      </c>
      <c r="C404" t="s">
        <v>967</v>
      </c>
      <c r="D404" t="s">
        <v>136</v>
      </c>
      <c r="E404" t="s">
        <v>799</v>
      </c>
      <c r="F404" t="s">
        <v>968</v>
      </c>
      <c r="G404" t="str">
        <f>"201406007090"</f>
        <v>201406007090</v>
      </c>
      <c r="H404" t="s">
        <v>544</v>
      </c>
      <c r="I404">
        <v>0</v>
      </c>
      <c r="J404">
        <v>0</v>
      </c>
      <c r="K404">
        <v>0</v>
      </c>
      <c r="L404">
        <v>260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77</v>
      </c>
      <c r="W404">
        <v>539</v>
      </c>
      <c r="Z404">
        <v>0</v>
      </c>
      <c r="AA404" t="s">
        <v>969</v>
      </c>
    </row>
    <row r="405" spans="1:27" x14ac:dyDescent="0.25">
      <c r="H405" t="s">
        <v>970</v>
      </c>
    </row>
    <row r="406" spans="1:27" x14ac:dyDescent="0.25">
      <c r="A406">
        <v>200</v>
      </c>
      <c r="B406">
        <v>234</v>
      </c>
      <c r="C406" t="s">
        <v>971</v>
      </c>
      <c r="D406" t="s">
        <v>813</v>
      </c>
      <c r="E406" t="s">
        <v>276</v>
      </c>
      <c r="F406" t="s">
        <v>972</v>
      </c>
      <c r="G406" t="str">
        <f>"201406010189"</f>
        <v>201406010189</v>
      </c>
      <c r="H406" t="s">
        <v>973</v>
      </c>
      <c r="I406">
        <v>0</v>
      </c>
      <c r="J406">
        <v>0</v>
      </c>
      <c r="K406">
        <v>0</v>
      </c>
      <c r="L406">
        <v>260</v>
      </c>
      <c r="M406">
        <v>0</v>
      </c>
      <c r="N406">
        <v>70</v>
      </c>
      <c r="O406">
        <v>0</v>
      </c>
      <c r="P406">
        <v>50</v>
      </c>
      <c r="Q406">
        <v>0</v>
      </c>
      <c r="R406">
        <v>0</v>
      </c>
      <c r="S406">
        <v>0</v>
      </c>
      <c r="T406">
        <v>0</v>
      </c>
      <c r="U406">
        <v>30</v>
      </c>
      <c r="V406">
        <v>52</v>
      </c>
      <c r="W406">
        <v>364</v>
      </c>
      <c r="Z406">
        <v>0</v>
      </c>
      <c r="AA406" t="s">
        <v>974</v>
      </c>
    </row>
    <row r="407" spans="1:27" x14ac:dyDescent="0.25">
      <c r="H407" t="s">
        <v>975</v>
      </c>
    </row>
    <row r="408" spans="1:27" x14ac:dyDescent="0.25">
      <c r="A408">
        <v>201</v>
      </c>
      <c r="B408">
        <v>378</v>
      </c>
      <c r="C408" t="s">
        <v>976</v>
      </c>
      <c r="D408" t="s">
        <v>210</v>
      </c>
      <c r="E408" t="s">
        <v>143</v>
      </c>
      <c r="F408" t="s">
        <v>977</v>
      </c>
      <c r="G408" t="str">
        <f>"00014169"</f>
        <v>00014169</v>
      </c>
      <c r="H408" t="s">
        <v>978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70</v>
      </c>
      <c r="O408">
        <v>0</v>
      </c>
      <c r="P408">
        <v>30</v>
      </c>
      <c r="Q408">
        <v>0</v>
      </c>
      <c r="R408">
        <v>30</v>
      </c>
      <c r="S408">
        <v>0</v>
      </c>
      <c r="T408">
        <v>0</v>
      </c>
      <c r="U408">
        <v>0</v>
      </c>
      <c r="V408">
        <v>197</v>
      </c>
      <c r="W408">
        <v>588</v>
      </c>
      <c r="Z408">
        <v>0</v>
      </c>
      <c r="AA408" t="s">
        <v>979</v>
      </c>
    </row>
    <row r="409" spans="1:27" x14ac:dyDescent="0.25">
      <c r="H409" t="s">
        <v>980</v>
      </c>
    </row>
    <row r="410" spans="1:27" x14ac:dyDescent="0.25">
      <c r="A410">
        <v>202</v>
      </c>
      <c r="B410">
        <v>793</v>
      </c>
      <c r="C410" t="s">
        <v>981</v>
      </c>
      <c r="D410" t="s">
        <v>532</v>
      </c>
      <c r="E410" t="s">
        <v>54</v>
      </c>
      <c r="F410" t="s">
        <v>982</v>
      </c>
      <c r="G410" t="str">
        <f>"00014534"</f>
        <v>00014534</v>
      </c>
      <c r="H410">
        <v>715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70</v>
      </c>
      <c r="O410">
        <v>0</v>
      </c>
      <c r="P410">
        <v>50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87</v>
      </c>
      <c r="W410">
        <v>588</v>
      </c>
      <c r="Z410">
        <v>0</v>
      </c>
      <c r="AA410">
        <v>1623</v>
      </c>
    </row>
    <row r="411" spans="1:27" x14ac:dyDescent="0.25">
      <c r="H411" t="s">
        <v>983</v>
      </c>
    </row>
    <row r="412" spans="1:27" x14ac:dyDescent="0.25">
      <c r="A412">
        <v>203</v>
      </c>
      <c r="B412">
        <v>2944</v>
      </c>
      <c r="C412" t="s">
        <v>984</v>
      </c>
      <c r="D412" t="s">
        <v>985</v>
      </c>
      <c r="E412" t="s">
        <v>28</v>
      </c>
      <c r="F412" t="s">
        <v>986</v>
      </c>
      <c r="G412" t="str">
        <f>"201304002415"</f>
        <v>201304002415</v>
      </c>
      <c r="H412" t="s">
        <v>428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70</v>
      </c>
      <c r="O412">
        <v>70</v>
      </c>
      <c r="P412">
        <v>0</v>
      </c>
      <c r="Q412">
        <v>30</v>
      </c>
      <c r="R412">
        <v>0</v>
      </c>
      <c r="S412">
        <v>0</v>
      </c>
      <c r="T412">
        <v>0</v>
      </c>
      <c r="U412">
        <v>0</v>
      </c>
      <c r="V412">
        <v>65</v>
      </c>
      <c r="W412">
        <v>455</v>
      </c>
      <c r="Z412">
        <v>0</v>
      </c>
      <c r="AA412" t="s">
        <v>987</v>
      </c>
    </row>
    <row r="413" spans="1:27" x14ac:dyDescent="0.25">
      <c r="H413" t="s">
        <v>988</v>
      </c>
    </row>
    <row r="414" spans="1:27" x14ac:dyDescent="0.25">
      <c r="A414">
        <v>204</v>
      </c>
      <c r="B414">
        <v>1486</v>
      </c>
      <c r="C414" t="s">
        <v>989</v>
      </c>
      <c r="D414" t="s">
        <v>87</v>
      </c>
      <c r="E414" t="s">
        <v>121</v>
      </c>
      <c r="F414" t="s">
        <v>990</v>
      </c>
      <c r="G414" t="str">
        <f>"201406013663"</f>
        <v>201406013663</v>
      </c>
      <c r="H414" t="s">
        <v>384</v>
      </c>
      <c r="I414">
        <v>0</v>
      </c>
      <c r="J414">
        <v>0</v>
      </c>
      <c r="K414">
        <v>0</v>
      </c>
      <c r="L414">
        <v>260</v>
      </c>
      <c r="M414">
        <v>0</v>
      </c>
      <c r="N414">
        <v>70</v>
      </c>
      <c r="O414">
        <v>30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73</v>
      </c>
      <c r="W414">
        <v>511</v>
      </c>
      <c r="Z414">
        <v>0</v>
      </c>
      <c r="AA414" t="s">
        <v>991</v>
      </c>
    </row>
    <row r="415" spans="1:27" x14ac:dyDescent="0.25">
      <c r="H415" t="s">
        <v>992</v>
      </c>
    </row>
    <row r="416" spans="1:27" x14ac:dyDescent="0.25">
      <c r="A416">
        <v>205</v>
      </c>
      <c r="B416">
        <v>2345</v>
      </c>
      <c r="C416" t="s">
        <v>993</v>
      </c>
      <c r="D416" t="s">
        <v>81</v>
      </c>
      <c r="E416" t="s">
        <v>994</v>
      </c>
      <c r="F416" t="s">
        <v>995</v>
      </c>
      <c r="G416" t="str">
        <f>"201304000282"</f>
        <v>201304000282</v>
      </c>
      <c r="H416" t="s">
        <v>229</v>
      </c>
      <c r="I416">
        <v>0</v>
      </c>
      <c r="J416">
        <v>0</v>
      </c>
      <c r="K416">
        <v>0</v>
      </c>
      <c r="L416">
        <v>200</v>
      </c>
      <c r="M416">
        <v>30</v>
      </c>
      <c r="N416">
        <v>70</v>
      </c>
      <c r="O416">
        <v>0</v>
      </c>
      <c r="P416">
        <v>70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72</v>
      </c>
      <c r="W416">
        <v>504</v>
      </c>
      <c r="Z416">
        <v>0</v>
      </c>
      <c r="AA416" t="s">
        <v>996</v>
      </c>
    </row>
    <row r="417" spans="1:27" x14ac:dyDescent="0.25">
      <c r="H417" t="s">
        <v>997</v>
      </c>
    </row>
    <row r="418" spans="1:27" x14ac:dyDescent="0.25">
      <c r="A418">
        <v>206</v>
      </c>
      <c r="B418">
        <v>2500</v>
      </c>
      <c r="C418" t="s">
        <v>998</v>
      </c>
      <c r="D418" t="s">
        <v>216</v>
      </c>
      <c r="E418" t="s">
        <v>999</v>
      </c>
      <c r="F418" t="s">
        <v>1000</v>
      </c>
      <c r="G418" t="str">
        <f>"201304006062"</f>
        <v>201304006062</v>
      </c>
      <c r="H418">
        <v>825</v>
      </c>
      <c r="I418">
        <v>0</v>
      </c>
      <c r="J418">
        <v>0</v>
      </c>
      <c r="K418">
        <v>200</v>
      </c>
      <c r="L418">
        <v>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75</v>
      </c>
      <c r="W418">
        <v>525</v>
      </c>
      <c r="Z418">
        <v>0</v>
      </c>
      <c r="AA418">
        <v>1620</v>
      </c>
    </row>
    <row r="419" spans="1:27" x14ac:dyDescent="0.25">
      <c r="H419" t="s">
        <v>1001</v>
      </c>
    </row>
    <row r="420" spans="1:27" x14ac:dyDescent="0.25">
      <c r="A420">
        <v>207</v>
      </c>
      <c r="B420">
        <v>1067</v>
      </c>
      <c r="C420" t="s">
        <v>1002</v>
      </c>
      <c r="D420" t="s">
        <v>1003</v>
      </c>
      <c r="E420" t="s">
        <v>456</v>
      </c>
      <c r="F420" t="s">
        <v>1004</v>
      </c>
      <c r="G420" t="str">
        <f>"200910000459"</f>
        <v>200910000459</v>
      </c>
      <c r="H420" t="s">
        <v>1005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0</v>
      </c>
      <c r="P420">
        <v>0</v>
      </c>
      <c r="Q420">
        <v>30</v>
      </c>
      <c r="R420">
        <v>0</v>
      </c>
      <c r="S420">
        <v>0</v>
      </c>
      <c r="T420">
        <v>0</v>
      </c>
      <c r="U420">
        <v>0</v>
      </c>
      <c r="V420">
        <v>159</v>
      </c>
      <c r="W420">
        <v>588</v>
      </c>
      <c r="Z420">
        <v>0</v>
      </c>
      <c r="AA420" t="s">
        <v>1006</v>
      </c>
    </row>
    <row r="421" spans="1:27" x14ac:dyDescent="0.25">
      <c r="H421" t="s">
        <v>1007</v>
      </c>
    </row>
    <row r="422" spans="1:27" x14ac:dyDescent="0.25">
      <c r="A422">
        <v>208</v>
      </c>
      <c r="B422">
        <v>1326</v>
      </c>
      <c r="C422" t="s">
        <v>1008</v>
      </c>
      <c r="D422" t="s">
        <v>14</v>
      </c>
      <c r="E422" t="s">
        <v>143</v>
      </c>
      <c r="F422" t="s">
        <v>1009</v>
      </c>
      <c r="G422" t="str">
        <f>"00014713"</f>
        <v>00014713</v>
      </c>
      <c r="H422" t="s">
        <v>1010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30</v>
      </c>
      <c r="P422">
        <v>0</v>
      </c>
      <c r="Q422">
        <v>30</v>
      </c>
      <c r="R422">
        <v>0</v>
      </c>
      <c r="S422">
        <v>0</v>
      </c>
      <c r="T422">
        <v>0</v>
      </c>
      <c r="U422">
        <v>0</v>
      </c>
      <c r="V422">
        <v>90</v>
      </c>
      <c r="W422">
        <v>588</v>
      </c>
      <c r="Z422">
        <v>0</v>
      </c>
      <c r="AA422" t="s">
        <v>1011</v>
      </c>
    </row>
    <row r="423" spans="1:27" x14ac:dyDescent="0.25">
      <c r="H423" t="s">
        <v>1012</v>
      </c>
    </row>
    <row r="424" spans="1:27" x14ac:dyDescent="0.25">
      <c r="A424">
        <v>209</v>
      </c>
      <c r="B424">
        <v>1557</v>
      </c>
      <c r="C424" t="s">
        <v>1013</v>
      </c>
      <c r="D424" t="s">
        <v>81</v>
      </c>
      <c r="E424" t="s">
        <v>393</v>
      </c>
      <c r="F424" t="s">
        <v>1014</v>
      </c>
      <c r="G424" t="str">
        <f>"201406006771"</f>
        <v>201406006771</v>
      </c>
      <c r="H424" t="s">
        <v>789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70</v>
      </c>
      <c r="O424">
        <v>0</v>
      </c>
      <c r="P424">
        <v>0</v>
      </c>
      <c r="Q424">
        <v>30</v>
      </c>
      <c r="R424">
        <v>0</v>
      </c>
      <c r="S424">
        <v>0</v>
      </c>
      <c r="T424">
        <v>0</v>
      </c>
      <c r="U424">
        <v>0</v>
      </c>
      <c r="V424">
        <v>144</v>
      </c>
      <c r="W424">
        <v>588</v>
      </c>
      <c r="Z424">
        <v>0</v>
      </c>
      <c r="AA424" t="s">
        <v>1015</v>
      </c>
    </row>
    <row r="425" spans="1:27" x14ac:dyDescent="0.25">
      <c r="H425">
        <v>211</v>
      </c>
    </row>
    <row r="426" spans="1:27" x14ac:dyDescent="0.25">
      <c r="A426">
        <v>210</v>
      </c>
      <c r="B426">
        <v>353</v>
      </c>
      <c r="C426" t="s">
        <v>1016</v>
      </c>
      <c r="D426" t="s">
        <v>346</v>
      </c>
      <c r="E426" t="s">
        <v>59</v>
      </c>
      <c r="F426" t="s">
        <v>1017</v>
      </c>
      <c r="G426" t="str">
        <f>"201406010986"</f>
        <v>201406010986</v>
      </c>
      <c r="H426" t="s">
        <v>384</v>
      </c>
      <c r="I426">
        <v>0</v>
      </c>
      <c r="J426">
        <v>0</v>
      </c>
      <c r="K426">
        <v>0</v>
      </c>
      <c r="L426">
        <v>200</v>
      </c>
      <c r="M426">
        <v>30</v>
      </c>
      <c r="N426">
        <v>50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137</v>
      </c>
      <c r="W426">
        <v>588</v>
      </c>
      <c r="Z426">
        <v>0</v>
      </c>
      <c r="AA426" t="s">
        <v>1018</v>
      </c>
    </row>
    <row r="427" spans="1:27" x14ac:dyDescent="0.25">
      <c r="H427" t="s">
        <v>1019</v>
      </c>
    </row>
    <row r="428" spans="1:27" x14ac:dyDescent="0.25">
      <c r="A428">
        <v>211</v>
      </c>
      <c r="B428">
        <v>1339</v>
      </c>
      <c r="C428" t="s">
        <v>1020</v>
      </c>
      <c r="D428" t="s">
        <v>1021</v>
      </c>
      <c r="E428" t="s">
        <v>1022</v>
      </c>
      <c r="F428" t="s">
        <v>1023</v>
      </c>
      <c r="G428" t="str">
        <f>"201506000533"</f>
        <v>201506000533</v>
      </c>
      <c r="H428" t="s">
        <v>284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50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160</v>
      </c>
      <c r="W428">
        <v>588</v>
      </c>
      <c r="Z428">
        <v>0</v>
      </c>
      <c r="AA428" t="s">
        <v>1024</v>
      </c>
    </row>
    <row r="429" spans="1:27" x14ac:dyDescent="0.25">
      <c r="H429">
        <v>207</v>
      </c>
    </row>
    <row r="430" spans="1:27" x14ac:dyDescent="0.25">
      <c r="A430">
        <v>212</v>
      </c>
      <c r="B430">
        <v>1482</v>
      </c>
      <c r="C430" t="s">
        <v>1025</v>
      </c>
      <c r="D430" t="s">
        <v>1026</v>
      </c>
      <c r="E430" t="s">
        <v>47</v>
      </c>
      <c r="F430" t="s">
        <v>1027</v>
      </c>
      <c r="G430" t="str">
        <f>"201506000988"</f>
        <v>201506000988</v>
      </c>
      <c r="H430" t="s">
        <v>248</v>
      </c>
      <c r="I430">
        <v>0</v>
      </c>
      <c r="J430">
        <v>0</v>
      </c>
      <c r="K430">
        <v>0</v>
      </c>
      <c r="L430">
        <v>0</v>
      </c>
      <c r="M430">
        <v>100</v>
      </c>
      <c r="N430">
        <v>70</v>
      </c>
      <c r="O430">
        <v>70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123</v>
      </c>
      <c r="W430">
        <v>588</v>
      </c>
      <c r="Z430">
        <v>0</v>
      </c>
      <c r="AA430" t="s">
        <v>1028</v>
      </c>
    </row>
    <row r="431" spans="1:27" x14ac:dyDescent="0.25">
      <c r="H431" t="s">
        <v>1029</v>
      </c>
    </row>
    <row r="432" spans="1:27" x14ac:dyDescent="0.25">
      <c r="A432">
        <v>213</v>
      </c>
      <c r="B432">
        <v>902</v>
      </c>
      <c r="C432" t="s">
        <v>1030</v>
      </c>
      <c r="D432" t="s">
        <v>276</v>
      </c>
      <c r="E432" t="s">
        <v>47</v>
      </c>
      <c r="F432" t="s">
        <v>1031</v>
      </c>
      <c r="G432" t="str">
        <f>"00015040"</f>
        <v>00015040</v>
      </c>
      <c r="H432" t="s">
        <v>926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30</v>
      </c>
      <c r="O432">
        <v>0</v>
      </c>
      <c r="P432">
        <v>30</v>
      </c>
      <c r="Q432">
        <v>0</v>
      </c>
      <c r="R432">
        <v>0</v>
      </c>
      <c r="S432">
        <v>0</v>
      </c>
      <c r="T432">
        <v>0</v>
      </c>
      <c r="U432">
        <v>70</v>
      </c>
      <c r="V432">
        <v>164</v>
      </c>
      <c r="W432">
        <v>588</v>
      </c>
      <c r="Z432">
        <v>0</v>
      </c>
      <c r="AA432" t="s">
        <v>1032</v>
      </c>
    </row>
    <row r="433" spans="1:27" x14ac:dyDescent="0.25">
      <c r="H433" t="s">
        <v>1033</v>
      </c>
    </row>
    <row r="434" spans="1:27" x14ac:dyDescent="0.25">
      <c r="A434">
        <v>214</v>
      </c>
      <c r="B434">
        <v>2825</v>
      </c>
      <c r="C434" t="s">
        <v>1034</v>
      </c>
      <c r="D434" t="s">
        <v>706</v>
      </c>
      <c r="E434" t="s">
        <v>165</v>
      </c>
      <c r="F434" t="s">
        <v>1035</v>
      </c>
      <c r="G434" t="str">
        <f>"00011062"</f>
        <v>00011062</v>
      </c>
      <c r="H434" t="s">
        <v>716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30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Z434">
        <v>0</v>
      </c>
      <c r="AA434" t="s">
        <v>1036</v>
      </c>
    </row>
    <row r="435" spans="1:27" x14ac:dyDescent="0.25">
      <c r="H435" t="s">
        <v>1037</v>
      </c>
    </row>
    <row r="436" spans="1:27" x14ac:dyDescent="0.25">
      <c r="A436">
        <v>215</v>
      </c>
      <c r="B436">
        <v>1967</v>
      </c>
      <c r="C436" t="s">
        <v>1038</v>
      </c>
      <c r="D436" t="s">
        <v>1039</v>
      </c>
      <c r="E436" t="s">
        <v>1040</v>
      </c>
      <c r="F436" t="s">
        <v>1041</v>
      </c>
      <c r="G436" t="str">
        <f>"00012439"</f>
        <v>00012439</v>
      </c>
      <c r="H436">
        <v>759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128</v>
      </c>
      <c r="W436">
        <v>588</v>
      </c>
      <c r="Z436">
        <v>0</v>
      </c>
      <c r="AA436">
        <v>1617</v>
      </c>
    </row>
    <row r="437" spans="1:27" x14ac:dyDescent="0.25">
      <c r="H437" t="s">
        <v>1042</v>
      </c>
    </row>
    <row r="438" spans="1:27" x14ac:dyDescent="0.25">
      <c r="A438">
        <v>216</v>
      </c>
      <c r="B438">
        <v>2840</v>
      </c>
      <c r="C438" t="s">
        <v>1043</v>
      </c>
      <c r="D438" t="s">
        <v>136</v>
      </c>
      <c r="E438" t="s">
        <v>155</v>
      </c>
      <c r="F438" t="s">
        <v>1044</v>
      </c>
      <c r="G438" t="str">
        <f>"201406012376"</f>
        <v>201406012376</v>
      </c>
      <c r="H438" t="s">
        <v>1045</v>
      </c>
      <c r="I438">
        <v>0</v>
      </c>
      <c r="J438">
        <v>0</v>
      </c>
      <c r="K438">
        <v>0</v>
      </c>
      <c r="L438">
        <v>0</v>
      </c>
      <c r="M438">
        <v>100</v>
      </c>
      <c r="N438">
        <v>70</v>
      </c>
      <c r="O438">
        <v>70</v>
      </c>
      <c r="P438">
        <v>0</v>
      </c>
      <c r="Q438">
        <v>0</v>
      </c>
      <c r="R438">
        <v>30</v>
      </c>
      <c r="S438">
        <v>0</v>
      </c>
      <c r="T438">
        <v>0</v>
      </c>
      <c r="U438">
        <v>0</v>
      </c>
      <c r="V438">
        <v>84</v>
      </c>
      <c r="W438">
        <v>588</v>
      </c>
      <c r="Z438">
        <v>0</v>
      </c>
      <c r="AA438" t="s">
        <v>1046</v>
      </c>
    </row>
    <row r="439" spans="1:27" x14ac:dyDescent="0.25">
      <c r="H439" t="s">
        <v>1047</v>
      </c>
    </row>
    <row r="440" spans="1:27" x14ac:dyDescent="0.25">
      <c r="A440">
        <v>217</v>
      </c>
      <c r="B440">
        <v>2446</v>
      </c>
      <c r="C440" t="s">
        <v>1048</v>
      </c>
      <c r="D440" t="s">
        <v>1026</v>
      </c>
      <c r="E440" t="s">
        <v>1049</v>
      </c>
      <c r="F440" t="s">
        <v>1050</v>
      </c>
      <c r="G440" t="str">
        <f>"201304003078"</f>
        <v>201304003078</v>
      </c>
      <c r="H440" t="s">
        <v>626</v>
      </c>
      <c r="I440">
        <v>0</v>
      </c>
      <c r="J440">
        <v>0</v>
      </c>
      <c r="K440">
        <v>0</v>
      </c>
      <c r="L440">
        <v>200</v>
      </c>
      <c r="M440">
        <v>30</v>
      </c>
      <c r="N440">
        <v>70</v>
      </c>
      <c r="O440">
        <v>30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80</v>
      </c>
      <c r="W440">
        <v>560</v>
      </c>
      <c r="Z440">
        <v>0</v>
      </c>
      <c r="AA440" t="s">
        <v>1051</v>
      </c>
    </row>
    <row r="441" spans="1:27" x14ac:dyDescent="0.25">
      <c r="H441" t="s">
        <v>1052</v>
      </c>
    </row>
    <row r="442" spans="1:27" x14ac:dyDescent="0.25">
      <c r="A442">
        <v>218</v>
      </c>
      <c r="B442">
        <v>2882</v>
      </c>
      <c r="C442" t="s">
        <v>1053</v>
      </c>
      <c r="D442" t="s">
        <v>1054</v>
      </c>
      <c r="E442" t="s">
        <v>1055</v>
      </c>
      <c r="F442" t="s">
        <v>1056</v>
      </c>
      <c r="G442" t="str">
        <f>"201406018714"</f>
        <v>201406018714</v>
      </c>
      <c r="H442" t="s">
        <v>766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70</v>
      </c>
      <c r="V442">
        <v>73</v>
      </c>
      <c r="W442">
        <v>511</v>
      </c>
      <c r="Z442">
        <v>0</v>
      </c>
      <c r="AA442" t="s">
        <v>1057</v>
      </c>
    </row>
    <row r="443" spans="1:27" x14ac:dyDescent="0.25">
      <c r="H443" t="s">
        <v>1058</v>
      </c>
    </row>
    <row r="444" spans="1:27" x14ac:dyDescent="0.25">
      <c r="A444">
        <v>219</v>
      </c>
      <c r="B444">
        <v>2706</v>
      </c>
      <c r="C444" t="s">
        <v>1059</v>
      </c>
      <c r="D444" t="s">
        <v>112</v>
      </c>
      <c r="E444" t="s">
        <v>54</v>
      </c>
      <c r="F444" t="s">
        <v>1060</v>
      </c>
      <c r="G444" t="str">
        <f>"00015076"</f>
        <v>00015076</v>
      </c>
      <c r="H444" t="s">
        <v>708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70</v>
      </c>
      <c r="O444">
        <v>30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82</v>
      </c>
      <c r="W444">
        <v>574</v>
      </c>
      <c r="Z444">
        <v>0</v>
      </c>
      <c r="AA444" t="s">
        <v>1061</v>
      </c>
    </row>
    <row r="445" spans="1:27" x14ac:dyDescent="0.25">
      <c r="H445" t="s">
        <v>1062</v>
      </c>
    </row>
    <row r="446" spans="1:27" x14ac:dyDescent="0.25">
      <c r="A446">
        <v>220</v>
      </c>
      <c r="B446">
        <v>2146</v>
      </c>
      <c r="C446" t="s">
        <v>1063</v>
      </c>
      <c r="D446" t="s">
        <v>20</v>
      </c>
      <c r="E446" t="s">
        <v>155</v>
      </c>
      <c r="F446" t="s">
        <v>1064</v>
      </c>
      <c r="G446" t="str">
        <f>"201406014754"</f>
        <v>201406014754</v>
      </c>
      <c r="H446">
        <v>726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70</v>
      </c>
      <c r="O446">
        <v>0</v>
      </c>
      <c r="P446">
        <v>30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110</v>
      </c>
      <c r="W446">
        <v>588</v>
      </c>
      <c r="Z446">
        <v>0</v>
      </c>
      <c r="AA446">
        <v>1614</v>
      </c>
    </row>
    <row r="447" spans="1:27" x14ac:dyDescent="0.25">
      <c r="H447" t="s">
        <v>1065</v>
      </c>
    </row>
    <row r="448" spans="1:27" x14ac:dyDescent="0.25">
      <c r="A448">
        <v>221</v>
      </c>
      <c r="B448">
        <v>1423</v>
      </c>
      <c r="C448" t="s">
        <v>1066</v>
      </c>
      <c r="D448" t="s">
        <v>165</v>
      </c>
      <c r="E448" t="s">
        <v>41</v>
      </c>
      <c r="F448" t="s">
        <v>1067</v>
      </c>
      <c r="G448" t="str">
        <f>"201304002764"</f>
        <v>201304002764</v>
      </c>
      <c r="H448" t="s">
        <v>626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70</v>
      </c>
      <c r="O448">
        <v>0</v>
      </c>
      <c r="P448">
        <v>30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89</v>
      </c>
      <c r="W448">
        <v>588</v>
      </c>
      <c r="Z448">
        <v>0</v>
      </c>
      <c r="AA448" t="s">
        <v>1068</v>
      </c>
    </row>
    <row r="449" spans="1:27" x14ac:dyDescent="0.25">
      <c r="H449" t="s">
        <v>1069</v>
      </c>
    </row>
    <row r="450" spans="1:27" x14ac:dyDescent="0.25">
      <c r="A450">
        <v>222</v>
      </c>
      <c r="B450">
        <v>1164</v>
      </c>
      <c r="C450" t="s">
        <v>1070</v>
      </c>
      <c r="D450" t="s">
        <v>87</v>
      </c>
      <c r="E450" t="s">
        <v>81</v>
      </c>
      <c r="F450" t="s">
        <v>1071</v>
      </c>
      <c r="G450" t="str">
        <f>"00014853"</f>
        <v>00014853</v>
      </c>
      <c r="H450" t="s">
        <v>367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70</v>
      </c>
      <c r="O450">
        <v>70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60</v>
      </c>
      <c r="W450">
        <v>420</v>
      </c>
      <c r="Z450">
        <v>0</v>
      </c>
      <c r="AA450" t="s">
        <v>1072</v>
      </c>
    </row>
    <row r="451" spans="1:27" x14ac:dyDescent="0.25">
      <c r="H451" t="s">
        <v>1073</v>
      </c>
    </row>
    <row r="452" spans="1:27" x14ac:dyDescent="0.25">
      <c r="A452">
        <v>223</v>
      </c>
      <c r="B452">
        <v>1135</v>
      </c>
      <c r="C452" t="s">
        <v>830</v>
      </c>
      <c r="D452" t="s">
        <v>20</v>
      </c>
      <c r="E452" t="s">
        <v>831</v>
      </c>
      <c r="F452" t="s">
        <v>832</v>
      </c>
      <c r="G452" t="str">
        <f>"201505000308"</f>
        <v>201505000308</v>
      </c>
      <c r="H452" t="s">
        <v>833</v>
      </c>
      <c r="I452">
        <v>0</v>
      </c>
      <c r="J452">
        <v>0</v>
      </c>
      <c r="K452">
        <v>0</v>
      </c>
      <c r="L452">
        <v>200</v>
      </c>
      <c r="M452">
        <v>30</v>
      </c>
      <c r="N452">
        <v>70</v>
      </c>
      <c r="O452">
        <v>0</v>
      </c>
      <c r="P452">
        <v>50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103</v>
      </c>
      <c r="W452">
        <v>588</v>
      </c>
      <c r="Z452">
        <v>0</v>
      </c>
      <c r="AA452" t="s">
        <v>1074</v>
      </c>
    </row>
    <row r="453" spans="1:27" x14ac:dyDescent="0.25">
      <c r="H453" t="s">
        <v>56</v>
      </c>
    </row>
    <row r="454" spans="1:27" x14ac:dyDescent="0.25">
      <c r="A454">
        <v>224</v>
      </c>
      <c r="B454">
        <v>822</v>
      </c>
      <c r="C454" t="s">
        <v>1075</v>
      </c>
      <c r="D454" t="s">
        <v>243</v>
      </c>
      <c r="E454" t="s">
        <v>1076</v>
      </c>
      <c r="F454" t="s">
        <v>1077</v>
      </c>
      <c r="G454" t="str">
        <f>"201304006162"</f>
        <v>201304006162</v>
      </c>
      <c r="H454">
        <v>792</v>
      </c>
      <c r="I454">
        <v>150</v>
      </c>
      <c r="J454">
        <v>0</v>
      </c>
      <c r="K454">
        <v>0</v>
      </c>
      <c r="L454">
        <v>0</v>
      </c>
      <c r="M454">
        <v>100</v>
      </c>
      <c r="N454">
        <v>70</v>
      </c>
      <c r="O454">
        <v>30</v>
      </c>
      <c r="P454">
        <v>50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60</v>
      </c>
      <c r="W454">
        <v>420</v>
      </c>
      <c r="Z454">
        <v>0</v>
      </c>
      <c r="AA454">
        <v>1612</v>
      </c>
    </row>
    <row r="455" spans="1:27" x14ac:dyDescent="0.25">
      <c r="H455" t="s">
        <v>1078</v>
      </c>
    </row>
    <row r="456" spans="1:27" x14ac:dyDescent="0.25">
      <c r="A456">
        <v>225</v>
      </c>
      <c r="B456">
        <v>1016</v>
      </c>
      <c r="C456" t="s">
        <v>1079</v>
      </c>
      <c r="D456" t="s">
        <v>1080</v>
      </c>
      <c r="E456" t="s">
        <v>143</v>
      </c>
      <c r="F456" t="s">
        <v>1081</v>
      </c>
      <c r="G456" t="str">
        <f>"201303000381"</f>
        <v>201303000381</v>
      </c>
      <c r="H456" t="s">
        <v>683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130</v>
      </c>
      <c r="W456">
        <v>588</v>
      </c>
      <c r="Z456">
        <v>0</v>
      </c>
      <c r="AA456" t="s">
        <v>1082</v>
      </c>
    </row>
    <row r="457" spans="1:27" x14ac:dyDescent="0.25">
      <c r="H457" t="s">
        <v>1083</v>
      </c>
    </row>
    <row r="458" spans="1:27" x14ac:dyDescent="0.25">
      <c r="A458">
        <v>226</v>
      </c>
      <c r="B458">
        <v>2805</v>
      </c>
      <c r="C458" t="s">
        <v>1084</v>
      </c>
      <c r="D458" t="s">
        <v>40</v>
      </c>
      <c r="E458" t="s">
        <v>54</v>
      </c>
      <c r="F458" t="s">
        <v>1085</v>
      </c>
      <c r="G458" t="str">
        <f>"201506000990"</f>
        <v>201506000990</v>
      </c>
      <c r="H458" t="s">
        <v>30</v>
      </c>
      <c r="I458">
        <v>0</v>
      </c>
      <c r="J458">
        <v>0</v>
      </c>
      <c r="K458">
        <v>0</v>
      </c>
      <c r="L458">
        <v>260</v>
      </c>
      <c r="M458">
        <v>0</v>
      </c>
      <c r="N458">
        <v>70</v>
      </c>
      <c r="O458">
        <v>30</v>
      </c>
      <c r="P458">
        <v>0</v>
      </c>
      <c r="Q458">
        <v>30</v>
      </c>
      <c r="R458">
        <v>0</v>
      </c>
      <c r="S458">
        <v>0</v>
      </c>
      <c r="T458">
        <v>0</v>
      </c>
      <c r="U458">
        <v>0</v>
      </c>
      <c r="V458">
        <v>69</v>
      </c>
      <c r="W458">
        <v>483</v>
      </c>
      <c r="Z458">
        <v>0</v>
      </c>
      <c r="AA458" t="s">
        <v>1086</v>
      </c>
    </row>
    <row r="459" spans="1:27" x14ac:dyDescent="0.25">
      <c r="H459" t="s">
        <v>1087</v>
      </c>
    </row>
    <row r="460" spans="1:27" x14ac:dyDescent="0.25">
      <c r="A460">
        <v>227</v>
      </c>
      <c r="B460">
        <v>1530</v>
      </c>
      <c r="C460" t="s">
        <v>1088</v>
      </c>
      <c r="D460" t="s">
        <v>532</v>
      </c>
      <c r="E460" t="s">
        <v>100</v>
      </c>
      <c r="F460" t="s">
        <v>1089</v>
      </c>
      <c r="G460" t="str">
        <f>"201406018098"</f>
        <v>201406018098</v>
      </c>
      <c r="H460" t="s">
        <v>428</v>
      </c>
      <c r="I460">
        <v>0</v>
      </c>
      <c r="J460">
        <v>0</v>
      </c>
      <c r="K460">
        <v>0</v>
      </c>
      <c r="L460">
        <v>0</v>
      </c>
      <c r="M460">
        <v>100</v>
      </c>
      <c r="N460">
        <v>70</v>
      </c>
      <c r="O460">
        <v>70</v>
      </c>
      <c r="P460">
        <v>0</v>
      </c>
      <c r="Q460">
        <v>0</v>
      </c>
      <c r="R460">
        <v>70</v>
      </c>
      <c r="S460">
        <v>0</v>
      </c>
      <c r="T460">
        <v>0</v>
      </c>
      <c r="U460">
        <v>0</v>
      </c>
      <c r="V460">
        <v>72</v>
      </c>
      <c r="W460">
        <v>504</v>
      </c>
      <c r="Z460">
        <v>0</v>
      </c>
      <c r="AA460" t="s">
        <v>1090</v>
      </c>
    </row>
    <row r="461" spans="1:27" x14ac:dyDescent="0.25">
      <c r="H461" t="s">
        <v>1091</v>
      </c>
    </row>
    <row r="462" spans="1:27" x14ac:dyDescent="0.25">
      <c r="A462">
        <v>228</v>
      </c>
      <c r="B462">
        <v>1915</v>
      </c>
      <c r="C462" t="s">
        <v>1092</v>
      </c>
      <c r="D462" t="s">
        <v>891</v>
      </c>
      <c r="E462" t="s">
        <v>422</v>
      </c>
      <c r="F462" t="s">
        <v>1093</v>
      </c>
      <c r="G462" t="str">
        <f>"00011882"</f>
        <v>00011882</v>
      </c>
      <c r="H462" t="s">
        <v>1094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30</v>
      </c>
      <c r="P462">
        <v>50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55</v>
      </c>
      <c r="W462">
        <v>385</v>
      </c>
      <c r="Z462">
        <v>0</v>
      </c>
      <c r="AA462" t="s">
        <v>1095</v>
      </c>
    </row>
    <row r="463" spans="1:27" x14ac:dyDescent="0.25">
      <c r="H463" t="s">
        <v>1096</v>
      </c>
    </row>
    <row r="464" spans="1:27" x14ac:dyDescent="0.25">
      <c r="A464">
        <v>229</v>
      </c>
      <c r="B464">
        <v>1082</v>
      </c>
      <c r="C464" t="s">
        <v>1097</v>
      </c>
      <c r="D464" t="s">
        <v>143</v>
      </c>
      <c r="E464" t="s">
        <v>54</v>
      </c>
      <c r="F464" t="s">
        <v>1098</v>
      </c>
      <c r="G464" t="str">
        <f>"201304006276"</f>
        <v>201304006276</v>
      </c>
      <c r="H464" t="s">
        <v>785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70</v>
      </c>
      <c r="O464">
        <v>30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88</v>
      </c>
      <c r="W464">
        <v>588</v>
      </c>
      <c r="Z464">
        <v>0</v>
      </c>
      <c r="AA464" t="s">
        <v>1099</v>
      </c>
    </row>
    <row r="465" spans="1:27" x14ac:dyDescent="0.25">
      <c r="H465" t="s">
        <v>1100</v>
      </c>
    </row>
    <row r="466" spans="1:27" x14ac:dyDescent="0.25">
      <c r="A466">
        <v>230</v>
      </c>
      <c r="B466">
        <v>1392</v>
      </c>
      <c r="C466" t="s">
        <v>1101</v>
      </c>
      <c r="D466" t="s">
        <v>1102</v>
      </c>
      <c r="E466" t="s">
        <v>81</v>
      </c>
      <c r="F466" t="s">
        <v>1103</v>
      </c>
      <c r="G466" t="str">
        <f>"201304001039"</f>
        <v>201304001039</v>
      </c>
      <c r="H466" t="s">
        <v>1104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30</v>
      </c>
      <c r="O466">
        <v>70</v>
      </c>
      <c r="P466">
        <v>0</v>
      </c>
      <c r="Q466">
        <v>30</v>
      </c>
      <c r="R466">
        <v>0</v>
      </c>
      <c r="S466">
        <v>0</v>
      </c>
      <c r="T466">
        <v>0</v>
      </c>
      <c r="U466">
        <v>0</v>
      </c>
      <c r="V466">
        <v>80</v>
      </c>
      <c r="W466">
        <v>560</v>
      </c>
      <c r="Z466">
        <v>0</v>
      </c>
      <c r="AA466" t="s">
        <v>1105</v>
      </c>
    </row>
    <row r="467" spans="1:27" x14ac:dyDescent="0.25">
      <c r="H467" t="s">
        <v>1106</v>
      </c>
    </row>
    <row r="468" spans="1:27" x14ac:dyDescent="0.25">
      <c r="A468">
        <v>231</v>
      </c>
      <c r="B468">
        <v>729</v>
      </c>
      <c r="C468" t="s">
        <v>1107</v>
      </c>
      <c r="D468" t="s">
        <v>1108</v>
      </c>
      <c r="E468" t="s">
        <v>143</v>
      </c>
      <c r="F468" t="s">
        <v>1109</v>
      </c>
      <c r="G468" t="str">
        <f>"201506001282"</f>
        <v>201506001282</v>
      </c>
      <c r="H468" t="s">
        <v>71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70</v>
      </c>
      <c r="O468">
        <v>70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168</v>
      </c>
      <c r="W468">
        <v>588</v>
      </c>
      <c r="Z468">
        <v>0</v>
      </c>
      <c r="AA468" t="s">
        <v>1110</v>
      </c>
    </row>
    <row r="469" spans="1:27" x14ac:dyDescent="0.25">
      <c r="H469" t="s">
        <v>1111</v>
      </c>
    </row>
    <row r="470" spans="1:27" x14ac:dyDescent="0.25">
      <c r="A470">
        <v>232</v>
      </c>
      <c r="B470">
        <v>2408</v>
      </c>
      <c r="C470" t="s">
        <v>1112</v>
      </c>
      <c r="D470" t="s">
        <v>20</v>
      </c>
      <c r="E470" t="s">
        <v>155</v>
      </c>
      <c r="F470" t="s">
        <v>1113</v>
      </c>
      <c r="G470" t="str">
        <f>"00012990"</f>
        <v>00012990</v>
      </c>
      <c r="H470" t="s">
        <v>43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97</v>
      </c>
      <c r="W470">
        <v>588</v>
      </c>
      <c r="Z470">
        <v>2</v>
      </c>
      <c r="AA470" t="s">
        <v>1114</v>
      </c>
    </row>
    <row r="471" spans="1:27" x14ac:dyDescent="0.25">
      <c r="H471" t="s">
        <v>1115</v>
      </c>
    </row>
    <row r="472" spans="1:27" x14ac:dyDescent="0.25">
      <c r="A472">
        <v>233</v>
      </c>
      <c r="B472">
        <v>3125</v>
      </c>
      <c r="C472" t="s">
        <v>1116</v>
      </c>
      <c r="D472" t="s">
        <v>149</v>
      </c>
      <c r="E472" t="s">
        <v>47</v>
      </c>
      <c r="F472" t="s">
        <v>1117</v>
      </c>
      <c r="G472" t="str">
        <f>"201405001156"</f>
        <v>201405001156</v>
      </c>
      <c r="H472" t="s">
        <v>167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75</v>
      </c>
      <c r="W472">
        <v>525</v>
      </c>
      <c r="Z472">
        <v>0</v>
      </c>
      <c r="AA472" t="s">
        <v>1118</v>
      </c>
    </row>
    <row r="473" spans="1:27" x14ac:dyDescent="0.25">
      <c r="H473" t="s">
        <v>1119</v>
      </c>
    </row>
    <row r="474" spans="1:27" x14ac:dyDescent="0.25">
      <c r="A474">
        <v>234</v>
      </c>
      <c r="B474">
        <v>1828</v>
      </c>
      <c r="C474" t="s">
        <v>1120</v>
      </c>
      <c r="D474" t="s">
        <v>1121</v>
      </c>
      <c r="E474" t="s">
        <v>81</v>
      </c>
      <c r="F474" t="s">
        <v>1122</v>
      </c>
      <c r="G474" t="str">
        <f>"00015138"</f>
        <v>00015138</v>
      </c>
      <c r="H474" t="s">
        <v>1123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147</v>
      </c>
      <c r="W474">
        <v>588</v>
      </c>
      <c r="Z474">
        <v>0</v>
      </c>
      <c r="AA474" t="s">
        <v>1124</v>
      </c>
    </row>
    <row r="475" spans="1:27" x14ac:dyDescent="0.25">
      <c r="H475" t="s">
        <v>1125</v>
      </c>
    </row>
    <row r="476" spans="1:27" x14ac:dyDescent="0.25">
      <c r="A476">
        <v>235</v>
      </c>
      <c r="B476">
        <v>1410</v>
      </c>
      <c r="C476" t="s">
        <v>1126</v>
      </c>
      <c r="D476" t="s">
        <v>1127</v>
      </c>
      <c r="E476" t="s">
        <v>143</v>
      </c>
      <c r="F476" t="s">
        <v>1128</v>
      </c>
      <c r="G476" t="str">
        <f>"00013134"</f>
        <v>00013134</v>
      </c>
      <c r="H476" t="s">
        <v>683</v>
      </c>
      <c r="I476">
        <v>0</v>
      </c>
      <c r="J476">
        <v>0</v>
      </c>
      <c r="K476">
        <v>0</v>
      </c>
      <c r="L476">
        <v>260</v>
      </c>
      <c r="M476">
        <v>0</v>
      </c>
      <c r="N476">
        <v>70</v>
      </c>
      <c r="O476">
        <v>0</v>
      </c>
      <c r="P476">
        <v>0</v>
      </c>
      <c r="Q476">
        <v>30</v>
      </c>
      <c r="R476">
        <v>30</v>
      </c>
      <c r="S476">
        <v>0</v>
      </c>
      <c r="T476">
        <v>0</v>
      </c>
      <c r="U476">
        <v>0</v>
      </c>
      <c r="V476">
        <v>66</v>
      </c>
      <c r="W476">
        <v>462</v>
      </c>
      <c r="Z476">
        <v>0</v>
      </c>
      <c r="AA476" t="s">
        <v>1129</v>
      </c>
    </row>
    <row r="477" spans="1:27" x14ac:dyDescent="0.25">
      <c r="H477">
        <v>204</v>
      </c>
    </row>
    <row r="478" spans="1:27" x14ac:dyDescent="0.25">
      <c r="A478">
        <v>236</v>
      </c>
      <c r="B478">
        <v>114</v>
      </c>
      <c r="C478" t="s">
        <v>1130</v>
      </c>
      <c r="D478" t="s">
        <v>216</v>
      </c>
      <c r="E478" t="s">
        <v>34</v>
      </c>
      <c r="F478" t="s">
        <v>1131</v>
      </c>
      <c r="G478" t="str">
        <f>"201412006346"</f>
        <v>201412006346</v>
      </c>
      <c r="H478" t="s">
        <v>947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30</v>
      </c>
      <c r="O478">
        <v>0</v>
      </c>
      <c r="P478">
        <v>0</v>
      </c>
      <c r="Q478">
        <v>70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Z478">
        <v>0</v>
      </c>
      <c r="AA478" t="s">
        <v>1132</v>
      </c>
    </row>
    <row r="479" spans="1:27" x14ac:dyDescent="0.25">
      <c r="H479" t="s">
        <v>1133</v>
      </c>
    </row>
    <row r="480" spans="1:27" x14ac:dyDescent="0.25">
      <c r="A480">
        <v>237</v>
      </c>
      <c r="B480">
        <v>1418</v>
      </c>
      <c r="C480" t="s">
        <v>1134</v>
      </c>
      <c r="D480" t="s">
        <v>1135</v>
      </c>
      <c r="E480" t="s">
        <v>54</v>
      </c>
      <c r="F480" t="s">
        <v>1136</v>
      </c>
      <c r="G480" t="str">
        <f>"201406003880"</f>
        <v>201406003880</v>
      </c>
      <c r="H480" t="s">
        <v>1137</v>
      </c>
      <c r="I480">
        <v>150</v>
      </c>
      <c r="J480">
        <v>0</v>
      </c>
      <c r="K480">
        <v>0</v>
      </c>
      <c r="L480">
        <v>0</v>
      </c>
      <c r="M480">
        <v>0</v>
      </c>
      <c r="N480">
        <v>70</v>
      </c>
      <c r="O480">
        <v>30</v>
      </c>
      <c r="P480">
        <v>0</v>
      </c>
      <c r="Q480">
        <v>70</v>
      </c>
      <c r="R480">
        <v>0</v>
      </c>
      <c r="S480">
        <v>0</v>
      </c>
      <c r="T480">
        <v>0</v>
      </c>
      <c r="U480">
        <v>0</v>
      </c>
      <c r="V480">
        <v>88</v>
      </c>
      <c r="W480">
        <v>588</v>
      </c>
      <c r="Z480">
        <v>0</v>
      </c>
      <c r="AA480" t="s">
        <v>1138</v>
      </c>
    </row>
    <row r="481" spans="1:27" x14ac:dyDescent="0.25">
      <c r="H481" t="s">
        <v>1139</v>
      </c>
    </row>
    <row r="482" spans="1:27" x14ac:dyDescent="0.25">
      <c r="A482">
        <v>238</v>
      </c>
      <c r="B482">
        <v>1896</v>
      </c>
      <c r="C482" t="s">
        <v>1140</v>
      </c>
      <c r="D482" t="s">
        <v>323</v>
      </c>
      <c r="E482" t="s">
        <v>54</v>
      </c>
      <c r="F482" t="s">
        <v>1141</v>
      </c>
      <c r="G482" t="str">
        <f>"201303000760"</f>
        <v>201303000760</v>
      </c>
      <c r="H482" t="s">
        <v>1137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0</v>
      </c>
      <c r="P482">
        <v>50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155</v>
      </c>
      <c r="W482">
        <v>588</v>
      </c>
      <c r="Z482">
        <v>0</v>
      </c>
      <c r="AA482" t="s">
        <v>1138</v>
      </c>
    </row>
    <row r="483" spans="1:27" x14ac:dyDescent="0.25">
      <c r="H483" t="s">
        <v>1142</v>
      </c>
    </row>
    <row r="484" spans="1:27" x14ac:dyDescent="0.25">
      <c r="A484">
        <v>239</v>
      </c>
      <c r="B484">
        <v>1586</v>
      </c>
      <c r="C484" t="s">
        <v>431</v>
      </c>
      <c r="D484" t="s">
        <v>143</v>
      </c>
      <c r="E484" t="s">
        <v>81</v>
      </c>
      <c r="F484" t="s">
        <v>432</v>
      </c>
      <c r="G484" t="str">
        <f>"201406003817"</f>
        <v>201406003817</v>
      </c>
      <c r="H484" t="s">
        <v>433</v>
      </c>
      <c r="I484">
        <v>0</v>
      </c>
      <c r="J484">
        <v>0</v>
      </c>
      <c r="K484">
        <v>0</v>
      </c>
      <c r="L484">
        <v>0</v>
      </c>
      <c r="M484">
        <v>100</v>
      </c>
      <c r="N484">
        <v>70</v>
      </c>
      <c r="O484">
        <v>70</v>
      </c>
      <c r="P484">
        <v>30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109</v>
      </c>
      <c r="W484">
        <v>588</v>
      </c>
      <c r="Z484">
        <v>0</v>
      </c>
      <c r="AA484" t="s">
        <v>1143</v>
      </c>
    </row>
    <row r="485" spans="1:27" x14ac:dyDescent="0.25">
      <c r="H485" t="s">
        <v>435</v>
      </c>
    </row>
    <row r="486" spans="1:27" x14ac:dyDescent="0.25">
      <c r="A486">
        <v>240</v>
      </c>
      <c r="B486">
        <v>1713</v>
      </c>
      <c r="C486" t="s">
        <v>13</v>
      </c>
      <c r="D486" t="s">
        <v>309</v>
      </c>
      <c r="E486" t="s">
        <v>143</v>
      </c>
      <c r="F486" t="s">
        <v>1144</v>
      </c>
      <c r="G486" t="str">
        <f>"201405001733"</f>
        <v>201405001733</v>
      </c>
      <c r="H486" t="s">
        <v>1145</v>
      </c>
      <c r="I486">
        <v>0</v>
      </c>
      <c r="J486">
        <v>0</v>
      </c>
      <c r="K486">
        <v>0</v>
      </c>
      <c r="L486">
        <v>0</v>
      </c>
      <c r="M486">
        <v>100</v>
      </c>
      <c r="N486">
        <v>30</v>
      </c>
      <c r="O486">
        <v>50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70</v>
      </c>
      <c r="V486">
        <v>106</v>
      </c>
      <c r="W486">
        <v>588</v>
      </c>
      <c r="Z486">
        <v>0</v>
      </c>
      <c r="AA486" t="s">
        <v>1146</v>
      </c>
    </row>
    <row r="487" spans="1:27" x14ac:dyDescent="0.25">
      <c r="H487" t="s">
        <v>1147</v>
      </c>
    </row>
    <row r="488" spans="1:27" x14ac:dyDescent="0.25">
      <c r="A488">
        <v>241</v>
      </c>
      <c r="B488">
        <v>872</v>
      </c>
      <c r="C488" t="s">
        <v>1148</v>
      </c>
      <c r="D488" t="s">
        <v>1149</v>
      </c>
      <c r="E488" t="s">
        <v>1150</v>
      </c>
      <c r="F488" t="s">
        <v>1151</v>
      </c>
      <c r="G488" t="str">
        <f>"201405002167"</f>
        <v>201405002167</v>
      </c>
      <c r="H488" t="s">
        <v>265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30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80</v>
      </c>
      <c r="W488">
        <v>560</v>
      </c>
      <c r="Z488">
        <v>0</v>
      </c>
      <c r="AA488" t="s">
        <v>1146</v>
      </c>
    </row>
    <row r="489" spans="1:27" x14ac:dyDescent="0.25">
      <c r="H489" t="s">
        <v>1152</v>
      </c>
    </row>
    <row r="490" spans="1:27" x14ac:dyDescent="0.25">
      <c r="A490">
        <v>242</v>
      </c>
      <c r="B490">
        <v>2224</v>
      </c>
      <c r="C490" t="s">
        <v>1153</v>
      </c>
      <c r="D490" t="s">
        <v>1127</v>
      </c>
      <c r="E490" t="s">
        <v>143</v>
      </c>
      <c r="F490" t="s">
        <v>1154</v>
      </c>
      <c r="G490" t="str">
        <f>"201304004607"</f>
        <v>201304004607</v>
      </c>
      <c r="H490" t="s">
        <v>1155</v>
      </c>
      <c r="I490">
        <v>0</v>
      </c>
      <c r="J490">
        <v>0</v>
      </c>
      <c r="K490">
        <v>0</v>
      </c>
      <c r="L490">
        <v>200</v>
      </c>
      <c r="M490">
        <v>30</v>
      </c>
      <c r="N490">
        <v>70</v>
      </c>
      <c r="O490">
        <v>0</v>
      </c>
      <c r="P490">
        <v>0</v>
      </c>
      <c r="Q490">
        <v>30</v>
      </c>
      <c r="R490">
        <v>0</v>
      </c>
      <c r="S490">
        <v>0</v>
      </c>
      <c r="T490">
        <v>0</v>
      </c>
      <c r="U490">
        <v>0</v>
      </c>
      <c r="V490">
        <v>161</v>
      </c>
      <c r="W490">
        <v>588</v>
      </c>
      <c r="Z490">
        <v>0</v>
      </c>
      <c r="AA490" t="s">
        <v>1156</v>
      </c>
    </row>
    <row r="491" spans="1:27" x14ac:dyDescent="0.25">
      <c r="H491" t="s">
        <v>1157</v>
      </c>
    </row>
    <row r="492" spans="1:27" x14ac:dyDescent="0.25">
      <c r="A492">
        <v>243</v>
      </c>
      <c r="B492">
        <v>2315</v>
      </c>
      <c r="C492" t="s">
        <v>1158</v>
      </c>
      <c r="D492" t="s">
        <v>40</v>
      </c>
      <c r="E492" t="s">
        <v>88</v>
      </c>
      <c r="F492" t="s">
        <v>1159</v>
      </c>
      <c r="G492" t="str">
        <f>"201304004337"</f>
        <v>201304004337</v>
      </c>
      <c r="H492" t="s">
        <v>1160</v>
      </c>
      <c r="I492">
        <v>150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70</v>
      </c>
      <c r="P492">
        <v>70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Z492">
        <v>0</v>
      </c>
      <c r="AA492" t="s">
        <v>1161</v>
      </c>
    </row>
    <row r="493" spans="1:27" x14ac:dyDescent="0.25">
      <c r="H493" t="s">
        <v>286</v>
      </c>
    </row>
    <row r="494" spans="1:27" x14ac:dyDescent="0.25">
      <c r="A494">
        <v>244</v>
      </c>
      <c r="B494">
        <v>2388</v>
      </c>
      <c r="C494" t="s">
        <v>1162</v>
      </c>
      <c r="D494" t="s">
        <v>706</v>
      </c>
      <c r="E494" t="s">
        <v>41</v>
      </c>
      <c r="F494" t="s">
        <v>1163</v>
      </c>
      <c r="G494" t="str">
        <f>"201506003411"</f>
        <v>201506003411</v>
      </c>
      <c r="H494" t="s">
        <v>1160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50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Z494">
        <v>0</v>
      </c>
      <c r="AA494" t="s">
        <v>1161</v>
      </c>
    </row>
    <row r="495" spans="1:27" x14ac:dyDescent="0.25">
      <c r="H495" t="s">
        <v>1164</v>
      </c>
    </row>
    <row r="496" spans="1:27" x14ac:dyDescent="0.25">
      <c r="A496">
        <v>245</v>
      </c>
      <c r="B496">
        <v>542</v>
      </c>
      <c r="C496" t="s">
        <v>1165</v>
      </c>
      <c r="D496" t="s">
        <v>20</v>
      </c>
      <c r="E496" t="s">
        <v>81</v>
      </c>
      <c r="F496" t="s">
        <v>1166</v>
      </c>
      <c r="G496" t="str">
        <f>"201406000696"</f>
        <v>201406000696</v>
      </c>
      <c r="H496" t="s">
        <v>1167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70</v>
      </c>
      <c r="O496">
        <v>30</v>
      </c>
      <c r="P496">
        <v>0</v>
      </c>
      <c r="Q496">
        <v>30</v>
      </c>
      <c r="R496">
        <v>0</v>
      </c>
      <c r="S496">
        <v>0</v>
      </c>
      <c r="T496">
        <v>0</v>
      </c>
      <c r="U496">
        <v>0</v>
      </c>
      <c r="V496">
        <v>60</v>
      </c>
      <c r="W496">
        <v>420</v>
      </c>
      <c r="Z496">
        <v>0</v>
      </c>
      <c r="AA496" t="s">
        <v>1168</v>
      </c>
    </row>
    <row r="497" spans="1:27" x14ac:dyDescent="0.25">
      <c r="H497" t="s">
        <v>1169</v>
      </c>
    </row>
    <row r="498" spans="1:27" x14ac:dyDescent="0.25">
      <c r="A498">
        <v>246</v>
      </c>
      <c r="B498">
        <v>3135</v>
      </c>
      <c r="C498" t="s">
        <v>355</v>
      </c>
      <c r="D498" t="s">
        <v>1170</v>
      </c>
      <c r="E498" t="s">
        <v>1171</v>
      </c>
      <c r="F498" t="s">
        <v>1172</v>
      </c>
      <c r="G498" t="str">
        <f>"201406000133"</f>
        <v>201406000133</v>
      </c>
      <c r="H498" t="s">
        <v>1173</v>
      </c>
      <c r="I498">
        <v>0</v>
      </c>
      <c r="J498">
        <v>0</v>
      </c>
      <c r="K498">
        <v>0</v>
      </c>
      <c r="L498">
        <v>200</v>
      </c>
      <c r="M498">
        <v>30</v>
      </c>
      <c r="N498">
        <v>70</v>
      </c>
      <c r="O498">
        <v>50</v>
      </c>
      <c r="P498">
        <v>0</v>
      </c>
      <c r="Q498">
        <v>0</v>
      </c>
      <c r="R498">
        <v>30</v>
      </c>
      <c r="S498">
        <v>0</v>
      </c>
      <c r="T498">
        <v>0</v>
      </c>
      <c r="U498">
        <v>0</v>
      </c>
      <c r="V498">
        <v>68</v>
      </c>
      <c r="W498">
        <v>476</v>
      </c>
      <c r="Z498">
        <v>0</v>
      </c>
      <c r="AA498" t="s">
        <v>1174</v>
      </c>
    </row>
    <row r="499" spans="1:27" x14ac:dyDescent="0.25">
      <c r="H499" t="s">
        <v>1175</v>
      </c>
    </row>
    <row r="500" spans="1:27" x14ac:dyDescent="0.25">
      <c r="A500">
        <v>247</v>
      </c>
      <c r="B500">
        <v>3358</v>
      </c>
      <c r="C500" t="s">
        <v>1176</v>
      </c>
      <c r="D500" t="s">
        <v>142</v>
      </c>
      <c r="E500" t="s">
        <v>165</v>
      </c>
      <c r="F500" t="s">
        <v>1177</v>
      </c>
      <c r="G500" t="str">
        <f>"201406012236"</f>
        <v>201406012236</v>
      </c>
      <c r="H500" t="s">
        <v>1178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70</v>
      </c>
      <c r="O500">
        <v>30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83</v>
      </c>
      <c r="W500">
        <v>581</v>
      </c>
      <c r="Z500">
        <v>0</v>
      </c>
      <c r="AA500" t="s">
        <v>1179</v>
      </c>
    </row>
    <row r="501" spans="1:27" x14ac:dyDescent="0.25">
      <c r="H501" t="s">
        <v>1180</v>
      </c>
    </row>
    <row r="502" spans="1:27" x14ac:dyDescent="0.25">
      <c r="A502">
        <v>248</v>
      </c>
      <c r="B502">
        <v>2389</v>
      </c>
      <c r="C502" t="s">
        <v>1181</v>
      </c>
      <c r="D502" t="s">
        <v>47</v>
      </c>
      <c r="E502" t="s">
        <v>1182</v>
      </c>
      <c r="F502" t="s">
        <v>1183</v>
      </c>
      <c r="G502" t="str">
        <f>"201304000720"</f>
        <v>201304000720</v>
      </c>
      <c r="H502" t="s">
        <v>1184</v>
      </c>
      <c r="I502">
        <v>0</v>
      </c>
      <c r="J502">
        <v>0</v>
      </c>
      <c r="K502">
        <v>0</v>
      </c>
      <c r="L502">
        <v>200</v>
      </c>
      <c r="M502">
        <v>30</v>
      </c>
      <c r="N502">
        <v>70</v>
      </c>
      <c r="O502">
        <v>50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107</v>
      </c>
      <c r="W502">
        <v>588</v>
      </c>
      <c r="Z502">
        <v>0</v>
      </c>
      <c r="AA502" t="s">
        <v>1185</v>
      </c>
    </row>
    <row r="503" spans="1:27" x14ac:dyDescent="0.25">
      <c r="H503" t="s">
        <v>1186</v>
      </c>
    </row>
    <row r="504" spans="1:27" x14ac:dyDescent="0.25">
      <c r="A504">
        <v>249</v>
      </c>
      <c r="B504">
        <v>2023</v>
      </c>
      <c r="C504" t="s">
        <v>1187</v>
      </c>
      <c r="D504" t="s">
        <v>1188</v>
      </c>
      <c r="E504" t="s">
        <v>1189</v>
      </c>
      <c r="F504" t="s">
        <v>1190</v>
      </c>
      <c r="G504" t="str">
        <f>"201406011609"</f>
        <v>201406011609</v>
      </c>
      <c r="H504" t="s">
        <v>248</v>
      </c>
      <c r="I504">
        <v>0</v>
      </c>
      <c r="J504">
        <v>0</v>
      </c>
      <c r="K504">
        <v>0</v>
      </c>
      <c r="L504">
        <v>0</v>
      </c>
      <c r="M504">
        <v>100</v>
      </c>
      <c r="N504">
        <v>70</v>
      </c>
      <c r="O504">
        <v>0</v>
      </c>
      <c r="P504">
        <v>0</v>
      </c>
      <c r="Q504">
        <v>50</v>
      </c>
      <c r="R504">
        <v>0</v>
      </c>
      <c r="S504">
        <v>0</v>
      </c>
      <c r="T504">
        <v>0</v>
      </c>
      <c r="U504">
        <v>0</v>
      </c>
      <c r="V504">
        <v>108</v>
      </c>
      <c r="W504">
        <v>588</v>
      </c>
      <c r="Z504">
        <v>0</v>
      </c>
      <c r="AA504" t="s">
        <v>1191</v>
      </c>
    </row>
    <row r="505" spans="1:27" x14ac:dyDescent="0.25">
      <c r="H505" t="s">
        <v>1192</v>
      </c>
    </row>
    <row r="506" spans="1:27" x14ac:dyDescent="0.25">
      <c r="A506">
        <v>250</v>
      </c>
      <c r="B506">
        <v>2659</v>
      </c>
      <c r="C506" t="s">
        <v>1193</v>
      </c>
      <c r="D506" t="s">
        <v>112</v>
      </c>
      <c r="E506" t="s">
        <v>1194</v>
      </c>
      <c r="F506" t="s">
        <v>1195</v>
      </c>
      <c r="G506" t="str">
        <f>"201506003702"</f>
        <v>201506003702</v>
      </c>
      <c r="H506" t="s">
        <v>660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50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67</v>
      </c>
      <c r="W506">
        <v>469</v>
      </c>
      <c r="Z506">
        <v>0</v>
      </c>
      <c r="AA506" t="s">
        <v>1196</v>
      </c>
    </row>
    <row r="507" spans="1:27" x14ac:dyDescent="0.25">
      <c r="H507" t="s">
        <v>1197</v>
      </c>
    </row>
    <row r="508" spans="1:27" x14ac:dyDescent="0.25">
      <c r="A508">
        <v>251</v>
      </c>
      <c r="B508">
        <v>2346</v>
      </c>
      <c r="C508" t="s">
        <v>1198</v>
      </c>
      <c r="D508" t="s">
        <v>121</v>
      </c>
      <c r="E508" t="s">
        <v>143</v>
      </c>
      <c r="F508" t="s">
        <v>1199</v>
      </c>
      <c r="G508" t="str">
        <f>"00011554"</f>
        <v>00011554</v>
      </c>
      <c r="H508" t="s">
        <v>218</v>
      </c>
      <c r="I508">
        <v>0</v>
      </c>
      <c r="J508">
        <v>0</v>
      </c>
      <c r="K508">
        <v>0</v>
      </c>
      <c r="L508">
        <v>260</v>
      </c>
      <c r="M508">
        <v>0</v>
      </c>
      <c r="N508">
        <v>70</v>
      </c>
      <c r="O508">
        <v>70</v>
      </c>
      <c r="P508">
        <v>0</v>
      </c>
      <c r="Q508">
        <v>50</v>
      </c>
      <c r="R508">
        <v>0</v>
      </c>
      <c r="S508">
        <v>0</v>
      </c>
      <c r="T508">
        <v>0</v>
      </c>
      <c r="U508">
        <v>0</v>
      </c>
      <c r="V508">
        <v>52</v>
      </c>
      <c r="W508">
        <v>364</v>
      </c>
      <c r="Z508">
        <v>0</v>
      </c>
      <c r="AA508" t="s">
        <v>1200</v>
      </c>
    </row>
    <row r="509" spans="1:27" x14ac:dyDescent="0.25">
      <c r="H509" t="s">
        <v>1201</v>
      </c>
    </row>
    <row r="510" spans="1:27" x14ac:dyDescent="0.25">
      <c r="A510">
        <v>252</v>
      </c>
      <c r="B510">
        <v>797</v>
      </c>
      <c r="C510" t="s">
        <v>261</v>
      </c>
      <c r="D510" t="s">
        <v>1202</v>
      </c>
      <c r="E510" t="s">
        <v>121</v>
      </c>
      <c r="F510" t="s">
        <v>1203</v>
      </c>
      <c r="G510" t="str">
        <f>"00015171"</f>
        <v>00015171</v>
      </c>
      <c r="H510" t="s">
        <v>1204</v>
      </c>
      <c r="I510">
        <v>150</v>
      </c>
      <c r="J510">
        <v>0</v>
      </c>
      <c r="K510">
        <v>0</v>
      </c>
      <c r="L510">
        <v>200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63</v>
      </c>
      <c r="W510">
        <v>441</v>
      </c>
      <c r="Z510">
        <v>0</v>
      </c>
      <c r="AA510" t="s">
        <v>1205</v>
      </c>
    </row>
    <row r="511" spans="1:27" x14ac:dyDescent="0.25">
      <c r="H511" t="s">
        <v>1206</v>
      </c>
    </row>
    <row r="512" spans="1:27" x14ac:dyDescent="0.25">
      <c r="A512">
        <v>253</v>
      </c>
      <c r="B512">
        <v>215</v>
      </c>
      <c r="C512" t="s">
        <v>1207</v>
      </c>
      <c r="D512" t="s">
        <v>332</v>
      </c>
      <c r="E512" t="s">
        <v>1150</v>
      </c>
      <c r="F512" t="s">
        <v>1208</v>
      </c>
      <c r="G512" t="str">
        <f>"201406008163"</f>
        <v>201406008163</v>
      </c>
      <c r="H512" t="s">
        <v>200</v>
      </c>
      <c r="I512">
        <v>150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30</v>
      </c>
      <c r="R512">
        <v>0</v>
      </c>
      <c r="S512">
        <v>0</v>
      </c>
      <c r="T512">
        <v>0</v>
      </c>
      <c r="U512">
        <v>0</v>
      </c>
      <c r="V512">
        <v>78</v>
      </c>
      <c r="W512">
        <v>546</v>
      </c>
      <c r="Z512">
        <v>0</v>
      </c>
      <c r="AA512" t="s">
        <v>1209</v>
      </c>
    </row>
    <row r="513" spans="1:27" x14ac:dyDescent="0.25">
      <c r="H513" t="s">
        <v>1210</v>
      </c>
    </row>
    <row r="514" spans="1:27" x14ac:dyDescent="0.25">
      <c r="A514">
        <v>254</v>
      </c>
      <c r="B514">
        <v>2836</v>
      </c>
      <c r="C514" t="s">
        <v>1211</v>
      </c>
      <c r="D514" t="s">
        <v>1212</v>
      </c>
      <c r="E514" t="s">
        <v>47</v>
      </c>
      <c r="F514" t="s">
        <v>1213</v>
      </c>
      <c r="G514" t="str">
        <f>"201406013764"</f>
        <v>201406013764</v>
      </c>
      <c r="H514" t="s">
        <v>343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70</v>
      </c>
      <c r="O514">
        <v>50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63</v>
      </c>
      <c r="W514">
        <v>441</v>
      </c>
      <c r="Z514">
        <v>0</v>
      </c>
      <c r="AA514" t="s">
        <v>1214</v>
      </c>
    </row>
    <row r="515" spans="1:27" x14ac:dyDescent="0.25">
      <c r="H515" t="s">
        <v>1215</v>
      </c>
    </row>
    <row r="516" spans="1:27" x14ac:dyDescent="0.25">
      <c r="A516">
        <v>255</v>
      </c>
      <c r="B516">
        <v>679</v>
      </c>
      <c r="C516" t="s">
        <v>1216</v>
      </c>
      <c r="D516" t="s">
        <v>1217</v>
      </c>
      <c r="E516" t="s">
        <v>47</v>
      </c>
      <c r="F516" t="s">
        <v>1218</v>
      </c>
      <c r="G516" t="str">
        <f>"201506001979"</f>
        <v>201506001979</v>
      </c>
      <c r="H516" t="s">
        <v>1219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70</v>
      </c>
      <c r="O516">
        <v>50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91</v>
      </c>
      <c r="W516">
        <v>588</v>
      </c>
      <c r="Z516">
        <v>0</v>
      </c>
      <c r="AA516" t="s">
        <v>1220</v>
      </c>
    </row>
    <row r="517" spans="1:27" x14ac:dyDescent="0.25">
      <c r="H517" t="s">
        <v>944</v>
      </c>
    </row>
    <row r="518" spans="1:27" x14ac:dyDescent="0.25">
      <c r="A518">
        <v>256</v>
      </c>
      <c r="B518">
        <v>275</v>
      </c>
      <c r="C518" t="s">
        <v>1221</v>
      </c>
      <c r="D518" t="s">
        <v>1222</v>
      </c>
      <c r="E518" t="s">
        <v>54</v>
      </c>
      <c r="F518" t="s">
        <v>1223</v>
      </c>
      <c r="G518" t="str">
        <f>"00014778"</f>
        <v>00014778</v>
      </c>
      <c r="H518" t="s">
        <v>239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70</v>
      </c>
      <c r="O518">
        <v>70</v>
      </c>
      <c r="P518">
        <v>0</v>
      </c>
      <c r="Q518">
        <v>50</v>
      </c>
      <c r="R518">
        <v>0</v>
      </c>
      <c r="S518">
        <v>0</v>
      </c>
      <c r="T518">
        <v>0</v>
      </c>
      <c r="U518">
        <v>0</v>
      </c>
      <c r="V518">
        <v>59</v>
      </c>
      <c r="W518">
        <v>413</v>
      </c>
      <c r="Z518">
        <v>0</v>
      </c>
      <c r="AA518" t="s">
        <v>1224</v>
      </c>
    </row>
    <row r="519" spans="1:27" x14ac:dyDescent="0.25">
      <c r="H519" t="s">
        <v>913</v>
      </c>
    </row>
    <row r="520" spans="1:27" x14ac:dyDescent="0.25">
      <c r="A520">
        <v>257</v>
      </c>
      <c r="B520">
        <v>176</v>
      </c>
      <c r="C520" t="s">
        <v>1225</v>
      </c>
      <c r="D520" t="s">
        <v>136</v>
      </c>
      <c r="E520" t="s">
        <v>47</v>
      </c>
      <c r="F520" t="s">
        <v>1226</v>
      </c>
      <c r="G520" t="str">
        <f>"200801001341"</f>
        <v>200801001341</v>
      </c>
      <c r="H520" t="s">
        <v>224</v>
      </c>
      <c r="I520">
        <v>150</v>
      </c>
      <c r="J520">
        <v>0</v>
      </c>
      <c r="K520">
        <v>0</v>
      </c>
      <c r="L520">
        <v>260</v>
      </c>
      <c r="M520">
        <v>0</v>
      </c>
      <c r="N520">
        <v>70</v>
      </c>
      <c r="O520">
        <v>70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32</v>
      </c>
      <c r="W520">
        <v>224</v>
      </c>
      <c r="Z520">
        <v>0</v>
      </c>
      <c r="AA520" t="s">
        <v>1227</v>
      </c>
    </row>
    <row r="521" spans="1:27" x14ac:dyDescent="0.25">
      <c r="H521">
        <v>203</v>
      </c>
    </row>
    <row r="522" spans="1:27" x14ac:dyDescent="0.25">
      <c r="A522">
        <v>258</v>
      </c>
      <c r="B522">
        <v>221</v>
      </c>
      <c r="C522" t="s">
        <v>1228</v>
      </c>
      <c r="D522" t="s">
        <v>136</v>
      </c>
      <c r="E522" t="s">
        <v>507</v>
      </c>
      <c r="F522" t="s">
        <v>1229</v>
      </c>
      <c r="G522" t="str">
        <f>"201304004777"</f>
        <v>201304004777</v>
      </c>
      <c r="H522" t="s">
        <v>49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70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112</v>
      </c>
      <c r="W522">
        <v>588</v>
      </c>
      <c r="Z522">
        <v>0</v>
      </c>
      <c r="AA522" t="s">
        <v>1230</v>
      </c>
    </row>
    <row r="523" spans="1:27" x14ac:dyDescent="0.25">
      <c r="H523" t="s">
        <v>1231</v>
      </c>
    </row>
    <row r="524" spans="1:27" x14ac:dyDescent="0.25">
      <c r="A524">
        <v>259</v>
      </c>
      <c r="B524">
        <v>942</v>
      </c>
      <c r="C524" t="s">
        <v>1232</v>
      </c>
      <c r="D524" t="s">
        <v>422</v>
      </c>
      <c r="E524" t="s">
        <v>41</v>
      </c>
      <c r="F524" t="s">
        <v>1233</v>
      </c>
      <c r="G524" t="str">
        <f>"00015239"</f>
        <v>00015239</v>
      </c>
      <c r="H524" t="s">
        <v>1234</v>
      </c>
      <c r="I524">
        <v>0</v>
      </c>
      <c r="J524">
        <v>0</v>
      </c>
      <c r="K524">
        <v>0</v>
      </c>
      <c r="L524">
        <v>200</v>
      </c>
      <c r="M524">
        <v>30</v>
      </c>
      <c r="N524">
        <v>70</v>
      </c>
      <c r="O524">
        <v>70</v>
      </c>
      <c r="P524">
        <v>50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40</v>
      </c>
      <c r="W524">
        <v>280</v>
      </c>
      <c r="Z524">
        <v>0</v>
      </c>
      <c r="AA524" t="s">
        <v>1235</v>
      </c>
    </row>
    <row r="525" spans="1:27" x14ac:dyDescent="0.25">
      <c r="H525" t="s">
        <v>1236</v>
      </c>
    </row>
    <row r="526" spans="1:27" x14ac:dyDescent="0.25">
      <c r="A526">
        <v>260</v>
      </c>
      <c r="B526">
        <v>1192</v>
      </c>
      <c r="C526" t="s">
        <v>1237</v>
      </c>
      <c r="D526" t="s">
        <v>41</v>
      </c>
      <c r="E526" t="s">
        <v>1238</v>
      </c>
      <c r="F526" t="s">
        <v>1239</v>
      </c>
      <c r="G526" t="str">
        <f>"200802005369"</f>
        <v>200802005369</v>
      </c>
      <c r="H526" t="s">
        <v>1010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0</v>
      </c>
      <c r="P526">
        <v>0</v>
      </c>
      <c r="Q526">
        <v>0</v>
      </c>
      <c r="R526">
        <v>30</v>
      </c>
      <c r="S526">
        <v>0</v>
      </c>
      <c r="T526">
        <v>0</v>
      </c>
      <c r="U526">
        <v>0</v>
      </c>
      <c r="V526">
        <v>84</v>
      </c>
      <c r="W526">
        <v>588</v>
      </c>
      <c r="Z526">
        <v>0</v>
      </c>
      <c r="AA526" t="s">
        <v>1240</v>
      </c>
    </row>
    <row r="527" spans="1:27" x14ac:dyDescent="0.25">
      <c r="H527" t="s">
        <v>1241</v>
      </c>
    </row>
    <row r="528" spans="1:27" x14ac:dyDescent="0.25">
      <c r="A528">
        <v>261</v>
      </c>
      <c r="B528">
        <v>1622</v>
      </c>
      <c r="C528" t="s">
        <v>1242</v>
      </c>
      <c r="D528" t="s">
        <v>112</v>
      </c>
      <c r="E528" t="s">
        <v>41</v>
      </c>
      <c r="F528" t="s">
        <v>1243</v>
      </c>
      <c r="G528" t="str">
        <f>"201406000550"</f>
        <v>201406000550</v>
      </c>
      <c r="H528" t="s">
        <v>514</v>
      </c>
      <c r="I528">
        <v>0</v>
      </c>
      <c r="J528">
        <v>0</v>
      </c>
      <c r="K528">
        <v>0</v>
      </c>
      <c r="L528">
        <v>0</v>
      </c>
      <c r="M528">
        <v>100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Z528">
        <v>0</v>
      </c>
      <c r="AA528" t="s">
        <v>1244</v>
      </c>
    </row>
    <row r="529" spans="1:27" x14ac:dyDescent="0.25">
      <c r="H529" t="s">
        <v>1245</v>
      </c>
    </row>
    <row r="530" spans="1:27" x14ac:dyDescent="0.25">
      <c r="A530">
        <v>262</v>
      </c>
      <c r="B530">
        <v>2473</v>
      </c>
      <c r="C530" t="s">
        <v>1246</v>
      </c>
      <c r="D530" t="s">
        <v>840</v>
      </c>
      <c r="E530" t="s">
        <v>143</v>
      </c>
      <c r="F530" t="s">
        <v>1247</v>
      </c>
      <c r="G530" t="str">
        <f>"00013961"</f>
        <v>00013961</v>
      </c>
      <c r="H530" t="s">
        <v>284</v>
      </c>
      <c r="I530">
        <v>0</v>
      </c>
      <c r="J530">
        <v>0</v>
      </c>
      <c r="K530">
        <v>0</v>
      </c>
      <c r="L530">
        <v>0</v>
      </c>
      <c r="M530">
        <v>100</v>
      </c>
      <c r="N530">
        <v>70</v>
      </c>
      <c r="O530">
        <v>0</v>
      </c>
      <c r="P530">
        <v>50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100</v>
      </c>
      <c r="W530">
        <v>588</v>
      </c>
      <c r="Z530">
        <v>0</v>
      </c>
      <c r="AA530" t="s">
        <v>1248</v>
      </c>
    </row>
    <row r="531" spans="1:27" x14ac:dyDescent="0.25">
      <c r="H531" t="s">
        <v>1249</v>
      </c>
    </row>
    <row r="532" spans="1:27" x14ac:dyDescent="0.25">
      <c r="A532">
        <v>263</v>
      </c>
      <c r="B532">
        <v>3205</v>
      </c>
      <c r="C532" t="s">
        <v>1250</v>
      </c>
      <c r="D532" t="s">
        <v>81</v>
      </c>
      <c r="E532" t="s">
        <v>644</v>
      </c>
      <c r="F532" t="s">
        <v>1251</v>
      </c>
      <c r="G532" t="str">
        <f>"201304004554"</f>
        <v>201304004554</v>
      </c>
      <c r="H532" t="s">
        <v>71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50</v>
      </c>
      <c r="O532">
        <v>0</v>
      </c>
      <c r="P532">
        <v>70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Z532">
        <v>0</v>
      </c>
      <c r="AA532" t="s">
        <v>1252</v>
      </c>
    </row>
    <row r="533" spans="1:27" x14ac:dyDescent="0.25">
      <c r="H533" t="s">
        <v>1253</v>
      </c>
    </row>
    <row r="534" spans="1:27" x14ac:dyDescent="0.25">
      <c r="A534">
        <v>264</v>
      </c>
      <c r="B534">
        <v>2521</v>
      </c>
      <c r="C534" t="s">
        <v>1254</v>
      </c>
      <c r="D534" t="s">
        <v>81</v>
      </c>
      <c r="E534" t="s">
        <v>497</v>
      </c>
      <c r="F534" t="s">
        <v>1255</v>
      </c>
      <c r="G534" t="str">
        <f>"200802003976"</f>
        <v>200802003976</v>
      </c>
      <c r="H534" t="s">
        <v>1256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70</v>
      </c>
      <c r="O534">
        <v>0</v>
      </c>
      <c r="P534">
        <v>0</v>
      </c>
      <c r="Q534">
        <v>30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Z534">
        <v>0</v>
      </c>
      <c r="AA534" t="s">
        <v>1257</v>
      </c>
    </row>
    <row r="535" spans="1:27" x14ac:dyDescent="0.25">
      <c r="H535" t="s">
        <v>1258</v>
      </c>
    </row>
    <row r="536" spans="1:27" x14ac:dyDescent="0.25">
      <c r="A536">
        <v>265</v>
      </c>
      <c r="B536">
        <v>3293</v>
      </c>
      <c r="C536" t="s">
        <v>1259</v>
      </c>
      <c r="D536" t="s">
        <v>176</v>
      </c>
      <c r="E536" t="s">
        <v>54</v>
      </c>
      <c r="F536" t="s">
        <v>1260</v>
      </c>
      <c r="G536" t="str">
        <f>"200801003963"</f>
        <v>200801003963</v>
      </c>
      <c r="H536" t="s">
        <v>1261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90</v>
      </c>
      <c r="W536">
        <v>588</v>
      </c>
      <c r="Z536">
        <v>0</v>
      </c>
      <c r="AA536" t="s">
        <v>1262</v>
      </c>
    </row>
    <row r="537" spans="1:27" x14ac:dyDescent="0.25">
      <c r="H537" t="s">
        <v>391</v>
      </c>
    </row>
    <row r="538" spans="1:27" x14ac:dyDescent="0.25">
      <c r="A538">
        <v>266</v>
      </c>
      <c r="B538">
        <v>1189</v>
      </c>
      <c r="C538" t="s">
        <v>1263</v>
      </c>
      <c r="D538" t="s">
        <v>581</v>
      </c>
      <c r="E538" t="s">
        <v>293</v>
      </c>
      <c r="F538" t="s">
        <v>1264</v>
      </c>
      <c r="G538" t="str">
        <f>"201506002200"</f>
        <v>201506002200</v>
      </c>
      <c r="H538" t="s">
        <v>473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123</v>
      </c>
      <c r="W538">
        <v>588</v>
      </c>
      <c r="Z538">
        <v>0</v>
      </c>
      <c r="AA538" t="s">
        <v>1265</v>
      </c>
    </row>
    <row r="539" spans="1:27" x14ac:dyDescent="0.25">
      <c r="H539" t="s">
        <v>1266</v>
      </c>
    </row>
    <row r="540" spans="1:27" x14ac:dyDescent="0.25">
      <c r="A540">
        <v>267</v>
      </c>
      <c r="B540">
        <v>1670</v>
      </c>
      <c r="C540" t="s">
        <v>1267</v>
      </c>
      <c r="D540" t="s">
        <v>1268</v>
      </c>
      <c r="E540" t="s">
        <v>507</v>
      </c>
      <c r="F540" t="s">
        <v>1269</v>
      </c>
      <c r="G540" t="str">
        <f>"201402008605"</f>
        <v>201402008605</v>
      </c>
      <c r="H540" t="s">
        <v>1270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70</v>
      </c>
      <c r="O540">
        <v>50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192</v>
      </c>
      <c r="W540">
        <v>588</v>
      </c>
      <c r="Z540">
        <v>0</v>
      </c>
      <c r="AA540" t="s">
        <v>1271</v>
      </c>
    </row>
    <row r="541" spans="1:27" x14ac:dyDescent="0.25">
      <c r="H541" t="s">
        <v>1272</v>
      </c>
    </row>
    <row r="542" spans="1:27" x14ac:dyDescent="0.25">
      <c r="A542">
        <v>268</v>
      </c>
      <c r="B542">
        <v>2103</v>
      </c>
      <c r="C542" t="s">
        <v>1273</v>
      </c>
      <c r="D542" t="s">
        <v>532</v>
      </c>
      <c r="E542" t="s">
        <v>100</v>
      </c>
      <c r="F542" t="s">
        <v>1274</v>
      </c>
      <c r="G542" t="str">
        <f>"201406005841"</f>
        <v>201406005841</v>
      </c>
      <c r="H542" t="s">
        <v>1275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30</v>
      </c>
      <c r="V542">
        <v>107</v>
      </c>
      <c r="W542">
        <v>588</v>
      </c>
      <c r="Z542">
        <v>0</v>
      </c>
      <c r="AA542" t="s">
        <v>1276</v>
      </c>
    </row>
    <row r="543" spans="1:27" x14ac:dyDescent="0.25">
      <c r="H543" t="s">
        <v>1277</v>
      </c>
    </row>
    <row r="544" spans="1:27" x14ac:dyDescent="0.25">
      <c r="A544">
        <v>269</v>
      </c>
      <c r="B544">
        <v>825</v>
      </c>
      <c r="C544" t="s">
        <v>1278</v>
      </c>
      <c r="D544" t="s">
        <v>1279</v>
      </c>
      <c r="E544" t="s">
        <v>1280</v>
      </c>
      <c r="F544" t="s">
        <v>1281</v>
      </c>
      <c r="G544" t="str">
        <f>"201406001692"</f>
        <v>201406001692</v>
      </c>
      <c r="H544" t="s">
        <v>128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70</v>
      </c>
      <c r="O544">
        <v>0</v>
      </c>
      <c r="P544">
        <v>50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60</v>
      </c>
      <c r="W544">
        <v>420</v>
      </c>
      <c r="Z544">
        <v>0</v>
      </c>
      <c r="AA544" t="s">
        <v>1282</v>
      </c>
    </row>
    <row r="545" spans="1:27" x14ac:dyDescent="0.25">
      <c r="H545" t="s">
        <v>1283</v>
      </c>
    </row>
    <row r="546" spans="1:27" x14ac:dyDescent="0.25">
      <c r="A546">
        <v>270</v>
      </c>
      <c r="B546">
        <v>1878</v>
      </c>
      <c r="C546" t="s">
        <v>1284</v>
      </c>
      <c r="D546" t="s">
        <v>54</v>
      </c>
      <c r="E546" t="s">
        <v>81</v>
      </c>
      <c r="F546" t="s">
        <v>1285</v>
      </c>
      <c r="G546" t="str">
        <f>"201506000486"</f>
        <v>201506000486</v>
      </c>
      <c r="H546" t="s">
        <v>626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179</v>
      </c>
      <c r="W546">
        <v>588</v>
      </c>
      <c r="Z546">
        <v>0</v>
      </c>
      <c r="AA546" t="s">
        <v>1286</v>
      </c>
    </row>
    <row r="547" spans="1:27" x14ac:dyDescent="0.25">
      <c r="H547" t="s">
        <v>1287</v>
      </c>
    </row>
    <row r="548" spans="1:27" x14ac:dyDescent="0.25">
      <c r="A548">
        <v>271</v>
      </c>
      <c r="B548">
        <v>2506</v>
      </c>
      <c r="C548" t="s">
        <v>1288</v>
      </c>
      <c r="D548" t="s">
        <v>1289</v>
      </c>
      <c r="E548" t="s">
        <v>100</v>
      </c>
      <c r="F548" t="s">
        <v>1290</v>
      </c>
      <c r="G548" t="str">
        <f>"201406007987"</f>
        <v>201406007987</v>
      </c>
      <c r="H548" t="s">
        <v>879</v>
      </c>
      <c r="I548">
        <v>150</v>
      </c>
      <c r="J548">
        <v>0</v>
      </c>
      <c r="K548">
        <v>0</v>
      </c>
      <c r="L548">
        <v>0</v>
      </c>
      <c r="M548">
        <v>100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77</v>
      </c>
      <c r="W548">
        <v>539</v>
      </c>
      <c r="Z548">
        <v>0</v>
      </c>
      <c r="AA548" t="s">
        <v>1291</v>
      </c>
    </row>
    <row r="549" spans="1:27" x14ac:dyDescent="0.25">
      <c r="H549" t="s">
        <v>1292</v>
      </c>
    </row>
    <row r="550" spans="1:27" x14ac:dyDescent="0.25">
      <c r="A550">
        <v>272</v>
      </c>
      <c r="B550">
        <v>2732</v>
      </c>
      <c r="C550" t="s">
        <v>292</v>
      </c>
      <c r="D550" t="s">
        <v>293</v>
      </c>
      <c r="E550" t="s">
        <v>81</v>
      </c>
      <c r="F550" t="s">
        <v>294</v>
      </c>
      <c r="G550" t="str">
        <f>"201304001660"</f>
        <v>201304001660</v>
      </c>
      <c r="H550" t="s">
        <v>265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30</v>
      </c>
      <c r="S550">
        <v>0</v>
      </c>
      <c r="T550">
        <v>0</v>
      </c>
      <c r="U550">
        <v>0</v>
      </c>
      <c r="V550">
        <v>77</v>
      </c>
      <c r="W550">
        <v>539</v>
      </c>
      <c r="Z550">
        <v>0</v>
      </c>
      <c r="AA550" t="s">
        <v>1293</v>
      </c>
    </row>
    <row r="551" spans="1:27" x14ac:dyDescent="0.25">
      <c r="H551" t="s">
        <v>296</v>
      </c>
    </row>
    <row r="552" spans="1:27" x14ac:dyDescent="0.25">
      <c r="A552">
        <v>273</v>
      </c>
      <c r="B552">
        <v>1123</v>
      </c>
      <c r="C552" t="s">
        <v>1294</v>
      </c>
      <c r="D552" t="s">
        <v>20</v>
      </c>
      <c r="E552" t="s">
        <v>159</v>
      </c>
      <c r="F552" t="s">
        <v>1295</v>
      </c>
      <c r="G552" t="str">
        <f>"00014599"</f>
        <v>00014599</v>
      </c>
      <c r="H552" t="s">
        <v>1296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71</v>
      </c>
      <c r="W552">
        <v>497</v>
      </c>
      <c r="Z552">
        <v>0</v>
      </c>
      <c r="AA552" t="s">
        <v>1297</v>
      </c>
    </row>
    <row r="553" spans="1:27" x14ac:dyDescent="0.25">
      <c r="H553" t="s">
        <v>1298</v>
      </c>
    </row>
    <row r="554" spans="1:27" x14ac:dyDescent="0.25">
      <c r="A554">
        <v>274</v>
      </c>
      <c r="B554">
        <v>1</v>
      </c>
      <c r="C554" t="s">
        <v>1299</v>
      </c>
      <c r="D554" t="s">
        <v>136</v>
      </c>
      <c r="E554" t="s">
        <v>81</v>
      </c>
      <c r="F554" t="s">
        <v>1300</v>
      </c>
      <c r="G554" t="str">
        <f>"201304004765"</f>
        <v>201304004765</v>
      </c>
      <c r="H554" t="s">
        <v>509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70</v>
      </c>
      <c r="O554">
        <v>0</v>
      </c>
      <c r="P554">
        <v>50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63</v>
      </c>
      <c r="W554">
        <v>441</v>
      </c>
      <c r="Z554">
        <v>0</v>
      </c>
      <c r="AA554" t="s">
        <v>1301</v>
      </c>
    </row>
    <row r="555" spans="1:27" x14ac:dyDescent="0.25">
      <c r="H555" t="s">
        <v>1302</v>
      </c>
    </row>
    <row r="556" spans="1:27" x14ac:dyDescent="0.25">
      <c r="A556">
        <v>275</v>
      </c>
      <c r="B556">
        <v>1642</v>
      </c>
      <c r="C556" t="s">
        <v>1303</v>
      </c>
      <c r="D556" t="s">
        <v>652</v>
      </c>
      <c r="E556" t="s">
        <v>54</v>
      </c>
      <c r="F556" t="s">
        <v>1304</v>
      </c>
      <c r="G556" t="str">
        <f>"201402006316"</f>
        <v>201402006316</v>
      </c>
      <c r="H556" t="s">
        <v>1305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117</v>
      </c>
      <c r="W556">
        <v>588</v>
      </c>
      <c r="Z556">
        <v>0</v>
      </c>
      <c r="AA556" t="s">
        <v>1306</v>
      </c>
    </row>
    <row r="557" spans="1:27" x14ac:dyDescent="0.25">
      <c r="H557" t="s">
        <v>1307</v>
      </c>
    </row>
    <row r="558" spans="1:27" x14ac:dyDescent="0.25">
      <c r="A558">
        <v>276</v>
      </c>
      <c r="B558">
        <v>1638</v>
      </c>
      <c r="C558" t="s">
        <v>1308</v>
      </c>
      <c r="D558" t="s">
        <v>332</v>
      </c>
      <c r="E558" t="s">
        <v>276</v>
      </c>
      <c r="F558" t="s">
        <v>1309</v>
      </c>
      <c r="G558" t="str">
        <f>"201406010902"</f>
        <v>201406010902</v>
      </c>
      <c r="H558" t="s">
        <v>1310</v>
      </c>
      <c r="I558">
        <v>0</v>
      </c>
      <c r="J558">
        <v>0</v>
      </c>
      <c r="K558">
        <v>0</v>
      </c>
      <c r="L558">
        <v>0</v>
      </c>
      <c r="M558">
        <v>100</v>
      </c>
      <c r="N558">
        <v>70</v>
      </c>
      <c r="O558">
        <v>0</v>
      </c>
      <c r="P558">
        <v>0</v>
      </c>
      <c r="Q558">
        <v>50</v>
      </c>
      <c r="R558">
        <v>0</v>
      </c>
      <c r="S558">
        <v>0</v>
      </c>
      <c r="T558">
        <v>0</v>
      </c>
      <c r="U558">
        <v>0</v>
      </c>
      <c r="V558">
        <v>106</v>
      </c>
      <c r="W558">
        <v>588</v>
      </c>
      <c r="Z558">
        <v>0</v>
      </c>
      <c r="AA558" t="s">
        <v>1311</v>
      </c>
    </row>
    <row r="559" spans="1:27" x14ac:dyDescent="0.25">
      <c r="H559">
        <v>202</v>
      </c>
    </row>
    <row r="560" spans="1:27" x14ac:dyDescent="0.25">
      <c r="A560">
        <v>277</v>
      </c>
      <c r="B560">
        <v>3165</v>
      </c>
      <c r="C560" t="s">
        <v>1312</v>
      </c>
      <c r="D560" t="s">
        <v>1313</v>
      </c>
      <c r="E560" t="s">
        <v>1314</v>
      </c>
      <c r="F560" t="s">
        <v>1315</v>
      </c>
      <c r="G560" t="str">
        <f>"00004235"</f>
        <v>00004235</v>
      </c>
      <c r="H560" t="s">
        <v>1316</v>
      </c>
      <c r="I560">
        <v>0</v>
      </c>
      <c r="J560">
        <v>0</v>
      </c>
      <c r="K560">
        <v>0</v>
      </c>
      <c r="L560">
        <v>0</v>
      </c>
      <c r="M560">
        <v>100</v>
      </c>
      <c r="N560">
        <v>70</v>
      </c>
      <c r="O560">
        <v>0</v>
      </c>
      <c r="P560">
        <v>70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112</v>
      </c>
      <c r="W560">
        <v>588</v>
      </c>
      <c r="Z560">
        <v>0</v>
      </c>
      <c r="AA560" t="s">
        <v>1317</v>
      </c>
    </row>
    <row r="561" spans="1:27" x14ac:dyDescent="0.25">
      <c r="H561" t="s">
        <v>1318</v>
      </c>
    </row>
    <row r="562" spans="1:27" x14ac:dyDescent="0.25">
      <c r="A562">
        <v>278</v>
      </c>
      <c r="B562">
        <v>2147</v>
      </c>
      <c r="C562" t="s">
        <v>1319</v>
      </c>
      <c r="D562" t="s">
        <v>502</v>
      </c>
      <c r="E562" t="s">
        <v>54</v>
      </c>
      <c r="F562" t="s">
        <v>1320</v>
      </c>
      <c r="G562" t="str">
        <f>"201406009074"</f>
        <v>201406009074</v>
      </c>
      <c r="H562" t="s">
        <v>1321</v>
      </c>
      <c r="I562">
        <v>0</v>
      </c>
      <c r="J562">
        <v>0</v>
      </c>
      <c r="K562">
        <v>0</v>
      </c>
      <c r="L562">
        <v>200</v>
      </c>
      <c r="M562">
        <v>0</v>
      </c>
      <c r="N562">
        <v>70</v>
      </c>
      <c r="O562">
        <v>0</v>
      </c>
      <c r="P562">
        <v>50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70</v>
      </c>
      <c r="W562">
        <v>490</v>
      </c>
      <c r="Z562">
        <v>0</v>
      </c>
      <c r="AA562" t="s">
        <v>1322</v>
      </c>
    </row>
    <row r="563" spans="1:27" x14ac:dyDescent="0.25">
      <c r="H563" t="s">
        <v>1323</v>
      </c>
    </row>
    <row r="564" spans="1:27" x14ac:dyDescent="0.25">
      <c r="A564">
        <v>279</v>
      </c>
      <c r="B564">
        <v>1084</v>
      </c>
      <c r="C564" t="s">
        <v>1324</v>
      </c>
      <c r="D564" t="s">
        <v>176</v>
      </c>
      <c r="E564" t="s">
        <v>1325</v>
      </c>
      <c r="F564" t="s">
        <v>1326</v>
      </c>
      <c r="G564" t="str">
        <f>"00015282"</f>
        <v>00015282</v>
      </c>
      <c r="H564" t="s">
        <v>1321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70</v>
      </c>
      <c r="O564">
        <v>70</v>
      </c>
      <c r="P564">
        <v>50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60</v>
      </c>
      <c r="W564">
        <v>420</v>
      </c>
      <c r="Z564">
        <v>0</v>
      </c>
      <c r="AA564" t="s">
        <v>1322</v>
      </c>
    </row>
    <row r="565" spans="1:27" x14ac:dyDescent="0.25">
      <c r="H565" t="s">
        <v>1327</v>
      </c>
    </row>
    <row r="566" spans="1:27" x14ac:dyDescent="0.25">
      <c r="A566">
        <v>280</v>
      </c>
      <c r="B566">
        <v>70</v>
      </c>
      <c r="C566" t="s">
        <v>1328</v>
      </c>
      <c r="D566" t="s">
        <v>243</v>
      </c>
      <c r="E566" t="s">
        <v>41</v>
      </c>
      <c r="F566" t="s">
        <v>1329</v>
      </c>
      <c r="G566" t="str">
        <f>"201506002509"</f>
        <v>201506002509</v>
      </c>
      <c r="H566" t="s">
        <v>229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30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76</v>
      </c>
      <c r="W566">
        <v>532</v>
      </c>
      <c r="Z566">
        <v>0</v>
      </c>
      <c r="AA566" t="s">
        <v>1322</v>
      </c>
    </row>
    <row r="567" spans="1:27" x14ac:dyDescent="0.25">
      <c r="H567" t="s">
        <v>1330</v>
      </c>
    </row>
    <row r="568" spans="1:27" x14ac:dyDescent="0.25">
      <c r="A568">
        <v>281</v>
      </c>
      <c r="B568">
        <v>2041</v>
      </c>
      <c r="C568" t="s">
        <v>1331</v>
      </c>
      <c r="D568" t="s">
        <v>1332</v>
      </c>
      <c r="E568" t="s">
        <v>165</v>
      </c>
      <c r="F568" t="s">
        <v>1333</v>
      </c>
      <c r="G568" t="str">
        <f>"00013235"</f>
        <v>00013235</v>
      </c>
      <c r="H568" t="s">
        <v>229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70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76</v>
      </c>
      <c r="W568">
        <v>532</v>
      </c>
      <c r="Z568">
        <v>0</v>
      </c>
      <c r="AA568" t="s">
        <v>1322</v>
      </c>
    </row>
    <row r="569" spans="1:27" x14ac:dyDescent="0.25">
      <c r="H569">
        <v>203</v>
      </c>
    </row>
    <row r="570" spans="1:27" x14ac:dyDescent="0.25">
      <c r="A570">
        <v>282</v>
      </c>
      <c r="B570">
        <v>1413</v>
      </c>
      <c r="C570" t="s">
        <v>1334</v>
      </c>
      <c r="D570" t="s">
        <v>1335</v>
      </c>
      <c r="E570" t="s">
        <v>81</v>
      </c>
      <c r="F570" t="s">
        <v>1336</v>
      </c>
      <c r="G570" t="str">
        <f>"201406013080"</f>
        <v>201406013080</v>
      </c>
      <c r="H570" t="s">
        <v>151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63</v>
      </c>
      <c r="W570">
        <v>441</v>
      </c>
      <c r="Z570">
        <v>0</v>
      </c>
      <c r="AA570" t="s">
        <v>1337</v>
      </c>
    </row>
    <row r="571" spans="1:27" x14ac:dyDescent="0.25">
      <c r="H571" t="s">
        <v>1338</v>
      </c>
    </row>
    <row r="572" spans="1:27" x14ac:dyDescent="0.25">
      <c r="A572">
        <v>283</v>
      </c>
      <c r="B572">
        <v>1783</v>
      </c>
      <c r="C572" t="s">
        <v>1339</v>
      </c>
      <c r="D572" t="s">
        <v>1189</v>
      </c>
      <c r="E572" t="s">
        <v>143</v>
      </c>
      <c r="F572" t="s">
        <v>1340</v>
      </c>
      <c r="G572" t="str">
        <f>"00014583"</f>
        <v>00014583</v>
      </c>
      <c r="H572" t="s">
        <v>716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30</v>
      </c>
      <c r="O572">
        <v>30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105</v>
      </c>
      <c r="W572">
        <v>588</v>
      </c>
      <c r="Z572">
        <v>0</v>
      </c>
      <c r="AA572" t="s">
        <v>1341</v>
      </c>
    </row>
    <row r="573" spans="1:27" x14ac:dyDescent="0.25">
      <c r="H573" t="s">
        <v>1342</v>
      </c>
    </row>
    <row r="574" spans="1:27" x14ac:dyDescent="0.25">
      <c r="A574">
        <v>284</v>
      </c>
      <c r="B574">
        <v>1374</v>
      </c>
      <c r="C574" t="s">
        <v>1343</v>
      </c>
      <c r="D574" t="s">
        <v>1344</v>
      </c>
      <c r="E574" t="s">
        <v>1150</v>
      </c>
      <c r="F574" t="s">
        <v>1345</v>
      </c>
      <c r="G574" t="str">
        <f>"201406002396"</f>
        <v>201406002396</v>
      </c>
      <c r="H574" t="s">
        <v>1346</v>
      </c>
      <c r="I574">
        <v>0</v>
      </c>
      <c r="J574">
        <v>0</v>
      </c>
      <c r="K574">
        <v>0</v>
      </c>
      <c r="L574">
        <v>260</v>
      </c>
      <c r="M574">
        <v>0</v>
      </c>
      <c r="N574">
        <v>70</v>
      </c>
      <c r="O574">
        <v>30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108</v>
      </c>
      <c r="W574">
        <v>588</v>
      </c>
      <c r="Z574">
        <v>0</v>
      </c>
      <c r="AA574" t="s">
        <v>1347</v>
      </c>
    </row>
    <row r="575" spans="1:27" x14ac:dyDescent="0.25">
      <c r="H575" t="s">
        <v>1348</v>
      </c>
    </row>
    <row r="576" spans="1:27" x14ac:dyDescent="0.25">
      <c r="A576">
        <v>285</v>
      </c>
      <c r="B576">
        <v>398</v>
      </c>
      <c r="C576" t="s">
        <v>1349</v>
      </c>
      <c r="D576" t="s">
        <v>1350</v>
      </c>
      <c r="E576" t="s">
        <v>81</v>
      </c>
      <c r="F576" t="s">
        <v>1351</v>
      </c>
      <c r="G576" t="str">
        <f>"00013680"</f>
        <v>00013680</v>
      </c>
      <c r="H576" t="s">
        <v>1352</v>
      </c>
      <c r="I576">
        <v>0</v>
      </c>
      <c r="J576">
        <v>0</v>
      </c>
      <c r="K576">
        <v>0</v>
      </c>
      <c r="L576">
        <v>200</v>
      </c>
      <c r="M576">
        <v>0</v>
      </c>
      <c r="N576">
        <v>70</v>
      </c>
      <c r="O576">
        <v>0</v>
      </c>
      <c r="P576">
        <v>50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70</v>
      </c>
      <c r="W576">
        <v>490</v>
      </c>
      <c r="Z576">
        <v>0</v>
      </c>
      <c r="AA576" t="s">
        <v>1353</v>
      </c>
    </row>
    <row r="577" spans="1:27" x14ac:dyDescent="0.25">
      <c r="H577" t="s">
        <v>1354</v>
      </c>
    </row>
    <row r="578" spans="1:27" x14ac:dyDescent="0.25">
      <c r="A578">
        <v>286</v>
      </c>
      <c r="B578">
        <v>2502</v>
      </c>
      <c r="C578" t="s">
        <v>1325</v>
      </c>
      <c r="D578" t="s">
        <v>1355</v>
      </c>
      <c r="E578" t="s">
        <v>94</v>
      </c>
      <c r="F578" t="s">
        <v>1356</v>
      </c>
      <c r="G578" t="str">
        <f>"201406001120"</f>
        <v>201406001120</v>
      </c>
      <c r="H578" t="s">
        <v>49</v>
      </c>
      <c r="I578">
        <v>0</v>
      </c>
      <c r="J578">
        <v>0</v>
      </c>
      <c r="K578">
        <v>0</v>
      </c>
      <c r="L578">
        <v>0</v>
      </c>
      <c r="M578">
        <v>100</v>
      </c>
      <c r="N578">
        <v>70</v>
      </c>
      <c r="O578">
        <v>50</v>
      </c>
      <c r="P578">
        <v>0</v>
      </c>
      <c r="Q578">
        <v>30</v>
      </c>
      <c r="R578">
        <v>0</v>
      </c>
      <c r="S578">
        <v>0</v>
      </c>
      <c r="T578">
        <v>0</v>
      </c>
      <c r="U578">
        <v>0</v>
      </c>
      <c r="V578">
        <v>105</v>
      </c>
      <c r="W578">
        <v>588</v>
      </c>
      <c r="Z578">
        <v>0</v>
      </c>
      <c r="AA578" t="s">
        <v>1357</v>
      </c>
    </row>
    <row r="579" spans="1:27" x14ac:dyDescent="0.25">
      <c r="H579" t="s">
        <v>1358</v>
      </c>
    </row>
    <row r="580" spans="1:27" x14ac:dyDescent="0.25">
      <c r="A580">
        <v>287</v>
      </c>
      <c r="B580">
        <v>681</v>
      </c>
      <c r="C580" t="s">
        <v>1359</v>
      </c>
      <c r="D580" t="s">
        <v>1360</v>
      </c>
      <c r="E580" t="s">
        <v>310</v>
      </c>
      <c r="F580" t="s">
        <v>1361</v>
      </c>
      <c r="G580" t="str">
        <f>"201406017832"</f>
        <v>201406017832</v>
      </c>
      <c r="H580" t="s">
        <v>96</v>
      </c>
      <c r="I580">
        <v>0</v>
      </c>
      <c r="J580">
        <v>0</v>
      </c>
      <c r="K580">
        <v>0</v>
      </c>
      <c r="L580">
        <v>200</v>
      </c>
      <c r="M580">
        <v>30</v>
      </c>
      <c r="N580">
        <v>70</v>
      </c>
      <c r="O580">
        <v>0</v>
      </c>
      <c r="P580">
        <v>50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62</v>
      </c>
      <c r="W580">
        <v>434</v>
      </c>
      <c r="Z580">
        <v>0</v>
      </c>
      <c r="AA580" t="s">
        <v>1362</v>
      </c>
    </row>
    <row r="581" spans="1:27" x14ac:dyDescent="0.25">
      <c r="H581" t="s">
        <v>1363</v>
      </c>
    </row>
    <row r="582" spans="1:27" x14ac:dyDescent="0.25">
      <c r="A582">
        <v>288</v>
      </c>
      <c r="B582">
        <v>2806</v>
      </c>
      <c r="C582" t="s">
        <v>1364</v>
      </c>
      <c r="D582" t="s">
        <v>620</v>
      </c>
      <c r="E582" t="s">
        <v>81</v>
      </c>
      <c r="F582" t="s">
        <v>1365</v>
      </c>
      <c r="G582" t="str">
        <f>"00013375"</f>
        <v>00013375</v>
      </c>
      <c r="H582" t="s">
        <v>189</v>
      </c>
      <c r="I582">
        <v>0</v>
      </c>
      <c r="J582">
        <v>0</v>
      </c>
      <c r="K582">
        <v>0</v>
      </c>
      <c r="L582">
        <v>200</v>
      </c>
      <c r="M582">
        <v>0</v>
      </c>
      <c r="N582">
        <v>70</v>
      </c>
      <c r="O582">
        <v>70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65</v>
      </c>
      <c r="W582">
        <v>455</v>
      </c>
      <c r="Z582">
        <v>0</v>
      </c>
      <c r="AA582" t="s">
        <v>1366</v>
      </c>
    </row>
    <row r="583" spans="1:27" x14ac:dyDescent="0.25">
      <c r="H583">
        <v>203</v>
      </c>
    </row>
    <row r="584" spans="1:27" x14ac:dyDescent="0.25">
      <c r="A584">
        <v>289</v>
      </c>
      <c r="B584">
        <v>2050</v>
      </c>
      <c r="C584" t="s">
        <v>1367</v>
      </c>
      <c r="D584" t="s">
        <v>1368</v>
      </c>
      <c r="E584" t="s">
        <v>94</v>
      </c>
      <c r="F584" t="s">
        <v>1369</v>
      </c>
      <c r="G584" t="str">
        <f>"201304003911"</f>
        <v>201304003911</v>
      </c>
      <c r="H584">
        <v>693</v>
      </c>
      <c r="I584">
        <v>0</v>
      </c>
      <c r="J584">
        <v>0</v>
      </c>
      <c r="K584">
        <v>0</v>
      </c>
      <c r="L584">
        <v>200</v>
      </c>
      <c r="M584">
        <v>30</v>
      </c>
      <c r="N584">
        <v>70</v>
      </c>
      <c r="O584">
        <v>50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75</v>
      </c>
      <c r="W584">
        <v>525</v>
      </c>
      <c r="Z584">
        <v>0</v>
      </c>
      <c r="AA584">
        <v>1568</v>
      </c>
    </row>
    <row r="585" spans="1:27" x14ac:dyDescent="0.25">
      <c r="H585" t="s">
        <v>564</v>
      </c>
    </row>
    <row r="586" spans="1:27" x14ac:dyDescent="0.25">
      <c r="A586">
        <v>290</v>
      </c>
      <c r="B586">
        <v>2835</v>
      </c>
      <c r="C586" t="s">
        <v>1370</v>
      </c>
      <c r="D586" t="s">
        <v>40</v>
      </c>
      <c r="E586" t="s">
        <v>54</v>
      </c>
      <c r="F586" t="s">
        <v>1371</v>
      </c>
      <c r="G586" t="str">
        <f>"201506003228"</f>
        <v>201506003228</v>
      </c>
      <c r="H586" t="s">
        <v>1372</v>
      </c>
      <c r="I586">
        <v>0</v>
      </c>
      <c r="J586">
        <v>0</v>
      </c>
      <c r="K586">
        <v>0</v>
      </c>
      <c r="L586">
        <v>200</v>
      </c>
      <c r="M586">
        <v>30</v>
      </c>
      <c r="N586">
        <v>30</v>
      </c>
      <c r="O586">
        <v>30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165</v>
      </c>
      <c r="W586">
        <v>588</v>
      </c>
      <c r="Z586">
        <v>0</v>
      </c>
      <c r="AA586" t="s">
        <v>1373</v>
      </c>
    </row>
    <row r="587" spans="1:27" x14ac:dyDescent="0.25">
      <c r="H587" t="s">
        <v>51</v>
      </c>
    </row>
    <row r="588" spans="1:27" x14ac:dyDescent="0.25">
      <c r="A588">
        <v>291</v>
      </c>
      <c r="B588">
        <v>3197</v>
      </c>
      <c r="C588" t="s">
        <v>1374</v>
      </c>
      <c r="D588" t="s">
        <v>1375</v>
      </c>
      <c r="E588" t="s">
        <v>293</v>
      </c>
      <c r="F588" t="s">
        <v>1376</v>
      </c>
      <c r="G588" t="str">
        <f>"00014097"</f>
        <v>00014097</v>
      </c>
      <c r="H588" t="s">
        <v>1377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96</v>
      </c>
      <c r="W588">
        <v>588</v>
      </c>
      <c r="Z588">
        <v>0</v>
      </c>
      <c r="AA588" t="s">
        <v>1378</v>
      </c>
    </row>
    <row r="589" spans="1:27" x14ac:dyDescent="0.25">
      <c r="H589" t="s">
        <v>1379</v>
      </c>
    </row>
    <row r="590" spans="1:27" x14ac:dyDescent="0.25">
      <c r="A590">
        <v>292</v>
      </c>
      <c r="B590">
        <v>2045</v>
      </c>
      <c r="C590" t="s">
        <v>1380</v>
      </c>
      <c r="D590" t="s">
        <v>1381</v>
      </c>
      <c r="E590" t="s">
        <v>456</v>
      </c>
      <c r="F590" t="s">
        <v>1382</v>
      </c>
      <c r="G590" t="str">
        <f>"00015041"</f>
        <v>00015041</v>
      </c>
      <c r="H590" t="s">
        <v>1383</v>
      </c>
      <c r="I590">
        <v>150</v>
      </c>
      <c r="J590">
        <v>0</v>
      </c>
      <c r="K590">
        <v>0</v>
      </c>
      <c r="L590">
        <v>200</v>
      </c>
      <c r="M590">
        <v>0</v>
      </c>
      <c r="N590">
        <v>70</v>
      </c>
      <c r="O590">
        <v>70</v>
      </c>
      <c r="P590">
        <v>0</v>
      </c>
      <c r="Q590">
        <v>0</v>
      </c>
      <c r="R590">
        <v>50</v>
      </c>
      <c r="S590">
        <v>0</v>
      </c>
      <c r="T590">
        <v>0</v>
      </c>
      <c r="U590">
        <v>0</v>
      </c>
      <c r="V590">
        <v>57</v>
      </c>
      <c r="W590">
        <v>399</v>
      </c>
      <c r="Z590">
        <v>0</v>
      </c>
      <c r="AA590" t="s">
        <v>1384</v>
      </c>
    </row>
    <row r="591" spans="1:27" x14ac:dyDescent="0.25">
      <c r="H591" t="s">
        <v>110</v>
      </c>
    </row>
    <row r="592" spans="1:27" x14ac:dyDescent="0.25">
      <c r="A592">
        <v>293</v>
      </c>
      <c r="B592">
        <v>998</v>
      </c>
      <c r="C592" t="s">
        <v>1385</v>
      </c>
      <c r="D592" t="s">
        <v>571</v>
      </c>
      <c r="E592" t="s">
        <v>406</v>
      </c>
      <c r="F592" t="s">
        <v>1386</v>
      </c>
      <c r="G592" t="str">
        <f>"00013980"</f>
        <v>00013980</v>
      </c>
      <c r="H592" t="s">
        <v>83</v>
      </c>
      <c r="I592">
        <v>0</v>
      </c>
      <c r="J592">
        <v>0</v>
      </c>
      <c r="K592">
        <v>0</v>
      </c>
      <c r="L592">
        <v>0</v>
      </c>
      <c r="M592">
        <v>100</v>
      </c>
      <c r="N592">
        <v>70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108</v>
      </c>
      <c r="W592">
        <v>588</v>
      </c>
      <c r="Z592">
        <v>0</v>
      </c>
      <c r="AA592" t="s">
        <v>1387</v>
      </c>
    </row>
    <row r="593" spans="1:27" x14ac:dyDescent="0.25">
      <c r="H593" t="s">
        <v>1388</v>
      </c>
    </row>
    <row r="594" spans="1:27" x14ac:dyDescent="0.25">
      <c r="A594">
        <v>294</v>
      </c>
      <c r="B594">
        <v>123</v>
      </c>
      <c r="C594" t="s">
        <v>1389</v>
      </c>
      <c r="D594" t="s">
        <v>346</v>
      </c>
      <c r="E594" t="s">
        <v>155</v>
      </c>
      <c r="F594" t="s">
        <v>1390</v>
      </c>
      <c r="G594" t="str">
        <f>"00015147"</f>
        <v>00015147</v>
      </c>
      <c r="H594" t="s">
        <v>665</v>
      </c>
      <c r="I594">
        <v>0</v>
      </c>
      <c r="J594">
        <v>0</v>
      </c>
      <c r="K594">
        <v>0</v>
      </c>
      <c r="L594">
        <v>200</v>
      </c>
      <c r="M594">
        <v>30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135</v>
      </c>
      <c r="W594">
        <v>588</v>
      </c>
      <c r="Z594">
        <v>3</v>
      </c>
      <c r="AA594" t="s">
        <v>1391</v>
      </c>
    </row>
    <row r="595" spans="1:27" x14ac:dyDescent="0.25">
      <c r="H595" t="s">
        <v>1392</v>
      </c>
    </row>
    <row r="596" spans="1:27" x14ac:dyDescent="0.25">
      <c r="A596">
        <v>295</v>
      </c>
      <c r="B596">
        <v>427</v>
      </c>
      <c r="C596" t="s">
        <v>1393</v>
      </c>
      <c r="D596" t="s">
        <v>136</v>
      </c>
      <c r="E596" t="s">
        <v>94</v>
      </c>
      <c r="F596" t="s">
        <v>1394</v>
      </c>
      <c r="G596" t="str">
        <f>"00015256"</f>
        <v>00015256</v>
      </c>
      <c r="H596" t="s">
        <v>597</v>
      </c>
      <c r="I596">
        <v>0</v>
      </c>
      <c r="J596">
        <v>0</v>
      </c>
      <c r="K596">
        <v>0</v>
      </c>
      <c r="L596">
        <v>0</v>
      </c>
      <c r="M596">
        <v>100</v>
      </c>
      <c r="N596">
        <v>70</v>
      </c>
      <c r="O596">
        <v>70</v>
      </c>
      <c r="P596">
        <v>0</v>
      </c>
      <c r="Q596">
        <v>0</v>
      </c>
      <c r="R596">
        <v>0</v>
      </c>
      <c r="S596">
        <v>30</v>
      </c>
      <c r="T596">
        <v>0</v>
      </c>
      <c r="U596">
        <v>30</v>
      </c>
      <c r="V596">
        <v>71</v>
      </c>
      <c r="W596">
        <v>497</v>
      </c>
      <c r="Z596">
        <v>0</v>
      </c>
      <c r="AA596" t="s">
        <v>1395</v>
      </c>
    </row>
    <row r="597" spans="1:27" x14ac:dyDescent="0.25">
      <c r="H597" t="s">
        <v>564</v>
      </c>
    </row>
    <row r="598" spans="1:27" x14ac:dyDescent="0.25">
      <c r="A598">
        <v>296</v>
      </c>
      <c r="B598">
        <v>799</v>
      </c>
      <c r="C598" t="s">
        <v>565</v>
      </c>
      <c r="D598" t="s">
        <v>182</v>
      </c>
      <c r="E598" t="s">
        <v>41</v>
      </c>
      <c r="F598" t="s">
        <v>1396</v>
      </c>
      <c r="G598" t="str">
        <f>"201304004743"</f>
        <v>201304004743</v>
      </c>
      <c r="H598" t="s">
        <v>1397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70</v>
      </c>
      <c r="O598">
        <v>30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98</v>
      </c>
      <c r="W598">
        <v>588</v>
      </c>
      <c r="Z598">
        <v>0</v>
      </c>
      <c r="AA598" t="s">
        <v>1398</v>
      </c>
    </row>
    <row r="599" spans="1:27" x14ac:dyDescent="0.25">
      <c r="H599" t="s">
        <v>51</v>
      </c>
    </row>
    <row r="600" spans="1:27" x14ac:dyDescent="0.25">
      <c r="A600">
        <v>297</v>
      </c>
      <c r="B600">
        <v>997</v>
      </c>
      <c r="C600" t="s">
        <v>1399</v>
      </c>
      <c r="D600" t="s">
        <v>20</v>
      </c>
      <c r="E600" t="s">
        <v>81</v>
      </c>
      <c r="F600" t="s">
        <v>1400</v>
      </c>
      <c r="G600" t="str">
        <f>"201406005768"</f>
        <v>201406005768</v>
      </c>
      <c r="H600" t="s">
        <v>833</v>
      </c>
      <c r="I600">
        <v>0</v>
      </c>
      <c r="J600">
        <v>0</v>
      </c>
      <c r="K600">
        <v>0</v>
      </c>
      <c r="L600">
        <v>200</v>
      </c>
      <c r="M600">
        <v>0</v>
      </c>
      <c r="N600">
        <v>70</v>
      </c>
      <c r="O600">
        <v>0</v>
      </c>
      <c r="P600">
        <v>0</v>
      </c>
      <c r="Q600">
        <v>0</v>
      </c>
      <c r="R600">
        <v>30</v>
      </c>
      <c r="S600">
        <v>0</v>
      </c>
      <c r="T600">
        <v>0</v>
      </c>
      <c r="U600">
        <v>0</v>
      </c>
      <c r="V600">
        <v>122</v>
      </c>
      <c r="W600">
        <v>588</v>
      </c>
      <c r="Z600">
        <v>0</v>
      </c>
      <c r="AA600" t="s">
        <v>1401</v>
      </c>
    </row>
    <row r="601" spans="1:27" x14ac:dyDescent="0.25">
      <c r="H601" t="s">
        <v>1402</v>
      </c>
    </row>
    <row r="602" spans="1:27" x14ac:dyDescent="0.25">
      <c r="A602">
        <v>298</v>
      </c>
      <c r="B602">
        <v>3257</v>
      </c>
      <c r="C602" t="s">
        <v>1403</v>
      </c>
      <c r="D602" t="s">
        <v>332</v>
      </c>
      <c r="E602" t="s">
        <v>54</v>
      </c>
      <c r="F602" t="s">
        <v>1404</v>
      </c>
      <c r="G602" t="str">
        <f>"201304004924"</f>
        <v>201304004924</v>
      </c>
      <c r="H602">
        <v>704</v>
      </c>
      <c r="I602">
        <v>0</v>
      </c>
      <c r="J602">
        <v>0</v>
      </c>
      <c r="K602">
        <v>0</v>
      </c>
      <c r="L602">
        <v>200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129</v>
      </c>
      <c r="W602">
        <v>588</v>
      </c>
      <c r="Z602">
        <v>1</v>
      </c>
      <c r="AA602">
        <v>1562</v>
      </c>
    </row>
    <row r="603" spans="1:27" x14ac:dyDescent="0.25">
      <c r="H603" t="s">
        <v>56</v>
      </c>
    </row>
    <row r="604" spans="1:27" x14ac:dyDescent="0.25">
      <c r="A604">
        <v>299</v>
      </c>
      <c r="B604">
        <v>135</v>
      </c>
      <c r="C604" t="s">
        <v>1405</v>
      </c>
      <c r="D604" t="s">
        <v>532</v>
      </c>
      <c r="E604" t="s">
        <v>81</v>
      </c>
      <c r="F604" t="s">
        <v>1406</v>
      </c>
      <c r="G604" t="str">
        <f>"201405001006"</f>
        <v>201405001006</v>
      </c>
      <c r="H604">
        <v>704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120</v>
      </c>
      <c r="W604">
        <v>588</v>
      </c>
      <c r="Z604">
        <v>0</v>
      </c>
      <c r="AA604">
        <v>1562</v>
      </c>
    </row>
    <row r="605" spans="1:27" x14ac:dyDescent="0.25">
      <c r="H605" t="s">
        <v>369</v>
      </c>
    </row>
    <row r="606" spans="1:27" x14ac:dyDescent="0.25">
      <c r="A606">
        <v>300</v>
      </c>
      <c r="B606">
        <v>454</v>
      </c>
      <c r="C606" t="s">
        <v>1407</v>
      </c>
      <c r="D606" t="s">
        <v>1408</v>
      </c>
      <c r="E606" t="s">
        <v>276</v>
      </c>
      <c r="F606" t="s">
        <v>1409</v>
      </c>
      <c r="G606" t="str">
        <f>"201406014113"</f>
        <v>201406014113</v>
      </c>
      <c r="H606" t="s">
        <v>1410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85</v>
      </c>
      <c r="W606">
        <v>588</v>
      </c>
      <c r="Z606">
        <v>0</v>
      </c>
      <c r="AA606" t="s">
        <v>1411</v>
      </c>
    </row>
    <row r="607" spans="1:27" x14ac:dyDescent="0.25">
      <c r="H607" t="s">
        <v>549</v>
      </c>
    </row>
    <row r="608" spans="1:27" x14ac:dyDescent="0.25">
      <c r="A608">
        <v>301</v>
      </c>
      <c r="B608">
        <v>53</v>
      </c>
      <c r="C608" t="s">
        <v>522</v>
      </c>
      <c r="D608" t="s">
        <v>40</v>
      </c>
      <c r="E608" t="s">
        <v>143</v>
      </c>
      <c r="F608" t="s">
        <v>1412</v>
      </c>
      <c r="G608" t="str">
        <f>"201304000542"</f>
        <v>201304000542</v>
      </c>
      <c r="H608" t="s">
        <v>1410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70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Z608">
        <v>0</v>
      </c>
      <c r="AA608" t="s">
        <v>1411</v>
      </c>
    </row>
    <row r="609" spans="1:27" x14ac:dyDescent="0.25">
      <c r="H609" t="s">
        <v>1413</v>
      </c>
    </row>
    <row r="610" spans="1:27" x14ac:dyDescent="0.25">
      <c r="A610">
        <v>302</v>
      </c>
      <c r="B610">
        <v>495</v>
      </c>
      <c r="C610" t="s">
        <v>1414</v>
      </c>
      <c r="D610" t="s">
        <v>1026</v>
      </c>
      <c r="E610" t="s">
        <v>100</v>
      </c>
      <c r="F610" t="s">
        <v>1415</v>
      </c>
      <c r="G610" t="str">
        <f>"201304001873"</f>
        <v>201304001873</v>
      </c>
      <c r="H610" t="s">
        <v>741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70</v>
      </c>
      <c r="O610">
        <v>0</v>
      </c>
      <c r="P610">
        <v>50</v>
      </c>
      <c r="Q610">
        <v>0</v>
      </c>
      <c r="R610">
        <v>50</v>
      </c>
      <c r="S610">
        <v>0</v>
      </c>
      <c r="T610">
        <v>0</v>
      </c>
      <c r="U610">
        <v>0</v>
      </c>
      <c r="V610">
        <v>66</v>
      </c>
      <c r="W610">
        <v>462</v>
      </c>
      <c r="Z610">
        <v>0</v>
      </c>
      <c r="AA610" t="s">
        <v>1416</v>
      </c>
    </row>
    <row r="611" spans="1:27" x14ac:dyDescent="0.25">
      <c r="H611" t="s">
        <v>1417</v>
      </c>
    </row>
    <row r="612" spans="1:27" x14ac:dyDescent="0.25">
      <c r="A612">
        <v>303</v>
      </c>
      <c r="B612">
        <v>2994</v>
      </c>
      <c r="C612" t="s">
        <v>1418</v>
      </c>
      <c r="D612" t="s">
        <v>818</v>
      </c>
      <c r="E612" t="s">
        <v>100</v>
      </c>
      <c r="F612" t="s">
        <v>1419</v>
      </c>
      <c r="G612" t="str">
        <f>"201406016110"</f>
        <v>201406016110</v>
      </c>
      <c r="H612">
        <v>671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70</v>
      </c>
      <c r="O612">
        <v>0</v>
      </c>
      <c r="P612">
        <v>0</v>
      </c>
      <c r="Q612">
        <v>30</v>
      </c>
      <c r="R612">
        <v>0</v>
      </c>
      <c r="S612">
        <v>0</v>
      </c>
      <c r="T612">
        <v>0</v>
      </c>
      <c r="U612">
        <v>0</v>
      </c>
      <c r="V612">
        <v>88</v>
      </c>
      <c r="W612">
        <v>588</v>
      </c>
      <c r="Z612">
        <v>0</v>
      </c>
      <c r="AA612">
        <v>1559</v>
      </c>
    </row>
    <row r="613" spans="1:27" x14ac:dyDescent="0.25">
      <c r="H613" t="s">
        <v>1420</v>
      </c>
    </row>
    <row r="614" spans="1:27" x14ac:dyDescent="0.25">
      <c r="A614">
        <v>304</v>
      </c>
      <c r="B614">
        <v>2632</v>
      </c>
      <c r="C614" t="s">
        <v>1421</v>
      </c>
      <c r="D614" t="s">
        <v>87</v>
      </c>
      <c r="E614" t="s">
        <v>81</v>
      </c>
      <c r="F614" t="s">
        <v>1422</v>
      </c>
      <c r="G614" t="str">
        <f>"201304000578"</f>
        <v>201304000578</v>
      </c>
      <c r="H614" t="s">
        <v>1372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30</v>
      </c>
      <c r="O614">
        <v>0</v>
      </c>
      <c r="P614">
        <v>50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156</v>
      </c>
      <c r="W614">
        <v>588</v>
      </c>
      <c r="Z614">
        <v>0</v>
      </c>
      <c r="AA614" t="s">
        <v>1423</v>
      </c>
    </row>
    <row r="615" spans="1:27" x14ac:dyDescent="0.25">
      <c r="H615" t="s">
        <v>1424</v>
      </c>
    </row>
    <row r="616" spans="1:27" x14ac:dyDescent="0.25">
      <c r="A616">
        <v>305</v>
      </c>
      <c r="B616">
        <v>895</v>
      </c>
      <c r="C616" t="s">
        <v>1425</v>
      </c>
      <c r="D616" t="s">
        <v>818</v>
      </c>
      <c r="E616" t="s">
        <v>586</v>
      </c>
      <c r="F616" t="s">
        <v>1426</v>
      </c>
      <c r="G616" t="str">
        <f>"201406017544"</f>
        <v>201406017544</v>
      </c>
      <c r="H616" t="s">
        <v>926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234</v>
      </c>
      <c r="W616">
        <v>588</v>
      </c>
      <c r="Z616">
        <v>0</v>
      </c>
      <c r="AA616" t="s">
        <v>1427</v>
      </c>
    </row>
    <row r="617" spans="1:27" x14ac:dyDescent="0.25">
      <c r="H617" t="s">
        <v>1428</v>
      </c>
    </row>
    <row r="618" spans="1:27" x14ac:dyDescent="0.25">
      <c r="A618">
        <v>306</v>
      </c>
      <c r="B618">
        <v>2384</v>
      </c>
      <c r="C618" t="s">
        <v>1429</v>
      </c>
      <c r="D618" t="s">
        <v>14</v>
      </c>
      <c r="E618" t="s">
        <v>81</v>
      </c>
      <c r="F618" t="s">
        <v>1430</v>
      </c>
      <c r="G618" t="str">
        <f>"201303000450"</f>
        <v>201303000450</v>
      </c>
      <c r="H618" t="s">
        <v>1178</v>
      </c>
      <c r="I618">
        <v>0</v>
      </c>
      <c r="J618">
        <v>0</v>
      </c>
      <c r="K618">
        <v>0</v>
      </c>
      <c r="L618">
        <v>0</v>
      </c>
      <c r="M618">
        <v>100</v>
      </c>
      <c r="N618">
        <v>30</v>
      </c>
      <c r="O618">
        <v>0</v>
      </c>
      <c r="P618">
        <v>30</v>
      </c>
      <c r="Q618">
        <v>30</v>
      </c>
      <c r="R618">
        <v>30</v>
      </c>
      <c r="S618">
        <v>0</v>
      </c>
      <c r="T618">
        <v>0</v>
      </c>
      <c r="U618">
        <v>30</v>
      </c>
      <c r="V618">
        <v>117</v>
      </c>
      <c r="W618">
        <v>588</v>
      </c>
      <c r="Z618">
        <v>0</v>
      </c>
      <c r="AA618" t="s">
        <v>1431</v>
      </c>
    </row>
    <row r="619" spans="1:27" x14ac:dyDescent="0.25">
      <c r="H619" t="s">
        <v>369</v>
      </c>
    </row>
    <row r="620" spans="1:27" x14ac:dyDescent="0.25">
      <c r="A620">
        <v>307</v>
      </c>
      <c r="B620">
        <v>2608</v>
      </c>
      <c r="C620" t="s">
        <v>1432</v>
      </c>
      <c r="D620" t="s">
        <v>1433</v>
      </c>
      <c r="E620" t="s">
        <v>542</v>
      </c>
      <c r="F620" t="s">
        <v>1434</v>
      </c>
      <c r="G620" t="str">
        <f>"201506000414"</f>
        <v>201506000414</v>
      </c>
      <c r="H620" t="s">
        <v>161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70</v>
      </c>
      <c r="O620">
        <v>50</v>
      </c>
      <c r="P620">
        <v>0</v>
      </c>
      <c r="Q620">
        <v>30</v>
      </c>
      <c r="R620">
        <v>0</v>
      </c>
      <c r="S620">
        <v>0</v>
      </c>
      <c r="T620">
        <v>0</v>
      </c>
      <c r="U620">
        <v>0</v>
      </c>
      <c r="V620">
        <v>48</v>
      </c>
      <c r="W620">
        <v>336</v>
      </c>
      <c r="Z620">
        <v>0</v>
      </c>
      <c r="AA620" t="s">
        <v>1435</v>
      </c>
    </row>
    <row r="621" spans="1:27" x14ac:dyDescent="0.25">
      <c r="H621" t="s">
        <v>56</v>
      </c>
    </row>
    <row r="622" spans="1:27" x14ac:dyDescent="0.25">
      <c r="A622">
        <v>308</v>
      </c>
      <c r="B622">
        <v>1003</v>
      </c>
      <c r="C622" t="s">
        <v>891</v>
      </c>
      <c r="D622" t="s">
        <v>1408</v>
      </c>
      <c r="E622" t="s">
        <v>34</v>
      </c>
      <c r="F622" t="s">
        <v>1436</v>
      </c>
      <c r="G622" t="str">
        <f>"201506003071"</f>
        <v>201506003071</v>
      </c>
      <c r="H622" t="s">
        <v>374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175</v>
      </c>
      <c r="W622">
        <v>588</v>
      </c>
      <c r="Z622">
        <v>0</v>
      </c>
      <c r="AA622" t="s">
        <v>1435</v>
      </c>
    </row>
    <row r="623" spans="1:27" x14ac:dyDescent="0.25">
      <c r="H623" t="s">
        <v>1437</v>
      </c>
    </row>
    <row r="624" spans="1:27" x14ac:dyDescent="0.25">
      <c r="A624">
        <v>309</v>
      </c>
      <c r="B624">
        <v>2975</v>
      </c>
      <c r="C624" t="s">
        <v>1438</v>
      </c>
      <c r="D624" t="s">
        <v>1439</v>
      </c>
      <c r="E624" t="s">
        <v>81</v>
      </c>
      <c r="F624" t="s">
        <v>1440</v>
      </c>
      <c r="G624" t="str">
        <f>"200803000640"</f>
        <v>200803000640</v>
      </c>
      <c r="H624" t="s">
        <v>965</v>
      </c>
      <c r="I624">
        <v>0</v>
      </c>
      <c r="J624">
        <v>0</v>
      </c>
      <c r="K624">
        <v>0</v>
      </c>
      <c r="L624">
        <v>200</v>
      </c>
      <c r="M624">
        <v>0</v>
      </c>
      <c r="N624">
        <v>50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70</v>
      </c>
      <c r="V624">
        <v>84</v>
      </c>
      <c r="W624">
        <v>588</v>
      </c>
      <c r="Z624">
        <v>0</v>
      </c>
      <c r="AA624" t="s">
        <v>1441</v>
      </c>
    </row>
    <row r="625" spans="1:27" x14ac:dyDescent="0.25">
      <c r="H625" t="s">
        <v>1442</v>
      </c>
    </row>
    <row r="626" spans="1:27" x14ac:dyDescent="0.25">
      <c r="A626">
        <v>310</v>
      </c>
      <c r="B626">
        <v>2512</v>
      </c>
      <c r="C626" t="s">
        <v>1443</v>
      </c>
      <c r="D626" t="s">
        <v>398</v>
      </c>
      <c r="E626" t="s">
        <v>21</v>
      </c>
      <c r="F626" t="s">
        <v>1444</v>
      </c>
      <c r="G626" t="str">
        <f>"00004333"</f>
        <v>00004333</v>
      </c>
      <c r="H626" t="s">
        <v>554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70</v>
      </c>
      <c r="O626">
        <v>70</v>
      </c>
      <c r="P626">
        <v>70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137</v>
      </c>
      <c r="W626">
        <v>588</v>
      </c>
      <c r="Z626">
        <v>0</v>
      </c>
      <c r="AA626" t="s">
        <v>1445</v>
      </c>
    </row>
    <row r="627" spans="1:27" x14ac:dyDescent="0.25">
      <c r="H627" t="s">
        <v>1446</v>
      </c>
    </row>
    <row r="628" spans="1:27" x14ac:dyDescent="0.25">
      <c r="A628">
        <v>311</v>
      </c>
      <c r="B628">
        <v>1072</v>
      </c>
      <c r="C628" t="s">
        <v>1447</v>
      </c>
      <c r="D628" t="s">
        <v>87</v>
      </c>
      <c r="E628" t="s">
        <v>100</v>
      </c>
      <c r="F628" t="s">
        <v>1448</v>
      </c>
      <c r="G628" t="str">
        <f>"200802004026"</f>
        <v>200802004026</v>
      </c>
      <c r="H628" t="s">
        <v>1449</v>
      </c>
      <c r="I628">
        <v>150</v>
      </c>
      <c r="J628">
        <v>0</v>
      </c>
      <c r="K628">
        <v>0</v>
      </c>
      <c r="L628">
        <v>200</v>
      </c>
      <c r="M628">
        <v>0</v>
      </c>
      <c r="N628">
        <v>70</v>
      </c>
      <c r="O628">
        <v>30</v>
      </c>
      <c r="P628">
        <v>0</v>
      </c>
      <c r="Q628">
        <v>0</v>
      </c>
      <c r="R628">
        <v>30</v>
      </c>
      <c r="S628">
        <v>0</v>
      </c>
      <c r="T628">
        <v>0</v>
      </c>
      <c r="U628">
        <v>0</v>
      </c>
      <c r="V628">
        <v>52</v>
      </c>
      <c r="W628">
        <v>364</v>
      </c>
      <c r="Z628">
        <v>0</v>
      </c>
      <c r="AA628" t="s">
        <v>1450</v>
      </c>
    </row>
    <row r="629" spans="1:27" x14ac:dyDescent="0.25">
      <c r="H629" t="s">
        <v>1451</v>
      </c>
    </row>
    <row r="630" spans="1:27" x14ac:dyDescent="0.25">
      <c r="A630">
        <v>312</v>
      </c>
      <c r="B630">
        <v>159</v>
      </c>
      <c r="C630" t="s">
        <v>1452</v>
      </c>
      <c r="D630" t="s">
        <v>20</v>
      </c>
      <c r="E630" t="s">
        <v>47</v>
      </c>
      <c r="F630" t="s">
        <v>1453</v>
      </c>
      <c r="G630" t="str">
        <f>"201405001989"</f>
        <v>201405001989</v>
      </c>
      <c r="H630" t="s">
        <v>30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70</v>
      </c>
      <c r="O630">
        <v>0</v>
      </c>
      <c r="P630">
        <v>70</v>
      </c>
      <c r="Q630">
        <v>0</v>
      </c>
      <c r="R630">
        <v>0</v>
      </c>
      <c r="S630">
        <v>0</v>
      </c>
      <c r="T630">
        <v>50</v>
      </c>
      <c r="U630">
        <v>50</v>
      </c>
      <c r="V630">
        <v>82</v>
      </c>
      <c r="W630">
        <v>574</v>
      </c>
      <c r="Z630">
        <v>0</v>
      </c>
      <c r="AA630" t="s">
        <v>1454</v>
      </c>
    </row>
    <row r="631" spans="1:27" x14ac:dyDescent="0.25">
      <c r="H631" t="s">
        <v>1455</v>
      </c>
    </row>
    <row r="632" spans="1:27" x14ac:dyDescent="0.25">
      <c r="A632">
        <v>313</v>
      </c>
      <c r="B632">
        <v>1298</v>
      </c>
      <c r="C632" t="s">
        <v>1456</v>
      </c>
      <c r="D632" t="s">
        <v>652</v>
      </c>
      <c r="E632" t="s">
        <v>100</v>
      </c>
      <c r="F632" t="s">
        <v>1457</v>
      </c>
      <c r="G632" t="str">
        <f>"201506000158"</f>
        <v>201506000158</v>
      </c>
      <c r="H632" t="s">
        <v>879</v>
      </c>
      <c r="I632">
        <v>0</v>
      </c>
      <c r="J632">
        <v>0</v>
      </c>
      <c r="K632">
        <v>0</v>
      </c>
      <c r="L632">
        <v>0</v>
      </c>
      <c r="M632">
        <v>100</v>
      </c>
      <c r="N632">
        <v>70</v>
      </c>
      <c r="O632">
        <v>70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165</v>
      </c>
      <c r="W632">
        <v>588</v>
      </c>
      <c r="Z632">
        <v>0</v>
      </c>
      <c r="AA632" t="s">
        <v>1458</v>
      </c>
    </row>
    <row r="633" spans="1:27" x14ac:dyDescent="0.25">
      <c r="H633" t="s">
        <v>1459</v>
      </c>
    </row>
    <row r="634" spans="1:27" x14ac:dyDescent="0.25">
      <c r="A634">
        <v>314</v>
      </c>
      <c r="B634">
        <v>699</v>
      </c>
      <c r="C634" t="s">
        <v>1460</v>
      </c>
      <c r="D634" t="s">
        <v>176</v>
      </c>
      <c r="E634" t="s">
        <v>121</v>
      </c>
      <c r="F634" t="s">
        <v>1461</v>
      </c>
      <c r="G634" t="str">
        <f>"00013758"</f>
        <v>00013758</v>
      </c>
      <c r="H634">
        <v>693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87</v>
      </c>
      <c r="W634">
        <v>588</v>
      </c>
      <c r="Z634">
        <v>0</v>
      </c>
      <c r="AA634">
        <v>1551</v>
      </c>
    </row>
    <row r="635" spans="1:27" x14ac:dyDescent="0.25">
      <c r="H635" t="s">
        <v>1462</v>
      </c>
    </row>
    <row r="636" spans="1:27" x14ac:dyDescent="0.25">
      <c r="A636">
        <v>315</v>
      </c>
      <c r="B636">
        <v>3390</v>
      </c>
      <c r="C636" t="s">
        <v>1463</v>
      </c>
      <c r="D636" t="s">
        <v>586</v>
      </c>
      <c r="E636" t="s">
        <v>165</v>
      </c>
      <c r="F636" t="s">
        <v>1464</v>
      </c>
      <c r="G636" t="str">
        <f>"201406011316"</f>
        <v>201406011316</v>
      </c>
      <c r="H636" t="s">
        <v>224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66</v>
      </c>
      <c r="W636">
        <v>462</v>
      </c>
      <c r="Z636">
        <v>0</v>
      </c>
      <c r="AA636" t="s">
        <v>1465</v>
      </c>
    </row>
    <row r="637" spans="1:27" x14ac:dyDescent="0.25">
      <c r="H637" t="s">
        <v>1466</v>
      </c>
    </row>
    <row r="638" spans="1:27" x14ac:dyDescent="0.25">
      <c r="A638">
        <v>316</v>
      </c>
      <c r="B638">
        <v>805</v>
      </c>
      <c r="C638" t="s">
        <v>1467</v>
      </c>
      <c r="D638" t="s">
        <v>891</v>
      </c>
      <c r="E638" t="s">
        <v>602</v>
      </c>
      <c r="F638" t="s">
        <v>1468</v>
      </c>
      <c r="G638" t="str">
        <f>"201406000777"</f>
        <v>201406000777</v>
      </c>
      <c r="H638" t="s">
        <v>1184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30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149</v>
      </c>
      <c r="W638">
        <v>588</v>
      </c>
      <c r="Z638">
        <v>0</v>
      </c>
      <c r="AA638" t="s">
        <v>1469</v>
      </c>
    </row>
    <row r="639" spans="1:27" x14ac:dyDescent="0.25">
      <c r="H639" t="s">
        <v>1470</v>
      </c>
    </row>
    <row r="640" spans="1:27" x14ac:dyDescent="0.25">
      <c r="A640">
        <v>317</v>
      </c>
      <c r="B640">
        <v>2479</v>
      </c>
      <c r="C640" t="s">
        <v>1471</v>
      </c>
      <c r="D640" t="s">
        <v>1472</v>
      </c>
      <c r="E640" t="s">
        <v>143</v>
      </c>
      <c r="F640" t="s">
        <v>1473</v>
      </c>
      <c r="G640" t="str">
        <f>"00014696"</f>
        <v>00014696</v>
      </c>
      <c r="H640">
        <v>913</v>
      </c>
      <c r="I640">
        <v>150</v>
      </c>
      <c r="J640">
        <v>0</v>
      </c>
      <c r="K640">
        <v>0</v>
      </c>
      <c r="L640">
        <v>0</v>
      </c>
      <c r="M640">
        <v>130</v>
      </c>
      <c r="N640">
        <v>70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41</v>
      </c>
      <c r="W640">
        <v>287</v>
      </c>
      <c r="Z640">
        <v>0</v>
      </c>
      <c r="AA640">
        <v>1550</v>
      </c>
    </row>
    <row r="641" spans="1:27" x14ac:dyDescent="0.25">
      <c r="H641" t="s">
        <v>1474</v>
      </c>
    </row>
    <row r="642" spans="1:27" x14ac:dyDescent="0.25">
      <c r="A642">
        <v>318</v>
      </c>
      <c r="B642">
        <v>1335</v>
      </c>
      <c r="C642" t="s">
        <v>1475</v>
      </c>
      <c r="D642" t="s">
        <v>54</v>
      </c>
      <c r="E642" t="s">
        <v>1476</v>
      </c>
      <c r="F642" t="s">
        <v>1477</v>
      </c>
      <c r="G642" t="str">
        <f>"201304002176"</f>
        <v>201304002176</v>
      </c>
      <c r="H642" t="s">
        <v>1478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70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68</v>
      </c>
      <c r="W642">
        <v>476</v>
      </c>
      <c r="Z642">
        <v>0</v>
      </c>
      <c r="AA642" t="s">
        <v>1479</v>
      </c>
    </row>
    <row r="643" spans="1:27" x14ac:dyDescent="0.25">
      <c r="H643" t="s">
        <v>1480</v>
      </c>
    </row>
    <row r="644" spans="1:27" x14ac:dyDescent="0.25">
      <c r="A644">
        <v>319</v>
      </c>
      <c r="B644">
        <v>1374</v>
      </c>
      <c r="C644" t="s">
        <v>1343</v>
      </c>
      <c r="D644" t="s">
        <v>1344</v>
      </c>
      <c r="E644" t="s">
        <v>1150</v>
      </c>
      <c r="F644" t="s">
        <v>1345</v>
      </c>
      <c r="G644" t="str">
        <f>"201406002396"</f>
        <v>201406002396</v>
      </c>
      <c r="H644" t="s">
        <v>1346</v>
      </c>
      <c r="I644">
        <v>0</v>
      </c>
      <c r="J644">
        <v>0</v>
      </c>
      <c r="K644">
        <v>0</v>
      </c>
      <c r="L644">
        <v>200</v>
      </c>
      <c r="M644">
        <v>30</v>
      </c>
      <c r="N644">
        <v>70</v>
      </c>
      <c r="O644">
        <v>30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108</v>
      </c>
      <c r="W644">
        <v>588</v>
      </c>
      <c r="Z644">
        <v>0</v>
      </c>
      <c r="AA644" t="s">
        <v>1481</v>
      </c>
    </row>
    <row r="645" spans="1:27" x14ac:dyDescent="0.25">
      <c r="H645" t="s">
        <v>1348</v>
      </c>
    </row>
    <row r="646" spans="1:27" x14ac:dyDescent="0.25">
      <c r="A646">
        <v>320</v>
      </c>
      <c r="B646">
        <v>1349</v>
      </c>
      <c r="C646" t="s">
        <v>1482</v>
      </c>
      <c r="D646" t="s">
        <v>706</v>
      </c>
      <c r="E646" t="s">
        <v>586</v>
      </c>
      <c r="F646" t="s">
        <v>1483</v>
      </c>
      <c r="G646" t="str">
        <f>"201304004297"</f>
        <v>201304004297</v>
      </c>
      <c r="H646" t="s">
        <v>801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93</v>
      </c>
      <c r="W646">
        <v>588</v>
      </c>
      <c r="Z646">
        <v>0</v>
      </c>
      <c r="AA646" t="s">
        <v>1484</v>
      </c>
    </row>
    <row r="647" spans="1:27" x14ac:dyDescent="0.25">
      <c r="H647" t="s">
        <v>56</v>
      </c>
    </row>
    <row r="648" spans="1:27" x14ac:dyDescent="0.25">
      <c r="A648">
        <v>321</v>
      </c>
      <c r="B648">
        <v>1938</v>
      </c>
      <c r="C648" t="s">
        <v>1485</v>
      </c>
      <c r="D648" t="s">
        <v>1486</v>
      </c>
      <c r="E648" t="s">
        <v>1487</v>
      </c>
      <c r="F648" t="s">
        <v>1488</v>
      </c>
      <c r="G648" t="str">
        <f>"201405000362"</f>
        <v>201405000362</v>
      </c>
      <c r="H648" t="s">
        <v>1310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72</v>
      </c>
      <c r="W648">
        <v>504</v>
      </c>
      <c r="Z648">
        <v>0</v>
      </c>
      <c r="AA648" t="s">
        <v>1489</v>
      </c>
    </row>
    <row r="649" spans="1:27" x14ac:dyDescent="0.25">
      <c r="H649" t="s">
        <v>1490</v>
      </c>
    </row>
    <row r="650" spans="1:27" x14ac:dyDescent="0.25">
      <c r="A650">
        <v>322</v>
      </c>
      <c r="B650">
        <v>601</v>
      </c>
      <c r="C650" t="s">
        <v>1491</v>
      </c>
      <c r="D650" t="s">
        <v>1492</v>
      </c>
      <c r="E650" t="s">
        <v>406</v>
      </c>
      <c r="F650" t="s">
        <v>1493</v>
      </c>
      <c r="G650" t="str">
        <f>"201406008889"</f>
        <v>201406008889</v>
      </c>
      <c r="H650" t="s">
        <v>1494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70</v>
      </c>
      <c r="O650">
        <v>0</v>
      </c>
      <c r="P650">
        <v>50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50</v>
      </c>
      <c r="W650">
        <v>350</v>
      </c>
      <c r="Z650">
        <v>0</v>
      </c>
      <c r="AA650" t="s">
        <v>1495</v>
      </c>
    </row>
    <row r="651" spans="1:27" x14ac:dyDescent="0.25">
      <c r="H651" t="s">
        <v>1496</v>
      </c>
    </row>
    <row r="652" spans="1:27" x14ac:dyDescent="0.25">
      <c r="A652">
        <v>323</v>
      </c>
      <c r="B652">
        <v>1544</v>
      </c>
      <c r="C652" t="s">
        <v>1497</v>
      </c>
      <c r="D652" t="s">
        <v>1498</v>
      </c>
      <c r="E652" t="s">
        <v>1499</v>
      </c>
      <c r="F652" t="s">
        <v>1500</v>
      </c>
      <c r="G652" t="str">
        <f>"201304005490"</f>
        <v>201304005490</v>
      </c>
      <c r="H652" t="s">
        <v>270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70</v>
      </c>
      <c r="O652">
        <v>0</v>
      </c>
      <c r="P652">
        <v>70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318</v>
      </c>
      <c r="W652">
        <v>588</v>
      </c>
      <c r="Z652">
        <v>0</v>
      </c>
      <c r="AA652" t="s">
        <v>1501</v>
      </c>
    </row>
    <row r="653" spans="1:27" x14ac:dyDescent="0.25">
      <c r="H653" t="s">
        <v>98</v>
      </c>
    </row>
    <row r="654" spans="1:27" x14ac:dyDescent="0.25">
      <c r="A654">
        <v>324</v>
      </c>
      <c r="B654">
        <v>2022</v>
      </c>
      <c r="C654" t="s">
        <v>1502</v>
      </c>
      <c r="D654" t="s">
        <v>54</v>
      </c>
      <c r="E654" t="s">
        <v>21</v>
      </c>
      <c r="F654" t="s">
        <v>1503</v>
      </c>
      <c r="G654" t="str">
        <f>"00014207"</f>
        <v>00014207</v>
      </c>
      <c r="H654" t="s">
        <v>1504</v>
      </c>
      <c r="I654">
        <v>0</v>
      </c>
      <c r="J654">
        <v>0</v>
      </c>
      <c r="K654">
        <v>0</v>
      </c>
      <c r="L654">
        <v>0</v>
      </c>
      <c r="M654">
        <v>100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192</v>
      </c>
      <c r="W654">
        <v>588</v>
      </c>
      <c r="Z654">
        <v>0</v>
      </c>
      <c r="AA654" t="s">
        <v>1505</v>
      </c>
    </row>
    <row r="655" spans="1:27" x14ac:dyDescent="0.25">
      <c r="H655" t="s">
        <v>1506</v>
      </c>
    </row>
    <row r="656" spans="1:27" x14ac:dyDescent="0.25">
      <c r="A656">
        <v>325</v>
      </c>
      <c r="B656">
        <v>3291</v>
      </c>
      <c r="C656" t="s">
        <v>1507</v>
      </c>
      <c r="D656" t="s">
        <v>1508</v>
      </c>
      <c r="E656" t="s">
        <v>1509</v>
      </c>
      <c r="F656" t="s">
        <v>1510</v>
      </c>
      <c r="G656" t="str">
        <f>"00010574"</f>
        <v>00010574</v>
      </c>
      <c r="H656" t="s">
        <v>1511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60</v>
      </c>
      <c r="W656">
        <v>420</v>
      </c>
      <c r="Z656">
        <v>0</v>
      </c>
      <c r="AA656" t="s">
        <v>1512</v>
      </c>
    </row>
    <row r="657" spans="1:27" x14ac:dyDescent="0.25">
      <c r="H657" t="s">
        <v>1513</v>
      </c>
    </row>
    <row r="658" spans="1:27" x14ac:dyDescent="0.25">
      <c r="A658">
        <v>326</v>
      </c>
      <c r="B658">
        <v>662</v>
      </c>
      <c r="C658" t="s">
        <v>1514</v>
      </c>
      <c r="D658" t="s">
        <v>112</v>
      </c>
      <c r="E658" t="s">
        <v>143</v>
      </c>
      <c r="F658" t="s">
        <v>1515</v>
      </c>
      <c r="G658" t="str">
        <f>"201506003713"</f>
        <v>201506003713</v>
      </c>
      <c r="H658" t="s">
        <v>43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75</v>
      </c>
      <c r="W658">
        <v>525</v>
      </c>
      <c r="Z658">
        <v>0</v>
      </c>
      <c r="AA658" t="s">
        <v>1516</v>
      </c>
    </row>
    <row r="659" spans="1:27" x14ac:dyDescent="0.25">
      <c r="H659" t="s">
        <v>1517</v>
      </c>
    </row>
    <row r="660" spans="1:27" x14ac:dyDescent="0.25">
      <c r="A660">
        <v>327</v>
      </c>
      <c r="B660">
        <v>1543</v>
      </c>
      <c r="C660" t="s">
        <v>1518</v>
      </c>
      <c r="D660" t="s">
        <v>581</v>
      </c>
      <c r="E660" t="s">
        <v>21</v>
      </c>
      <c r="F660" t="s">
        <v>1519</v>
      </c>
      <c r="G660" t="str">
        <f>"201506000982"</f>
        <v>201506000982</v>
      </c>
      <c r="H660" t="s">
        <v>206</v>
      </c>
      <c r="I660">
        <v>0</v>
      </c>
      <c r="J660">
        <v>0</v>
      </c>
      <c r="K660">
        <v>0</v>
      </c>
      <c r="L660">
        <v>200</v>
      </c>
      <c r="M660">
        <v>0</v>
      </c>
      <c r="N660">
        <v>70</v>
      </c>
      <c r="O660">
        <v>30</v>
      </c>
      <c r="P660">
        <v>0</v>
      </c>
      <c r="Q660">
        <v>0</v>
      </c>
      <c r="R660">
        <v>30</v>
      </c>
      <c r="S660">
        <v>30</v>
      </c>
      <c r="T660">
        <v>0</v>
      </c>
      <c r="U660">
        <v>0</v>
      </c>
      <c r="V660">
        <v>64</v>
      </c>
      <c r="W660">
        <v>448</v>
      </c>
      <c r="Z660">
        <v>0</v>
      </c>
      <c r="AA660" t="s">
        <v>1520</v>
      </c>
    </row>
    <row r="661" spans="1:27" x14ac:dyDescent="0.25">
      <c r="H661" t="s">
        <v>933</v>
      </c>
    </row>
    <row r="662" spans="1:27" x14ac:dyDescent="0.25">
      <c r="A662">
        <v>328</v>
      </c>
      <c r="B662">
        <v>476</v>
      </c>
      <c r="C662" t="s">
        <v>1521</v>
      </c>
      <c r="D662" t="s">
        <v>1026</v>
      </c>
      <c r="E662" t="s">
        <v>143</v>
      </c>
      <c r="F662" t="s">
        <v>1522</v>
      </c>
      <c r="G662" t="str">
        <f>"201304003319"</f>
        <v>201304003319</v>
      </c>
      <c r="H662" t="s">
        <v>1523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131</v>
      </c>
      <c r="W662">
        <v>588</v>
      </c>
      <c r="Z662">
        <v>0</v>
      </c>
      <c r="AA662" t="s">
        <v>1524</v>
      </c>
    </row>
    <row r="663" spans="1:27" x14ac:dyDescent="0.25">
      <c r="H663" t="s">
        <v>1525</v>
      </c>
    </row>
    <row r="664" spans="1:27" x14ac:dyDescent="0.25">
      <c r="A664">
        <v>329</v>
      </c>
      <c r="B664">
        <v>405</v>
      </c>
      <c r="C664" t="s">
        <v>1526</v>
      </c>
      <c r="D664" t="s">
        <v>210</v>
      </c>
      <c r="E664" t="s">
        <v>94</v>
      </c>
      <c r="F664" t="s">
        <v>1527</v>
      </c>
      <c r="G664" t="str">
        <f>"00015104"</f>
        <v>00015104</v>
      </c>
      <c r="H664" t="s">
        <v>379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70</v>
      </c>
      <c r="O664">
        <v>0</v>
      </c>
      <c r="P664">
        <v>0</v>
      </c>
      <c r="Q664">
        <v>0</v>
      </c>
      <c r="R664">
        <v>50</v>
      </c>
      <c r="S664">
        <v>0</v>
      </c>
      <c r="T664">
        <v>0</v>
      </c>
      <c r="U664">
        <v>0</v>
      </c>
      <c r="V664">
        <v>63</v>
      </c>
      <c r="W664">
        <v>441</v>
      </c>
      <c r="Z664">
        <v>0</v>
      </c>
      <c r="AA664" t="s">
        <v>1528</v>
      </c>
    </row>
    <row r="665" spans="1:27" x14ac:dyDescent="0.25">
      <c r="H665" t="s">
        <v>147</v>
      </c>
    </row>
    <row r="666" spans="1:27" x14ac:dyDescent="0.25">
      <c r="A666">
        <v>330</v>
      </c>
      <c r="B666">
        <v>929</v>
      </c>
      <c r="C666" t="s">
        <v>1529</v>
      </c>
      <c r="D666" t="s">
        <v>652</v>
      </c>
      <c r="E666" t="s">
        <v>624</v>
      </c>
      <c r="F666" t="s">
        <v>1530</v>
      </c>
      <c r="G666" t="str">
        <f>"201304003375"</f>
        <v>201304003375</v>
      </c>
      <c r="H666">
        <v>781</v>
      </c>
      <c r="I666">
        <v>0</v>
      </c>
      <c r="J666">
        <v>0</v>
      </c>
      <c r="K666">
        <v>0</v>
      </c>
      <c r="L666">
        <v>0</v>
      </c>
      <c r="M666">
        <v>100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115</v>
      </c>
      <c r="W666">
        <v>588</v>
      </c>
      <c r="Z666">
        <v>0</v>
      </c>
      <c r="AA666">
        <v>1539</v>
      </c>
    </row>
    <row r="667" spans="1:27" x14ac:dyDescent="0.25">
      <c r="H667" t="s">
        <v>1531</v>
      </c>
    </row>
    <row r="668" spans="1:27" x14ac:dyDescent="0.25">
      <c r="A668">
        <v>331</v>
      </c>
      <c r="B668">
        <v>1108</v>
      </c>
      <c r="C668" t="s">
        <v>1532</v>
      </c>
      <c r="D668" t="s">
        <v>818</v>
      </c>
      <c r="E668" t="s">
        <v>1533</v>
      </c>
      <c r="F668" t="s">
        <v>1534</v>
      </c>
      <c r="G668" t="str">
        <f>"201410003383"</f>
        <v>201410003383</v>
      </c>
      <c r="H668">
        <v>671</v>
      </c>
      <c r="I668">
        <v>150</v>
      </c>
      <c r="J668">
        <v>0</v>
      </c>
      <c r="K668">
        <v>0</v>
      </c>
      <c r="L668">
        <v>0</v>
      </c>
      <c r="M668">
        <v>100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280</v>
      </c>
      <c r="W668">
        <v>588</v>
      </c>
      <c r="Z668">
        <v>0</v>
      </c>
      <c r="AA668">
        <v>1539</v>
      </c>
    </row>
    <row r="669" spans="1:27" x14ac:dyDescent="0.25">
      <c r="H669" t="s">
        <v>1535</v>
      </c>
    </row>
    <row r="670" spans="1:27" x14ac:dyDescent="0.25">
      <c r="A670">
        <v>332</v>
      </c>
      <c r="B670">
        <v>2652</v>
      </c>
      <c r="C670" t="s">
        <v>1536</v>
      </c>
      <c r="D670" t="s">
        <v>450</v>
      </c>
      <c r="E670" t="s">
        <v>644</v>
      </c>
      <c r="F670" t="s">
        <v>1537</v>
      </c>
      <c r="G670" t="str">
        <f>"201406007260"</f>
        <v>201406007260</v>
      </c>
      <c r="H670" t="s">
        <v>118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99</v>
      </c>
      <c r="W670">
        <v>588</v>
      </c>
      <c r="Z670">
        <v>0</v>
      </c>
      <c r="AA670" t="s">
        <v>1538</v>
      </c>
    </row>
    <row r="671" spans="1:27" x14ac:dyDescent="0.25">
      <c r="H671">
        <v>202</v>
      </c>
    </row>
    <row r="672" spans="1:27" x14ac:dyDescent="0.25">
      <c r="A672">
        <v>333</v>
      </c>
      <c r="B672">
        <v>1837</v>
      </c>
      <c r="C672" t="s">
        <v>1539</v>
      </c>
      <c r="D672" t="s">
        <v>1540</v>
      </c>
      <c r="E672" t="s">
        <v>456</v>
      </c>
      <c r="F672" t="s">
        <v>1541</v>
      </c>
      <c r="G672" t="str">
        <f>"201406013383"</f>
        <v>201406013383</v>
      </c>
      <c r="H672" t="s">
        <v>626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30</v>
      </c>
      <c r="O672">
        <v>50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76</v>
      </c>
      <c r="W672">
        <v>532</v>
      </c>
      <c r="Z672">
        <v>0</v>
      </c>
      <c r="AA672" t="s">
        <v>1538</v>
      </c>
    </row>
    <row r="673" spans="1:27" x14ac:dyDescent="0.25">
      <c r="H673" t="s">
        <v>1542</v>
      </c>
    </row>
    <row r="674" spans="1:27" x14ac:dyDescent="0.25">
      <c r="A674">
        <v>334</v>
      </c>
      <c r="B674">
        <v>1617</v>
      </c>
      <c r="C674" t="s">
        <v>1460</v>
      </c>
      <c r="D674" t="s">
        <v>20</v>
      </c>
      <c r="E674" t="s">
        <v>47</v>
      </c>
      <c r="F674" t="s">
        <v>1543</v>
      </c>
      <c r="G674" t="str">
        <f>"201406002327"</f>
        <v>201406002327</v>
      </c>
      <c r="H674" t="s">
        <v>212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70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59</v>
      </c>
      <c r="W674">
        <v>413</v>
      </c>
      <c r="Z674">
        <v>0</v>
      </c>
      <c r="AA674" t="s">
        <v>1544</v>
      </c>
    </row>
    <row r="675" spans="1:27" x14ac:dyDescent="0.25">
      <c r="H675" t="s">
        <v>1545</v>
      </c>
    </row>
    <row r="676" spans="1:27" x14ac:dyDescent="0.25">
      <c r="A676">
        <v>335</v>
      </c>
      <c r="B676">
        <v>975</v>
      </c>
      <c r="C676" t="s">
        <v>1546</v>
      </c>
      <c r="D676" t="s">
        <v>1547</v>
      </c>
      <c r="E676" t="s">
        <v>1238</v>
      </c>
      <c r="F676" t="s">
        <v>1548</v>
      </c>
      <c r="G676" t="str">
        <f>"201506001806"</f>
        <v>201506001806</v>
      </c>
      <c r="H676" t="s">
        <v>697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70</v>
      </c>
      <c r="O676">
        <v>0</v>
      </c>
      <c r="P676">
        <v>50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72</v>
      </c>
      <c r="W676">
        <v>504</v>
      </c>
      <c r="Z676">
        <v>0</v>
      </c>
      <c r="AA676" t="s">
        <v>1549</v>
      </c>
    </row>
    <row r="677" spans="1:27" x14ac:dyDescent="0.25">
      <c r="H677" t="s">
        <v>1550</v>
      </c>
    </row>
    <row r="678" spans="1:27" x14ac:dyDescent="0.25">
      <c r="A678">
        <v>336</v>
      </c>
      <c r="B678">
        <v>2242</v>
      </c>
      <c r="C678" t="s">
        <v>1551</v>
      </c>
      <c r="D678" t="s">
        <v>1552</v>
      </c>
      <c r="E678" t="s">
        <v>81</v>
      </c>
      <c r="F678" t="s">
        <v>1553</v>
      </c>
      <c r="G678" t="str">
        <f>"201304000224"</f>
        <v>201304000224</v>
      </c>
      <c r="H678" t="s">
        <v>438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70</v>
      </c>
      <c r="O678">
        <v>30</v>
      </c>
      <c r="P678">
        <v>0</v>
      </c>
      <c r="Q678">
        <v>30</v>
      </c>
      <c r="R678">
        <v>0</v>
      </c>
      <c r="S678">
        <v>0</v>
      </c>
      <c r="T678">
        <v>0</v>
      </c>
      <c r="U678">
        <v>0</v>
      </c>
      <c r="V678">
        <v>57</v>
      </c>
      <c r="W678">
        <v>399</v>
      </c>
      <c r="Z678">
        <v>0</v>
      </c>
      <c r="AA678" t="s">
        <v>1554</v>
      </c>
    </row>
    <row r="679" spans="1:27" x14ac:dyDescent="0.25">
      <c r="H679" t="s">
        <v>1555</v>
      </c>
    </row>
    <row r="680" spans="1:27" x14ac:dyDescent="0.25">
      <c r="A680">
        <v>337</v>
      </c>
      <c r="B680">
        <v>1753</v>
      </c>
      <c r="C680" t="s">
        <v>1556</v>
      </c>
      <c r="D680" t="s">
        <v>40</v>
      </c>
      <c r="E680" t="s">
        <v>81</v>
      </c>
      <c r="F680" t="s">
        <v>1557</v>
      </c>
      <c r="G680" t="str">
        <f>"201406005550"</f>
        <v>201406005550</v>
      </c>
      <c r="H680" t="s">
        <v>172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70</v>
      </c>
      <c r="O680">
        <v>0</v>
      </c>
      <c r="P680">
        <v>0</v>
      </c>
      <c r="Q680">
        <v>30</v>
      </c>
      <c r="R680">
        <v>30</v>
      </c>
      <c r="S680">
        <v>0</v>
      </c>
      <c r="T680">
        <v>0</v>
      </c>
      <c r="U680">
        <v>0</v>
      </c>
      <c r="V680">
        <v>48</v>
      </c>
      <c r="W680">
        <v>336</v>
      </c>
      <c r="Z680">
        <v>0</v>
      </c>
      <c r="AA680" t="s">
        <v>1558</v>
      </c>
    </row>
    <row r="681" spans="1:27" x14ac:dyDescent="0.25">
      <c r="H681" t="s">
        <v>1559</v>
      </c>
    </row>
    <row r="682" spans="1:27" x14ac:dyDescent="0.25">
      <c r="A682">
        <v>338</v>
      </c>
      <c r="B682">
        <v>506</v>
      </c>
      <c r="C682" t="s">
        <v>1560</v>
      </c>
      <c r="D682" t="s">
        <v>47</v>
      </c>
      <c r="E682" t="s">
        <v>54</v>
      </c>
      <c r="F682" t="s">
        <v>1561</v>
      </c>
      <c r="G682" t="str">
        <f>"00013848"</f>
        <v>00013848</v>
      </c>
      <c r="H682" t="s">
        <v>1562</v>
      </c>
      <c r="I682">
        <v>0</v>
      </c>
      <c r="J682">
        <v>0</v>
      </c>
      <c r="K682">
        <v>0</v>
      </c>
      <c r="L682">
        <v>200</v>
      </c>
      <c r="M682">
        <v>0</v>
      </c>
      <c r="N682">
        <v>70</v>
      </c>
      <c r="O682">
        <v>0</v>
      </c>
      <c r="P682">
        <v>30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Z682">
        <v>0</v>
      </c>
      <c r="AA682" t="s">
        <v>1563</v>
      </c>
    </row>
    <row r="683" spans="1:27" x14ac:dyDescent="0.25">
      <c r="H683" t="s">
        <v>1564</v>
      </c>
    </row>
    <row r="684" spans="1:27" x14ac:dyDescent="0.25">
      <c r="A684">
        <v>339</v>
      </c>
      <c r="B684">
        <v>2685</v>
      </c>
      <c r="C684" t="s">
        <v>1565</v>
      </c>
      <c r="D684" t="s">
        <v>1102</v>
      </c>
      <c r="E684" t="s">
        <v>155</v>
      </c>
      <c r="F684" t="s">
        <v>1566</v>
      </c>
      <c r="G684" t="str">
        <f>"201406013636"</f>
        <v>201406013636</v>
      </c>
      <c r="H684" t="s">
        <v>189</v>
      </c>
      <c r="I684">
        <v>0</v>
      </c>
      <c r="J684">
        <v>0</v>
      </c>
      <c r="K684">
        <v>0</v>
      </c>
      <c r="L684">
        <v>0</v>
      </c>
      <c r="M684">
        <v>100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180</v>
      </c>
      <c r="W684">
        <v>588</v>
      </c>
      <c r="Z684">
        <v>0</v>
      </c>
      <c r="AA684" t="s">
        <v>1567</v>
      </c>
    </row>
    <row r="685" spans="1:27" x14ac:dyDescent="0.25">
      <c r="H685" t="s">
        <v>1568</v>
      </c>
    </row>
    <row r="686" spans="1:27" x14ac:dyDescent="0.25">
      <c r="A686">
        <v>340</v>
      </c>
      <c r="B686">
        <v>149</v>
      </c>
      <c r="C686" t="s">
        <v>1569</v>
      </c>
      <c r="D686" t="s">
        <v>1570</v>
      </c>
      <c r="E686" t="s">
        <v>94</v>
      </c>
      <c r="F686" t="s">
        <v>1571</v>
      </c>
      <c r="G686" t="str">
        <f>"201406014228"</f>
        <v>201406014228</v>
      </c>
      <c r="H686" t="s">
        <v>1572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70</v>
      </c>
      <c r="P686">
        <v>0</v>
      </c>
      <c r="Q686">
        <v>30</v>
      </c>
      <c r="R686">
        <v>30</v>
      </c>
      <c r="S686">
        <v>0</v>
      </c>
      <c r="T686">
        <v>0</v>
      </c>
      <c r="U686">
        <v>0</v>
      </c>
      <c r="V686">
        <v>97</v>
      </c>
      <c r="W686">
        <v>588</v>
      </c>
      <c r="Z686">
        <v>0</v>
      </c>
      <c r="AA686" t="s">
        <v>1573</v>
      </c>
    </row>
    <row r="687" spans="1:27" x14ac:dyDescent="0.25">
      <c r="H687" t="s">
        <v>1574</v>
      </c>
    </row>
    <row r="688" spans="1:27" x14ac:dyDescent="0.25">
      <c r="A688">
        <v>341</v>
      </c>
      <c r="B688">
        <v>389</v>
      </c>
      <c r="C688" t="s">
        <v>1575</v>
      </c>
      <c r="D688" t="s">
        <v>1576</v>
      </c>
      <c r="E688" t="s">
        <v>41</v>
      </c>
      <c r="F688" t="s">
        <v>1577</v>
      </c>
      <c r="G688" t="str">
        <f>"00014672"</f>
        <v>00014672</v>
      </c>
      <c r="H688" t="s">
        <v>1316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70</v>
      </c>
      <c r="P688">
        <v>50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Z688">
        <v>0</v>
      </c>
      <c r="AA688" t="s">
        <v>1578</v>
      </c>
    </row>
    <row r="689" spans="1:27" x14ac:dyDescent="0.25">
      <c r="H689" t="s">
        <v>1579</v>
      </c>
    </row>
    <row r="690" spans="1:27" x14ac:dyDescent="0.25">
      <c r="A690">
        <v>342</v>
      </c>
      <c r="B690">
        <v>2585</v>
      </c>
      <c r="C690" t="s">
        <v>1580</v>
      </c>
      <c r="D690" t="s">
        <v>1581</v>
      </c>
      <c r="E690" t="s">
        <v>602</v>
      </c>
      <c r="F690" t="s">
        <v>1582</v>
      </c>
      <c r="G690" t="str">
        <f>"00013371"</f>
        <v>00013371</v>
      </c>
      <c r="H690">
        <v>726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70</v>
      </c>
      <c r="O690">
        <v>70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66</v>
      </c>
      <c r="W690">
        <v>462</v>
      </c>
      <c r="Z690">
        <v>0</v>
      </c>
      <c r="AA690">
        <v>1528</v>
      </c>
    </row>
    <row r="691" spans="1:27" x14ac:dyDescent="0.25">
      <c r="H691" t="s">
        <v>1583</v>
      </c>
    </row>
    <row r="692" spans="1:27" x14ac:dyDescent="0.25">
      <c r="A692">
        <v>343</v>
      </c>
      <c r="B692">
        <v>2913</v>
      </c>
      <c r="C692" t="s">
        <v>1584</v>
      </c>
      <c r="D692" t="s">
        <v>243</v>
      </c>
      <c r="E692" t="s">
        <v>41</v>
      </c>
      <c r="F692" t="s">
        <v>1585</v>
      </c>
      <c r="G692" t="str">
        <f>"00014462"</f>
        <v>00014462</v>
      </c>
      <c r="H692" t="s">
        <v>920</v>
      </c>
      <c r="I692">
        <v>0</v>
      </c>
      <c r="J692">
        <v>0</v>
      </c>
      <c r="K692">
        <v>0</v>
      </c>
      <c r="L692">
        <v>200</v>
      </c>
      <c r="M692">
        <v>0</v>
      </c>
      <c r="N692">
        <v>70</v>
      </c>
      <c r="O692">
        <v>0</v>
      </c>
      <c r="P692">
        <v>50</v>
      </c>
      <c r="Q692">
        <v>0</v>
      </c>
      <c r="R692">
        <v>30</v>
      </c>
      <c r="S692">
        <v>0</v>
      </c>
      <c r="T692">
        <v>0</v>
      </c>
      <c r="U692">
        <v>0</v>
      </c>
      <c r="V692">
        <v>54</v>
      </c>
      <c r="W692">
        <v>378</v>
      </c>
      <c r="Z692">
        <v>0</v>
      </c>
      <c r="AA692" t="s">
        <v>1586</v>
      </c>
    </row>
    <row r="693" spans="1:27" x14ac:dyDescent="0.25">
      <c r="H693" t="s">
        <v>1587</v>
      </c>
    </row>
    <row r="694" spans="1:27" x14ac:dyDescent="0.25">
      <c r="A694">
        <v>344</v>
      </c>
      <c r="B694">
        <v>1009</v>
      </c>
      <c r="C694" t="s">
        <v>1588</v>
      </c>
      <c r="D694" t="s">
        <v>1589</v>
      </c>
      <c r="E694" t="s">
        <v>81</v>
      </c>
      <c r="F694" t="s">
        <v>1590</v>
      </c>
      <c r="G694" t="str">
        <f>"00015142"</f>
        <v>00015142</v>
      </c>
      <c r="H694" t="s">
        <v>30</v>
      </c>
      <c r="I694">
        <v>0</v>
      </c>
      <c r="J694">
        <v>0</v>
      </c>
      <c r="K694">
        <v>0</v>
      </c>
      <c r="L694">
        <v>0</v>
      </c>
      <c r="M694">
        <v>100</v>
      </c>
      <c r="N694">
        <v>70</v>
      </c>
      <c r="O694">
        <v>30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86</v>
      </c>
      <c r="W694">
        <v>588</v>
      </c>
      <c r="Z694">
        <v>0</v>
      </c>
      <c r="AA694" t="s">
        <v>1591</v>
      </c>
    </row>
    <row r="695" spans="1:27" x14ac:dyDescent="0.25">
      <c r="H695" t="s">
        <v>1592</v>
      </c>
    </row>
    <row r="696" spans="1:27" x14ac:dyDescent="0.25">
      <c r="A696">
        <v>345</v>
      </c>
      <c r="B696">
        <v>2562</v>
      </c>
      <c r="C696" t="s">
        <v>1593</v>
      </c>
      <c r="D696" t="s">
        <v>1594</v>
      </c>
      <c r="E696" t="s">
        <v>41</v>
      </c>
      <c r="F696" t="s">
        <v>1595</v>
      </c>
      <c r="G696" t="str">
        <f>"200804000089"</f>
        <v>200804000089</v>
      </c>
      <c r="H696" t="s">
        <v>1155</v>
      </c>
      <c r="I696">
        <v>0</v>
      </c>
      <c r="J696">
        <v>0</v>
      </c>
      <c r="K696">
        <v>0</v>
      </c>
      <c r="L696">
        <v>0</v>
      </c>
      <c r="M696">
        <v>100</v>
      </c>
      <c r="N696">
        <v>70</v>
      </c>
      <c r="O696">
        <v>0</v>
      </c>
      <c r="P696">
        <v>50</v>
      </c>
      <c r="Q696">
        <v>30</v>
      </c>
      <c r="R696">
        <v>0</v>
      </c>
      <c r="S696">
        <v>0</v>
      </c>
      <c r="T696">
        <v>0</v>
      </c>
      <c r="U696">
        <v>0</v>
      </c>
      <c r="V696">
        <v>135</v>
      </c>
      <c r="W696">
        <v>588</v>
      </c>
      <c r="Z696">
        <v>0</v>
      </c>
      <c r="AA696" t="s">
        <v>1596</v>
      </c>
    </row>
    <row r="697" spans="1:27" x14ac:dyDescent="0.25">
      <c r="H697" t="s">
        <v>1597</v>
      </c>
    </row>
    <row r="698" spans="1:27" x14ac:dyDescent="0.25">
      <c r="A698">
        <v>346</v>
      </c>
      <c r="B698">
        <v>461</v>
      </c>
      <c r="C698" t="s">
        <v>1598</v>
      </c>
      <c r="D698" t="s">
        <v>1599</v>
      </c>
      <c r="E698" t="s">
        <v>276</v>
      </c>
      <c r="F698" t="s">
        <v>1600</v>
      </c>
      <c r="G698" t="str">
        <f>"00014955"</f>
        <v>00014955</v>
      </c>
      <c r="H698">
        <v>803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30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60</v>
      </c>
      <c r="W698">
        <v>420</v>
      </c>
      <c r="Z698">
        <v>0</v>
      </c>
      <c r="AA698">
        <v>1523</v>
      </c>
    </row>
    <row r="699" spans="1:27" x14ac:dyDescent="0.25">
      <c r="H699" t="s">
        <v>1601</v>
      </c>
    </row>
    <row r="700" spans="1:27" x14ac:dyDescent="0.25">
      <c r="A700">
        <v>347</v>
      </c>
      <c r="B700">
        <v>678</v>
      </c>
      <c r="C700" t="s">
        <v>1602</v>
      </c>
      <c r="D700" t="s">
        <v>1603</v>
      </c>
      <c r="E700" t="s">
        <v>47</v>
      </c>
      <c r="F700" t="s">
        <v>1604</v>
      </c>
      <c r="G700" t="str">
        <f>"00014643"</f>
        <v>00014643</v>
      </c>
      <c r="H700" t="s">
        <v>1104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70</v>
      </c>
      <c r="O700">
        <v>0</v>
      </c>
      <c r="P700">
        <v>30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72</v>
      </c>
      <c r="W700">
        <v>504</v>
      </c>
      <c r="Z700">
        <v>0</v>
      </c>
      <c r="AA700" t="s">
        <v>1605</v>
      </c>
    </row>
    <row r="701" spans="1:27" x14ac:dyDescent="0.25">
      <c r="H701" t="s">
        <v>1606</v>
      </c>
    </row>
    <row r="702" spans="1:27" x14ac:dyDescent="0.25">
      <c r="A702">
        <v>348</v>
      </c>
      <c r="B702">
        <v>1666</v>
      </c>
      <c r="C702" t="s">
        <v>1607</v>
      </c>
      <c r="D702" t="s">
        <v>1102</v>
      </c>
      <c r="E702" t="s">
        <v>54</v>
      </c>
      <c r="F702" t="s">
        <v>1608</v>
      </c>
      <c r="G702" t="str">
        <f>"201304001135"</f>
        <v>201304001135</v>
      </c>
      <c r="H702">
        <v>748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72</v>
      </c>
      <c r="W702">
        <v>504</v>
      </c>
      <c r="Z702">
        <v>0</v>
      </c>
      <c r="AA702">
        <v>1522</v>
      </c>
    </row>
    <row r="703" spans="1:27" x14ac:dyDescent="0.25">
      <c r="H703" t="s">
        <v>369</v>
      </c>
    </row>
    <row r="704" spans="1:27" x14ac:dyDescent="0.25">
      <c r="A704">
        <v>349</v>
      </c>
      <c r="B704">
        <v>2470</v>
      </c>
      <c r="C704" t="s">
        <v>1609</v>
      </c>
      <c r="D704" t="s">
        <v>40</v>
      </c>
      <c r="E704" t="s">
        <v>1610</v>
      </c>
      <c r="F704" t="s">
        <v>1611</v>
      </c>
      <c r="G704" t="str">
        <f>"201505000292"</f>
        <v>201505000292</v>
      </c>
      <c r="H704" t="s">
        <v>389</v>
      </c>
      <c r="I704">
        <v>0</v>
      </c>
      <c r="J704">
        <v>0</v>
      </c>
      <c r="K704">
        <v>0</v>
      </c>
      <c r="L704">
        <v>0</v>
      </c>
      <c r="M704">
        <v>100</v>
      </c>
      <c r="N704">
        <v>70</v>
      </c>
      <c r="O704">
        <v>70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72</v>
      </c>
      <c r="W704">
        <v>504</v>
      </c>
      <c r="Z704">
        <v>0</v>
      </c>
      <c r="AA704" t="s">
        <v>1612</v>
      </c>
    </row>
    <row r="705" spans="1:27" x14ac:dyDescent="0.25">
      <c r="H705" t="s">
        <v>1613</v>
      </c>
    </row>
    <row r="706" spans="1:27" x14ac:dyDescent="0.25">
      <c r="A706">
        <v>350</v>
      </c>
      <c r="B706">
        <v>2273</v>
      </c>
      <c r="C706" t="s">
        <v>1614</v>
      </c>
      <c r="D706" t="s">
        <v>581</v>
      </c>
      <c r="E706" t="s">
        <v>94</v>
      </c>
      <c r="F706" t="s">
        <v>1615</v>
      </c>
      <c r="G706" t="str">
        <f>"00001774"</f>
        <v>00001774</v>
      </c>
      <c r="H706" t="s">
        <v>1478</v>
      </c>
      <c r="I706">
        <v>0</v>
      </c>
      <c r="J706">
        <v>0</v>
      </c>
      <c r="K706">
        <v>0</v>
      </c>
      <c r="L706">
        <v>0</v>
      </c>
      <c r="M706">
        <v>100</v>
      </c>
      <c r="N706">
        <v>70</v>
      </c>
      <c r="O706">
        <v>0</v>
      </c>
      <c r="P706">
        <v>0</v>
      </c>
      <c r="Q706">
        <v>30</v>
      </c>
      <c r="R706">
        <v>0</v>
      </c>
      <c r="S706">
        <v>0</v>
      </c>
      <c r="T706">
        <v>0</v>
      </c>
      <c r="U706">
        <v>0</v>
      </c>
      <c r="V706">
        <v>119</v>
      </c>
      <c r="W706">
        <v>588</v>
      </c>
      <c r="Z706">
        <v>0</v>
      </c>
      <c r="AA706" t="s">
        <v>1612</v>
      </c>
    </row>
    <row r="707" spans="1:27" x14ac:dyDescent="0.25">
      <c r="H707">
        <v>211</v>
      </c>
    </row>
    <row r="708" spans="1:27" x14ac:dyDescent="0.25">
      <c r="A708">
        <v>351</v>
      </c>
      <c r="B708">
        <v>1813</v>
      </c>
      <c r="C708" t="s">
        <v>845</v>
      </c>
      <c r="D708" t="s">
        <v>14</v>
      </c>
      <c r="E708" t="s">
        <v>1194</v>
      </c>
      <c r="F708" t="s">
        <v>1616</v>
      </c>
      <c r="G708" t="str">
        <f>"201304004592"</f>
        <v>201304004592</v>
      </c>
      <c r="H708" t="s">
        <v>239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70</v>
      </c>
      <c r="O708">
        <v>0</v>
      </c>
      <c r="P708">
        <v>70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96</v>
      </c>
      <c r="W708">
        <v>588</v>
      </c>
      <c r="Z708">
        <v>0</v>
      </c>
      <c r="AA708" t="s">
        <v>1617</v>
      </c>
    </row>
    <row r="709" spans="1:27" x14ac:dyDescent="0.25">
      <c r="H709" t="s">
        <v>549</v>
      </c>
    </row>
    <row r="710" spans="1:27" x14ac:dyDescent="0.25">
      <c r="A710">
        <v>352</v>
      </c>
      <c r="B710">
        <v>2709</v>
      </c>
      <c r="C710" t="s">
        <v>1618</v>
      </c>
      <c r="D710" t="s">
        <v>210</v>
      </c>
      <c r="E710" t="s">
        <v>422</v>
      </c>
      <c r="F710" t="s">
        <v>1619</v>
      </c>
      <c r="G710" t="str">
        <f>"00014037"</f>
        <v>00014037</v>
      </c>
      <c r="H710" t="s">
        <v>1620</v>
      </c>
      <c r="I710">
        <v>150</v>
      </c>
      <c r="J710">
        <v>0</v>
      </c>
      <c r="K710">
        <v>0</v>
      </c>
      <c r="L710">
        <v>0</v>
      </c>
      <c r="M710">
        <v>0</v>
      </c>
      <c r="N710">
        <v>70</v>
      </c>
      <c r="O710">
        <v>0</v>
      </c>
      <c r="P710">
        <v>0</v>
      </c>
      <c r="Q710">
        <v>30</v>
      </c>
      <c r="R710">
        <v>0</v>
      </c>
      <c r="S710">
        <v>0</v>
      </c>
      <c r="T710">
        <v>0</v>
      </c>
      <c r="U710">
        <v>0</v>
      </c>
      <c r="V710">
        <v>83</v>
      </c>
      <c r="W710">
        <v>581</v>
      </c>
      <c r="Z710">
        <v>0</v>
      </c>
      <c r="AA710" t="s">
        <v>1621</v>
      </c>
    </row>
    <row r="711" spans="1:27" x14ac:dyDescent="0.25">
      <c r="H711" t="s">
        <v>758</v>
      </c>
    </row>
    <row r="712" spans="1:27" x14ac:dyDescent="0.25">
      <c r="A712">
        <v>353</v>
      </c>
      <c r="B712">
        <v>2243</v>
      </c>
      <c r="C712" t="s">
        <v>1622</v>
      </c>
      <c r="D712" t="s">
        <v>112</v>
      </c>
      <c r="E712" t="s">
        <v>81</v>
      </c>
      <c r="F712" t="s">
        <v>1623</v>
      </c>
      <c r="G712" t="str">
        <f>"00003210"</f>
        <v>00003210</v>
      </c>
      <c r="H712">
        <v>660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0</v>
      </c>
      <c r="O712">
        <v>0</v>
      </c>
      <c r="P712">
        <v>70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89</v>
      </c>
      <c r="W712">
        <v>588</v>
      </c>
      <c r="Z712">
        <v>0</v>
      </c>
      <c r="AA712">
        <v>1518</v>
      </c>
    </row>
    <row r="713" spans="1:27" x14ac:dyDescent="0.25">
      <c r="H713" t="s">
        <v>1624</v>
      </c>
    </row>
    <row r="714" spans="1:27" x14ac:dyDescent="0.25">
      <c r="A714">
        <v>354</v>
      </c>
      <c r="B714">
        <v>671</v>
      </c>
      <c r="C714" t="s">
        <v>1625</v>
      </c>
      <c r="D714" t="s">
        <v>20</v>
      </c>
      <c r="E714" t="s">
        <v>88</v>
      </c>
      <c r="F714" t="s">
        <v>1626</v>
      </c>
      <c r="G714" t="str">
        <f>"201406018811"</f>
        <v>201406018811</v>
      </c>
      <c r="H714">
        <v>660</v>
      </c>
      <c r="I714">
        <v>0</v>
      </c>
      <c r="J714">
        <v>0</v>
      </c>
      <c r="K714">
        <v>0</v>
      </c>
      <c r="L714">
        <v>0</v>
      </c>
      <c r="M714">
        <v>100</v>
      </c>
      <c r="N714">
        <v>70</v>
      </c>
      <c r="O714">
        <v>70</v>
      </c>
      <c r="P714">
        <v>0</v>
      </c>
      <c r="Q714">
        <v>30</v>
      </c>
      <c r="R714">
        <v>0</v>
      </c>
      <c r="S714">
        <v>0</v>
      </c>
      <c r="T714">
        <v>0</v>
      </c>
      <c r="U714">
        <v>0</v>
      </c>
      <c r="V714">
        <v>108</v>
      </c>
      <c r="W714">
        <v>588</v>
      </c>
      <c r="Z714">
        <v>0</v>
      </c>
      <c r="AA714">
        <v>1518</v>
      </c>
    </row>
    <row r="715" spans="1:27" x14ac:dyDescent="0.25">
      <c r="H715" t="s">
        <v>1627</v>
      </c>
    </row>
    <row r="716" spans="1:27" x14ac:dyDescent="0.25">
      <c r="A716">
        <v>355</v>
      </c>
      <c r="B716">
        <v>2206</v>
      </c>
      <c r="C716" t="s">
        <v>1628</v>
      </c>
      <c r="D716" t="s">
        <v>54</v>
      </c>
      <c r="E716" t="s">
        <v>41</v>
      </c>
      <c r="F716" t="s">
        <v>1629</v>
      </c>
      <c r="G716" t="str">
        <f>"00011119"</f>
        <v>00011119</v>
      </c>
      <c r="H716" t="s">
        <v>785</v>
      </c>
      <c r="I716">
        <v>0</v>
      </c>
      <c r="J716">
        <v>0</v>
      </c>
      <c r="K716">
        <v>200</v>
      </c>
      <c r="L716">
        <v>0</v>
      </c>
      <c r="M716">
        <v>100</v>
      </c>
      <c r="N716">
        <v>70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61</v>
      </c>
      <c r="W716">
        <v>427</v>
      </c>
      <c r="Z716">
        <v>0</v>
      </c>
      <c r="AA716" t="s">
        <v>1630</v>
      </c>
    </row>
    <row r="717" spans="1:27" x14ac:dyDescent="0.25">
      <c r="H717" t="s">
        <v>1631</v>
      </c>
    </row>
    <row r="718" spans="1:27" x14ac:dyDescent="0.25">
      <c r="A718">
        <v>356</v>
      </c>
      <c r="B718">
        <v>2733</v>
      </c>
      <c r="C718" t="s">
        <v>1148</v>
      </c>
      <c r="D718" t="s">
        <v>1632</v>
      </c>
      <c r="E718" t="s">
        <v>155</v>
      </c>
      <c r="F718" t="s">
        <v>1633</v>
      </c>
      <c r="G718" t="str">
        <f>"201506001141"</f>
        <v>201506001141</v>
      </c>
      <c r="H718" t="s">
        <v>978</v>
      </c>
      <c r="I718">
        <v>150</v>
      </c>
      <c r="J718">
        <v>0</v>
      </c>
      <c r="K718">
        <v>0</v>
      </c>
      <c r="L718">
        <v>0</v>
      </c>
      <c r="M718">
        <v>0</v>
      </c>
      <c r="N718">
        <v>70</v>
      </c>
      <c r="O718">
        <v>30</v>
      </c>
      <c r="P718">
        <v>0</v>
      </c>
      <c r="Q718">
        <v>30</v>
      </c>
      <c r="R718">
        <v>0</v>
      </c>
      <c r="S718">
        <v>0</v>
      </c>
      <c r="T718">
        <v>0</v>
      </c>
      <c r="U718">
        <v>0</v>
      </c>
      <c r="V718">
        <v>76</v>
      </c>
      <c r="W718">
        <v>532</v>
      </c>
      <c r="Z718">
        <v>0</v>
      </c>
      <c r="AA718" t="s">
        <v>1634</v>
      </c>
    </row>
    <row r="719" spans="1:27" x14ac:dyDescent="0.25">
      <c r="H719" t="s">
        <v>970</v>
      </c>
    </row>
    <row r="720" spans="1:27" x14ac:dyDescent="0.25">
      <c r="A720">
        <v>357</v>
      </c>
      <c r="B720">
        <v>2434</v>
      </c>
      <c r="C720" t="s">
        <v>1635</v>
      </c>
      <c r="D720" t="s">
        <v>1268</v>
      </c>
      <c r="E720" t="s">
        <v>1636</v>
      </c>
      <c r="F720" t="s">
        <v>1637</v>
      </c>
      <c r="G720" t="str">
        <f>"201406006110"</f>
        <v>201406006110</v>
      </c>
      <c r="H720" t="s">
        <v>1638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85</v>
      </c>
      <c r="W720">
        <v>588</v>
      </c>
      <c r="Z720">
        <v>0</v>
      </c>
      <c r="AA720" t="s">
        <v>1639</v>
      </c>
    </row>
    <row r="721" spans="1:27" x14ac:dyDescent="0.25">
      <c r="H721" t="s">
        <v>1624</v>
      </c>
    </row>
    <row r="722" spans="1:27" x14ac:dyDescent="0.25">
      <c r="A722">
        <v>358</v>
      </c>
      <c r="B722">
        <v>3372</v>
      </c>
      <c r="C722" t="s">
        <v>1640</v>
      </c>
      <c r="D722" t="s">
        <v>813</v>
      </c>
      <c r="E722" t="s">
        <v>47</v>
      </c>
      <c r="F722" t="s">
        <v>1641</v>
      </c>
      <c r="G722" t="str">
        <f>"201303000565"</f>
        <v>201303000565</v>
      </c>
      <c r="H722" t="s">
        <v>379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70</v>
      </c>
      <c r="O722">
        <v>50</v>
      </c>
      <c r="P722">
        <v>0</v>
      </c>
      <c r="Q722">
        <v>30</v>
      </c>
      <c r="R722">
        <v>0</v>
      </c>
      <c r="S722">
        <v>0</v>
      </c>
      <c r="T722">
        <v>0</v>
      </c>
      <c r="U722">
        <v>0</v>
      </c>
      <c r="V722">
        <v>110</v>
      </c>
      <c r="W722">
        <v>588</v>
      </c>
      <c r="Z722">
        <v>0</v>
      </c>
      <c r="AA722" t="s">
        <v>1642</v>
      </c>
    </row>
    <row r="723" spans="1:27" x14ac:dyDescent="0.25">
      <c r="H723" t="s">
        <v>1643</v>
      </c>
    </row>
    <row r="724" spans="1:27" x14ac:dyDescent="0.25">
      <c r="A724">
        <v>359</v>
      </c>
      <c r="B724">
        <v>2767</v>
      </c>
      <c r="C724" t="s">
        <v>1644</v>
      </c>
      <c r="D724" t="s">
        <v>840</v>
      </c>
      <c r="E724" t="s">
        <v>542</v>
      </c>
      <c r="F724" t="s">
        <v>1645</v>
      </c>
      <c r="G724" t="str">
        <f>"00013646"</f>
        <v>00013646</v>
      </c>
      <c r="H724" t="s">
        <v>334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70</v>
      </c>
      <c r="O724">
        <v>70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98</v>
      </c>
      <c r="W724">
        <v>588</v>
      </c>
      <c r="Z724">
        <v>0</v>
      </c>
      <c r="AA724" t="s">
        <v>1646</v>
      </c>
    </row>
    <row r="725" spans="1:27" x14ac:dyDescent="0.25">
      <c r="H725" t="s">
        <v>1647</v>
      </c>
    </row>
    <row r="726" spans="1:27" x14ac:dyDescent="0.25">
      <c r="A726">
        <v>360</v>
      </c>
      <c r="B726">
        <v>1545</v>
      </c>
      <c r="C726" t="s">
        <v>1648</v>
      </c>
      <c r="D726" t="s">
        <v>40</v>
      </c>
      <c r="E726" t="s">
        <v>1194</v>
      </c>
      <c r="F726" t="s">
        <v>1649</v>
      </c>
      <c r="G726" t="str">
        <f>"00014545"</f>
        <v>00014545</v>
      </c>
      <c r="H726">
        <v>814</v>
      </c>
      <c r="I726">
        <v>0</v>
      </c>
      <c r="J726">
        <v>0</v>
      </c>
      <c r="K726">
        <v>0</v>
      </c>
      <c r="L726">
        <v>200</v>
      </c>
      <c r="M726">
        <v>0</v>
      </c>
      <c r="N726">
        <v>70</v>
      </c>
      <c r="O726">
        <v>70</v>
      </c>
      <c r="P726">
        <v>0</v>
      </c>
      <c r="Q726">
        <v>30</v>
      </c>
      <c r="R726">
        <v>0</v>
      </c>
      <c r="S726">
        <v>0</v>
      </c>
      <c r="T726">
        <v>0</v>
      </c>
      <c r="U726">
        <v>0</v>
      </c>
      <c r="V726">
        <v>47</v>
      </c>
      <c r="W726">
        <v>329</v>
      </c>
      <c r="Z726">
        <v>0</v>
      </c>
      <c r="AA726">
        <v>1513</v>
      </c>
    </row>
    <row r="727" spans="1:27" x14ac:dyDescent="0.25">
      <c r="H727" t="s">
        <v>1592</v>
      </c>
    </row>
    <row r="728" spans="1:27" x14ac:dyDescent="0.25">
      <c r="A728">
        <v>361</v>
      </c>
      <c r="B728">
        <v>1462</v>
      </c>
      <c r="C728" t="s">
        <v>1650</v>
      </c>
      <c r="D728" t="s">
        <v>1408</v>
      </c>
      <c r="E728" t="s">
        <v>94</v>
      </c>
      <c r="F728" t="s">
        <v>1651</v>
      </c>
      <c r="G728" t="str">
        <f>"201406009628"</f>
        <v>201406009628</v>
      </c>
      <c r="H728" t="s">
        <v>554</v>
      </c>
      <c r="I728">
        <v>0</v>
      </c>
      <c r="J728">
        <v>0</v>
      </c>
      <c r="K728">
        <v>0</v>
      </c>
      <c r="L728">
        <v>0</v>
      </c>
      <c r="M728">
        <v>100</v>
      </c>
      <c r="N728">
        <v>70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84</v>
      </c>
      <c r="W728">
        <v>588</v>
      </c>
      <c r="Z728">
        <v>0</v>
      </c>
      <c r="AA728" t="s">
        <v>1652</v>
      </c>
    </row>
    <row r="729" spans="1:27" x14ac:dyDescent="0.25">
      <c r="H729" t="s">
        <v>1653</v>
      </c>
    </row>
    <row r="730" spans="1:27" x14ac:dyDescent="0.25">
      <c r="A730">
        <v>362</v>
      </c>
      <c r="B730">
        <v>2559</v>
      </c>
      <c r="C730" t="s">
        <v>1654</v>
      </c>
      <c r="D730" t="s">
        <v>1026</v>
      </c>
      <c r="E730" t="s">
        <v>121</v>
      </c>
      <c r="F730" t="s">
        <v>1655</v>
      </c>
      <c r="G730" t="str">
        <f>"201506001390"</f>
        <v>201506001390</v>
      </c>
      <c r="H730" t="s">
        <v>299</v>
      </c>
      <c r="I730">
        <v>0</v>
      </c>
      <c r="J730">
        <v>0</v>
      </c>
      <c r="K730">
        <v>0</v>
      </c>
      <c r="L730">
        <v>0</v>
      </c>
      <c r="M730">
        <v>100</v>
      </c>
      <c r="N730">
        <v>30</v>
      </c>
      <c r="O730">
        <v>0</v>
      </c>
      <c r="P730">
        <v>30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84</v>
      </c>
      <c r="W730">
        <v>588</v>
      </c>
      <c r="Z730">
        <v>0</v>
      </c>
      <c r="AA730" t="s">
        <v>1656</v>
      </c>
    </row>
    <row r="731" spans="1:27" x14ac:dyDescent="0.25">
      <c r="H731" t="s">
        <v>1657</v>
      </c>
    </row>
    <row r="732" spans="1:27" x14ac:dyDescent="0.25">
      <c r="A732">
        <v>363</v>
      </c>
      <c r="B732">
        <v>2633</v>
      </c>
      <c r="C732" t="s">
        <v>1658</v>
      </c>
      <c r="D732" t="s">
        <v>1659</v>
      </c>
      <c r="E732" t="s">
        <v>1660</v>
      </c>
      <c r="F732" t="s">
        <v>1661</v>
      </c>
      <c r="G732" t="str">
        <f>"00011319"</f>
        <v>00011319</v>
      </c>
      <c r="H732" t="s">
        <v>1662</v>
      </c>
      <c r="I732">
        <v>0</v>
      </c>
      <c r="J732">
        <v>0</v>
      </c>
      <c r="K732">
        <v>0</v>
      </c>
      <c r="L732">
        <v>200</v>
      </c>
      <c r="M732">
        <v>0</v>
      </c>
      <c r="N732">
        <v>70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84</v>
      </c>
      <c r="W732">
        <v>588</v>
      </c>
      <c r="Z732">
        <v>0</v>
      </c>
      <c r="AA732" t="s">
        <v>1656</v>
      </c>
    </row>
    <row r="733" spans="1:27" x14ac:dyDescent="0.25">
      <c r="H733" t="s">
        <v>1663</v>
      </c>
    </row>
    <row r="734" spans="1:27" x14ac:dyDescent="0.25">
      <c r="A734">
        <v>364</v>
      </c>
      <c r="B734">
        <v>713</v>
      </c>
      <c r="C734" t="s">
        <v>1664</v>
      </c>
      <c r="D734" t="s">
        <v>1665</v>
      </c>
      <c r="E734" t="s">
        <v>422</v>
      </c>
      <c r="F734" t="s">
        <v>1666</v>
      </c>
      <c r="G734" t="str">
        <f>"201603000146"</f>
        <v>201603000146</v>
      </c>
      <c r="H734" t="s">
        <v>1667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70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140</v>
      </c>
      <c r="W734">
        <v>588</v>
      </c>
      <c r="Z734">
        <v>0</v>
      </c>
      <c r="AA734" t="s">
        <v>1668</v>
      </c>
    </row>
    <row r="735" spans="1:27" x14ac:dyDescent="0.25">
      <c r="H735" t="s">
        <v>1669</v>
      </c>
    </row>
    <row r="736" spans="1:27" x14ac:dyDescent="0.25">
      <c r="A736">
        <v>365</v>
      </c>
      <c r="B736">
        <v>2916</v>
      </c>
      <c r="C736" t="s">
        <v>1670</v>
      </c>
      <c r="D736" t="s">
        <v>1671</v>
      </c>
      <c r="E736" t="s">
        <v>393</v>
      </c>
      <c r="F736" t="s">
        <v>1672</v>
      </c>
      <c r="G736" t="str">
        <f>"201505000131"</f>
        <v>201505000131</v>
      </c>
      <c r="H736" t="s">
        <v>1010</v>
      </c>
      <c r="I736">
        <v>0</v>
      </c>
      <c r="J736">
        <v>0</v>
      </c>
      <c r="K736">
        <v>0</v>
      </c>
      <c r="L736">
        <v>200</v>
      </c>
      <c r="M736">
        <v>0</v>
      </c>
      <c r="N736">
        <v>70</v>
      </c>
      <c r="O736">
        <v>30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73</v>
      </c>
      <c r="W736">
        <v>511</v>
      </c>
      <c r="Z736">
        <v>0</v>
      </c>
      <c r="AA736" t="s">
        <v>1673</v>
      </c>
    </row>
    <row r="737" spans="1:27" x14ac:dyDescent="0.25">
      <c r="H737" t="s">
        <v>1674</v>
      </c>
    </row>
    <row r="738" spans="1:27" x14ac:dyDescent="0.25">
      <c r="A738">
        <v>366</v>
      </c>
      <c r="B738">
        <v>2675</v>
      </c>
      <c r="C738" t="s">
        <v>1675</v>
      </c>
      <c r="D738" t="s">
        <v>20</v>
      </c>
      <c r="E738" t="s">
        <v>1676</v>
      </c>
      <c r="F738" t="s">
        <v>1677</v>
      </c>
      <c r="G738" t="str">
        <f>"201511013187"</f>
        <v>201511013187</v>
      </c>
      <c r="H738" t="s">
        <v>265</v>
      </c>
      <c r="I738">
        <v>150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96</v>
      </c>
      <c r="W738">
        <v>588</v>
      </c>
      <c r="Z738">
        <v>0</v>
      </c>
      <c r="AA738" t="s">
        <v>1678</v>
      </c>
    </row>
    <row r="739" spans="1:27" x14ac:dyDescent="0.25">
      <c r="H739" t="s">
        <v>286</v>
      </c>
    </row>
    <row r="740" spans="1:27" x14ac:dyDescent="0.25">
      <c r="A740">
        <v>367</v>
      </c>
      <c r="B740">
        <v>1929</v>
      </c>
      <c r="C740" t="s">
        <v>1679</v>
      </c>
      <c r="D740" t="s">
        <v>1127</v>
      </c>
      <c r="E740" t="s">
        <v>1680</v>
      </c>
      <c r="F740" t="s">
        <v>1681</v>
      </c>
      <c r="G740" t="str">
        <f>"00011356"</f>
        <v>00011356</v>
      </c>
      <c r="H740" t="s">
        <v>265</v>
      </c>
      <c r="I740">
        <v>150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84</v>
      </c>
      <c r="W740">
        <v>588</v>
      </c>
      <c r="Z740">
        <v>0</v>
      </c>
      <c r="AA740" t="s">
        <v>1678</v>
      </c>
    </row>
    <row r="741" spans="1:27" x14ac:dyDescent="0.25">
      <c r="H741" t="s">
        <v>231</v>
      </c>
    </row>
    <row r="742" spans="1:27" x14ac:dyDescent="0.25">
      <c r="A742">
        <v>368</v>
      </c>
      <c r="B742">
        <v>1156</v>
      </c>
      <c r="C742" t="s">
        <v>1682</v>
      </c>
      <c r="D742" t="s">
        <v>1683</v>
      </c>
      <c r="E742" t="s">
        <v>54</v>
      </c>
      <c r="F742" t="s">
        <v>1684</v>
      </c>
      <c r="G742" t="str">
        <f>"201303000227"</f>
        <v>201303000227</v>
      </c>
      <c r="H742" t="s">
        <v>374</v>
      </c>
      <c r="I742">
        <v>0</v>
      </c>
      <c r="J742">
        <v>0</v>
      </c>
      <c r="K742">
        <v>0</v>
      </c>
      <c r="L742">
        <v>260</v>
      </c>
      <c r="M742">
        <v>0</v>
      </c>
      <c r="N742">
        <v>70</v>
      </c>
      <c r="O742">
        <v>0</v>
      </c>
      <c r="P742">
        <v>50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56</v>
      </c>
      <c r="W742">
        <v>392</v>
      </c>
      <c r="Z742">
        <v>1</v>
      </c>
      <c r="AA742" t="s">
        <v>1685</v>
      </c>
    </row>
    <row r="743" spans="1:27" x14ac:dyDescent="0.25">
      <c r="H743" t="s">
        <v>1686</v>
      </c>
    </row>
    <row r="744" spans="1:27" x14ac:dyDescent="0.25">
      <c r="A744">
        <v>369</v>
      </c>
      <c r="B744">
        <v>205</v>
      </c>
      <c r="C744" t="s">
        <v>1687</v>
      </c>
      <c r="D744" t="s">
        <v>1688</v>
      </c>
      <c r="E744" t="s">
        <v>47</v>
      </c>
      <c r="F744" t="s">
        <v>1689</v>
      </c>
      <c r="G744" t="str">
        <f>"201505000270"</f>
        <v>201505000270</v>
      </c>
      <c r="H744">
        <v>737</v>
      </c>
      <c r="I744">
        <v>150</v>
      </c>
      <c r="J744">
        <v>0</v>
      </c>
      <c r="K744">
        <v>0</v>
      </c>
      <c r="L744">
        <v>200</v>
      </c>
      <c r="M744">
        <v>0</v>
      </c>
      <c r="N744">
        <v>70</v>
      </c>
      <c r="O744">
        <v>50</v>
      </c>
      <c r="P744">
        <v>0</v>
      </c>
      <c r="Q744">
        <v>0</v>
      </c>
      <c r="R744">
        <v>30</v>
      </c>
      <c r="S744">
        <v>0</v>
      </c>
      <c r="T744">
        <v>0</v>
      </c>
      <c r="U744">
        <v>0</v>
      </c>
      <c r="V744">
        <v>39</v>
      </c>
      <c r="W744">
        <v>273</v>
      </c>
      <c r="Z744">
        <v>0</v>
      </c>
      <c r="AA744">
        <v>1510</v>
      </c>
    </row>
    <row r="745" spans="1:27" x14ac:dyDescent="0.25">
      <c r="H745" t="s">
        <v>1690</v>
      </c>
    </row>
    <row r="746" spans="1:27" x14ac:dyDescent="0.25">
      <c r="A746">
        <v>370</v>
      </c>
      <c r="B746">
        <v>618</v>
      </c>
      <c r="C746" t="s">
        <v>1691</v>
      </c>
      <c r="D746" t="s">
        <v>20</v>
      </c>
      <c r="E746" t="s">
        <v>100</v>
      </c>
      <c r="F746" t="s">
        <v>1692</v>
      </c>
      <c r="G746" t="str">
        <f>"201505000525"</f>
        <v>201505000525</v>
      </c>
      <c r="H746" t="s">
        <v>1693</v>
      </c>
      <c r="I746">
        <v>0</v>
      </c>
      <c r="J746">
        <v>0</v>
      </c>
      <c r="K746">
        <v>0</v>
      </c>
      <c r="L746">
        <v>200</v>
      </c>
      <c r="M746">
        <v>30</v>
      </c>
      <c r="N746">
        <v>70</v>
      </c>
      <c r="O746">
        <v>70</v>
      </c>
      <c r="P746">
        <v>50</v>
      </c>
      <c r="Q746">
        <v>0</v>
      </c>
      <c r="R746">
        <v>30</v>
      </c>
      <c r="S746">
        <v>0</v>
      </c>
      <c r="T746">
        <v>0</v>
      </c>
      <c r="U746">
        <v>0</v>
      </c>
      <c r="V746">
        <v>34</v>
      </c>
      <c r="W746">
        <v>238</v>
      </c>
      <c r="Z746">
        <v>0</v>
      </c>
      <c r="AA746" t="s">
        <v>1694</v>
      </c>
    </row>
    <row r="747" spans="1:27" x14ac:dyDescent="0.25">
      <c r="H747" t="s">
        <v>1695</v>
      </c>
    </row>
    <row r="748" spans="1:27" x14ac:dyDescent="0.25">
      <c r="A748">
        <v>371</v>
      </c>
      <c r="B748">
        <v>3117</v>
      </c>
      <c r="C748" t="s">
        <v>1696</v>
      </c>
      <c r="D748" t="s">
        <v>652</v>
      </c>
      <c r="E748" t="s">
        <v>47</v>
      </c>
      <c r="F748" t="s">
        <v>1697</v>
      </c>
      <c r="G748" t="str">
        <f>"200805001045"</f>
        <v>200805001045</v>
      </c>
      <c r="H748" t="s">
        <v>1698</v>
      </c>
      <c r="I748">
        <v>0</v>
      </c>
      <c r="J748">
        <v>0</v>
      </c>
      <c r="K748">
        <v>0</v>
      </c>
      <c r="L748">
        <v>0</v>
      </c>
      <c r="M748">
        <v>100</v>
      </c>
      <c r="N748">
        <v>0</v>
      </c>
      <c r="O748">
        <v>0</v>
      </c>
      <c r="P748">
        <v>30</v>
      </c>
      <c r="Q748">
        <v>70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Z748">
        <v>0</v>
      </c>
      <c r="AA748" t="s">
        <v>1699</v>
      </c>
    </row>
    <row r="749" spans="1:27" x14ac:dyDescent="0.25">
      <c r="H749" t="s">
        <v>1700</v>
      </c>
    </row>
    <row r="750" spans="1:27" x14ac:dyDescent="0.25">
      <c r="A750">
        <v>372</v>
      </c>
      <c r="B750">
        <v>497</v>
      </c>
      <c r="C750" t="s">
        <v>181</v>
      </c>
      <c r="D750" t="s">
        <v>1701</v>
      </c>
      <c r="E750" t="s">
        <v>1439</v>
      </c>
      <c r="F750" t="s">
        <v>1702</v>
      </c>
      <c r="G750" t="str">
        <f>"200905000328"</f>
        <v>200905000328</v>
      </c>
      <c r="H750" t="s">
        <v>1703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50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70</v>
      </c>
      <c r="V750">
        <v>146</v>
      </c>
      <c r="W750">
        <v>588</v>
      </c>
      <c r="Z750">
        <v>0</v>
      </c>
      <c r="AA750" t="s">
        <v>1704</v>
      </c>
    </row>
    <row r="751" spans="1:27" x14ac:dyDescent="0.25">
      <c r="H751" t="s">
        <v>1705</v>
      </c>
    </row>
    <row r="752" spans="1:27" x14ac:dyDescent="0.25">
      <c r="A752">
        <v>373</v>
      </c>
      <c r="B752">
        <v>1301</v>
      </c>
      <c r="C752" t="s">
        <v>1706</v>
      </c>
      <c r="D752" t="s">
        <v>121</v>
      </c>
      <c r="E752" t="s">
        <v>47</v>
      </c>
      <c r="F752" t="s">
        <v>1707</v>
      </c>
      <c r="G752" t="str">
        <f>"201412004295"</f>
        <v>201412004295</v>
      </c>
      <c r="H752" t="s">
        <v>785</v>
      </c>
      <c r="I752">
        <v>0</v>
      </c>
      <c r="J752">
        <v>0</v>
      </c>
      <c r="K752">
        <v>0</v>
      </c>
      <c r="L752">
        <v>0</v>
      </c>
      <c r="M752">
        <v>100</v>
      </c>
      <c r="N752">
        <v>30</v>
      </c>
      <c r="O752">
        <v>70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240</v>
      </c>
      <c r="W752">
        <v>588</v>
      </c>
      <c r="Z752">
        <v>2</v>
      </c>
      <c r="AA752" t="s">
        <v>1708</v>
      </c>
    </row>
    <row r="753" spans="1:27" x14ac:dyDescent="0.25">
      <c r="H753" t="s">
        <v>1709</v>
      </c>
    </row>
    <row r="754" spans="1:27" x14ac:dyDescent="0.25">
      <c r="A754">
        <v>374</v>
      </c>
      <c r="B754">
        <v>257</v>
      </c>
      <c r="C754" t="s">
        <v>845</v>
      </c>
      <c r="D754" t="s">
        <v>332</v>
      </c>
      <c r="E754" t="s">
        <v>165</v>
      </c>
      <c r="F754" t="s">
        <v>846</v>
      </c>
      <c r="G754" t="str">
        <f>"201304004941"</f>
        <v>201304004941</v>
      </c>
      <c r="H754" t="s">
        <v>785</v>
      </c>
      <c r="I754">
        <v>0</v>
      </c>
      <c r="J754">
        <v>0</v>
      </c>
      <c r="K754">
        <v>0</v>
      </c>
      <c r="L754">
        <v>0</v>
      </c>
      <c r="M754">
        <v>100</v>
      </c>
      <c r="N754">
        <v>70</v>
      </c>
      <c r="O754">
        <v>0</v>
      </c>
      <c r="P754">
        <v>0</v>
      </c>
      <c r="Q754">
        <v>30</v>
      </c>
      <c r="R754">
        <v>0</v>
      </c>
      <c r="S754">
        <v>0</v>
      </c>
      <c r="T754">
        <v>0</v>
      </c>
      <c r="U754">
        <v>0</v>
      </c>
      <c r="V754">
        <v>152</v>
      </c>
      <c r="W754">
        <v>588</v>
      </c>
      <c r="Z754">
        <v>0</v>
      </c>
      <c r="AA754" t="s">
        <v>1708</v>
      </c>
    </row>
    <row r="755" spans="1:27" x14ac:dyDescent="0.25">
      <c r="H755" t="s">
        <v>848</v>
      </c>
    </row>
    <row r="756" spans="1:27" x14ac:dyDescent="0.25">
      <c r="A756">
        <v>375</v>
      </c>
      <c r="B756">
        <v>2307</v>
      </c>
      <c r="C756" t="s">
        <v>1710</v>
      </c>
      <c r="D756" t="s">
        <v>121</v>
      </c>
      <c r="E756" t="s">
        <v>81</v>
      </c>
      <c r="F756" t="s">
        <v>1711</v>
      </c>
      <c r="G756" t="str">
        <f>"00014552"</f>
        <v>00014552</v>
      </c>
      <c r="H756" t="s">
        <v>224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70</v>
      </c>
      <c r="O756">
        <v>0</v>
      </c>
      <c r="P756">
        <v>30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110</v>
      </c>
      <c r="W756">
        <v>588</v>
      </c>
      <c r="Z756">
        <v>0</v>
      </c>
      <c r="AA756" t="s">
        <v>1712</v>
      </c>
    </row>
    <row r="757" spans="1:27" x14ac:dyDescent="0.25">
      <c r="H757" t="s">
        <v>1713</v>
      </c>
    </row>
    <row r="758" spans="1:27" x14ac:dyDescent="0.25">
      <c r="A758">
        <v>376</v>
      </c>
      <c r="B758">
        <v>2924</v>
      </c>
      <c r="C758" t="s">
        <v>1714</v>
      </c>
      <c r="D758" t="s">
        <v>576</v>
      </c>
      <c r="E758" t="s">
        <v>281</v>
      </c>
      <c r="F758" t="s">
        <v>1715</v>
      </c>
      <c r="G758" t="str">
        <f>"200801002330"</f>
        <v>200801002330</v>
      </c>
      <c r="H758" t="s">
        <v>96</v>
      </c>
      <c r="I758">
        <v>0</v>
      </c>
      <c r="J758">
        <v>0</v>
      </c>
      <c r="K758">
        <v>0</v>
      </c>
      <c r="L758">
        <v>200</v>
      </c>
      <c r="M758">
        <v>0</v>
      </c>
      <c r="N758">
        <v>50</v>
      </c>
      <c r="O758">
        <v>0</v>
      </c>
      <c r="P758">
        <v>50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60</v>
      </c>
      <c r="W758">
        <v>420</v>
      </c>
      <c r="Z758">
        <v>2</v>
      </c>
      <c r="AA758" t="s">
        <v>1716</v>
      </c>
    </row>
    <row r="759" spans="1:27" x14ac:dyDescent="0.25">
      <c r="H759" t="s">
        <v>1717</v>
      </c>
    </row>
    <row r="760" spans="1:27" x14ac:dyDescent="0.25">
      <c r="A760">
        <v>377</v>
      </c>
      <c r="B760">
        <v>2935</v>
      </c>
      <c r="C760" t="s">
        <v>1718</v>
      </c>
      <c r="D760" t="s">
        <v>1719</v>
      </c>
      <c r="E760" t="s">
        <v>155</v>
      </c>
      <c r="F760" t="s">
        <v>1720</v>
      </c>
      <c r="G760" t="str">
        <f>"201304000488"</f>
        <v>201304000488</v>
      </c>
      <c r="H760" t="s">
        <v>947</v>
      </c>
      <c r="I760">
        <v>0</v>
      </c>
      <c r="J760">
        <v>0</v>
      </c>
      <c r="K760">
        <v>0</v>
      </c>
      <c r="L760">
        <v>0</v>
      </c>
      <c r="M760">
        <v>100</v>
      </c>
      <c r="N760">
        <v>70</v>
      </c>
      <c r="O760">
        <v>30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135</v>
      </c>
      <c r="W760">
        <v>588</v>
      </c>
      <c r="Z760">
        <v>0</v>
      </c>
      <c r="AA760" t="s">
        <v>1721</v>
      </c>
    </row>
    <row r="761" spans="1:27" x14ac:dyDescent="0.25">
      <c r="H761" t="s">
        <v>98</v>
      </c>
    </row>
    <row r="762" spans="1:27" x14ac:dyDescent="0.25">
      <c r="A762">
        <v>378</v>
      </c>
      <c r="B762">
        <v>860</v>
      </c>
      <c r="C762" t="s">
        <v>1722</v>
      </c>
      <c r="D762" t="s">
        <v>21</v>
      </c>
      <c r="E762" t="s">
        <v>143</v>
      </c>
      <c r="F762" t="s">
        <v>1723</v>
      </c>
      <c r="G762" t="str">
        <f>"00015018"</f>
        <v>00015018</v>
      </c>
      <c r="H762" t="s">
        <v>597</v>
      </c>
      <c r="I762">
        <v>150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154</v>
      </c>
      <c r="W762">
        <v>588</v>
      </c>
      <c r="Z762">
        <v>0</v>
      </c>
      <c r="AA762" t="s">
        <v>1724</v>
      </c>
    </row>
    <row r="763" spans="1:27" x14ac:dyDescent="0.25">
      <c r="H763" t="s">
        <v>369</v>
      </c>
    </row>
    <row r="764" spans="1:27" x14ac:dyDescent="0.25">
      <c r="A764">
        <v>379</v>
      </c>
      <c r="B764">
        <v>2693</v>
      </c>
      <c r="C764" t="s">
        <v>1725</v>
      </c>
      <c r="D764" t="s">
        <v>1726</v>
      </c>
      <c r="E764" t="s">
        <v>497</v>
      </c>
      <c r="F764" t="s">
        <v>1727</v>
      </c>
      <c r="G764" t="str">
        <f>"201506001384"</f>
        <v>201506001384</v>
      </c>
      <c r="H764" t="s">
        <v>1728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70</v>
      </c>
      <c r="O764">
        <v>50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40</v>
      </c>
      <c r="W764">
        <v>280</v>
      </c>
      <c r="Z764">
        <v>0</v>
      </c>
      <c r="AA764" t="s">
        <v>1729</v>
      </c>
    </row>
    <row r="765" spans="1:27" x14ac:dyDescent="0.25">
      <c r="H765" t="s">
        <v>56</v>
      </c>
    </row>
    <row r="766" spans="1:27" x14ac:dyDescent="0.25">
      <c r="A766">
        <v>380</v>
      </c>
      <c r="B766">
        <v>501</v>
      </c>
      <c r="C766" t="s">
        <v>1730</v>
      </c>
      <c r="D766" t="s">
        <v>652</v>
      </c>
      <c r="E766" t="s">
        <v>542</v>
      </c>
      <c r="F766" t="s">
        <v>1731</v>
      </c>
      <c r="G766" t="str">
        <f>"201303000493"</f>
        <v>201303000493</v>
      </c>
      <c r="H766" t="s">
        <v>1145</v>
      </c>
      <c r="I766">
        <v>0</v>
      </c>
      <c r="J766">
        <v>0</v>
      </c>
      <c r="K766">
        <v>0</v>
      </c>
      <c r="L766">
        <v>0</v>
      </c>
      <c r="M766">
        <v>100</v>
      </c>
      <c r="N766">
        <v>50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84</v>
      </c>
      <c r="W766">
        <v>588</v>
      </c>
      <c r="Z766">
        <v>0</v>
      </c>
      <c r="AA766" t="s">
        <v>1732</v>
      </c>
    </row>
    <row r="767" spans="1:27" x14ac:dyDescent="0.25">
      <c r="H767" t="s">
        <v>1733</v>
      </c>
    </row>
    <row r="768" spans="1:27" x14ac:dyDescent="0.25">
      <c r="A768">
        <v>381</v>
      </c>
      <c r="B768">
        <v>304</v>
      </c>
      <c r="C768" t="s">
        <v>1734</v>
      </c>
      <c r="D768" t="s">
        <v>149</v>
      </c>
      <c r="E768" t="s">
        <v>41</v>
      </c>
      <c r="F768" t="s">
        <v>1735</v>
      </c>
      <c r="G768" t="str">
        <f>"201304005760"</f>
        <v>201304005760</v>
      </c>
      <c r="H768" t="s">
        <v>499</v>
      </c>
      <c r="I768">
        <v>0</v>
      </c>
      <c r="J768">
        <v>0</v>
      </c>
      <c r="K768">
        <v>0</v>
      </c>
      <c r="L768">
        <v>200</v>
      </c>
      <c r="M768">
        <v>0</v>
      </c>
      <c r="N768">
        <v>70</v>
      </c>
      <c r="O768">
        <v>0</v>
      </c>
      <c r="P768">
        <v>30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57</v>
      </c>
      <c r="W768">
        <v>399</v>
      </c>
      <c r="Z768">
        <v>0</v>
      </c>
      <c r="AA768" t="s">
        <v>1736</v>
      </c>
    </row>
    <row r="769" spans="1:27" x14ac:dyDescent="0.25">
      <c r="H769">
        <v>204</v>
      </c>
    </row>
    <row r="770" spans="1:27" x14ac:dyDescent="0.25">
      <c r="A770">
        <v>382</v>
      </c>
      <c r="B770">
        <v>2056</v>
      </c>
      <c r="C770" t="s">
        <v>1737</v>
      </c>
      <c r="D770" t="s">
        <v>112</v>
      </c>
      <c r="E770" t="s">
        <v>1238</v>
      </c>
      <c r="F770" t="s">
        <v>1738</v>
      </c>
      <c r="G770" t="str">
        <f>"201406011151"</f>
        <v>201406011151</v>
      </c>
      <c r="H770" t="s">
        <v>789</v>
      </c>
      <c r="I770">
        <v>0</v>
      </c>
      <c r="J770">
        <v>0</v>
      </c>
      <c r="K770">
        <v>0</v>
      </c>
      <c r="L770">
        <v>200</v>
      </c>
      <c r="M770">
        <v>0</v>
      </c>
      <c r="N770">
        <v>70</v>
      </c>
      <c r="O770">
        <v>0</v>
      </c>
      <c r="P770">
        <v>0</v>
      </c>
      <c r="Q770">
        <v>30</v>
      </c>
      <c r="R770">
        <v>30</v>
      </c>
      <c r="S770">
        <v>0</v>
      </c>
      <c r="T770">
        <v>0</v>
      </c>
      <c r="U770">
        <v>0</v>
      </c>
      <c r="V770">
        <v>63</v>
      </c>
      <c r="W770">
        <v>441</v>
      </c>
      <c r="Z770">
        <v>0</v>
      </c>
      <c r="AA770" t="s">
        <v>1739</v>
      </c>
    </row>
    <row r="771" spans="1:27" x14ac:dyDescent="0.25">
      <c r="H771" t="s">
        <v>970</v>
      </c>
    </row>
    <row r="772" spans="1:27" x14ac:dyDescent="0.25">
      <c r="A772">
        <v>383</v>
      </c>
      <c r="B772">
        <v>1292</v>
      </c>
      <c r="C772" t="s">
        <v>1740</v>
      </c>
      <c r="D772" t="s">
        <v>361</v>
      </c>
      <c r="E772" t="s">
        <v>21</v>
      </c>
      <c r="F772" t="s">
        <v>1741</v>
      </c>
      <c r="G772" t="str">
        <f>"201304005421"</f>
        <v>201304005421</v>
      </c>
      <c r="H772" t="s">
        <v>1104</v>
      </c>
      <c r="I772">
        <v>0</v>
      </c>
      <c r="J772">
        <v>0</v>
      </c>
      <c r="K772">
        <v>0</v>
      </c>
      <c r="L772">
        <v>200</v>
      </c>
      <c r="M772">
        <v>0</v>
      </c>
      <c r="N772">
        <v>70</v>
      </c>
      <c r="O772">
        <v>0</v>
      </c>
      <c r="P772">
        <v>50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66</v>
      </c>
      <c r="W772">
        <v>462</v>
      </c>
      <c r="Z772">
        <v>0</v>
      </c>
      <c r="AA772" t="s">
        <v>1742</v>
      </c>
    </row>
    <row r="773" spans="1:27" x14ac:dyDescent="0.25">
      <c r="H773" t="s">
        <v>1743</v>
      </c>
    </row>
    <row r="774" spans="1:27" x14ac:dyDescent="0.25">
      <c r="A774">
        <v>384</v>
      </c>
      <c r="B774">
        <v>1501</v>
      </c>
      <c r="C774" t="s">
        <v>1744</v>
      </c>
      <c r="D774" t="s">
        <v>739</v>
      </c>
      <c r="E774" t="s">
        <v>542</v>
      </c>
      <c r="F774" t="s">
        <v>1745</v>
      </c>
      <c r="G774" t="str">
        <f>"00014019"</f>
        <v>00014019</v>
      </c>
      <c r="H774" t="s">
        <v>559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70</v>
      </c>
      <c r="P774">
        <v>0</v>
      </c>
      <c r="Q774">
        <v>30</v>
      </c>
      <c r="R774">
        <v>0</v>
      </c>
      <c r="S774">
        <v>0</v>
      </c>
      <c r="T774">
        <v>0</v>
      </c>
      <c r="U774">
        <v>0</v>
      </c>
      <c r="V774">
        <v>48</v>
      </c>
      <c r="W774">
        <v>336</v>
      </c>
      <c r="Z774">
        <v>0</v>
      </c>
      <c r="AA774" t="s">
        <v>1746</v>
      </c>
    </row>
    <row r="775" spans="1:27" x14ac:dyDescent="0.25">
      <c r="H775">
        <v>211</v>
      </c>
    </row>
    <row r="776" spans="1:27" x14ac:dyDescent="0.25">
      <c r="A776">
        <v>385</v>
      </c>
      <c r="B776">
        <v>168</v>
      </c>
      <c r="C776" t="s">
        <v>13</v>
      </c>
      <c r="D776" t="s">
        <v>1026</v>
      </c>
      <c r="E776" t="s">
        <v>393</v>
      </c>
      <c r="F776" t="s">
        <v>1747</v>
      </c>
      <c r="G776" t="str">
        <f>"201406000329"</f>
        <v>201406000329</v>
      </c>
      <c r="H776" t="s">
        <v>1410</v>
      </c>
      <c r="I776">
        <v>150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30</v>
      </c>
      <c r="R776">
        <v>0</v>
      </c>
      <c r="S776">
        <v>0</v>
      </c>
      <c r="T776">
        <v>0</v>
      </c>
      <c r="U776">
        <v>0</v>
      </c>
      <c r="V776">
        <v>93</v>
      </c>
      <c r="W776">
        <v>588</v>
      </c>
      <c r="Z776">
        <v>0</v>
      </c>
      <c r="AA776" t="s">
        <v>1748</v>
      </c>
    </row>
    <row r="777" spans="1:27" x14ac:dyDescent="0.25">
      <c r="H777">
        <v>211</v>
      </c>
    </row>
    <row r="778" spans="1:27" x14ac:dyDescent="0.25">
      <c r="A778">
        <v>386</v>
      </c>
      <c r="B778">
        <v>3258</v>
      </c>
      <c r="C778" t="s">
        <v>1749</v>
      </c>
      <c r="D778" t="s">
        <v>204</v>
      </c>
      <c r="E778" t="s">
        <v>100</v>
      </c>
      <c r="F778" t="s">
        <v>1750</v>
      </c>
      <c r="G778" t="str">
        <f>"201506003882"</f>
        <v>201506003882</v>
      </c>
      <c r="H778" t="s">
        <v>697</v>
      </c>
      <c r="I778">
        <v>0</v>
      </c>
      <c r="J778">
        <v>0</v>
      </c>
      <c r="K778">
        <v>0</v>
      </c>
      <c r="L778">
        <v>0</v>
      </c>
      <c r="M778">
        <v>100</v>
      </c>
      <c r="N778">
        <v>50</v>
      </c>
      <c r="O778">
        <v>0</v>
      </c>
      <c r="P778">
        <v>50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84</v>
      </c>
      <c r="W778">
        <v>588</v>
      </c>
      <c r="Z778">
        <v>0</v>
      </c>
      <c r="AA778" t="s">
        <v>1751</v>
      </c>
    </row>
    <row r="779" spans="1:27" x14ac:dyDescent="0.25">
      <c r="H779" t="s">
        <v>1752</v>
      </c>
    </row>
    <row r="780" spans="1:27" x14ac:dyDescent="0.25">
      <c r="A780">
        <v>387</v>
      </c>
      <c r="B780">
        <v>2259</v>
      </c>
      <c r="C780" t="s">
        <v>1753</v>
      </c>
      <c r="D780" t="s">
        <v>1754</v>
      </c>
      <c r="E780" t="s">
        <v>143</v>
      </c>
      <c r="F780" t="s">
        <v>1755</v>
      </c>
      <c r="G780" t="str">
        <f>"201304001268"</f>
        <v>201304001268</v>
      </c>
      <c r="H780" t="s">
        <v>1756</v>
      </c>
      <c r="I780">
        <v>150</v>
      </c>
      <c r="J780">
        <v>0</v>
      </c>
      <c r="K780">
        <v>0</v>
      </c>
      <c r="L780">
        <v>200</v>
      </c>
      <c r="M780">
        <v>30</v>
      </c>
      <c r="N780">
        <v>70</v>
      </c>
      <c r="O780">
        <v>70</v>
      </c>
      <c r="P780">
        <v>0</v>
      </c>
      <c r="Q780">
        <v>30</v>
      </c>
      <c r="R780">
        <v>0</v>
      </c>
      <c r="S780">
        <v>0</v>
      </c>
      <c r="T780">
        <v>0</v>
      </c>
      <c r="U780">
        <v>0</v>
      </c>
      <c r="V780">
        <v>12</v>
      </c>
      <c r="W780">
        <v>84</v>
      </c>
      <c r="Z780">
        <v>0</v>
      </c>
      <c r="AA780" t="s">
        <v>1757</v>
      </c>
    </row>
    <row r="781" spans="1:27" x14ac:dyDescent="0.25">
      <c r="H781" t="s">
        <v>1758</v>
      </c>
    </row>
    <row r="782" spans="1:27" x14ac:dyDescent="0.25">
      <c r="A782">
        <v>388</v>
      </c>
      <c r="B782">
        <v>877</v>
      </c>
      <c r="C782" t="s">
        <v>1759</v>
      </c>
      <c r="D782" t="s">
        <v>142</v>
      </c>
      <c r="E782" t="s">
        <v>1760</v>
      </c>
      <c r="F782" t="s">
        <v>1761</v>
      </c>
      <c r="G782" t="str">
        <f>"00015099"</f>
        <v>00015099</v>
      </c>
      <c r="H782" t="s">
        <v>1762</v>
      </c>
      <c r="I782">
        <v>0</v>
      </c>
      <c r="J782">
        <v>0</v>
      </c>
      <c r="K782">
        <v>0</v>
      </c>
      <c r="L782">
        <v>0</v>
      </c>
      <c r="M782">
        <v>100</v>
      </c>
      <c r="N782">
        <v>70</v>
      </c>
      <c r="O782">
        <v>30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92</v>
      </c>
      <c r="W782">
        <v>588</v>
      </c>
      <c r="Z782">
        <v>0</v>
      </c>
      <c r="AA782" t="s">
        <v>1757</v>
      </c>
    </row>
    <row r="783" spans="1:27" x14ac:dyDescent="0.25">
      <c r="H783" t="s">
        <v>1763</v>
      </c>
    </row>
    <row r="784" spans="1:27" x14ac:dyDescent="0.25">
      <c r="A784">
        <v>389</v>
      </c>
      <c r="B784">
        <v>717</v>
      </c>
      <c r="C784" t="s">
        <v>1764</v>
      </c>
      <c r="D784" t="s">
        <v>1765</v>
      </c>
      <c r="E784" t="s">
        <v>143</v>
      </c>
      <c r="F784" t="s">
        <v>1766</v>
      </c>
      <c r="G784" t="str">
        <f>"00013333"</f>
        <v>00013333</v>
      </c>
      <c r="H784" t="s">
        <v>1767</v>
      </c>
      <c r="I784">
        <v>0</v>
      </c>
      <c r="J784">
        <v>0</v>
      </c>
      <c r="K784">
        <v>0</v>
      </c>
      <c r="L784">
        <v>200</v>
      </c>
      <c r="M784">
        <v>0</v>
      </c>
      <c r="N784">
        <v>0</v>
      </c>
      <c r="O784">
        <v>0</v>
      </c>
      <c r="P784">
        <v>0</v>
      </c>
      <c r="Q784">
        <v>70</v>
      </c>
      <c r="R784">
        <v>0</v>
      </c>
      <c r="S784">
        <v>0</v>
      </c>
      <c r="T784">
        <v>0</v>
      </c>
      <c r="U784">
        <v>0</v>
      </c>
      <c r="V784">
        <v>151</v>
      </c>
      <c r="W784">
        <v>588</v>
      </c>
      <c r="Z784">
        <v>0</v>
      </c>
      <c r="AA784" t="s">
        <v>1768</v>
      </c>
    </row>
    <row r="785" spans="1:27" x14ac:dyDescent="0.25">
      <c r="H785" t="s">
        <v>1769</v>
      </c>
    </row>
    <row r="786" spans="1:27" x14ac:dyDescent="0.25">
      <c r="A786">
        <v>390</v>
      </c>
      <c r="B786">
        <v>3107</v>
      </c>
      <c r="C786" t="s">
        <v>1770</v>
      </c>
      <c r="D786" t="s">
        <v>706</v>
      </c>
      <c r="E786" t="s">
        <v>81</v>
      </c>
      <c r="F786" t="s">
        <v>1771</v>
      </c>
      <c r="G786" t="str">
        <f>"201506001655"</f>
        <v>201506001655</v>
      </c>
      <c r="H786" t="s">
        <v>1772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70</v>
      </c>
      <c r="O786">
        <v>0</v>
      </c>
      <c r="P786">
        <v>30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84</v>
      </c>
      <c r="W786">
        <v>588</v>
      </c>
      <c r="Z786">
        <v>0</v>
      </c>
      <c r="AA786" t="s">
        <v>1773</v>
      </c>
    </row>
    <row r="787" spans="1:27" x14ac:dyDescent="0.25">
      <c r="H787" t="s">
        <v>56</v>
      </c>
    </row>
    <row r="788" spans="1:27" x14ac:dyDescent="0.25">
      <c r="A788">
        <v>391</v>
      </c>
      <c r="B788">
        <v>1860</v>
      </c>
      <c r="C788" t="s">
        <v>1774</v>
      </c>
      <c r="D788" t="s">
        <v>813</v>
      </c>
      <c r="E788" t="s">
        <v>850</v>
      </c>
      <c r="F788" t="s">
        <v>1775</v>
      </c>
      <c r="G788" t="str">
        <f>"201506001536"</f>
        <v>201506001536</v>
      </c>
      <c r="H788" t="s">
        <v>801</v>
      </c>
      <c r="I788">
        <v>0</v>
      </c>
      <c r="J788">
        <v>0</v>
      </c>
      <c r="K788">
        <v>0</v>
      </c>
      <c r="L788">
        <v>0</v>
      </c>
      <c r="M788">
        <v>100</v>
      </c>
      <c r="N788">
        <v>70</v>
      </c>
      <c r="O788">
        <v>0</v>
      </c>
      <c r="P788">
        <v>50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120</v>
      </c>
      <c r="W788">
        <v>588</v>
      </c>
      <c r="Z788">
        <v>0</v>
      </c>
      <c r="AA788" t="s">
        <v>1776</v>
      </c>
    </row>
    <row r="789" spans="1:27" x14ac:dyDescent="0.25">
      <c r="H789">
        <v>203</v>
      </c>
    </row>
    <row r="790" spans="1:27" x14ac:dyDescent="0.25">
      <c r="A790">
        <v>392</v>
      </c>
      <c r="B790">
        <v>1924</v>
      </c>
      <c r="C790" t="s">
        <v>1777</v>
      </c>
      <c r="D790" t="s">
        <v>1778</v>
      </c>
      <c r="E790" t="s">
        <v>54</v>
      </c>
      <c r="F790" t="s">
        <v>1779</v>
      </c>
      <c r="G790" t="str">
        <f>"201506000572"</f>
        <v>201506000572</v>
      </c>
      <c r="H790" t="s">
        <v>660</v>
      </c>
      <c r="I790">
        <v>150</v>
      </c>
      <c r="J790">
        <v>0</v>
      </c>
      <c r="K790">
        <v>0</v>
      </c>
      <c r="L790">
        <v>200</v>
      </c>
      <c r="M790">
        <v>30</v>
      </c>
      <c r="N790">
        <v>70</v>
      </c>
      <c r="O790">
        <v>70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24</v>
      </c>
      <c r="W790">
        <v>168</v>
      </c>
      <c r="Z790">
        <v>0</v>
      </c>
      <c r="AA790" t="s">
        <v>1780</v>
      </c>
    </row>
    <row r="791" spans="1:27" x14ac:dyDescent="0.25">
      <c r="H791" t="s">
        <v>1781</v>
      </c>
    </row>
    <row r="792" spans="1:27" x14ac:dyDescent="0.25">
      <c r="A792">
        <v>393</v>
      </c>
      <c r="B792">
        <v>433</v>
      </c>
      <c r="C792" t="s">
        <v>1782</v>
      </c>
      <c r="D792" t="s">
        <v>1783</v>
      </c>
      <c r="E792" t="s">
        <v>81</v>
      </c>
      <c r="F792" t="s">
        <v>1784</v>
      </c>
      <c r="G792" t="str">
        <f>"201304000195"</f>
        <v>201304000195</v>
      </c>
      <c r="H792" t="s">
        <v>660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70</v>
      </c>
      <c r="R792">
        <v>0</v>
      </c>
      <c r="S792">
        <v>0</v>
      </c>
      <c r="T792">
        <v>0</v>
      </c>
      <c r="U792">
        <v>0</v>
      </c>
      <c r="V792">
        <v>89</v>
      </c>
      <c r="W792">
        <v>588</v>
      </c>
      <c r="Z792">
        <v>0</v>
      </c>
      <c r="AA792" t="s">
        <v>1780</v>
      </c>
    </row>
    <row r="793" spans="1:27" x14ac:dyDescent="0.25">
      <c r="H793">
        <v>202</v>
      </c>
    </row>
    <row r="794" spans="1:27" x14ac:dyDescent="0.25">
      <c r="A794">
        <v>394</v>
      </c>
      <c r="B794">
        <v>2404</v>
      </c>
      <c r="C794" t="s">
        <v>1664</v>
      </c>
      <c r="D794" t="s">
        <v>476</v>
      </c>
      <c r="E794" t="s">
        <v>1439</v>
      </c>
      <c r="F794" t="s">
        <v>1785</v>
      </c>
      <c r="G794" t="str">
        <f>"201304002226"</f>
        <v>201304002226</v>
      </c>
      <c r="H794" t="s">
        <v>1620</v>
      </c>
      <c r="I794">
        <v>0</v>
      </c>
      <c r="J794">
        <v>0</v>
      </c>
      <c r="K794">
        <v>0</v>
      </c>
      <c r="L794">
        <v>0</v>
      </c>
      <c r="M794">
        <v>100</v>
      </c>
      <c r="N794">
        <v>70</v>
      </c>
      <c r="O794">
        <v>0</v>
      </c>
      <c r="P794">
        <v>50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100</v>
      </c>
      <c r="W794">
        <v>588</v>
      </c>
      <c r="Z794">
        <v>0</v>
      </c>
      <c r="AA794" t="s">
        <v>1786</v>
      </c>
    </row>
    <row r="795" spans="1:27" x14ac:dyDescent="0.25">
      <c r="H795" t="s">
        <v>1787</v>
      </c>
    </row>
    <row r="796" spans="1:27" x14ac:dyDescent="0.25">
      <c r="A796">
        <v>395</v>
      </c>
      <c r="B796">
        <v>2869</v>
      </c>
      <c r="C796" t="s">
        <v>1788</v>
      </c>
      <c r="D796" t="s">
        <v>204</v>
      </c>
      <c r="E796" t="s">
        <v>1439</v>
      </c>
      <c r="F796" t="s">
        <v>1789</v>
      </c>
      <c r="G796" t="str">
        <f>"201304003263"</f>
        <v>201304003263</v>
      </c>
      <c r="H796" t="s">
        <v>1790</v>
      </c>
      <c r="I796">
        <v>0</v>
      </c>
      <c r="J796">
        <v>0</v>
      </c>
      <c r="K796">
        <v>0</v>
      </c>
      <c r="L796">
        <v>0</v>
      </c>
      <c r="M796">
        <v>100</v>
      </c>
      <c r="N796">
        <v>70</v>
      </c>
      <c r="O796">
        <v>70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87</v>
      </c>
      <c r="W796">
        <v>588</v>
      </c>
      <c r="Z796">
        <v>0</v>
      </c>
      <c r="AA796" t="s">
        <v>1791</v>
      </c>
    </row>
    <row r="797" spans="1:27" x14ac:dyDescent="0.25">
      <c r="H797" t="s">
        <v>1792</v>
      </c>
    </row>
    <row r="798" spans="1:27" x14ac:dyDescent="0.25">
      <c r="A798">
        <v>396</v>
      </c>
      <c r="B798">
        <v>2170</v>
      </c>
      <c r="C798" t="s">
        <v>1793</v>
      </c>
      <c r="D798" t="s">
        <v>346</v>
      </c>
      <c r="E798" t="s">
        <v>1794</v>
      </c>
      <c r="F798" t="s">
        <v>1795</v>
      </c>
      <c r="G798" t="str">
        <f>"00013807"</f>
        <v>00013807</v>
      </c>
      <c r="H798" t="s">
        <v>254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70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87</v>
      </c>
      <c r="W798">
        <v>588</v>
      </c>
      <c r="Z798">
        <v>0</v>
      </c>
      <c r="AA798" t="s">
        <v>1796</v>
      </c>
    </row>
    <row r="799" spans="1:27" x14ac:dyDescent="0.25">
      <c r="H799" t="s">
        <v>1797</v>
      </c>
    </row>
    <row r="800" spans="1:27" x14ac:dyDescent="0.25">
      <c r="A800">
        <v>397</v>
      </c>
      <c r="B800">
        <v>920</v>
      </c>
      <c r="C800" t="s">
        <v>1798</v>
      </c>
      <c r="D800" t="s">
        <v>87</v>
      </c>
      <c r="E800" t="s">
        <v>143</v>
      </c>
      <c r="F800" t="s">
        <v>1799</v>
      </c>
      <c r="G800" t="str">
        <f>"201406012217"</f>
        <v>201406012217</v>
      </c>
      <c r="H800" t="s">
        <v>683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70</v>
      </c>
      <c r="O800">
        <v>0</v>
      </c>
      <c r="P800">
        <v>50</v>
      </c>
      <c r="Q800">
        <v>30</v>
      </c>
      <c r="R800">
        <v>0</v>
      </c>
      <c r="S800">
        <v>0</v>
      </c>
      <c r="T800">
        <v>0</v>
      </c>
      <c r="U800">
        <v>0</v>
      </c>
      <c r="V800">
        <v>192</v>
      </c>
      <c r="W800">
        <v>588</v>
      </c>
      <c r="Z800">
        <v>0</v>
      </c>
      <c r="AA800" t="s">
        <v>1800</v>
      </c>
    </row>
    <row r="801" spans="1:27" x14ac:dyDescent="0.25">
      <c r="H801" t="s">
        <v>1801</v>
      </c>
    </row>
    <row r="802" spans="1:27" x14ac:dyDescent="0.25">
      <c r="A802">
        <v>398</v>
      </c>
      <c r="B802">
        <v>2631</v>
      </c>
      <c r="C802" t="s">
        <v>1802</v>
      </c>
      <c r="D802" t="s">
        <v>1803</v>
      </c>
      <c r="E802" t="s">
        <v>47</v>
      </c>
      <c r="F802" t="s">
        <v>1804</v>
      </c>
      <c r="G802" t="str">
        <f>"201304003010"</f>
        <v>201304003010</v>
      </c>
      <c r="H802" t="s">
        <v>519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50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280</v>
      </c>
      <c r="W802">
        <v>588</v>
      </c>
      <c r="Z802">
        <v>0</v>
      </c>
      <c r="AA802" t="s">
        <v>1805</v>
      </c>
    </row>
    <row r="803" spans="1:27" x14ac:dyDescent="0.25">
      <c r="H803" t="s">
        <v>1806</v>
      </c>
    </row>
    <row r="804" spans="1:27" x14ac:dyDescent="0.25">
      <c r="A804">
        <v>399</v>
      </c>
      <c r="B804">
        <v>751</v>
      </c>
      <c r="C804" t="s">
        <v>1807</v>
      </c>
      <c r="D804" t="s">
        <v>620</v>
      </c>
      <c r="E804" t="s">
        <v>41</v>
      </c>
      <c r="F804" t="s">
        <v>1808</v>
      </c>
      <c r="G804" t="str">
        <f>"201406000236"</f>
        <v>201406000236</v>
      </c>
      <c r="H804" t="s">
        <v>49</v>
      </c>
      <c r="I804">
        <v>0</v>
      </c>
      <c r="J804">
        <v>0</v>
      </c>
      <c r="K804">
        <v>0</v>
      </c>
      <c r="L804">
        <v>0</v>
      </c>
      <c r="M804">
        <v>100</v>
      </c>
      <c r="N804">
        <v>70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132</v>
      </c>
      <c r="W804">
        <v>588</v>
      </c>
      <c r="Z804">
        <v>0</v>
      </c>
      <c r="AA804" t="s">
        <v>1809</v>
      </c>
    </row>
    <row r="805" spans="1:27" x14ac:dyDescent="0.25">
      <c r="H805" t="s">
        <v>1810</v>
      </c>
    </row>
    <row r="806" spans="1:27" x14ac:dyDescent="0.25">
      <c r="A806">
        <v>400</v>
      </c>
      <c r="B806">
        <v>948</v>
      </c>
      <c r="C806" t="s">
        <v>584</v>
      </c>
      <c r="D806" t="s">
        <v>891</v>
      </c>
      <c r="E806" t="s">
        <v>81</v>
      </c>
      <c r="F806" t="s">
        <v>1811</v>
      </c>
      <c r="G806" t="str">
        <f>"00015154"</f>
        <v>00015154</v>
      </c>
      <c r="H806" t="s">
        <v>218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70</v>
      </c>
      <c r="O806">
        <v>50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201</v>
      </c>
      <c r="W806">
        <v>588</v>
      </c>
      <c r="Z806">
        <v>0</v>
      </c>
      <c r="AA806" t="s">
        <v>1812</v>
      </c>
    </row>
    <row r="807" spans="1:27" x14ac:dyDescent="0.25">
      <c r="H807" t="s">
        <v>1813</v>
      </c>
    </row>
    <row r="808" spans="1:27" x14ac:dyDescent="0.25">
      <c r="A808">
        <v>401</v>
      </c>
      <c r="B808">
        <v>434</v>
      </c>
      <c r="C808" t="s">
        <v>1814</v>
      </c>
      <c r="D808" t="s">
        <v>1335</v>
      </c>
      <c r="E808" t="s">
        <v>121</v>
      </c>
      <c r="F808" t="s">
        <v>1815</v>
      </c>
      <c r="G808" t="str">
        <f>"201406002683"</f>
        <v>201406002683</v>
      </c>
      <c r="H808" t="s">
        <v>1816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70</v>
      </c>
      <c r="O808">
        <v>70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168</v>
      </c>
      <c r="W808">
        <v>588</v>
      </c>
      <c r="Z808">
        <v>0</v>
      </c>
      <c r="AA808" t="s">
        <v>1817</v>
      </c>
    </row>
    <row r="809" spans="1:27" x14ac:dyDescent="0.25">
      <c r="H809">
        <v>204</v>
      </c>
    </row>
    <row r="810" spans="1:27" x14ac:dyDescent="0.25">
      <c r="A810">
        <v>402</v>
      </c>
      <c r="B810">
        <v>1841</v>
      </c>
      <c r="C810" t="s">
        <v>1818</v>
      </c>
      <c r="D810" t="s">
        <v>818</v>
      </c>
      <c r="E810" t="s">
        <v>47</v>
      </c>
      <c r="F810" t="s">
        <v>1819</v>
      </c>
      <c r="G810" t="str">
        <f>"201506003216"</f>
        <v>201506003216</v>
      </c>
      <c r="H810" t="s">
        <v>920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70</v>
      </c>
      <c r="O810">
        <v>0</v>
      </c>
      <c r="P810">
        <v>30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88</v>
      </c>
      <c r="W810">
        <v>588</v>
      </c>
      <c r="Z810">
        <v>0</v>
      </c>
      <c r="AA810" t="s">
        <v>1820</v>
      </c>
    </row>
    <row r="811" spans="1:27" x14ac:dyDescent="0.25">
      <c r="H811" t="s">
        <v>256</v>
      </c>
    </row>
    <row r="812" spans="1:27" x14ac:dyDescent="0.25">
      <c r="A812">
        <v>403</v>
      </c>
      <c r="B812">
        <v>482</v>
      </c>
      <c r="C812" t="s">
        <v>1821</v>
      </c>
      <c r="D812" t="s">
        <v>532</v>
      </c>
      <c r="E812" t="s">
        <v>1822</v>
      </c>
      <c r="F812" t="s">
        <v>1823</v>
      </c>
      <c r="G812" t="str">
        <f>"201304005564"</f>
        <v>201304005564</v>
      </c>
      <c r="H812" t="s">
        <v>524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70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99</v>
      </c>
      <c r="W812">
        <v>588</v>
      </c>
      <c r="Z812">
        <v>0</v>
      </c>
      <c r="AA812" t="s">
        <v>1824</v>
      </c>
    </row>
    <row r="813" spans="1:27" x14ac:dyDescent="0.25">
      <c r="H813" t="s">
        <v>1825</v>
      </c>
    </row>
    <row r="814" spans="1:27" x14ac:dyDescent="0.25">
      <c r="A814">
        <v>404</v>
      </c>
      <c r="B814">
        <v>2870</v>
      </c>
      <c r="C814" t="s">
        <v>1826</v>
      </c>
      <c r="D814" t="s">
        <v>620</v>
      </c>
      <c r="E814" t="s">
        <v>293</v>
      </c>
      <c r="F814" t="s">
        <v>1827</v>
      </c>
      <c r="G814" t="str">
        <f>"00013956"</f>
        <v>00013956</v>
      </c>
      <c r="H814" t="s">
        <v>189</v>
      </c>
      <c r="I814">
        <v>0</v>
      </c>
      <c r="J814">
        <v>0</v>
      </c>
      <c r="K814">
        <v>0</v>
      </c>
      <c r="L814">
        <v>200</v>
      </c>
      <c r="M814">
        <v>30</v>
      </c>
      <c r="N814">
        <v>70</v>
      </c>
      <c r="O814">
        <v>50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52</v>
      </c>
      <c r="W814">
        <v>364</v>
      </c>
      <c r="Z814">
        <v>0</v>
      </c>
      <c r="AA814" t="s">
        <v>1828</v>
      </c>
    </row>
    <row r="815" spans="1:27" x14ac:dyDescent="0.25">
      <c r="H815" t="s">
        <v>1829</v>
      </c>
    </row>
    <row r="816" spans="1:27" x14ac:dyDescent="0.25">
      <c r="A816">
        <v>405</v>
      </c>
      <c r="B816">
        <v>732</v>
      </c>
      <c r="C816" t="s">
        <v>1830</v>
      </c>
      <c r="D816" t="s">
        <v>40</v>
      </c>
      <c r="E816" t="s">
        <v>81</v>
      </c>
      <c r="F816" t="s">
        <v>1831</v>
      </c>
      <c r="G816" t="str">
        <f>"201410000406"</f>
        <v>201410000406</v>
      </c>
      <c r="H816" t="s">
        <v>1372</v>
      </c>
      <c r="I816">
        <v>0</v>
      </c>
      <c r="J816">
        <v>0</v>
      </c>
      <c r="K816">
        <v>0</v>
      </c>
      <c r="L816">
        <v>200</v>
      </c>
      <c r="M816">
        <v>0</v>
      </c>
      <c r="N816">
        <v>70</v>
      </c>
      <c r="O816">
        <v>30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71</v>
      </c>
      <c r="W816">
        <v>497</v>
      </c>
      <c r="Z816">
        <v>1</v>
      </c>
      <c r="AA816" t="s">
        <v>1832</v>
      </c>
    </row>
    <row r="817" spans="1:27" x14ac:dyDescent="0.25">
      <c r="H817" t="s">
        <v>1833</v>
      </c>
    </row>
    <row r="818" spans="1:27" x14ac:dyDescent="0.25">
      <c r="A818">
        <v>406</v>
      </c>
      <c r="B818">
        <v>3295</v>
      </c>
      <c r="C818" t="s">
        <v>1834</v>
      </c>
      <c r="D818" t="s">
        <v>81</v>
      </c>
      <c r="E818" t="s">
        <v>624</v>
      </c>
      <c r="F818" t="s">
        <v>1835</v>
      </c>
      <c r="G818" t="str">
        <f>"00003401"</f>
        <v>00003401</v>
      </c>
      <c r="H818">
        <v>726</v>
      </c>
      <c r="I818">
        <v>0</v>
      </c>
      <c r="J818">
        <v>0</v>
      </c>
      <c r="K818">
        <v>0</v>
      </c>
      <c r="L818">
        <v>200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70</v>
      </c>
      <c r="W818">
        <v>490</v>
      </c>
      <c r="Z818">
        <v>0</v>
      </c>
      <c r="AA818">
        <v>1486</v>
      </c>
    </row>
    <row r="819" spans="1:27" x14ac:dyDescent="0.25">
      <c r="H819" t="s">
        <v>1836</v>
      </c>
    </row>
    <row r="820" spans="1:27" x14ac:dyDescent="0.25">
      <c r="A820">
        <v>407</v>
      </c>
      <c r="B820">
        <v>2101</v>
      </c>
      <c r="C820" t="s">
        <v>426</v>
      </c>
      <c r="D820" t="s">
        <v>20</v>
      </c>
      <c r="E820" t="s">
        <v>47</v>
      </c>
      <c r="F820" t="s">
        <v>1837</v>
      </c>
      <c r="G820" t="str">
        <f>"201304004928"</f>
        <v>201304004928</v>
      </c>
      <c r="H820" t="s">
        <v>239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70</v>
      </c>
      <c r="O820">
        <v>70</v>
      </c>
      <c r="P820">
        <v>0</v>
      </c>
      <c r="Q820">
        <v>0</v>
      </c>
      <c r="R820">
        <v>30</v>
      </c>
      <c r="S820">
        <v>0</v>
      </c>
      <c r="T820">
        <v>0</v>
      </c>
      <c r="U820">
        <v>0</v>
      </c>
      <c r="V820">
        <v>75</v>
      </c>
      <c r="W820">
        <v>525</v>
      </c>
      <c r="Z820">
        <v>0</v>
      </c>
      <c r="AA820" t="s">
        <v>1838</v>
      </c>
    </row>
    <row r="821" spans="1:27" x14ac:dyDescent="0.25">
      <c r="H821" t="s">
        <v>98</v>
      </c>
    </row>
    <row r="822" spans="1:27" x14ac:dyDescent="0.25">
      <c r="A822">
        <v>408</v>
      </c>
      <c r="B822">
        <v>1539</v>
      </c>
      <c r="C822" t="s">
        <v>1839</v>
      </c>
      <c r="D822" t="s">
        <v>54</v>
      </c>
      <c r="E822" t="s">
        <v>94</v>
      </c>
      <c r="F822" t="s">
        <v>1840</v>
      </c>
      <c r="G822" t="str">
        <f>"00014626"</f>
        <v>00014626</v>
      </c>
      <c r="H822" t="s">
        <v>665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70</v>
      </c>
      <c r="O822">
        <v>0</v>
      </c>
      <c r="P822">
        <v>50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64</v>
      </c>
      <c r="W822">
        <v>448</v>
      </c>
      <c r="Z822">
        <v>0</v>
      </c>
      <c r="AA822" t="s">
        <v>1841</v>
      </c>
    </row>
    <row r="823" spans="1:27" x14ac:dyDescent="0.25">
      <c r="H823" t="s">
        <v>1842</v>
      </c>
    </row>
    <row r="824" spans="1:27" x14ac:dyDescent="0.25">
      <c r="A824">
        <v>409</v>
      </c>
      <c r="B824">
        <v>2196</v>
      </c>
      <c r="C824" t="s">
        <v>1843</v>
      </c>
      <c r="D824" t="s">
        <v>620</v>
      </c>
      <c r="E824" t="s">
        <v>100</v>
      </c>
      <c r="F824" t="s">
        <v>1844</v>
      </c>
      <c r="G824" t="str">
        <f>"201002000426"</f>
        <v>201002000426</v>
      </c>
      <c r="H824" t="s">
        <v>559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70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84</v>
      </c>
      <c r="W824">
        <v>588</v>
      </c>
      <c r="Z824">
        <v>2</v>
      </c>
      <c r="AA824" t="s">
        <v>1845</v>
      </c>
    </row>
    <row r="825" spans="1:27" x14ac:dyDescent="0.25">
      <c r="H825" t="s">
        <v>1846</v>
      </c>
    </row>
    <row r="826" spans="1:27" x14ac:dyDescent="0.25">
      <c r="A826">
        <v>410</v>
      </c>
      <c r="B826">
        <v>2679</v>
      </c>
      <c r="C826" t="s">
        <v>1847</v>
      </c>
      <c r="D826" t="s">
        <v>136</v>
      </c>
      <c r="E826" t="s">
        <v>143</v>
      </c>
      <c r="F826" t="s">
        <v>1848</v>
      </c>
      <c r="G826" t="str">
        <f>"201304002975"</f>
        <v>201304002975</v>
      </c>
      <c r="H826" t="s">
        <v>879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70</v>
      </c>
      <c r="O826">
        <v>30</v>
      </c>
      <c r="P826">
        <v>70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86</v>
      </c>
      <c r="W826">
        <v>588</v>
      </c>
      <c r="Z826">
        <v>1</v>
      </c>
      <c r="AA826" t="s">
        <v>1849</v>
      </c>
    </row>
    <row r="827" spans="1:27" x14ac:dyDescent="0.25">
      <c r="H827" t="s">
        <v>1850</v>
      </c>
    </row>
    <row r="828" spans="1:27" x14ac:dyDescent="0.25">
      <c r="A828">
        <v>411</v>
      </c>
      <c r="B828">
        <v>2429</v>
      </c>
      <c r="C828" t="s">
        <v>1851</v>
      </c>
      <c r="D828" t="s">
        <v>1127</v>
      </c>
      <c r="E828" t="s">
        <v>155</v>
      </c>
      <c r="F828" t="s">
        <v>1852</v>
      </c>
      <c r="G828" t="str">
        <f>"00012641"</f>
        <v>00012641</v>
      </c>
      <c r="H828" t="s">
        <v>1853</v>
      </c>
      <c r="I828">
        <v>0</v>
      </c>
      <c r="J828">
        <v>0</v>
      </c>
      <c r="K828">
        <v>0</v>
      </c>
      <c r="L828">
        <v>200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101</v>
      </c>
      <c r="W828">
        <v>588</v>
      </c>
      <c r="Z828">
        <v>0</v>
      </c>
      <c r="AA828" t="s">
        <v>1854</v>
      </c>
    </row>
    <row r="829" spans="1:27" x14ac:dyDescent="0.25">
      <c r="H829" t="s">
        <v>1855</v>
      </c>
    </row>
    <row r="830" spans="1:27" x14ac:dyDescent="0.25">
      <c r="A830">
        <v>412</v>
      </c>
      <c r="B830">
        <v>1989</v>
      </c>
      <c r="C830" t="s">
        <v>1856</v>
      </c>
      <c r="D830" t="s">
        <v>1857</v>
      </c>
      <c r="E830" t="s">
        <v>21</v>
      </c>
      <c r="F830" t="s">
        <v>1858</v>
      </c>
      <c r="G830" t="str">
        <f>"00013529"</f>
        <v>00013529</v>
      </c>
      <c r="H830" t="s">
        <v>683</v>
      </c>
      <c r="I830">
        <v>0</v>
      </c>
      <c r="J830">
        <v>0</v>
      </c>
      <c r="K830">
        <v>0</v>
      </c>
      <c r="L830">
        <v>200</v>
      </c>
      <c r="M830">
        <v>0</v>
      </c>
      <c r="N830">
        <v>70</v>
      </c>
      <c r="O830">
        <v>30</v>
      </c>
      <c r="P830">
        <v>0</v>
      </c>
      <c r="Q830">
        <v>70</v>
      </c>
      <c r="R830">
        <v>0</v>
      </c>
      <c r="S830">
        <v>0</v>
      </c>
      <c r="T830">
        <v>0</v>
      </c>
      <c r="U830">
        <v>0</v>
      </c>
      <c r="V830">
        <v>51</v>
      </c>
      <c r="W830">
        <v>357</v>
      </c>
      <c r="Z830">
        <v>0</v>
      </c>
      <c r="AA830" t="s">
        <v>1859</v>
      </c>
    </row>
    <row r="831" spans="1:27" x14ac:dyDescent="0.25">
      <c r="H831" t="s">
        <v>1860</v>
      </c>
    </row>
    <row r="832" spans="1:27" x14ac:dyDescent="0.25">
      <c r="A832">
        <v>413</v>
      </c>
      <c r="B832">
        <v>1807</v>
      </c>
      <c r="C832" t="s">
        <v>1861</v>
      </c>
      <c r="D832" t="s">
        <v>1862</v>
      </c>
      <c r="E832" t="s">
        <v>54</v>
      </c>
      <c r="F832" t="s">
        <v>1863</v>
      </c>
      <c r="G832" t="str">
        <f>"00014704"</f>
        <v>00014704</v>
      </c>
      <c r="H832" t="s">
        <v>458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70</v>
      </c>
      <c r="O832">
        <v>30</v>
      </c>
      <c r="P832">
        <v>50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156</v>
      </c>
      <c r="W832">
        <v>588</v>
      </c>
      <c r="Z832">
        <v>0</v>
      </c>
      <c r="AA832" t="s">
        <v>1859</v>
      </c>
    </row>
    <row r="833" spans="1:27" x14ac:dyDescent="0.25">
      <c r="H833" t="s">
        <v>1864</v>
      </c>
    </row>
    <row r="834" spans="1:27" x14ac:dyDescent="0.25">
      <c r="A834">
        <v>414</v>
      </c>
      <c r="B834">
        <v>1993</v>
      </c>
      <c r="C834" t="s">
        <v>1865</v>
      </c>
      <c r="D834" t="s">
        <v>1866</v>
      </c>
      <c r="E834" t="s">
        <v>276</v>
      </c>
      <c r="F834" t="s">
        <v>1867</v>
      </c>
      <c r="G834" t="str">
        <f>"201406015099"</f>
        <v>201406015099</v>
      </c>
      <c r="H834" t="s">
        <v>1868</v>
      </c>
      <c r="I834">
        <v>0</v>
      </c>
      <c r="J834">
        <v>0</v>
      </c>
      <c r="K834">
        <v>0</v>
      </c>
      <c r="L834">
        <v>200</v>
      </c>
      <c r="M834">
        <v>30</v>
      </c>
      <c r="N834">
        <v>70</v>
      </c>
      <c r="O834">
        <v>50</v>
      </c>
      <c r="P834">
        <v>50</v>
      </c>
      <c r="Q834">
        <v>50</v>
      </c>
      <c r="R834">
        <v>30</v>
      </c>
      <c r="S834">
        <v>0</v>
      </c>
      <c r="T834">
        <v>0</v>
      </c>
      <c r="U834">
        <v>0</v>
      </c>
      <c r="V834">
        <v>22</v>
      </c>
      <c r="W834">
        <v>154</v>
      </c>
      <c r="Z834">
        <v>0</v>
      </c>
      <c r="AA834" t="s">
        <v>1869</v>
      </c>
    </row>
    <row r="835" spans="1:27" x14ac:dyDescent="0.25">
      <c r="H835" t="s">
        <v>56</v>
      </c>
    </row>
    <row r="836" spans="1:27" x14ac:dyDescent="0.25">
      <c r="A836">
        <v>415</v>
      </c>
      <c r="B836">
        <v>1654</v>
      </c>
      <c r="C836" t="s">
        <v>1870</v>
      </c>
      <c r="D836" t="s">
        <v>165</v>
      </c>
      <c r="E836" t="s">
        <v>41</v>
      </c>
      <c r="F836" t="s">
        <v>1871</v>
      </c>
      <c r="G836" t="str">
        <f>"201304000680"</f>
        <v>201304000680</v>
      </c>
      <c r="H836" t="s">
        <v>1698</v>
      </c>
      <c r="I836">
        <v>0</v>
      </c>
      <c r="J836">
        <v>0</v>
      </c>
      <c r="K836">
        <v>0</v>
      </c>
      <c r="L836">
        <v>0</v>
      </c>
      <c r="M836">
        <v>100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99</v>
      </c>
      <c r="W836">
        <v>588</v>
      </c>
      <c r="Z836">
        <v>0</v>
      </c>
      <c r="AA836" t="s">
        <v>1872</v>
      </c>
    </row>
    <row r="837" spans="1:27" x14ac:dyDescent="0.25">
      <c r="H837" t="s">
        <v>1873</v>
      </c>
    </row>
    <row r="838" spans="1:27" x14ac:dyDescent="0.25">
      <c r="A838">
        <v>416</v>
      </c>
      <c r="B838">
        <v>1457</v>
      </c>
      <c r="C838" t="s">
        <v>1874</v>
      </c>
      <c r="D838" t="s">
        <v>1875</v>
      </c>
      <c r="E838" t="s">
        <v>143</v>
      </c>
      <c r="F838" t="s">
        <v>1876</v>
      </c>
      <c r="G838" t="str">
        <f>"00013410"</f>
        <v>00013410</v>
      </c>
      <c r="H838" t="s">
        <v>534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Z838">
        <v>0</v>
      </c>
      <c r="AA838" t="s">
        <v>1877</v>
      </c>
    </row>
    <row r="839" spans="1:27" x14ac:dyDescent="0.25">
      <c r="H839" t="s">
        <v>1878</v>
      </c>
    </row>
    <row r="840" spans="1:27" x14ac:dyDescent="0.25">
      <c r="A840">
        <v>417</v>
      </c>
      <c r="B840">
        <v>478</v>
      </c>
      <c r="C840" t="s">
        <v>1879</v>
      </c>
      <c r="D840" t="s">
        <v>1594</v>
      </c>
      <c r="E840" t="s">
        <v>507</v>
      </c>
      <c r="F840" t="s">
        <v>1880</v>
      </c>
      <c r="G840" t="str">
        <f>"201406006482"</f>
        <v>201406006482</v>
      </c>
      <c r="H840" t="s">
        <v>1316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70</v>
      </c>
      <c r="O840">
        <v>70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108</v>
      </c>
      <c r="W840">
        <v>588</v>
      </c>
      <c r="Z840">
        <v>0</v>
      </c>
      <c r="AA840" t="s">
        <v>1877</v>
      </c>
    </row>
    <row r="841" spans="1:27" x14ac:dyDescent="0.25">
      <c r="H841" t="s">
        <v>369</v>
      </c>
    </row>
    <row r="842" spans="1:27" x14ac:dyDescent="0.25">
      <c r="A842">
        <v>418</v>
      </c>
      <c r="B842">
        <v>1262</v>
      </c>
      <c r="C842" t="s">
        <v>1881</v>
      </c>
      <c r="D842" t="s">
        <v>210</v>
      </c>
      <c r="E842" t="s">
        <v>54</v>
      </c>
      <c r="F842" t="s">
        <v>1882</v>
      </c>
      <c r="G842" t="str">
        <f>"00013336"</f>
        <v>00013336</v>
      </c>
      <c r="H842" t="s">
        <v>716</v>
      </c>
      <c r="I842">
        <v>0</v>
      </c>
      <c r="J842">
        <v>0</v>
      </c>
      <c r="K842">
        <v>0</v>
      </c>
      <c r="L842">
        <v>0</v>
      </c>
      <c r="M842">
        <v>100</v>
      </c>
      <c r="N842">
        <v>30</v>
      </c>
      <c r="O842">
        <v>30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87</v>
      </c>
      <c r="W842">
        <v>588</v>
      </c>
      <c r="Z842">
        <v>0</v>
      </c>
      <c r="AA842" t="s">
        <v>1883</v>
      </c>
    </row>
    <row r="843" spans="1:27" x14ac:dyDescent="0.25">
      <c r="H843" t="s">
        <v>56</v>
      </c>
    </row>
    <row r="844" spans="1:27" x14ac:dyDescent="0.25">
      <c r="A844">
        <v>419</v>
      </c>
      <c r="B844">
        <v>145</v>
      </c>
      <c r="C844" t="s">
        <v>1884</v>
      </c>
      <c r="D844" t="s">
        <v>176</v>
      </c>
      <c r="E844" t="s">
        <v>94</v>
      </c>
      <c r="F844" t="s">
        <v>1885</v>
      </c>
      <c r="G844" t="str">
        <f>"200801001368"</f>
        <v>200801001368</v>
      </c>
      <c r="H844" t="s">
        <v>167</v>
      </c>
      <c r="I844">
        <v>0</v>
      </c>
      <c r="J844">
        <v>0</v>
      </c>
      <c r="K844">
        <v>0</v>
      </c>
      <c r="L844">
        <v>260</v>
      </c>
      <c r="M844">
        <v>0</v>
      </c>
      <c r="N844">
        <v>70</v>
      </c>
      <c r="O844">
        <v>0</v>
      </c>
      <c r="P844">
        <v>0</v>
      </c>
      <c r="Q844">
        <v>0</v>
      </c>
      <c r="R844">
        <v>70</v>
      </c>
      <c r="S844">
        <v>0</v>
      </c>
      <c r="T844">
        <v>0</v>
      </c>
      <c r="U844">
        <v>0</v>
      </c>
      <c r="V844">
        <v>38</v>
      </c>
      <c r="W844">
        <v>266</v>
      </c>
      <c r="Z844">
        <v>0</v>
      </c>
      <c r="AA844" t="s">
        <v>1886</v>
      </c>
    </row>
    <row r="845" spans="1:27" x14ac:dyDescent="0.25">
      <c r="H845" t="s">
        <v>1887</v>
      </c>
    </row>
    <row r="846" spans="1:27" x14ac:dyDescent="0.25">
      <c r="A846">
        <v>420</v>
      </c>
      <c r="B846">
        <v>1511</v>
      </c>
      <c r="C846" t="s">
        <v>1888</v>
      </c>
      <c r="D846" t="s">
        <v>638</v>
      </c>
      <c r="E846" t="s">
        <v>94</v>
      </c>
      <c r="F846" t="s">
        <v>1889</v>
      </c>
      <c r="G846" t="str">
        <f>"201506003387"</f>
        <v>201506003387</v>
      </c>
      <c r="H846" t="s">
        <v>224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99</v>
      </c>
      <c r="W846">
        <v>588</v>
      </c>
      <c r="Z846">
        <v>0</v>
      </c>
      <c r="AA846" t="s">
        <v>1890</v>
      </c>
    </row>
    <row r="847" spans="1:27" x14ac:dyDescent="0.25">
      <c r="H847" t="s">
        <v>1653</v>
      </c>
    </row>
    <row r="848" spans="1:27" x14ac:dyDescent="0.25">
      <c r="A848">
        <v>421</v>
      </c>
      <c r="B848">
        <v>911</v>
      </c>
      <c r="C848" t="s">
        <v>1891</v>
      </c>
      <c r="D848" t="s">
        <v>58</v>
      </c>
      <c r="E848" t="s">
        <v>100</v>
      </c>
      <c r="F848" t="s">
        <v>1892</v>
      </c>
      <c r="G848" t="str">
        <f>"201304003576"</f>
        <v>201304003576</v>
      </c>
      <c r="H848" t="s">
        <v>1893</v>
      </c>
      <c r="I848">
        <v>0</v>
      </c>
      <c r="J848">
        <v>0</v>
      </c>
      <c r="K848">
        <v>0</v>
      </c>
      <c r="L848">
        <v>0</v>
      </c>
      <c r="M848">
        <v>100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87</v>
      </c>
      <c r="W848">
        <v>588</v>
      </c>
      <c r="Z848">
        <v>0</v>
      </c>
      <c r="AA848" t="s">
        <v>1894</v>
      </c>
    </row>
    <row r="849" spans="1:27" x14ac:dyDescent="0.25">
      <c r="H849" t="s">
        <v>396</v>
      </c>
    </row>
    <row r="850" spans="1:27" x14ac:dyDescent="0.25">
      <c r="A850">
        <v>422</v>
      </c>
      <c r="B850">
        <v>918</v>
      </c>
      <c r="C850" t="s">
        <v>1895</v>
      </c>
      <c r="D850" t="s">
        <v>1896</v>
      </c>
      <c r="E850" t="s">
        <v>406</v>
      </c>
      <c r="F850" t="s">
        <v>1897</v>
      </c>
      <c r="G850" t="str">
        <f>"201506003892"</f>
        <v>201506003892</v>
      </c>
      <c r="H850" t="s">
        <v>334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70</v>
      </c>
      <c r="O850">
        <v>30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126</v>
      </c>
      <c r="W850">
        <v>588</v>
      </c>
      <c r="Z850">
        <v>0</v>
      </c>
      <c r="AA850" t="s">
        <v>1898</v>
      </c>
    </row>
    <row r="851" spans="1:27" x14ac:dyDescent="0.25">
      <c r="H851" t="s">
        <v>1899</v>
      </c>
    </row>
    <row r="852" spans="1:27" x14ac:dyDescent="0.25">
      <c r="A852">
        <v>423</v>
      </c>
      <c r="B852">
        <v>239</v>
      </c>
      <c r="C852" t="s">
        <v>1900</v>
      </c>
      <c r="D852" t="s">
        <v>813</v>
      </c>
      <c r="E852" t="s">
        <v>81</v>
      </c>
      <c r="F852" t="s">
        <v>1901</v>
      </c>
      <c r="G852" t="str">
        <f>"201506001653"</f>
        <v>201506001653</v>
      </c>
      <c r="H852" t="s">
        <v>499</v>
      </c>
      <c r="I852">
        <v>0</v>
      </c>
      <c r="J852">
        <v>0</v>
      </c>
      <c r="K852">
        <v>0</v>
      </c>
      <c r="L852">
        <v>200</v>
      </c>
      <c r="M852">
        <v>0</v>
      </c>
      <c r="N852">
        <v>50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60</v>
      </c>
      <c r="W852">
        <v>420</v>
      </c>
      <c r="Z852">
        <v>0</v>
      </c>
      <c r="AA852" t="s">
        <v>1902</v>
      </c>
    </row>
    <row r="853" spans="1:27" x14ac:dyDescent="0.25">
      <c r="H853" t="s">
        <v>1903</v>
      </c>
    </row>
    <row r="854" spans="1:27" x14ac:dyDescent="0.25">
      <c r="A854">
        <v>424</v>
      </c>
      <c r="B854">
        <v>1855</v>
      </c>
      <c r="C854" t="s">
        <v>619</v>
      </c>
      <c r="D854" t="s">
        <v>620</v>
      </c>
      <c r="E854" t="s">
        <v>155</v>
      </c>
      <c r="F854" t="s">
        <v>621</v>
      </c>
      <c r="G854" t="str">
        <f>"00013527"</f>
        <v>00013527</v>
      </c>
      <c r="H854">
        <v>715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70</v>
      </c>
      <c r="O854">
        <v>30</v>
      </c>
      <c r="P854">
        <v>70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84</v>
      </c>
      <c r="W854">
        <v>588</v>
      </c>
      <c r="Z854">
        <v>0</v>
      </c>
      <c r="AA854">
        <v>1473</v>
      </c>
    </row>
    <row r="855" spans="1:27" x14ac:dyDescent="0.25">
      <c r="H855" t="s">
        <v>622</v>
      </c>
    </row>
    <row r="856" spans="1:27" x14ac:dyDescent="0.25">
      <c r="A856">
        <v>425</v>
      </c>
      <c r="B856">
        <v>2113</v>
      </c>
      <c r="C856" t="s">
        <v>1904</v>
      </c>
      <c r="D856" t="s">
        <v>1194</v>
      </c>
      <c r="E856" t="s">
        <v>624</v>
      </c>
      <c r="F856" t="s">
        <v>1905</v>
      </c>
      <c r="G856" t="str">
        <f>"00013228"</f>
        <v>00013228</v>
      </c>
      <c r="H856" t="s">
        <v>1906</v>
      </c>
      <c r="I856">
        <v>150</v>
      </c>
      <c r="J856">
        <v>0</v>
      </c>
      <c r="K856">
        <v>0</v>
      </c>
      <c r="L856">
        <v>0</v>
      </c>
      <c r="M856">
        <v>0</v>
      </c>
      <c r="N856">
        <v>70</v>
      </c>
      <c r="O856">
        <v>30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168</v>
      </c>
      <c r="W856">
        <v>588</v>
      </c>
      <c r="Z856">
        <v>0</v>
      </c>
      <c r="AA856" t="s">
        <v>1907</v>
      </c>
    </row>
    <row r="857" spans="1:27" x14ac:dyDescent="0.25">
      <c r="H857">
        <v>207</v>
      </c>
    </row>
    <row r="858" spans="1:27" x14ac:dyDescent="0.25">
      <c r="A858">
        <v>426</v>
      </c>
      <c r="B858">
        <v>2686</v>
      </c>
      <c r="C858" t="s">
        <v>1908</v>
      </c>
      <c r="D858" t="s">
        <v>813</v>
      </c>
      <c r="E858" t="s">
        <v>94</v>
      </c>
      <c r="F858" t="s">
        <v>1909</v>
      </c>
      <c r="G858" t="str">
        <f>"201406014527"</f>
        <v>201406014527</v>
      </c>
      <c r="H858" t="s">
        <v>212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70</v>
      </c>
      <c r="O858">
        <v>0</v>
      </c>
      <c r="P858">
        <v>30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86</v>
      </c>
      <c r="W858">
        <v>588</v>
      </c>
      <c r="Z858">
        <v>0</v>
      </c>
      <c r="AA858" t="s">
        <v>1910</v>
      </c>
    </row>
    <row r="859" spans="1:27" x14ac:dyDescent="0.25">
      <c r="H859" t="s">
        <v>1911</v>
      </c>
    </row>
    <row r="860" spans="1:27" x14ac:dyDescent="0.25">
      <c r="A860">
        <v>427</v>
      </c>
      <c r="B860">
        <v>414</v>
      </c>
      <c r="C860" t="s">
        <v>1912</v>
      </c>
      <c r="D860" t="s">
        <v>14</v>
      </c>
      <c r="E860" t="s">
        <v>21</v>
      </c>
      <c r="F860" t="s">
        <v>1913</v>
      </c>
      <c r="G860" t="str">
        <f>"00015243"</f>
        <v>00015243</v>
      </c>
      <c r="H860">
        <v>660</v>
      </c>
      <c r="I860">
        <v>0</v>
      </c>
      <c r="J860">
        <v>0</v>
      </c>
      <c r="K860">
        <v>0</v>
      </c>
      <c r="L860">
        <v>200</v>
      </c>
      <c r="M860">
        <v>0</v>
      </c>
      <c r="N860">
        <v>70</v>
      </c>
      <c r="O860">
        <v>70</v>
      </c>
      <c r="P860">
        <v>0</v>
      </c>
      <c r="Q860">
        <v>0</v>
      </c>
      <c r="R860">
        <v>30</v>
      </c>
      <c r="S860">
        <v>0</v>
      </c>
      <c r="T860">
        <v>0</v>
      </c>
      <c r="U860">
        <v>0</v>
      </c>
      <c r="V860">
        <v>63</v>
      </c>
      <c r="W860">
        <v>441</v>
      </c>
      <c r="Z860">
        <v>0</v>
      </c>
      <c r="AA860">
        <v>1471</v>
      </c>
    </row>
    <row r="861" spans="1:27" x14ac:dyDescent="0.25">
      <c r="H861" t="s">
        <v>1914</v>
      </c>
    </row>
    <row r="862" spans="1:27" x14ac:dyDescent="0.25">
      <c r="A862">
        <v>428</v>
      </c>
      <c r="B862">
        <v>58</v>
      </c>
      <c r="C862" t="s">
        <v>1915</v>
      </c>
      <c r="D862" t="s">
        <v>21</v>
      </c>
      <c r="E862" t="s">
        <v>54</v>
      </c>
      <c r="F862" t="s">
        <v>1916</v>
      </c>
      <c r="G862" t="str">
        <f>"201406008624"</f>
        <v>201406008624</v>
      </c>
      <c r="H862" t="s">
        <v>384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30</v>
      </c>
      <c r="P862">
        <v>0</v>
      </c>
      <c r="Q862">
        <v>70</v>
      </c>
      <c r="R862">
        <v>0</v>
      </c>
      <c r="S862">
        <v>0</v>
      </c>
      <c r="T862">
        <v>0</v>
      </c>
      <c r="U862">
        <v>0</v>
      </c>
      <c r="V862">
        <v>146</v>
      </c>
      <c r="W862">
        <v>588</v>
      </c>
      <c r="Z862">
        <v>0</v>
      </c>
      <c r="AA862" t="s">
        <v>1917</v>
      </c>
    </row>
    <row r="863" spans="1:27" x14ac:dyDescent="0.25">
      <c r="H863" t="s">
        <v>1918</v>
      </c>
    </row>
    <row r="864" spans="1:27" x14ac:dyDescent="0.25">
      <c r="A864">
        <v>429</v>
      </c>
      <c r="B864">
        <v>367</v>
      </c>
      <c r="C864" t="s">
        <v>769</v>
      </c>
      <c r="D864" t="s">
        <v>112</v>
      </c>
      <c r="E864" t="s">
        <v>41</v>
      </c>
      <c r="F864" t="s">
        <v>1919</v>
      </c>
      <c r="G864" t="str">
        <f>"201406018654"</f>
        <v>201406018654</v>
      </c>
      <c r="H864" t="s">
        <v>96</v>
      </c>
      <c r="I864">
        <v>0</v>
      </c>
      <c r="J864">
        <v>0</v>
      </c>
      <c r="K864">
        <v>0</v>
      </c>
      <c r="L864">
        <v>0</v>
      </c>
      <c r="M864">
        <v>100</v>
      </c>
      <c r="N864">
        <v>70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73</v>
      </c>
      <c r="W864">
        <v>511</v>
      </c>
      <c r="Z864">
        <v>0</v>
      </c>
      <c r="AA864" t="s">
        <v>1920</v>
      </c>
    </row>
    <row r="865" spans="1:27" x14ac:dyDescent="0.25">
      <c r="H865" t="s">
        <v>1921</v>
      </c>
    </row>
    <row r="866" spans="1:27" x14ac:dyDescent="0.25">
      <c r="A866">
        <v>430</v>
      </c>
      <c r="B866">
        <v>1863</v>
      </c>
      <c r="C866" t="s">
        <v>1922</v>
      </c>
      <c r="D866" t="s">
        <v>136</v>
      </c>
      <c r="E866" t="s">
        <v>155</v>
      </c>
      <c r="F866" t="s">
        <v>1923</v>
      </c>
      <c r="G866" t="str">
        <f>"201406009965"</f>
        <v>201406009965</v>
      </c>
      <c r="H866" t="s">
        <v>178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70</v>
      </c>
      <c r="O866">
        <v>0</v>
      </c>
      <c r="P866">
        <v>50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72</v>
      </c>
      <c r="W866">
        <v>504</v>
      </c>
      <c r="Z866">
        <v>0</v>
      </c>
      <c r="AA866" t="s">
        <v>1924</v>
      </c>
    </row>
    <row r="867" spans="1:27" x14ac:dyDescent="0.25">
      <c r="H867" t="s">
        <v>1925</v>
      </c>
    </row>
    <row r="868" spans="1:27" x14ac:dyDescent="0.25">
      <c r="A868">
        <v>431</v>
      </c>
      <c r="B868">
        <v>3050</v>
      </c>
      <c r="C868" t="s">
        <v>1926</v>
      </c>
      <c r="D868" t="s">
        <v>54</v>
      </c>
      <c r="E868" t="s">
        <v>1927</v>
      </c>
      <c r="F868">
        <v>5534</v>
      </c>
      <c r="G868" t="str">
        <f>"201304002794"</f>
        <v>201304002794</v>
      </c>
      <c r="H868" t="s">
        <v>1620</v>
      </c>
      <c r="I868">
        <v>0</v>
      </c>
      <c r="J868">
        <v>0</v>
      </c>
      <c r="K868">
        <v>0</v>
      </c>
      <c r="L868">
        <v>260</v>
      </c>
      <c r="M868">
        <v>0</v>
      </c>
      <c r="N868">
        <v>70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64</v>
      </c>
      <c r="W868">
        <v>448</v>
      </c>
      <c r="Z868">
        <v>0</v>
      </c>
      <c r="AA868" t="s">
        <v>1924</v>
      </c>
    </row>
    <row r="869" spans="1:27" x14ac:dyDescent="0.25">
      <c r="H869" t="s">
        <v>1928</v>
      </c>
    </row>
    <row r="870" spans="1:27" x14ac:dyDescent="0.25">
      <c r="A870">
        <v>432</v>
      </c>
      <c r="B870">
        <v>1201</v>
      </c>
      <c r="C870" t="s">
        <v>1929</v>
      </c>
      <c r="D870" t="s">
        <v>1930</v>
      </c>
      <c r="E870" t="s">
        <v>100</v>
      </c>
      <c r="F870" t="s">
        <v>1931</v>
      </c>
      <c r="G870" t="str">
        <f>"00012329"</f>
        <v>00012329</v>
      </c>
      <c r="H870" t="s">
        <v>343</v>
      </c>
      <c r="I870">
        <v>0</v>
      </c>
      <c r="J870">
        <v>0</v>
      </c>
      <c r="K870">
        <v>0</v>
      </c>
      <c r="L870">
        <v>200</v>
      </c>
      <c r="M870">
        <v>0</v>
      </c>
      <c r="N870">
        <v>70</v>
      </c>
      <c r="O870">
        <v>30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47</v>
      </c>
      <c r="W870">
        <v>329</v>
      </c>
      <c r="Z870">
        <v>0</v>
      </c>
      <c r="AA870" t="s">
        <v>1932</v>
      </c>
    </row>
    <row r="871" spans="1:27" x14ac:dyDescent="0.25">
      <c r="H871" t="s">
        <v>1933</v>
      </c>
    </row>
    <row r="872" spans="1:27" x14ac:dyDescent="0.25">
      <c r="A872">
        <v>433</v>
      </c>
      <c r="B872">
        <v>1507</v>
      </c>
      <c r="C872" t="s">
        <v>1934</v>
      </c>
      <c r="D872" t="s">
        <v>1935</v>
      </c>
      <c r="E872" t="s">
        <v>1280</v>
      </c>
      <c r="F872" t="s">
        <v>1936</v>
      </c>
      <c r="G872" t="str">
        <f>"201304002568"</f>
        <v>201304002568</v>
      </c>
      <c r="H872" t="s">
        <v>1937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125</v>
      </c>
      <c r="W872">
        <v>588</v>
      </c>
      <c r="Z872">
        <v>0</v>
      </c>
      <c r="AA872" t="s">
        <v>1938</v>
      </c>
    </row>
    <row r="873" spans="1:27" x14ac:dyDescent="0.25">
      <c r="H873" t="s">
        <v>1939</v>
      </c>
    </row>
    <row r="874" spans="1:27" x14ac:dyDescent="0.25">
      <c r="A874">
        <v>434</v>
      </c>
      <c r="B874">
        <v>2391</v>
      </c>
      <c r="C874" t="s">
        <v>1940</v>
      </c>
      <c r="D874" t="s">
        <v>1102</v>
      </c>
      <c r="E874" t="s">
        <v>586</v>
      </c>
      <c r="F874" t="s">
        <v>1941</v>
      </c>
      <c r="G874" t="str">
        <f>"00011767"</f>
        <v>00011767</v>
      </c>
      <c r="H874" t="s">
        <v>1562</v>
      </c>
      <c r="I874">
        <v>0</v>
      </c>
      <c r="J874">
        <v>0</v>
      </c>
      <c r="K874">
        <v>0</v>
      </c>
      <c r="L874">
        <v>200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84</v>
      </c>
      <c r="W874">
        <v>588</v>
      </c>
      <c r="Z874">
        <v>1</v>
      </c>
      <c r="AA874" t="s">
        <v>1942</v>
      </c>
    </row>
    <row r="875" spans="1:27" x14ac:dyDescent="0.25">
      <c r="H875" t="s">
        <v>1943</v>
      </c>
    </row>
    <row r="876" spans="1:27" x14ac:dyDescent="0.25">
      <c r="A876">
        <v>435</v>
      </c>
      <c r="B876">
        <v>2711</v>
      </c>
      <c r="C876" t="s">
        <v>1944</v>
      </c>
      <c r="D876" t="s">
        <v>1594</v>
      </c>
      <c r="E876" t="s">
        <v>47</v>
      </c>
      <c r="F876" t="s">
        <v>1945</v>
      </c>
      <c r="G876" t="str">
        <f>"00014702"</f>
        <v>00014702</v>
      </c>
      <c r="H876" t="s">
        <v>1316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70</v>
      </c>
      <c r="O876">
        <v>50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96</v>
      </c>
      <c r="W876">
        <v>588</v>
      </c>
      <c r="Z876">
        <v>0</v>
      </c>
      <c r="AA876" t="s">
        <v>1946</v>
      </c>
    </row>
    <row r="877" spans="1:27" x14ac:dyDescent="0.25">
      <c r="H877">
        <v>203</v>
      </c>
    </row>
    <row r="878" spans="1:27" x14ac:dyDescent="0.25">
      <c r="A878">
        <v>436</v>
      </c>
      <c r="B878">
        <v>464</v>
      </c>
      <c r="C878" t="s">
        <v>1947</v>
      </c>
      <c r="D878" t="s">
        <v>338</v>
      </c>
      <c r="E878" t="s">
        <v>143</v>
      </c>
      <c r="F878" t="s">
        <v>1948</v>
      </c>
      <c r="G878" t="str">
        <f>"201406000790"</f>
        <v>201406000790</v>
      </c>
      <c r="H878" t="s">
        <v>412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70</v>
      </c>
      <c r="O878">
        <v>30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165</v>
      </c>
      <c r="W878">
        <v>588</v>
      </c>
      <c r="Z878">
        <v>0</v>
      </c>
      <c r="AA878" t="s">
        <v>1949</v>
      </c>
    </row>
    <row r="879" spans="1:27" x14ac:dyDescent="0.25">
      <c r="H879" t="s">
        <v>1950</v>
      </c>
    </row>
    <row r="880" spans="1:27" x14ac:dyDescent="0.25">
      <c r="A880">
        <v>437</v>
      </c>
      <c r="B880">
        <v>2448</v>
      </c>
      <c r="C880" t="s">
        <v>1951</v>
      </c>
      <c r="D880" t="s">
        <v>332</v>
      </c>
      <c r="E880" t="s">
        <v>54</v>
      </c>
      <c r="F880" t="s">
        <v>1952</v>
      </c>
      <c r="G880" t="str">
        <f>"201311000269"</f>
        <v>201311000269</v>
      </c>
      <c r="H880" t="s">
        <v>412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70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125</v>
      </c>
      <c r="W880">
        <v>588</v>
      </c>
      <c r="Z880">
        <v>0</v>
      </c>
      <c r="AA880" t="s">
        <v>1949</v>
      </c>
    </row>
    <row r="881" spans="1:27" x14ac:dyDescent="0.25">
      <c r="H881" t="s">
        <v>147</v>
      </c>
    </row>
    <row r="882" spans="1:27" x14ac:dyDescent="0.25">
      <c r="A882">
        <v>438</v>
      </c>
      <c r="B882">
        <v>1422</v>
      </c>
      <c r="C882" t="s">
        <v>1953</v>
      </c>
      <c r="D882" t="s">
        <v>112</v>
      </c>
      <c r="E882" t="s">
        <v>47</v>
      </c>
      <c r="F882" t="s">
        <v>1954</v>
      </c>
      <c r="G882" t="str">
        <f>"201304004420"</f>
        <v>201304004420</v>
      </c>
      <c r="H882" t="s">
        <v>412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70</v>
      </c>
      <c r="O882">
        <v>30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85</v>
      </c>
      <c r="W882">
        <v>588</v>
      </c>
      <c r="Z882">
        <v>0</v>
      </c>
      <c r="AA882" t="s">
        <v>1949</v>
      </c>
    </row>
    <row r="883" spans="1:27" x14ac:dyDescent="0.25">
      <c r="H883" t="s">
        <v>1955</v>
      </c>
    </row>
    <row r="884" spans="1:27" x14ac:dyDescent="0.25">
      <c r="A884">
        <v>439</v>
      </c>
      <c r="B884">
        <v>1506</v>
      </c>
      <c r="C884" t="s">
        <v>1956</v>
      </c>
      <c r="D884" t="s">
        <v>332</v>
      </c>
      <c r="E884" t="s">
        <v>1957</v>
      </c>
      <c r="F884" t="s">
        <v>1958</v>
      </c>
      <c r="G884" t="str">
        <f>"201411000634"</f>
        <v>201411000634</v>
      </c>
      <c r="H884" t="s">
        <v>665</v>
      </c>
      <c r="I884">
        <v>0</v>
      </c>
      <c r="J884">
        <v>0</v>
      </c>
      <c r="K884">
        <v>0</v>
      </c>
      <c r="L884">
        <v>200</v>
      </c>
      <c r="M884">
        <v>30</v>
      </c>
      <c r="N884">
        <v>70</v>
      </c>
      <c r="O884">
        <v>50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56</v>
      </c>
      <c r="W884">
        <v>392</v>
      </c>
      <c r="Z884">
        <v>0</v>
      </c>
      <c r="AA884" t="s">
        <v>1959</v>
      </c>
    </row>
    <row r="885" spans="1:27" x14ac:dyDescent="0.25">
      <c r="H885" t="s">
        <v>56</v>
      </c>
    </row>
    <row r="886" spans="1:27" x14ac:dyDescent="0.25">
      <c r="A886">
        <v>440</v>
      </c>
      <c r="B886">
        <v>316</v>
      </c>
      <c r="C886" t="s">
        <v>1960</v>
      </c>
      <c r="D886" t="s">
        <v>210</v>
      </c>
      <c r="E886" t="s">
        <v>276</v>
      </c>
      <c r="F886" t="s">
        <v>1961</v>
      </c>
      <c r="G886" t="str">
        <f>"00014467"</f>
        <v>00014467</v>
      </c>
      <c r="H886">
        <v>847</v>
      </c>
      <c r="I886">
        <v>0</v>
      </c>
      <c r="J886">
        <v>0</v>
      </c>
      <c r="K886">
        <v>0</v>
      </c>
      <c r="L886">
        <v>0</v>
      </c>
      <c r="M886">
        <v>100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63</v>
      </c>
      <c r="W886">
        <v>441</v>
      </c>
      <c r="Z886">
        <v>0</v>
      </c>
      <c r="AA886">
        <v>1458</v>
      </c>
    </row>
    <row r="887" spans="1:27" x14ac:dyDescent="0.25">
      <c r="H887">
        <v>203</v>
      </c>
    </row>
    <row r="888" spans="1:27" x14ac:dyDescent="0.25">
      <c r="A888">
        <v>441</v>
      </c>
      <c r="B888">
        <v>3006</v>
      </c>
      <c r="C888" t="s">
        <v>1962</v>
      </c>
      <c r="D888" t="s">
        <v>40</v>
      </c>
      <c r="E888" t="s">
        <v>276</v>
      </c>
      <c r="F888" t="s">
        <v>1963</v>
      </c>
      <c r="G888" t="str">
        <f>"201406011887"</f>
        <v>201406011887</v>
      </c>
      <c r="H888" t="s">
        <v>789</v>
      </c>
      <c r="I888">
        <v>150</v>
      </c>
      <c r="J888">
        <v>0</v>
      </c>
      <c r="K888">
        <v>0</v>
      </c>
      <c r="L888">
        <v>0</v>
      </c>
      <c r="M888">
        <v>100</v>
      </c>
      <c r="N888">
        <v>70</v>
      </c>
      <c r="O888">
        <v>0</v>
      </c>
      <c r="P888">
        <v>70</v>
      </c>
      <c r="Q888">
        <v>0</v>
      </c>
      <c r="R888">
        <v>70</v>
      </c>
      <c r="S888">
        <v>0</v>
      </c>
      <c r="T888">
        <v>0</v>
      </c>
      <c r="U888">
        <v>0</v>
      </c>
      <c r="V888">
        <v>38</v>
      </c>
      <c r="W888">
        <v>266</v>
      </c>
      <c r="Z888">
        <v>0</v>
      </c>
      <c r="AA888" t="s">
        <v>1964</v>
      </c>
    </row>
    <row r="889" spans="1:27" x14ac:dyDescent="0.25">
      <c r="H889" t="s">
        <v>1965</v>
      </c>
    </row>
    <row r="890" spans="1:27" x14ac:dyDescent="0.25">
      <c r="A890">
        <v>442</v>
      </c>
      <c r="B890">
        <v>869</v>
      </c>
      <c r="C890" t="s">
        <v>13</v>
      </c>
      <c r="D890" t="s">
        <v>27</v>
      </c>
      <c r="E890" t="s">
        <v>121</v>
      </c>
      <c r="F890" t="s">
        <v>1966</v>
      </c>
      <c r="G890" t="str">
        <f>"00014340"</f>
        <v>00014340</v>
      </c>
      <c r="H890" t="s">
        <v>473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50</v>
      </c>
      <c r="O890">
        <v>0</v>
      </c>
      <c r="P890">
        <v>50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84</v>
      </c>
      <c r="W890">
        <v>588</v>
      </c>
      <c r="Z890">
        <v>0</v>
      </c>
      <c r="AA890" t="s">
        <v>1967</v>
      </c>
    </row>
    <row r="891" spans="1:27" x14ac:dyDescent="0.25">
      <c r="H891" t="s">
        <v>98</v>
      </c>
    </row>
    <row r="892" spans="1:27" x14ac:dyDescent="0.25">
      <c r="A892">
        <v>443</v>
      </c>
      <c r="B892">
        <v>2179</v>
      </c>
      <c r="C892" t="s">
        <v>1968</v>
      </c>
      <c r="D892" t="s">
        <v>706</v>
      </c>
      <c r="E892" t="s">
        <v>121</v>
      </c>
      <c r="F892" t="s">
        <v>1969</v>
      </c>
      <c r="G892" t="str">
        <f>"201506003455"</f>
        <v>201506003455</v>
      </c>
      <c r="H892" t="s">
        <v>1275</v>
      </c>
      <c r="I892">
        <v>0</v>
      </c>
      <c r="J892">
        <v>0</v>
      </c>
      <c r="K892">
        <v>0</v>
      </c>
      <c r="L892">
        <v>0</v>
      </c>
      <c r="M892">
        <v>100</v>
      </c>
      <c r="N892">
        <v>70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149</v>
      </c>
      <c r="W892">
        <v>588</v>
      </c>
      <c r="Z892">
        <v>2</v>
      </c>
      <c r="AA892" t="s">
        <v>1970</v>
      </c>
    </row>
    <row r="893" spans="1:27" x14ac:dyDescent="0.25">
      <c r="H893" t="s">
        <v>1971</v>
      </c>
    </row>
    <row r="894" spans="1:27" x14ac:dyDescent="0.25">
      <c r="A894">
        <v>444</v>
      </c>
      <c r="B894">
        <v>2449</v>
      </c>
      <c r="C894" t="s">
        <v>749</v>
      </c>
      <c r="D894" t="s">
        <v>87</v>
      </c>
      <c r="E894" t="s">
        <v>81</v>
      </c>
      <c r="F894" t="s">
        <v>750</v>
      </c>
      <c r="G894" t="str">
        <f>"201304003214"</f>
        <v>201304003214</v>
      </c>
      <c r="H894">
        <v>726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70</v>
      </c>
      <c r="O894">
        <v>70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104</v>
      </c>
      <c r="W894">
        <v>588</v>
      </c>
      <c r="Z894">
        <v>0</v>
      </c>
      <c r="AA894">
        <v>1454</v>
      </c>
    </row>
    <row r="895" spans="1:27" x14ac:dyDescent="0.25">
      <c r="H895" t="s">
        <v>751</v>
      </c>
    </row>
    <row r="896" spans="1:27" x14ac:dyDescent="0.25">
      <c r="A896">
        <v>445</v>
      </c>
      <c r="B896">
        <v>3299</v>
      </c>
      <c r="C896" t="s">
        <v>1710</v>
      </c>
      <c r="D896" t="s">
        <v>532</v>
      </c>
      <c r="E896" t="s">
        <v>88</v>
      </c>
      <c r="F896" t="s">
        <v>1972</v>
      </c>
      <c r="G896" t="str">
        <f>"201505000220"</f>
        <v>201505000220</v>
      </c>
      <c r="H896" t="s">
        <v>1145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70</v>
      </c>
      <c r="O896">
        <v>0</v>
      </c>
      <c r="P896">
        <v>30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120</v>
      </c>
      <c r="W896">
        <v>588</v>
      </c>
      <c r="Z896">
        <v>0</v>
      </c>
      <c r="AA896" t="s">
        <v>1973</v>
      </c>
    </row>
    <row r="897" spans="1:27" x14ac:dyDescent="0.25">
      <c r="H897" t="s">
        <v>396</v>
      </c>
    </row>
    <row r="898" spans="1:27" x14ac:dyDescent="0.25">
      <c r="A898">
        <v>446</v>
      </c>
      <c r="B898">
        <v>888</v>
      </c>
      <c r="C898" t="s">
        <v>1974</v>
      </c>
      <c r="D898" t="s">
        <v>136</v>
      </c>
      <c r="E898" t="s">
        <v>263</v>
      </c>
      <c r="F898" t="s">
        <v>1975</v>
      </c>
      <c r="G898" t="str">
        <f>"201304000965"</f>
        <v>201304000965</v>
      </c>
      <c r="H898" t="s">
        <v>1698</v>
      </c>
      <c r="I898">
        <v>0</v>
      </c>
      <c r="J898">
        <v>0</v>
      </c>
      <c r="K898">
        <v>0</v>
      </c>
      <c r="L898">
        <v>200</v>
      </c>
      <c r="M898">
        <v>0</v>
      </c>
      <c r="N898">
        <v>70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66</v>
      </c>
      <c r="W898">
        <v>462</v>
      </c>
      <c r="Z898">
        <v>0</v>
      </c>
      <c r="AA898" t="s">
        <v>1973</v>
      </c>
    </row>
    <row r="899" spans="1:27" x14ac:dyDescent="0.25">
      <c r="H899" t="s">
        <v>1976</v>
      </c>
    </row>
    <row r="900" spans="1:27" x14ac:dyDescent="0.25">
      <c r="A900">
        <v>447</v>
      </c>
      <c r="B900">
        <v>2315</v>
      </c>
      <c r="C900" t="s">
        <v>1158</v>
      </c>
      <c r="D900" t="s">
        <v>40</v>
      </c>
      <c r="E900" t="s">
        <v>88</v>
      </c>
      <c r="F900" t="s">
        <v>1159</v>
      </c>
      <c r="G900" t="str">
        <f>"201304004337"</f>
        <v>201304004337</v>
      </c>
      <c r="H900" t="s">
        <v>1160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70</v>
      </c>
      <c r="P900">
        <v>70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Z900">
        <v>0</v>
      </c>
      <c r="AA900" t="s">
        <v>1977</v>
      </c>
    </row>
    <row r="901" spans="1:27" x14ac:dyDescent="0.25">
      <c r="H901" t="s">
        <v>286</v>
      </c>
    </row>
    <row r="902" spans="1:27" x14ac:dyDescent="0.25">
      <c r="A902">
        <v>448</v>
      </c>
      <c r="B902">
        <v>2229</v>
      </c>
      <c r="C902" t="s">
        <v>13</v>
      </c>
      <c r="D902" t="s">
        <v>112</v>
      </c>
      <c r="E902" t="s">
        <v>81</v>
      </c>
      <c r="F902" t="s">
        <v>1978</v>
      </c>
      <c r="G902" t="str">
        <f>"201304005319"</f>
        <v>201304005319</v>
      </c>
      <c r="H902" t="s">
        <v>879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70</v>
      </c>
      <c r="O902">
        <v>70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119</v>
      </c>
      <c r="W902">
        <v>588</v>
      </c>
      <c r="Z902">
        <v>0</v>
      </c>
      <c r="AA902" t="s">
        <v>1979</v>
      </c>
    </row>
    <row r="903" spans="1:27" x14ac:dyDescent="0.25">
      <c r="H903" t="s">
        <v>1980</v>
      </c>
    </row>
    <row r="904" spans="1:27" x14ac:dyDescent="0.25">
      <c r="A904">
        <v>449</v>
      </c>
      <c r="B904">
        <v>2133</v>
      </c>
      <c r="C904" t="s">
        <v>1981</v>
      </c>
      <c r="D904" t="s">
        <v>20</v>
      </c>
      <c r="E904" t="s">
        <v>47</v>
      </c>
      <c r="F904" t="s">
        <v>1982</v>
      </c>
      <c r="G904" t="str">
        <f>"201506003122"</f>
        <v>201506003122</v>
      </c>
      <c r="H904" t="s">
        <v>265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70</v>
      </c>
      <c r="O904">
        <v>50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105</v>
      </c>
      <c r="W904">
        <v>588</v>
      </c>
      <c r="Z904">
        <v>0</v>
      </c>
      <c r="AA904" t="s">
        <v>1983</v>
      </c>
    </row>
    <row r="905" spans="1:27" x14ac:dyDescent="0.25">
      <c r="H905" t="s">
        <v>1669</v>
      </c>
    </row>
    <row r="906" spans="1:27" x14ac:dyDescent="0.25">
      <c r="A906">
        <v>450</v>
      </c>
      <c r="B906">
        <v>949</v>
      </c>
      <c r="C906" t="s">
        <v>1984</v>
      </c>
      <c r="D906" t="s">
        <v>112</v>
      </c>
      <c r="E906" t="s">
        <v>1509</v>
      </c>
      <c r="F906" t="s">
        <v>1985</v>
      </c>
      <c r="G906" t="str">
        <f>"201405001911"</f>
        <v>201405001911</v>
      </c>
      <c r="H906" t="s">
        <v>1167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70</v>
      </c>
      <c r="O906">
        <v>0</v>
      </c>
      <c r="P906">
        <v>50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40</v>
      </c>
      <c r="W906">
        <v>280</v>
      </c>
      <c r="Z906">
        <v>1</v>
      </c>
      <c r="AA906" t="s">
        <v>1986</v>
      </c>
    </row>
    <row r="907" spans="1:27" x14ac:dyDescent="0.25">
      <c r="H907" t="s">
        <v>1987</v>
      </c>
    </row>
    <row r="908" spans="1:27" x14ac:dyDescent="0.25">
      <c r="A908">
        <v>451</v>
      </c>
      <c r="B908">
        <v>3360</v>
      </c>
      <c r="C908" t="s">
        <v>1988</v>
      </c>
      <c r="D908" t="s">
        <v>1989</v>
      </c>
      <c r="E908" t="s">
        <v>81</v>
      </c>
      <c r="F908" t="s">
        <v>1990</v>
      </c>
      <c r="G908" t="str">
        <f>"00013143"</f>
        <v>00013143</v>
      </c>
      <c r="H908" t="s">
        <v>458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70</v>
      </c>
      <c r="O908">
        <v>0</v>
      </c>
      <c r="P908">
        <v>50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84</v>
      </c>
      <c r="W908">
        <v>588</v>
      </c>
      <c r="Z908">
        <v>0</v>
      </c>
      <c r="AA908" t="s">
        <v>1991</v>
      </c>
    </row>
    <row r="909" spans="1:27" x14ac:dyDescent="0.25">
      <c r="H909" t="s">
        <v>1992</v>
      </c>
    </row>
    <row r="910" spans="1:27" x14ac:dyDescent="0.25">
      <c r="A910">
        <v>452</v>
      </c>
      <c r="B910">
        <v>468</v>
      </c>
      <c r="C910" t="s">
        <v>1993</v>
      </c>
      <c r="D910" t="s">
        <v>1408</v>
      </c>
      <c r="E910" t="s">
        <v>1375</v>
      </c>
      <c r="F910" t="s">
        <v>1994</v>
      </c>
      <c r="G910" t="str">
        <f>"201406015980"</f>
        <v>201406015980</v>
      </c>
      <c r="H910" t="s">
        <v>1184</v>
      </c>
      <c r="I910">
        <v>0</v>
      </c>
      <c r="J910">
        <v>0</v>
      </c>
      <c r="K910">
        <v>0</v>
      </c>
      <c r="L910">
        <v>0</v>
      </c>
      <c r="M910">
        <v>100</v>
      </c>
      <c r="N910">
        <v>70</v>
      </c>
      <c r="O910">
        <v>30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112</v>
      </c>
      <c r="W910">
        <v>588</v>
      </c>
      <c r="Z910">
        <v>0</v>
      </c>
      <c r="AA910" t="s">
        <v>1995</v>
      </c>
    </row>
    <row r="911" spans="1:27" x14ac:dyDescent="0.25">
      <c r="H911" t="s">
        <v>1996</v>
      </c>
    </row>
    <row r="912" spans="1:27" x14ac:dyDescent="0.25">
      <c r="A912">
        <v>453</v>
      </c>
      <c r="B912">
        <v>2680</v>
      </c>
      <c r="C912" t="s">
        <v>1997</v>
      </c>
      <c r="D912" t="s">
        <v>338</v>
      </c>
      <c r="E912" t="s">
        <v>507</v>
      </c>
      <c r="F912" t="s">
        <v>1998</v>
      </c>
      <c r="G912" t="str">
        <f>"201304004395"</f>
        <v>201304004395</v>
      </c>
      <c r="H912" t="s">
        <v>1572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70</v>
      </c>
      <c r="O912">
        <v>0</v>
      </c>
      <c r="P912">
        <v>50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100</v>
      </c>
      <c r="W912">
        <v>588</v>
      </c>
      <c r="Z912">
        <v>0</v>
      </c>
      <c r="AA912" t="s">
        <v>1999</v>
      </c>
    </row>
    <row r="913" spans="1:27" x14ac:dyDescent="0.25">
      <c r="H913" t="s">
        <v>2000</v>
      </c>
    </row>
    <row r="914" spans="1:27" x14ac:dyDescent="0.25">
      <c r="A914">
        <v>454</v>
      </c>
      <c r="B914">
        <v>1561</v>
      </c>
      <c r="C914" t="s">
        <v>2001</v>
      </c>
      <c r="D914" t="s">
        <v>332</v>
      </c>
      <c r="E914" t="s">
        <v>88</v>
      </c>
      <c r="F914" t="s">
        <v>2002</v>
      </c>
      <c r="G914" t="str">
        <f>"201406010470"</f>
        <v>201406010470</v>
      </c>
      <c r="H914" t="s">
        <v>194</v>
      </c>
      <c r="I914">
        <v>0</v>
      </c>
      <c r="J914">
        <v>0</v>
      </c>
      <c r="K914">
        <v>0</v>
      </c>
      <c r="L914">
        <v>0</v>
      </c>
      <c r="M914">
        <v>100</v>
      </c>
      <c r="N914">
        <v>70</v>
      </c>
      <c r="O914">
        <v>30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63</v>
      </c>
      <c r="W914">
        <v>441</v>
      </c>
      <c r="Z914">
        <v>0</v>
      </c>
      <c r="AA914" t="s">
        <v>2003</v>
      </c>
    </row>
    <row r="915" spans="1:27" x14ac:dyDescent="0.25">
      <c r="H915" t="s">
        <v>2004</v>
      </c>
    </row>
    <row r="916" spans="1:27" x14ac:dyDescent="0.25">
      <c r="A916">
        <v>455</v>
      </c>
      <c r="B916">
        <v>1532</v>
      </c>
      <c r="C916" t="s">
        <v>2005</v>
      </c>
      <c r="D916" t="s">
        <v>27</v>
      </c>
      <c r="E916" t="s">
        <v>293</v>
      </c>
      <c r="F916" t="s">
        <v>2006</v>
      </c>
      <c r="G916" t="str">
        <f>"00014454"</f>
        <v>00014454</v>
      </c>
      <c r="H916" t="s">
        <v>1219</v>
      </c>
      <c r="I916">
        <v>0</v>
      </c>
      <c r="J916">
        <v>0</v>
      </c>
      <c r="K916">
        <v>0</v>
      </c>
      <c r="L916">
        <v>200</v>
      </c>
      <c r="M916">
        <v>0</v>
      </c>
      <c r="N916">
        <v>70</v>
      </c>
      <c r="O916">
        <v>30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66</v>
      </c>
      <c r="W916">
        <v>462</v>
      </c>
      <c r="Z916">
        <v>0</v>
      </c>
      <c r="AA916" t="s">
        <v>2003</v>
      </c>
    </row>
    <row r="917" spans="1:27" x14ac:dyDescent="0.25">
      <c r="H917" t="s">
        <v>2007</v>
      </c>
    </row>
    <row r="918" spans="1:27" x14ac:dyDescent="0.25">
      <c r="A918">
        <v>456</v>
      </c>
      <c r="B918">
        <v>1919</v>
      </c>
      <c r="C918" t="s">
        <v>2008</v>
      </c>
      <c r="D918" t="s">
        <v>2009</v>
      </c>
      <c r="E918" t="s">
        <v>47</v>
      </c>
      <c r="F918" t="s">
        <v>2010</v>
      </c>
      <c r="G918" t="str">
        <f>"201406009001"</f>
        <v>201406009001</v>
      </c>
      <c r="H918" t="s">
        <v>2011</v>
      </c>
      <c r="I918">
        <v>0</v>
      </c>
      <c r="J918">
        <v>0</v>
      </c>
      <c r="K918">
        <v>0</v>
      </c>
      <c r="L918">
        <v>200</v>
      </c>
      <c r="M918">
        <v>0</v>
      </c>
      <c r="N918">
        <v>70</v>
      </c>
      <c r="O918">
        <v>0</v>
      </c>
      <c r="P918">
        <v>70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40</v>
      </c>
      <c r="W918">
        <v>280</v>
      </c>
      <c r="Z918">
        <v>0</v>
      </c>
      <c r="AA918" t="s">
        <v>2012</v>
      </c>
    </row>
    <row r="919" spans="1:27" x14ac:dyDescent="0.25">
      <c r="H919" t="s">
        <v>2013</v>
      </c>
    </row>
    <row r="920" spans="1:27" x14ac:dyDescent="0.25">
      <c r="A920">
        <v>457</v>
      </c>
      <c r="B920">
        <v>680</v>
      </c>
      <c r="C920" t="s">
        <v>2014</v>
      </c>
      <c r="D920" t="s">
        <v>422</v>
      </c>
      <c r="E920" t="s">
        <v>81</v>
      </c>
      <c r="F920" t="s">
        <v>2015</v>
      </c>
      <c r="G920" t="str">
        <f>"201406012607"</f>
        <v>201406012607</v>
      </c>
      <c r="H920" t="s">
        <v>43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50</v>
      </c>
      <c r="O920">
        <v>30</v>
      </c>
      <c r="P920">
        <v>0</v>
      </c>
      <c r="Q920">
        <v>30</v>
      </c>
      <c r="R920">
        <v>0</v>
      </c>
      <c r="S920">
        <v>0</v>
      </c>
      <c r="T920">
        <v>0</v>
      </c>
      <c r="U920">
        <v>0</v>
      </c>
      <c r="V920">
        <v>110</v>
      </c>
      <c r="W920">
        <v>588</v>
      </c>
      <c r="Z920">
        <v>0</v>
      </c>
      <c r="AA920" t="s">
        <v>2016</v>
      </c>
    </row>
    <row r="921" spans="1:27" x14ac:dyDescent="0.25">
      <c r="H921" t="s">
        <v>2017</v>
      </c>
    </row>
    <row r="922" spans="1:27" x14ac:dyDescent="0.25">
      <c r="A922">
        <v>458</v>
      </c>
      <c r="B922">
        <v>1731</v>
      </c>
      <c r="C922" t="s">
        <v>2018</v>
      </c>
      <c r="D922" t="s">
        <v>1026</v>
      </c>
      <c r="E922" t="s">
        <v>41</v>
      </c>
      <c r="F922" t="s">
        <v>2019</v>
      </c>
      <c r="G922" t="str">
        <f>"00010045"</f>
        <v>00010045</v>
      </c>
      <c r="H922" t="s">
        <v>61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70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211</v>
      </c>
      <c r="W922">
        <v>588</v>
      </c>
      <c r="Z922">
        <v>0</v>
      </c>
      <c r="AA922" t="s">
        <v>2020</v>
      </c>
    </row>
    <row r="923" spans="1:27" x14ac:dyDescent="0.25">
      <c r="H923" t="s">
        <v>2021</v>
      </c>
    </row>
    <row r="924" spans="1:27" x14ac:dyDescent="0.25">
      <c r="A924">
        <v>459</v>
      </c>
      <c r="B924">
        <v>3334</v>
      </c>
      <c r="C924" t="s">
        <v>26</v>
      </c>
      <c r="D924" t="s">
        <v>216</v>
      </c>
      <c r="E924" t="s">
        <v>100</v>
      </c>
      <c r="F924" t="s">
        <v>2022</v>
      </c>
      <c r="G924" t="str">
        <f>"201304005453"</f>
        <v>201304005453</v>
      </c>
      <c r="H924" t="s">
        <v>1104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70</v>
      </c>
      <c r="O924">
        <v>70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Z924">
        <v>0</v>
      </c>
      <c r="AA924" t="s">
        <v>2023</v>
      </c>
    </row>
    <row r="925" spans="1:27" x14ac:dyDescent="0.25">
      <c r="H925" t="s">
        <v>2024</v>
      </c>
    </row>
    <row r="926" spans="1:27" x14ac:dyDescent="0.25">
      <c r="A926">
        <v>460</v>
      </c>
      <c r="B926">
        <v>601</v>
      </c>
      <c r="C926" t="s">
        <v>1491</v>
      </c>
      <c r="D926" t="s">
        <v>1492</v>
      </c>
      <c r="E926" t="s">
        <v>406</v>
      </c>
      <c r="F926" t="s">
        <v>1493</v>
      </c>
      <c r="G926" t="str">
        <f>"201406008889"</f>
        <v>201406008889</v>
      </c>
      <c r="H926" t="s">
        <v>1494</v>
      </c>
      <c r="I926">
        <v>0</v>
      </c>
      <c r="J926">
        <v>0</v>
      </c>
      <c r="K926">
        <v>0</v>
      </c>
      <c r="L926">
        <v>0</v>
      </c>
      <c r="M926">
        <v>100</v>
      </c>
      <c r="N926">
        <v>70</v>
      </c>
      <c r="O926">
        <v>0</v>
      </c>
      <c r="P926">
        <v>50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50</v>
      </c>
      <c r="W926">
        <v>350</v>
      </c>
      <c r="Z926">
        <v>0</v>
      </c>
      <c r="AA926" t="s">
        <v>2025</v>
      </c>
    </row>
    <row r="927" spans="1:27" x14ac:dyDescent="0.25">
      <c r="H927" t="s">
        <v>1496</v>
      </c>
    </row>
    <row r="928" spans="1:27" x14ac:dyDescent="0.25">
      <c r="A928">
        <v>461</v>
      </c>
      <c r="B928">
        <v>2625</v>
      </c>
      <c r="C928" t="s">
        <v>550</v>
      </c>
      <c r="D928" t="s">
        <v>149</v>
      </c>
      <c r="E928" t="s">
        <v>41</v>
      </c>
      <c r="F928" t="s">
        <v>2026</v>
      </c>
      <c r="G928" t="str">
        <f>"201406010465"</f>
        <v>201406010465</v>
      </c>
      <c r="H928" t="s">
        <v>1123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70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144</v>
      </c>
      <c r="W928">
        <v>588</v>
      </c>
      <c r="Z928">
        <v>1</v>
      </c>
      <c r="AA928" t="s">
        <v>2025</v>
      </c>
    </row>
    <row r="929" spans="1:27" x14ac:dyDescent="0.25">
      <c r="H929" t="s">
        <v>2027</v>
      </c>
    </row>
    <row r="930" spans="1:27" x14ac:dyDescent="0.25">
      <c r="A930">
        <v>462</v>
      </c>
      <c r="B930">
        <v>343</v>
      </c>
      <c r="C930" t="s">
        <v>2028</v>
      </c>
      <c r="D930" t="s">
        <v>136</v>
      </c>
      <c r="E930" t="s">
        <v>2029</v>
      </c>
      <c r="F930" t="s">
        <v>2030</v>
      </c>
      <c r="G930" t="str">
        <f>"201506003859"</f>
        <v>201506003859</v>
      </c>
      <c r="H930" t="s">
        <v>785</v>
      </c>
      <c r="I930">
        <v>0</v>
      </c>
      <c r="J930">
        <v>0</v>
      </c>
      <c r="K930">
        <v>0</v>
      </c>
      <c r="L930">
        <v>0</v>
      </c>
      <c r="M930">
        <v>100</v>
      </c>
      <c r="N930">
        <v>70</v>
      </c>
      <c r="O930">
        <v>30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75</v>
      </c>
      <c r="W930">
        <v>525</v>
      </c>
      <c r="Z930">
        <v>0</v>
      </c>
      <c r="AA930" t="s">
        <v>2031</v>
      </c>
    </row>
    <row r="931" spans="1:27" x14ac:dyDescent="0.25">
      <c r="H931" t="s">
        <v>56</v>
      </c>
    </row>
    <row r="932" spans="1:27" x14ac:dyDescent="0.25">
      <c r="A932">
        <v>463</v>
      </c>
      <c r="B932">
        <v>215</v>
      </c>
      <c r="C932" t="s">
        <v>1207</v>
      </c>
      <c r="D932" t="s">
        <v>332</v>
      </c>
      <c r="E932" t="s">
        <v>1150</v>
      </c>
      <c r="F932" t="s">
        <v>1208</v>
      </c>
      <c r="G932" t="str">
        <f>"201406008163"</f>
        <v>201406008163</v>
      </c>
      <c r="H932" t="s">
        <v>200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30</v>
      </c>
      <c r="O932">
        <v>0</v>
      </c>
      <c r="P932">
        <v>0</v>
      </c>
      <c r="Q932">
        <v>30</v>
      </c>
      <c r="R932">
        <v>0</v>
      </c>
      <c r="S932">
        <v>0</v>
      </c>
      <c r="T932">
        <v>0</v>
      </c>
      <c r="U932">
        <v>0</v>
      </c>
      <c r="V932">
        <v>78</v>
      </c>
      <c r="W932">
        <v>546</v>
      </c>
      <c r="Z932">
        <v>0</v>
      </c>
      <c r="AA932" t="s">
        <v>2032</v>
      </c>
    </row>
    <row r="933" spans="1:27" x14ac:dyDescent="0.25">
      <c r="H933" t="s">
        <v>1210</v>
      </c>
    </row>
    <row r="934" spans="1:27" x14ac:dyDescent="0.25">
      <c r="A934">
        <v>464</v>
      </c>
      <c r="B934">
        <v>770</v>
      </c>
      <c r="C934" t="s">
        <v>2033</v>
      </c>
      <c r="D934" t="s">
        <v>80</v>
      </c>
      <c r="E934" t="s">
        <v>293</v>
      </c>
      <c r="F934" t="s">
        <v>2034</v>
      </c>
      <c r="G934" t="str">
        <f>"201406008080"</f>
        <v>201406008080</v>
      </c>
      <c r="H934" t="s">
        <v>128</v>
      </c>
      <c r="I934">
        <v>150</v>
      </c>
      <c r="J934">
        <v>0</v>
      </c>
      <c r="K934">
        <v>0</v>
      </c>
      <c r="L934">
        <v>0</v>
      </c>
      <c r="M934">
        <v>0</v>
      </c>
      <c r="N934">
        <v>70</v>
      </c>
      <c r="O934">
        <v>70</v>
      </c>
      <c r="P934">
        <v>0</v>
      </c>
      <c r="Q934">
        <v>0</v>
      </c>
      <c r="R934">
        <v>30</v>
      </c>
      <c r="S934">
        <v>0</v>
      </c>
      <c r="T934">
        <v>0</v>
      </c>
      <c r="U934">
        <v>0</v>
      </c>
      <c r="V934">
        <v>40</v>
      </c>
      <c r="W934">
        <v>280</v>
      </c>
      <c r="Z934">
        <v>0</v>
      </c>
      <c r="AA934" t="s">
        <v>2035</v>
      </c>
    </row>
    <row r="935" spans="1:27" x14ac:dyDescent="0.25">
      <c r="H935" t="s">
        <v>2036</v>
      </c>
    </row>
    <row r="936" spans="1:27" x14ac:dyDescent="0.25">
      <c r="A936">
        <v>465</v>
      </c>
      <c r="B936">
        <v>1977</v>
      </c>
      <c r="C936" t="s">
        <v>2037</v>
      </c>
      <c r="D936" t="s">
        <v>1026</v>
      </c>
      <c r="E936" t="s">
        <v>21</v>
      </c>
      <c r="F936" t="s">
        <v>2038</v>
      </c>
      <c r="G936" t="str">
        <f>"201406005524"</f>
        <v>201406005524</v>
      </c>
      <c r="H936" t="s">
        <v>248</v>
      </c>
      <c r="I936">
        <v>0</v>
      </c>
      <c r="J936">
        <v>0</v>
      </c>
      <c r="K936">
        <v>0</v>
      </c>
      <c r="L936">
        <v>0</v>
      </c>
      <c r="M936">
        <v>100</v>
      </c>
      <c r="N936">
        <v>70</v>
      </c>
      <c r="O936">
        <v>30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65</v>
      </c>
      <c r="W936">
        <v>455</v>
      </c>
      <c r="Z936">
        <v>0</v>
      </c>
      <c r="AA936" t="s">
        <v>2035</v>
      </c>
    </row>
    <row r="937" spans="1:27" x14ac:dyDescent="0.25">
      <c r="H937" t="s">
        <v>2039</v>
      </c>
    </row>
    <row r="938" spans="1:27" x14ac:dyDescent="0.25">
      <c r="A938">
        <v>466</v>
      </c>
      <c r="B938">
        <v>2830</v>
      </c>
      <c r="C938" t="s">
        <v>2040</v>
      </c>
      <c r="D938" t="s">
        <v>323</v>
      </c>
      <c r="E938" t="s">
        <v>47</v>
      </c>
      <c r="F938" t="s">
        <v>2041</v>
      </c>
      <c r="G938" t="str">
        <f>"201406011959"</f>
        <v>201406011959</v>
      </c>
      <c r="H938" t="s">
        <v>1155</v>
      </c>
      <c r="I938">
        <v>0</v>
      </c>
      <c r="J938">
        <v>0</v>
      </c>
      <c r="K938">
        <v>0</v>
      </c>
      <c r="L938">
        <v>0</v>
      </c>
      <c r="M938">
        <v>100</v>
      </c>
      <c r="N938">
        <v>70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95</v>
      </c>
      <c r="W938">
        <v>588</v>
      </c>
      <c r="Z938">
        <v>0</v>
      </c>
      <c r="AA938" t="s">
        <v>2042</v>
      </c>
    </row>
    <row r="939" spans="1:27" x14ac:dyDescent="0.25">
      <c r="H939" t="s">
        <v>2043</v>
      </c>
    </row>
    <row r="940" spans="1:27" x14ac:dyDescent="0.25">
      <c r="A940">
        <v>467</v>
      </c>
      <c r="B940">
        <v>2271</v>
      </c>
      <c r="C940" t="s">
        <v>540</v>
      </c>
      <c r="D940" t="s">
        <v>2044</v>
      </c>
      <c r="E940" t="s">
        <v>155</v>
      </c>
      <c r="F940" t="s">
        <v>2045</v>
      </c>
      <c r="G940" t="str">
        <f>"201406006134"</f>
        <v>201406006134</v>
      </c>
      <c r="H940" t="s">
        <v>554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70</v>
      </c>
      <c r="O940">
        <v>30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120</v>
      </c>
      <c r="W940">
        <v>588</v>
      </c>
      <c r="Z940">
        <v>0</v>
      </c>
      <c r="AA940" t="s">
        <v>2046</v>
      </c>
    </row>
    <row r="941" spans="1:27" x14ac:dyDescent="0.25">
      <c r="H941" t="s">
        <v>391</v>
      </c>
    </row>
    <row r="942" spans="1:27" x14ac:dyDescent="0.25">
      <c r="A942">
        <v>468</v>
      </c>
      <c r="B942">
        <v>2572</v>
      </c>
      <c r="C942" t="s">
        <v>2047</v>
      </c>
      <c r="D942" t="s">
        <v>818</v>
      </c>
      <c r="E942" t="s">
        <v>41</v>
      </c>
      <c r="F942" t="s">
        <v>2048</v>
      </c>
      <c r="G942" t="str">
        <f>"00013103"</f>
        <v>00013103</v>
      </c>
      <c r="H942" t="s">
        <v>554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70</v>
      </c>
      <c r="O942">
        <v>30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Z942">
        <v>0</v>
      </c>
      <c r="AA942" t="s">
        <v>2046</v>
      </c>
    </row>
    <row r="943" spans="1:27" x14ac:dyDescent="0.25">
      <c r="H943" t="s">
        <v>2049</v>
      </c>
    </row>
    <row r="944" spans="1:27" x14ac:dyDescent="0.25">
      <c r="A944">
        <v>469</v>
      </c>
      <c r="B944">
        <v>2119</v>
      </c>
      <c r="C944" t="s">
        <v>2050</v>
      </c>
      <c r="D944" t="s">
        <v>69</v>
      </c>
      <c r="E944" t="s">
        <v>47</v>
      </c>
      <c r="F944" t="s">
        <v>2051</v>
      </c>
      <c r="G944" t="str">
        <f>"00014876"</f>
        <v>00014876</v>
      </c>
      <c r="H944" t="s">
        <v>123</v>
      </c>
      <c r="I944">
        <v>0</v>
      </c>
      <c r="J944">
        <v>0</v>
      </c>
      <c r="K944">
        <v>0</v>
      </c>
      <c r="L944">
        <v>200</v>
      </c>
      <c r="M944">
        <v>0</v>
      </c>
      <c r="N944">
        <v>70</v>
      </c>
      <c r="O944">
        <v>70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36</v>
      </c>
      <c r="W944">
        <v>252</v>
      </c>
      <c r="Z944">
        <v>0</v>
      </c>
      <c r="AA944" t="s">
        <v>2052</v>
      </c>
    </row>
    <row r="945" spans="1:27" x14ac:dyDescent="0.25">
      <c r="H945" t="s">
        <v>2053</v>
      </c>
    </row>
    <row r="946" spans="1:27" x14ac:dyDescent="0.25">
      <c r="A946">
        <v>470</v>
      </c>
      <c r="B946">
        <v>1031</v>
      </c>
      <c r="C946" t="s">
        <v>2054</v>
      </c>
      <c r="D946" t="s">
        <v>54</v>
      </c>
      <c r="E946" t="s">
        <v>41</v>
      </c>
      <c r="F946" t="s">
        <v>2055</v>
      </c>
      <c r="G946" t="str">
        <f>"00014416"</f>
        <v>00014416</v>
      </c>
      <c r="H946" t="s">
        <v>2056</v>
      </c>
      <c r="I946">
        <v>0</v>
      </c>
      <c r="J946">
        <v>0</v>
      </c>
      <c r="K946">
        <v>0</v>
      </c>
      <c r="L946">
        <v>0</v>
      </c>
      <c r="M946">
        <v>100</v>
      </c>
      <c r="N946">
        <v>30</v>
      </c>
      <c r="O946">
        <v>0</v>
      </c>
      <c r="P946">
        <v>70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132</v>
      </c>
      <c r="W946">
        <v>588</v>
      </c>
      <c r="Z946">
        <v>0</v>
      </c>
      <c r="AA946" t="s">
        <v>2057</v>
      </c>
    </row>
    <row r="947" spans="1:27" x14ac:dyDescent="0.25">
      <c r="H947" t="s">
        <v>1842</v>
      </c>
    </row>
    <row r="948" spans="1:27" x14ac:dyDescent="0.25">
      <c r="A948">
        <v>471</v>
      </c>
      <c r="B948">
        <v>1574</v>
      </c>
      <c r="C948" t="s">
        <v>2058</v>
      </c>
      <c r="D948" t="s">
        <v>1701</v>
      </c>
      <c r="E948" t="s">
        <v>1194</v>
      </c>
      <c r="F948" t="s">
        <v>2059</v>
      </c>
      <c r="G948" t="str">
        <f>"00012807"</f>
        <v>00012807</v>
      </c>
      <c r="H948" t="s">
        <v>2060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70</v>
      </c>
      <c r="O948">
        <v>0</v>
      </c>
      <c r="P948">
        <v>0</v>
      </c>
      <c r="Q948">
        <v>30</v>
      </c>
      <c r="R948">
        <v>0</v>
      </c>
      <c r="S948">
        <v>0</v>
      </c>
      <c r="T948">
        <v>0</v>
      </c>
      <c r="U948">
        <v>70</v>
      </c>
      <c r="V948">
        <v>101</v>
      </c>
      <c r="W948">
        <v>588</v>
      </c>
      <c r="Z948">
        <v>0</v>
      </c>
      <c r="AA948" t="s">
        <v>2061</v>
      </c>
    </row>
    <row r="949" spans="1:27" x14ac:dyDescent="0.25">
      <c r="H949" t="s">
        <v>2062</v>
      </c>
    </row>
    <row r="950" spans="1:27" x14ac:dyDescent="0.25">
      <c r="A950">
        <v>472</v>
      </c>
      <c r="B950">
        <v>494</v>
      </c>
      <c r="C950" t="s">
        <v>2063</v>
      </c>
      <c r="D950" t="s">
        <v>377</v>
      </c>
      <c r="E950" t="s">
        <v>81</v>
      </c>
      <c r="F950" t="s">
        <v>2064</v>
      </c>
      <c r="G950" t="str">
        <f>"00013796"</f>
        <v>00013796</v>
      </c>
      <c r="H950" t="s">
        <v>379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70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148</v>
      </c>
      <c r="W950">
        <v>588</v>
      </c>
      <c r="Z950">
        <v>0</v>
      </c>
      <c r="AA950" t="s">
        <v>2065</v>
      </c>
    </row>
    <row r="951" spans="1:27" x14ac:dyDescent="0.25">
      <c r="H951" t="s">
        <v>2066</v>
      </c>
    </row>
    <row r="952" spans="1:27" x14ac:dyDescent="0.25">
      <c r="A952">
        <v>473</v>
      </c>
      <c r="B952">
        <v>1966</v>
      </c>
      <c r="C952" t="s">
        <v>2067</v>
      </c>
      <c r="D952" t="s">
        <v>20</v>
      </c>
      <c r="E952" t="s">
        <v>121</v>
      </c>
      <c r="F952" t="s">
        <v>2068</v>
      </c>
      <c r="G952" t="str">
        <f>"201406012365"</f>
        <v>201406012365</v>
      </c>
      <c r="H952" t="s">
        <v>2069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50</v>
      </c>
      <c r="O952">
        <v>0</v>
      </c>
      <c r="P952">
        <v>50</v>
      </c>
      <c r="Q952">
        <v>0</v>
      </c>
      <c r="R952">
        <v>0</v>
      </c>
      <c r="S952">
        <v>0</v>
      </c>
      <c r="T952">
        <v>0</v>
      </c>
      <c r="U952">
        <v>70</v>
      </c>
      <c r="V952">
        <v>84</v>
      </c>
      <c r="W952">
        <v>588</v>
      </c>
      <c r="Z952">
        <v>0</v>
      </c>
      <c r="AA952" t="s">
        <v>2070</v>
      </c>
    </row>
    <row r="953" spans="1:27" x14ac:dyDescent="0.25">
      <c r="H953" t="s">
        <v>2071</v>
      </c>
    </row>
    <row r="954" spans="1:27" x14ac:dyDescent="0.25">
      <c r="A954">
        <v>474</v>
      </c>
      <c r="B954">
        <v>2182</v>
      </c>
      <c r="C954" t="s">
        <v>2072</v>
      </c>
      <c r="D954" t="s">
        <v>182</v>
      </c>
      <c r="E954" t="s">
        <v>76</v>
      </c>
      <c r="F954" t="s">
        <v>2073</v>
      </c>
      <c r="G954" t="str">
        <f>"201405001277"</f>
        <v>201405001277</v>
      </c>
      <c r="H954" t="s">
        <v>1261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70</v>
      </c>
      <c r="O954">
        <v>0</v>
      </c>
      <c r="P954">
        <v>50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144</v>
      </c>
      <c r="W954">
        <v>588</v>
      </c>
      <c r="Z954">
        <v>0</v>
      </c>
      <c r="AA954" t="s">
        <v>2074</v>
      </c>
    </row>
    <row r="955" spans="1:27" x14ac:dyDescent="0.25">
      <c r="H955" t="s">
        <v>2075</v>
      </c>
    </row>
    <row r="956" spans="1:27" x14ac:dyDescent="0.25">
      <c r="A956">
        <v>475</v>
      </c>
      <c r="B956">
        <v>1253</v>
      </c>
      <c r="C956" t="s">
        <v>2076</v>
      </c>
      <c r="D956" t="s">
        <v>2077</v>
      </c>
      <c r="E956" t="s">
        <v>54</v>
      </c>
      <c r="F956" t="s">
        <v>2078</v>
      </c>
      <c r="G956" t="str">
        <f>"201406009985"</f>
        <v>201406009985</v>
      </c>
      <c r="H956" t="s">
        <v>665</v>
      </c>
      <c r="I956">
        <v>0</v>
      </c>
      <c r="J956">
        <v>0</v>
      </c>
      <c r="K956">
        <v>0</v>
      </c>
      <c r="L956">
        <v>200</v>
      </c>
      <c r="M956">
        <v>0</v>
      </c>
      <c r="N956">
        <v>70</v>
      </c>
      <c r="O956">
        <v>0</v>
      </c>
      <c r="P956">
        <v>30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60</v>
      </c>
      <c r="W956">
        <v>420</v>
      </c>
      <c r="Z956">
        <v>0</v>
      </c>
      <c r="AA956" t="s">
        <v>2079</v>
      </c>
    </row>
    <row r="957" spans="1:27" x14ac:dyDescent="0.25">
      <c r="H957" t="s">
        <v>2080</v>
      </c>
    </row>
    <row r="958" spans="1:27" x14ac:dyDescent="0.25">
      <c r="A958">
        <v>476</v>
      </c>
      <c r="B958">
        <v>3101</v>
      </c>
      <c r="C958" t="s">
        <v>2081</v>
      </c>
      <c r="D958" t="s">
        <v>40</v>
      </c>
      <c r="E958" t="s">
        <v>100</v>
      </c>
      <c r="F958" t="s">
        <v>2082</v>
      </c>
      <c r="G958" t="str">
        <f>"00012731"</f>
        <v>00012731</v>
      </c>
      <c r="H958" t="s">
        <v>879</v>
      </c>
      <c r="I958">
        <v>0</v>
      </c>
      <c r="J958">
        <v>0</v>
      </c>
      <c r="K958">
        <v>0</v>
      </c>
      <c r="L958">
        <v>200</v>
      </c>
      <c r="M958">
        <v>0</v>
      </c>
      <c r="N958">
        <v>70</v>
      </c>
      <c r="O958">
        <v>0</v>
      </c>
      <c r="P958">
        <v>0</v>
      </c>
      <c r="Q958">
        <v>50</v>
      </c>
      <c r="R958">
        <v>0</v>
      </c>
      <c r="S958">
        <v>0</v>
      </c>
      <c r="T958">
        <v>0</v>
      </c>
      <c r="U958">
        <v>0</v>
      </c>
      <c r="V958">
        <v>56</v>
      </c>
      <c r="W958">
        <v>392</v>
      </c>
      <c r="Z958">
        <v>0</v>
      </c>
      <c r="AA958" t="s">
        <v>2083</v>
      </c>
    </row>
    <row r="959" spans="1:27" x14ac:dyDescent="0.25">
      <c r="H959" t="s">
        <v>1624</v>
      </c>
    </row>
    <row r="960" spans="1:27" x14ac:dyDescent="0.25">
      <c r="A960">
        <v>477</v>
      </c>
      <c r="B960">
        <v>344</v>
      </c>
      <c r="C960" t="s">
        <v>2084</v>
      </c>
      <c r="D960" t="s">
        <v>532</v>
      </c>
      <c r="E960" t="s">
        <v>143</v>
      </c>
      <c r="F960" t="s">
        <v>2085</v>
      </c>
      <c r="G960" t="str">
        <f>"201402001859"</f>
        <v>201402001859</v>
      </c>
      <c r="H960" t="s">
        <v>1762</v>
      </c>
      <c r="I960">
        <v>0</v>
      </c>
      <c r="J960">
        <v>0</v>
      </c>
      <c r="K960">
        <v>0</v>
      </c>
      <c r="L960">
        <v>200</v>
      </c>
      <c r="M960">
        <v>0</v>
      </c>
      <c r="N960">
        <v>70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65</v>
      </c>
      <c r="W960">
        <v>455</v>
      </c>
      <c r="Z960">
        <v>0</v>
      </c>
      <c r="AA960" t="s">
        <v>2086</v>
      </c>
    </row>
    <row r="961" spans="1:27" x14ac:dyDescent="0.25">
      <c r="H961">
        <v>206</v>
      </c>
    </row>
    <row r="962" spans="1:27" x14ac:dyDescent="0.25">
      <c r="A962">
        <v>478</v>
      </c>
      <c r="B962">
        <v>3193</v>
      </c>
      <c r="C962" t="s">
        <v>2087</v>
      </c>
      <c r="D962" t="s">
        <v>2088</v>
      </c>
      <c r="E962" t="s">
        <v>81</v>
      </c>
      <c r="F962" t="s">
        <v>2089</v>
      </c>
      <c r="G962" t="str">
        <f>"00013151"</f>
        <v>00013151</v>
      </c>
      <c r="H962" t="s">
        <v>965</v>
      </c>
      <c r="I962">
        <v>0</v>
      </c>
      <c r="J962">
        <v>0</v>
      </c>
      <c r="K962">
        <v>0</v>
      </c>
      <c r="L962">
        <v>0</v>
      </c>
      <c r="M962">
        <v>100</v>
      </c>
      <c r="N962">
        <v>70</v>
      </c>
      <c r="O962">
        <v>30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84</v>
      </c>
      <c r="W962">
        <v>588</v>
      </c>
      <c r="Z962">
        <v>0</v>
      </c>
      <c r="AA962" t="s">
        <v>2090</v>
      </c>
    </row>
    <row r="963" spans="1:27" x14ac:dyDescent="0.25">
      <c r="H963" t="s">
        <v>2091</v>
      </c>
    </row>
    <row r="964" spans="1:27" x14ac:dyDescent="0.25">
      <c r="A964">
        <v>479</v>
      </c>
      <c r="B964">
        <v>1432</v>
      </c>
      <c r="C964" t="s">
        <v>2092</v>
      </c>
      <c r="D964" t="s">
        <v>581</v>
      </c>
      <c r="E964" t="s">
        <v>121</v>
      </c>
      <c r="F964" t="s">
        <v>2093</v>
      </c>
      <c r="G964" t="str">
        <f>"201406013292"</f>
        <v>201406013292</v>
      </c>
      <c r="H964" t="s">
        <v>1173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70</v>
      </c>
      <c r="O964">
        <v>0</v>
      </c>
      <c r="P964">
        <v>30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97</v>
      </c>
      <c r="W964">
        <v>588</v>
      </c>
      <c r="Z964">
        <v>0</v>
      </c>
      <c r="AA964" t="s">
        <v>2094</v>
      </c>
    </row>
    <row r="965" spans="1:27" x14ac:dyDescent="0.25">
      <c r="H965" t="s">
        <v>2095</v>
      </c>
    </row>
    <row r="966" spans="1:27" x14ac:dyDescent="0.25">
      <c r="A966">
        <v>480</v>
      </c>
      <c r="B966">
        <v>1958</v>
      </c>
      <c r="C966" t="s">
        <v>2096</v>
      </c>
      <c r="D966" t="s">
        <v>81</v>
      </c>
      <c r="E966" t="s">
        <v>100</v>
      </c>
      <c r="F966" t="s">
        <v>2097</v>
      </c>
      <c r="G966" t="str">
        <f>"201406010570"</f>
        <v>201406010570</v>
      </c>
      <c r="H966" t="s">
        <v>1173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0</v>
      </c>
      <c r="P966">
        <v>0</v>
      </c>
      <c r="Q966">
        <v>30</v>
      </c>
      <c r="R966">
        <v>0</v>
      </c>
      <c r="S966">
        <v>0</v>
      </c>
      <c r="T966">
        <v>0</v>
      </c>
      <c r="U966">
        <v>0</v>
      </c>
      <c r="V966">
        <v>84</v>
      </c>
      <c r="W966">
        <v>588</v>
      </c>
      <c r="Z966">
        <v>0</v>
      </c>
      <c r="AA966" t="s">
        <v>2094</v>
      </c>
    </row>
    <row r="967" spans="1:27" x14ac:dyDescent="0.25">
      <c r="H967" t="s">
        <v>2098</v>
      </c>
    </row>
    <row r="968" spans="1:27" x14ac:dyDescent="0.25">
      <c r="A968">
        <v>481</v>
      </c>
      <c r="B968">
        <v>1217</v>
      </c>
      <c r="C968" t="s">
        <v>2099</v>
      </c>
      <c r="D968" t="s">
        <v>243</v>
      </c>
      <c r="E968" t="s">
        <v>81</v>
      </c>
      <c r="F968" t="s">
        <v>2100</v>
      </c>
      <c r="G968" t="str">
        <f>"00014772"</f>
        <v>00014772</v>
      </c>
      <c r="H968" t="s">
        <v>920</v>
      </c>
      <c r="I968">
        <v>0</v>
      </c>
      <c r="J968">
        <v>0</v>
      </c>
      <c r="K968">
        <v>0</v>
      </c>
      <c r="L968">
        <v>260</v>
      </c>
      <c r="M968">
        <v>0</v>
      </c>
      <c r="N968">
        <v>70</v>
      </c>
      <c r="O968">
        <v>50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36</v>
      </c>
      <c r="W968">
        <v>252</v>
      </c>
      <c r="Z968">
        <v>0</v>
      </c>
      <c r="AA968" t="s">
        <v>2101</v>
      </c>
    </row>
    <row r="969" spans="1:27" x14ac:dyDescent="0.25">
      <c r="H969" t="s">
        <v>56</v>
      </c>
    </row>
    <row r="970" spans="1:27" x14ac:dyDescent="0.25">
      <c r="A970">
        <v>482</v>
      </c>
      <c r="B970">
        <v>340</v>
      </c>
      <c r="C970" t="s">
        <v>2102</v>
      </c>
      <c r="D970" t="s">
        <v>40</v>
      </c>
      <c r="E970" t="s">
        <v>100</v>
      </c>
      <c r="F970" t="s">
        <v>2103</v>
      </c>
      <c r="G970" t="str">
        <f>"201304003033"</f>
        <v>201304003033</v>
      </c>
      <c r="H970" t="s">
        <v>2104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70</v>
      </c>
      <c r="O970">
        <v>0</v>
      </c>
      <c r="P970">
        <v>0</v>
      </c>
      <c r="Q970">
        <v>0</v>
      </c>
      <c r="R970">
        <v>70</v>
      </c>
      <c r="S970">
        <v>0</v>
      </c>
      <c r="T970">
        <v>0</v>
      </c>
      <c r="U970">
        <v>0</v>
      </c>
      <c r="V970">
        <v>131</v>
      </c>
      <c r="W970">
        <v>588</v>
      </c>
      <c r="Z970">
        <v>0</v>
      </c>
      <c r="AA970" t="s">
        <v>2105</v>
      </c>
    </row>
    <row r="971" spans="1:27" x14ac:dyDescent="0.25">
      <c r="H971" t="s">
        <v>2106</v>
      </c>
    </row>
    <row r="972" spans="1:27" x14ac:dyDescent="0.25">
      <c r="A972">
        <v>483</v>
      </c>
      <c r="B972">
        <v>124</v>
      </c>
      <c r="C972" t="s">
        <v>1830</v>
      </c>
      <c r="D972" t="s">
        <v>20</v>
      </c>
      <c r="E972" t="s">
        <v>28</v>
      </c>
      <c r="F972" t="s">
        <v>2107</v>
      </c>
      <c r="G972" t="str">
        <f>"201506002802"</f>
        <v>201506002802</v>
      </c>
      <c r="H972" t="s">
        <v>412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70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143</v>
      </c>
      <c r="W972">
        <v>588</v>
      </c>
      <c r="Z972">
        <v>0</v>
      </c>
      <c r="AA972" t="s">
        <v>2108</v>
      </c>
    </row>
    <row r="973" spans="1:27" x14ac:dyDescent="0.25">
      <c r="H973" t="s">
        <v>2109</v>
      </c>
    </row>
    <row r="974" spans="1:27" x14ac:dyDescent="0.25">
      <c r="A974">
        <v>484</v>
      </c>
      <c r="B974">
        <v>1113</v>
      </c>
      <c r="C974" t="s">
        <v>2110</v>
      </c>
      <c r="D974" t="s">
        <v>155</v>
      </c>
      <c r="E974" t="s">
        <v>80</v>
      </c>
      <c r="F974" t="s">
        <v>2111</v>
      </c>
      <c r="G974" t="str">
        <f>"00014868"</f>
        <v>00014868</v>
      </c>
      <c r="H974" t="s">
        <v>708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70</v>
      </c>
      <c r="O974">
        <v>30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96</v>
      </c>
      <c r="W974">
        <v>588</v>
      </c>
      <c r="Z974">
        <v>0</v>
      </c>
      <c r="AA974" t="s">
        <v>2112</v>
      </c>
    </row>
    <row r="975" spans="1:27" x14ac:dyDescent="0.25">
      <c r="H975" t="s">
        <v>1918</v>
      </c>
    </row>
    <row r="976" spans="1:27" x14ac:dyDescent="0.25">
      <c r="A976">
        <v>485</v>
      </c>
      <c r="B976">
        <v>1639</v>
      </c>
      <c r="C976" t="s">
        <v>2113</v>
      </c>
      <c r="D976" t="s">
        <v>421</v>
      </c>
      <c r="E976" t="s">
        <v>100</v>
      </c>
      <c r="F976" t="s">
        <v>2114</v>
      </c>
      <c r="G976" t="str">
        <f>"201304003042"</f>
        <v>201304003042</v>
      </c>
      <c r="H976" t="s">
        <v>229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70</v>
      </c>
      <c r="O976">
        <v>30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83</v>
      </c>
      <c r="W976">
        <v>581</v>
      </c>
      <c r="Z976">
        <v>0</v>
      </c>
      <c r="AA976" t="s">
        <v>2115</v>
      </c>
    </row>
    <row r="977" spans="1:27" x14ac:dyDescent="0.25">
      <c r="H977">
        <v>202</v>
      </c>
    </row>
    <row r="978" spans="1:27" x14ac:dyDescent="0.25">
      <c r="A978">
        <v>486</v>
      </c>
      <c r="B978">
        <v>2957</v>
      </c>
      <c r="C978" t="s">
        <v>2116</v>
      </c>
      <c r="D978" t="s">
        <v>2117</v>
      </c>
      <c r="E978" t="s">
        <v>507</v>
      </c>
      <c r="F978" t="s">
        <v>2118</v>
      </c>
      <c r="G978" t="str">
        <f>"00013678"</f>
        <v>00013678</v>
      </c>
      <c r="H978" t="s">
        <v>1178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70</v>
      </c>
      <c r="O978">
        <v>50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84</v>
      </c>
      <c r="W978">
        <v>588</v>
      </c>
      <c r="Z978">
        <v>0</v>
      </c>
      <c r="AA978" t="s">
        <v>2119</v>
      </c>
    </row>
    <row r="979" spans="1:27" x14ac:dyDescent="0.25">
      <c r="H979" t="s">
        <v>2120</v>
      </c>
    </row>
    <row r="980" spans="1:27" x14ac:dyDescent="0.25">
      <c r="A980">
        <v>487</v>
      </c>
      <c r="B980">
        <v>874</v>
      </c>
      <c r="C980" t="s">
        <v>2121</v>
      </c>
      <c r="D980" t="s">
        <v>112</v>
      </c>
      <c r="E980" t="s">
        <v>422</v>
      </c>
      <c r="F980" t="s">
        <v>2122</v>
      </c>
      <c r="G980" t="str">
        <f>"201406012509"</f>
        <v>201406012509</v>
      </c>
      <c r="H980" t="s">
        <v>30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70</v>
      </c>
      <c r="O980">
        <v>30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92</v>
      </c>
      <c r="W980">
        <v>588</v>
      </c>
      <c r="Z980">
        <v>0</v>
      </c>
      <c r="AA980" t="s">
        <v>2123</v>
      </c>
    </row>
    <row r="981" spans="1:27" x14ac:dyDescent="0.25">
      <c r="H981" t="s">
        <v>1417</v>
      </c>
    </row>
    <row r="982" spans="1:27" x14ac:dyDescent="0.25">
      <c r="A982">
        <v>488</v>
      </c>
      <c r="B982">
        <v>612</v>
      </c>
      <c r="C982" t="s">
        <v>392</v>
      </c>
      <c r="D982" t="s">
        <v>323</v>
      </c>
      <c r="E982" t="s">
        <v>586</v>
      </c>
      <c r="F982" t="s">
        <v>2124</v>
      </c>
      <c r="G982" t="str">
        <f>"201406001316"</f>
        <v>201406001316</v>
      </c>
      <c r="H982" t="s">
        <v>2125</v>
      </c>
      <c r="I982">
        <v>0</v>
      </c>
      <c r="J982">
        <v>0</v>
      </c>
      <c r="K982">
        <v>0</v>
      </c>
      <c r="L982">
        <v>0</v>
      </c>
      <c r="M982">
        <v>100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136</v>
      </c>
      <c r="W982">
        <v>588</v>
      </c>
      <c r="Z982">
        <v>0</v>
      </c>
      <c r="AA982" t="s">
        <v>2126</v>
      </c>
    </row>
    <row r="983" spans="1:27" x14ac:dyDescent="0.25">
      <c r="H983" t="s">
        <v>2127</v>
      </c>
    </row>
    <row r="984" spans="1:27" x14ac:dyDescent="0.25">
      <c r="A984">
        <v>489</v>
      </c>
      <c r="B984">
        <v>2225</v>
      </c>
      <c r="C984" t="s">
        <v>2128</v>
      </c>
      <c r="D984" t="s">
        <v>20</v>
      </c>
      <c r="E984" t="s">
        <v>47</v>
      </c>
      <c r="F984" t="s">
        <v>2129</v>
      </c>
      <c r="G984" t="str">
        <f>"201406005109"</f>
        <v>201406005109</v>
      </c>
      <c r="H984" t="s">
        <v>708</v>
      </c>
      <c r="I984">
        <v>0</v>
      </c>
      <c r="J984">
        <v>0</v>
      </c>
      <c r="K984">
        <v>0</v>
      </c>
      <c r="L984">
        <v>200</v>
      </c>
      <c r="M984">
        <v>0</v>
      </c>
      <c r="N984">
        <v>70</v>
      </c>
      <c r="O984">
        <v>50</v>
      </c>
      <c r="P984">
        <v>0</v>
      </c>
      <c r="Q984">
        <v>50</v>
      </c>
      <c r="R984">
        <v>0</v>
      </c>
      <c r="S984">
        <v>0</v>
      </c>
      <c r="T984">
        <v>0</v>
      </c>
      <c r="U984">
        <v>0</v>
      </c>
      <c r="V984">
        <v>45</v>
      </c>
      <c r="W984">
        <v>315</v>
      </c>
      <c r="Z984">
        <v>1</v>
      </c>
      <c r="AA984" t="s">
        <v>2130</v>
      </c>
    </row>
    <row r="985" spans="1:27" x14ac:dyDescent="0.25">
      <c r="H985" t="s">
        <v>2131</v>
      </c>
    </row>
    <row r="986" spans="1:27" x14ac:dyDescent="0.25">
      <c r="A986">
        <v>490</v>
      </c>
      <c r="B986">
        <v>3342</v>
      </c>
      <c r="C986" t="s">
        <v>2132</v>
      </c>
      <c r="D986" t="s">
        <v>652</v>
      </c>
      <c r="E986" t="s">
        <v>100</v>
      </c>
      <c r="F986" t="s">
        <v>2133</v>
      </c>
      <c r="G986" t="str">
        <f>"200810000304"</f>
        <v>200810000304</v>
      </c>
      <c r="H986" t="s">
        <v>947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70</v>
      </c>
      <c r="O986">
        <v>50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116</v>
      </c>
      <c r="W986">
        <v>588</v>
      </c>
      <c r="Z986">
        <v>0</v>
      </c>
      <c r="AA986" t="s">
        <v>2134</v>
      </c>
    </row>
    <row r="987" spans="1:27" x14ac:dyDescent="0.25">
      <c r="H987" t="s">
        <v>2135</v>
      </c>
    </row>
    <row r="988" spans="1:27" x14ac:dyDescent="0.25">
      <c r="A988">
        <v>491</v>
      </c>
      <c r="B988">
        <v>1669</v>
      </c>
      <c r="C988" t="s">
        <v>2136</v>
      </c>
      <c r="D988" t="s">
        <v>1683</v>
      </c>
      <c r="E988" t="s">
        <v>81</v>
      </c>
      <c r="F988" t="s">
        <v>2137</v>
      </c>
      <c r="G988" t="str">
        <f>"201304002923"</f>
        <v>201304002923</v>
      </c>
      <c r="H988" t="s">
        <v>947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0</v>
      </c>
      <c r="P988">
        <v>50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84</v>
      </c>
      <c r="W988">
        <v>588</v>
      </c>
      <c r="Z988">
        <v>0</v>
      </c>
      <c r="AA988" t="s">
        <v>2134</v>
      </c>
    </row>
    <row r="989" spans="1:27" x14ac:dyDescent="0.25">
      <c r="H989" t="s">
        <v>2138</v>
      </c>
    </row>
    <row r="990" spans="1:27" x14ac:dyDescent="0.25">
      <c r="A990">
        <v>492</v>
      </c>
      <c r="B990">
        <v>819</v>
      </c>
      <c r="C990" t="s">
        <v>2139</v>
      </c>
      <c r="D990" t="s">
        <v>813</v>
      </c>
      <c r="E990" t="s">
        <v>143</v>
      </c>
      <c r="F990" t="s">
        <v>2140</v>
      </c>
      <c r="G990" t="str">
        <f>"00006638"</f>
        <v>00006638</v>
      </c>
      <c r="H990" t="s">
        <v>334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50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120</v>
      </c>
      <c r="W990">
        <v>588</v>
      </c>
      <c r="Z990">
        <v>2</v>
      </c>
      <c r="AA990" t="s">
        <v>2141</v>
      </c>
    </row>
    <row r="991" spans="1:27" x14ac:dyDescent="0.25">
      <c r="H991">
        <v>203</v>
      </c>
    </row>
    <row r="992" spans="1:27" x14ac:dyDescent="0.25">
      <c r="A992">
        <v>493</v>
      </c>
      <c r="B992">
        <v>905</v>
      </c>
      <c r="C992" t="s">
        <v>2142</v>
      </c>
      <c r="D992" t="s">
        <v>813</v>
      </c>
      <c r="E992" t="s">
        <v>47</v>
      </c>
      <c r="F992" t="s">
        <v>2143</v>
      </c>
      <c r="G992" t="str">
        <f>"00015117"</f>
        <v>00015117</v>
      </c>
      <c r="H992" t="s">
        <v>1145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70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84</v>
      </c>
      <c r="W992">
        <v>588</v>
      </c>
      <c r="Z992">
        <v>0</v>
      </c>
      <c r="AA992" t="s">
        <v>2144</v>
      </c>
    </row>
    <row r="993" spans="1:27" x14ac:dyDescent="0.25">
      <c r="H993">
        <v>202</v>
      </c>
    </row>
    <row r="994" spans="1:27" x14ac:dyDescent="0.25">
      <c r="A994">
        <v>494</v>
      </c>
      <c r="B994">
        <v>2748</v>
      </c>
      <c r="C994" t="s">
        <v>2145</v>
      </c>
      <c r="D994" t="s">
        <v>2146</v>
      </c>
      <c r="E994" t="s">
        <v>121</v>
      </c>
      <c r="F994" t="s">
        <v>2147</v>
      </c>
      <c r="G994" t="str">
        <f>"201506001662"</f>
        <v>201506001662</v>
      </c>
      <c r="H994" t="s">
        <v>428</v>
      </c>
      <c r="I994">
        <v>150</v>
      </c>
      <c r="J994">
        <v>0</v>
      </c>
      <c r="K994">
        <v>0</v>
      </c>
      <c r="L994">
        <v>200</v>
      </c>
      <c r="M994">
        <v>0</v>
      </c>
      <c r="N994">
        <v>70</v>
      </c>
      <c r="O994">
        <v>30</v>
      </c>
      <c r="P994">
        <v>30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21</v>
      </c>
      <c r="W994">
        <v>147</v>
      </c>
      <c r="Z994">
        <v>0</v>
      </c>
      <c r="AA994" t="s">
        <v>2148</v>
      </c>
    </row>
    <row r="995" spans="1:27" x14ac:dyDescent="0.25">
      <c r="H995" t="s">
        <v>2149</v>
      </c>
    </row>
    <row r="996" spans="1:27" x14ac:dyDescent="0.25">
      <c r="A996">
        <v>495</v>
      </c>
      <c r="B996">
        <v>21</v>
      </c>
      <c r="C996" t="s">
        <v>2150</v>
      </c>
      <c r="D996" t="s">
        <v>20</v>
      </c>
      <c r="E996" t="s">
        <v>310</v>
      </c>
      <c r="F996" t="s">
        <v>2151</v>
      </c>
      <c r="G996" t="str">
        <f>"00012481"</f>
        <v>00012481</v>
      </c>
      <c r="H996" t="s">
        <v>2152</v>
      </c>
      <c r="I996">
        <v>0</v>
      </c>
      <c r="J996">
        <v>0</v>
      </c>
      <c r="K996">
        <v>0</v>
      </c>
      <c r="L996">
        <v>200</v>
      </c>
      <c r="M996">
        <v>0</v>
      </c>
      <c r="N996">
        <v>70</v>
      </c>
      <c r="O996">
        <v>70</v>
      </c>
      <c r="P996">
        <v>30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15</v>
      </c>
      <c r="W996">
        <v>105</v>
      </c>
      <c r="Z996">
        <v>0</v>
      </c>
      <c r="AA996" t="s">
        <v>2153</v>
      </c>
    </row>
    <row r="997" spans="1:27" x14ac:dyDescent="0.25">
      <c r="H997" t="s">
        <v>2154</v>
      </c>
    </row>
    <row r="998" spans="1:27" x14ac:dyDescent="0.25">
      <c r="A998">
        <v>496</v>
      </c>
      <c r="B998">
        <v>1606</v>
      </c>
      <c r="C998" t="s">
        <v>2155</v>
      </c>
      <c r="D998" t="s">
        <v>121</v>
      </c>
      <c r="E998" t="s">
        <v>81</v>
      </c>
      <c r="F998" t="s">
        <v>2156</v>
      </c>
      <c r="G998" t="str">
        <f>"00014682"</f>
        <v>00014682</v>
      </c>
      <c r="H998" t="s">
        <v>438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192</v>
      </c>
      <c r="W998">
        <v>588</v>
      </c>
      <c r="Z998">
        <v>0</v>
      </c>
      <c r="AA998" t="s">
        <v>2153</v>
      </c>
    </row>
    <row r="999" spans="1:27" x14ac:dyDescent="0.25">
      <c r="H999" t="s">
        <v>2157</v>
      </c>
    </row>
    <row r="1000" spans="1:27" x14ac:dyDescent="0.25">
      <c r="A1000">
        <v>497</v>
      </c>
      <c r="B1000">
        <v>2926</v>
      </c>
      <c r="C1000" t="s">
        <v>1614</v>
      </c>
      <c r="D1000" t="s">
        <v>576</v>
      </c>
      <c r="E1000" t="s">
        <v>616</v>
      </c>
      <c r="F1000" t="s">
        <v>2158</v>
      </c>
      <c r="G1000" t="str">
        <f>"200804000822"</f>
        <v>200804000822</v>
      </c>
      <c r="H1000">
        <v>715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70</v>
      </c>
      <c r="O1000">
        <v>0</v>
      </c>
      <c r="P1000">
        <v>50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Z1000">
        <v>1</v>
      </c>
      <c r="AA1000">
        <v>1423</v>
      </c>
    </row>
    <row r="1001" spans="1:27" x14ac:dyDescent="0.25">
      <c r="H1001" t="s">
        <v>2159</v>
      </c>
    </row>
    <row r="1002" spans="1:27" x14ac:dyDescent="0.25">
      <c r="A1002">
        <v>498</v>
      </c>
      <c r="B1002">
        <v>2428</v>
      </c>
      <c r="C1002" t="s">
        <v>2160</v>
      </c>
      <c r="D1002" t="s">
        <v>1149</v>
      </c>
      <c r="E1002" t="s">
        <v>47</v>
      </c>
      <c r="F1002" t="s">
        <v>2161</v>
      </c>
      <c r="G1002" t="str">
        <f>"201406009786"</f>
        <v>201406009786</v>
      </c>
      <c r="H1002" t="s">
        <v>514</v>
      </c>
      <c r="I1002">
        <v>0</v>
      </c>
      <c r="J1002">
        <v>0</v>
      </c>
      <c r="K1002">
        <v>0</v>
      </c>
      <c r="L1002">
        <v>200</v>
      </c>
      <c r="M1002">
        <v>0</v>
      </c>
      <c r="N1002">
        <v>70</v>
      </c>
      <c r="O1002">
        <v>0</v>
      </c>
      <c r="P1002">
        <v>70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36</v>
      </c>
      <c r="W1002">
        <v>252</v>
      </c>
      <c r="Z1002">
        <v>0</v>
      </c>
      <c r="AA1002" t="s">
        <v>2162</v>
      </c>
    </row>
    <row r="1003" spans="1:27" x14ac:dyDescent="0.25">
      <c r="H1003" t="s">
        <v>147</v>
      </c>
    </row>
    <row r="1004" spans="1:27" x14ac:dyDescent="0.25">
      <c r="A1004">
        <v>499</v>
      </c>
      <c r="B1004">
        <v>2480</v>
      </c>
      <c r="C1004" t="s">
        <v>2163</v>
      </c>
      <c r="D1004" t="s">
        <v>1026</v>
      </c>
      <c r="E1004" t="s">
        <v>143</v>
      </c>
      <c r="F1004" t="s">
        <v>2164</v>
      </c>
      <c r="G1004" t="str">
        <f>"00010476"</f>
        <v>00010476</v>
      </c>
      <c r="H1004" t="s">
        <v>499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101</v>
      </c>
      <c r="W1004">
        <v>588</v>
      </c>
      <c r="Z1004">
        <v>1</v>
      </c>
      <c r="AA1004" t="s">
        <v>2165</v>
      </c>
    </row>
    <row r="1005" spans="1:27" x14ac:dyDescent="0.25">
      <c r="H1005" t="s">
        <v>2166</v>
      </c>
    </row>
    <row r="1006" spans="1:27" x14ac:dyDescent="0.25">
      <c r="A1006">
        <v>500</v>
      </c>
      <c r="B1006">
        <v>1276</v>
      </c>
      <c r="C1006" t="s">
        <v>2167</v>
      </c>
      <c r="D1006" t="s">
        <v>638</v>
      </c>
      <c r="E1006" t="s">
        <v>799</v>
      </c>
      <c r="F1006" t="s">
        <v>2168</v>
      </c>
      <c r="G1006" t="str">
        <f>"201406005010"</f>
        <v>201406005010</v>
      </c>
      <c r="H1006" t="s">
        <v>1478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30</v>
      </c>
      <c r="S1006">
        <v>0</v>
      </c>
      <c r="T1006">
        <v>0</v>
      </c>
      <c r="U1006">
        <v>0</v>
      </c>
      <c r="V1006">
        <v>113</v>
      </c>
      <c r="W1006">
        <v>588</v>
      </c>
      <c r="Z1006">
        <v>0</v>
      </c>
      <c r="AA1006" t="s">
        <v>2169</v>
      </c>
    </row>
    <row r="1007" spans="1:27" x14ac:dyDescent="0.25">
      <c r="H1007" t="s">
        <v>2170</v>
      </c>
    </row>
    <row r="1008" spans="1:27" x14ac:dyDescent="0.25">
      <c r="A1008">
        <v>501</v>
      </c>
      <c r="B1008">
        <v>1603</v>
      </c>
      <c r="C1008" t="s">
        <v>2171</v>
      </c>
      <c r="D1008" t="s">
        <v>813</v>
      </c>
      <c r="E1008" t="s">
        <v>81</v>
      </c>
      <c r="F1008" t="s">
        <v>2172</v>
      </c>
      <c r="G1008" t="str">
        <f>"201506003709"</f>
        <v>201506003709</v>
      </c>
      <c r="H1008" t="s">
        <v>833</v>
      </c>
      <c r="I1008">
        <v>0</v>
      </c>
      <c r="J1008">
        <v>0</v>
      </c>
      <c r="K1008">
        <v>0</v>
      </c>
      <c r="L1008">
        <v>200</v>
      </c>
      <c r="M1008">
        <v>0</v>
      </c>
      <c r="N1008">
        <v>70</v>
      </c>
      <c r="O1008">
        <v>70</v>
      </c>
      <c r="P1008">
        <v>50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51</v>
      </c>
      <c r="W1008">
        <v>357</v>
      </c>
      <c r="Z1008">
        <v>0</v>
      </c>
      <c r="AA1008" t="s">
        <v>2173</v>
      </c>
    </row>
    <row r="1009" spans="1:27" x14ac:dyDescent="0.25">
      <c r="H1009" t="s">
        <v>2174</v>
      </c>
    </row>
    <row r="1010" spans="1:27" x14ac:dyDescent="0.25">
      <c r="A1010">
        <v>502</v>
      </c>
      <c r="B1010">
        <v>2622</v>
      </c>
      <c r="C1010" t="s">
        <v>896</v>
      </c>
      <c r="D1010" t="s">
        <v>2175</v>
      </c>
      <c r="E1010" t="s">
        <v>94</v>
      </c>
      <c r="F1010" t="s">
        <v>2176</v>
      </c>
      <c r="G1010" t="str">
        <f>"201406011697"</f>
        <v>201406011697</v>
      </c>
      <c r="H1010" t="s">
        <v>2177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70</v>
      </c>
      <c r="O1010">
        <v>0</v>
      </c>
      <c r="P1010">
        <v>50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113</v>
      </c>
      <c r="W1010">
        <v>588</v>
      </c>
      <c r="Z1010">
        <v>0</v>
      </c>
      <c r="AA1010" t="s">
        <v>2178</v>
      </c>
    </row>
    <row r="1011" spans="1:27" x14ac:dyDescent="0.25">
      <c r="H1011" t="s">
        <v>2179</v>
      </c>
    </row>
    <row r="1012" spans="1:27" x14ac:dyDescent="0.25">
      <c r="A1012">
        <v>503</v>
      </c>
      <c r="B1012">
        <v>1883</v>
      </c>
      <c r="C1012" t="s">
        <v>1532</v>
      </c>
      <c r="D1012" t="s">
        <v>2044</v>
      </c>
      <c r="E1012" t="s">
        <v>422</v>
      </c>
      <c r="F1012" t="s">
        <v>2180</v>
      </c>
      <c r="G1012" t="str">
        <f>"00013616"</f>
        <v>00013616</v>
      </c>
      <c r="H1012" t="s">
        <v>1352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70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84</v>
      </c>
      <c r="W1012">
        <v>588</v>
      </c>
      <c r="Z1012">
        <v>0</v>
      </c>
      <c r="AA1012" t="s">
        <v>2181</v>
      </c>
    </row>
    <row r="1013" spans="1:27" x14ac:dyDescent="0.25">
      <c r="H1013" t="s">
        <v>1925</v>
      </c>
    </row>
    <row r="1014" spans="1:27" x14ac:dyDescent="0.25">
      <c r="A1014">
        <v>504</v>
      </c>
      <c r="B1014">
        <v>1355</v>
      </c>
      <c r="C1014" t="s">
        <v>2182</v>
      </c>
      <c r="D1014" t="s">
        <v>818</v>
      </c>
      <c r="E1014" t="s">
        <v>155</v>
      </c>
      <c r="F1014" t="s">
        <v>2183</v>
      </c>
      <c r="G1014" t="str">
        <f>"00014976"</f>
        <v>00014976</v>
      </c>
      <c r="H1014" t="s">
        <v>2184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70</v>
      </c>
      <c r="O1014">
        <v>30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65</v>
      </c>
      <c r="W1014">
        <v>455</v>
      </c>
      <c r="Z1014">
        <v>0</v>
      </c>
      <c r="AA1014" t="s">
        <v>2185</v>
      </c>
    </row>
    <row r="1015" spans="1:27" x14ac:dyDescent="0.25">
      <c r="H1015" t="s">
        <v>2186</v>
      </c>
    </row>
    <row r="1016" spans="1:27" x14ac:dyDescent="0.25">
      <c r="A1016">
        <v>505</v>
      </c>
      <c r="B1016">
        <v>1570</v>
      </c>
      <c r="C1016" t="s">
        <v>2187</v>
      </c>
      <c r="D1016" t="s">
        <v>581</v>
      </c>
      <c r="E1016" t="s">
        <v>41</v>
      </c>
      <c r="F1016" t="s">
        <v>2188</v>
      </c>
      <c r="G1016" t="str">
        <f>"201304001202"</f>
        <v>201304001202</v>
      </c>
      <c r="H1016" t="s">
        <v>2060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70</v>
      </c>
      <c r="O1016">
        <v>50</v>
      </c>
      <c r="P1016">
        <v>0</v>
      </c>
      <c r="Q1016">
        <v>0</v>
      </c>
      <c r="R1016">
        <v>30</v>
      </c>
      <c r="S1016">
        <v>0</v>
      </c>
      <c r="T1016">
        <v>0</v>
      </c>
      <c r="U1016">
        <v>0</v>
      </c>
      <c r="V1016">
        <v>88</v>
      </c>
      <c r="W1016">
        <v>588</v>
      </c>
      <c r="Z1016">
        <v>0</v>
      </c>
      <c r="AA1016" t="s">
        <v>2189</v>
      </c>
    </row>
    <row r="1017" spans="1:27" x14ac:dyDescent="0.25">
      <c r="H1017" t="s">
        <v>286</v>
      </c>
    </row>
    <row r="1018" spans="1:27" x14ac:dyDescent="0.25">
      <c r="A1018">
        <v>506</v>
      </c>
      <c r="B1018">
        <v>3316</v>
      </c>
      <c r="C1018" t="s">
        <v>2190</v>
      </c>
      <c r="D1018" t="s">
        <v>2191</v>
      </c>
      <c r="E1018" t="s">
        <v>100</v>
      </c>
      <c r="F1018" t="s">
        <v>2192</v>
      </c>
      <c r="G1018" t="str">
        <f>"201304004567"</f>
        <v>201304004567</v>
      </c>
      <c r="H1018" t="s">
        <v>1261</v>
      </c>
      <c r="I1018">
        <v>0</v>
      </c>
      <c r="J1018">
        <v>0</v>
      </c>
      <c r="K1018">
        <v>0</v>
      </c>
      <c r="L1018">
        <v>200</v>
      </c>
      <c r="M1018">
        <v>0</v>
      </c>
      <c r="N1018">
        <v>70</v>
      </c>
      <c r="O1018">
        <v>70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50</v>
      </c>
      <c r="W1018">
        <v>350</v>
      </c>
      <c r="Z1018">
        <v>0</v>
      </c>
      <c r="AA1018" t="s">
        <v>2193</v>
      </c>
    </row>
    <row r="1019" spans="1:27" x14ac:dyDescent="0.25">
      <c r="H1019" t="s">
        <v>564</v>
      </c>
    </row>
    <row r="1020" spans="1:27" x14ac:dyDescent="0.25">
      <c r="A1020">
        <v>507</v>
      </c>
      <c r="B1020">
        <v>1358</v>
      </c>
      <c r="C1020" t="s">
        <v>2194</v>
      </c>
      <c r="D1020" t="s">
        <v>176</v>
      </c>
      <c r="E1020" t="s">
        <v>2195</v>
      </c>
      <c r="F1020" t="s">
        <v>2196</v>
      </c>
      <c r="G1020" t="str">
        <f>"201506001822"</f>
        <v>201506001822</v>
      </c>
      <c r="H1020">
        <v>759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70</v>
      </c>
      <c r="O1020">
        <v>0</v>
      </c>
      <c r="P1020">
        <v>50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77</v>
      </c>
      <c r="W1020">
        <v>539</v>
      </c>
      <c r="Z1020">
        <v>0</v>
      </c>
      <c r="AA1020">
        <v>1418</v>
      </c>
    </row>
    <row r="1021" spans="1:27" x14ac:dyDescent="0.25">
      <c r="H1021" t="s">
        <v>2197</v>
      </c>
    </row>
    <row r="1022" spans="1:27" x14ac:dyDescent="0.25">
      <c r="A1022">
        <v>508</v>
      </c>
      <c r="B1022">
        <v>1691</v>
      </c>
      <c r="C1022" t="s">
        <v>2198</v>
      </c>
      <c r="D1022" t="s">
        <v>210</v>
      </c>
      <c r="E1022" t="s">
        <v>81</v>
      </c>
      <c r="F1022" t="s">
        <v>2199</v>
      </c>
      <c r="G1022" t="str">
        <f>"00014824"</f>
        <v>00014824</v>
      </c>
      <c r="H1022">
        <v>660</v>
      </c>
      <c r="I1022">
        <v>0</v>
      </c>
      <c r="J1022">
        <v>0</v>
      </c>
      <c r="K1022">
        <v>0</v>
      </c>
      <c r="L1022">
        <v>0</v>
      </c>
      <c r="M1022">
        <v>100</v>
      </c>
      <c r="N1022">
        <v>70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264</v>
      </c>
      <c r="W1022">
        <v>588</v>
      </c>
      <c r="Z1022">
        <v>0</v>
      </c>
      <c r="AA1022">
        <v>1418</v>
      </c>
    </row>
    <row r="1023" spans="1:27" x14ac:dyDescent="0.25">
      <c r="H1023" t="s">
        <v>2200</v>
      </c>
    </row>
    <row r="1024" spans="1:27" x14ac:dyDescent="0.25">
      <c r="A1024">
        <v>509</v>
      </c>
      <c r="B1024">
        <v>2550</v>
      </c>
      <c r="C1024" t="s">
        <v>74</v>
      </c>
      <c r="D1024" t="s">
        <v>706</v>
      </c>
      <c r="E1024" t="s">
        <v>607</v>
      </c>
      <c r="F1024" t="s">
        <v>2201</v>
      </c>
      <c r="G1024" t="str">
        <f>"201406000103"</f>
        <v>201406000103</v>
      </c>
      <c r="H1024" t="s">
        <v>284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50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108</v>
      </c>
      <c r="W1024">
        <v>588</v>
      </c>
      <c r="Z1024">
        <v>0</v>
      </c>
      <c r="AA1024" t="s">
        <v>2202</v>
      </c>
    </row>
    <row r="1025" spans="1:27" x14ac:dyDescent="0.25">
      <c r="H1025" t="s">
        <v>2203</v>
      </c>
    </row>
    <row r="1026" spans="1:27" x14ac:dyDescent="0.25">
      <c r="A1026">
        <v>510</v>
      </c>
      <c r="B1026">
        <v>492</v>
      </c>
      <c r="C1026" t="s">
        <v>2204</v>
      </c>
      <c r="D1026" t="s">
        <v>20</v>
      </c>
      <c r="E1026" t="s">
        <v>100</v>
      </c>
      <c r="F1026" t="s">
        <v>2205</v>
      </c>
      <c r="G1026" t="str">
        <f>"201304003184"</f>
        <v>201304003184</v>
      </c>
      <c r="H1026" t="s">
        <v>71</v>
      </c>
      <c r="I1026">
        <v>0</v>
      </c>
      <c r="J1026">
        <v>0</v>
      </c>
      <c r="K1026">
        <v>0</v>
      </c>
      <c r="L1026">
        <v>0</v>
      </c>
      <c r="M1026">
        <v>100</v>
      </c>
      <c r="N1026">
        <v>70</v>
      </c>
      <c r="O1026">
        <v>50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74</v>
      </c>
      <c r="W1026">
        <v>518</v>
      </c>
      <c r="Z1026">
        <v>0</v>
      </c>
      <c r="AA1026" t="s">
        <v>2206</v>
      </c>
    </row>
    <row r="1027" spans="1:27" x14ac:dyDescent="0.25">
      <c r="H1027" t="s">
        <v>2207</v>
      </c>
    </row>
    <row r="1028" spans="1:27" x14ac:dyDescent="0.25">
      <c r="A1028">
        <v>511</v>
      </c>
      <c r="B1028">
        <v>2638</v>
      </c>
      <c r="C1028" t="s">
        <v>2208</v>
      </c>
      <c r="D1028" t="s">
        <v>361</v>
      </c>
      <c r="E1028" t="s">
        <v>586</v>
      </c>
      <c r="F1028" t="s">
        <v>2209</v>
      </c>
      <c r="G1028" t="str">
        <f>"201402012537"</f>
        <v>201402012537</v>
      </c>
      <c r="H1028" t="s">
        <v>1123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70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80</v>
      </c>
      <c r="W1028">
        <v>560</v>
      </c>
      <c r="Z1028">
        <v>0</v>
      </c>
      <c r="AA1028" t="s">
        <v>2210</v>
      </c>
    </row>
    <row r="1029" spans="1:27" x14ac:dyDescent="0.25">
      <c r="H1029" t="s">
        <v>2211</v>
      </c>
    </row>
    <row r="1030" spans="1:27" x14ac:dyDescent="0.25">
      <c r="A1030">
        <v>512</v>
      </c>
      <c r="B1030">
        <v>1918</v>
      </c>
      <c r="C1030" t="s">
        <v>2212</v>
      </c>
      <c r="D1030" t="s">
        <v>40</v>
      </c>
      <c r="E1030" t="s">
        <v>143</v>
      </c>
      <c r="F1030" t="s">
        <v>2213</v>
      </c>
      <c r="G1030" t="str">
        <f>"201406009944"</f>
        <v>201406009944</v>
      </c>
      <c r="H1030" t="s">
        <v>1261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70</v>
      </c>
      <c r="O1030">
        <v>30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99</v>
      </c>
      <c r="W1030">
        <v>588</v>
      </c>
      <c r="Z1030">
        <v>0</v>
      </c>
      <c r="AA1030" t="s">
        <v>2214</v>
      </c>
    </row>
    <row r="1031" spans="1:27" x14ac:dyDescent="0.25">
      <c r="H1031" t="s">
        <v>2215</v>
      </c>
    </row>
    <row r="1032" spans="1:27" x14ac:dyDescent="0.25">
      <c r="A1032">
        <v>513</v>
      </c>
      <c r="B1032">
        <v>1908</v>
      </c>
      <c r="C1032" t="s">
        <v>2216</v>
      </c>
      <c r="D1032" t="s">
        <v>706</v>
      </c>
      <c r="E1032" t="s">
        <v>21</v>
      </c>
      <c r="F1032" t="s">
        <v>2217</v>
      </c>
      <c r="G1032" t="str">
        <f>"201304002175"</f>
        <v>201304002175</v>
      </c>
      <c r="H1032" t="s">
        <v>1045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70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98</v>
      </c>
      <c r="W1032">
        <v>588</v>
      </c>
      <c r="Z1032">
        <v>0</v>
      </c>
      <c r="AA1032" t="s">
        <v>2218</v>
      </c>
    </row>
    <row r="1033" spans="1:27" x14ac:dyDescent="0.25">
      <c r="H1033">
        <v>203</v>
      </c>
    </row>
    <row r="1034" spans="1:27" x14ac:dyDescent="0.25">
      <c r="A1034">
        <v>514</v>
      </c>
      <c r="B1034">
        <v>1323</v>
      </c>
      <c r="C1034" t="s">
        <v>2219</v>
      </c>
      <c r="D1034" t="s">
        <v>2220</v>
      </c>
      <c r="E1034" t="s">
        <v>81</v>
      </c>
      <c r="F1034" t="s">
        <v>2221</v>
      </c>
      <c r="G1034" t="str">
        <f>"00011713"</f>
        <v>00011713</v>
      </c>
      <c r="H1034" t="s">
        <v>879</v>
      </c>
      <c r="I1034">
        <v>0</v>
      </c>
      <c r="J1034">
        <v>0</v>
      </c>
      <c r="K1034">
        <v>0</v>
      </c>
      <c r="L1034">
        <v>200</v>
      </c>
      <c r="M1034">
        <v>0</v>
      </c>
      <c r="N1034">
        <v>70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60</v>
      </c>
      <c r="W1034">
        <v>420</v>
      </c>
      <c r="Z1034">
        <v>1</v>
      </c>
      <c r="AA1034" t="s">
        <v>2222</v>
      </c>
    </row>
    <row r="1035" spans="1:27" x14ac:dyDescent="0.25">
      <c r="H1035" t="s">
        <v>2223</v>
      </c>
    </row>
    <row r="1036" spans="1:27" x14ac:dyDescent="0.25">
      <c r="A1036">
        <v>515</v>
      </c>
      <c r="B1036">
        <v>3354</v>
      </c>
      <c r="C1036" t="s">
        <v>2224</v>
      </c>
      <c r="D1036" t="s">
        <v>2225</v>
      </c>
      <c r="E1036" t="s">
        <v>2226</v>
      </c>
      <c r="F1036" t="s">
        <v>2227</v>
      </c>
      <c r="G1036" t="str">
        <f>"201406000265"</f>
        <v>201406000265</v>
      </c>
      <c r="H1036" t="s">
        <v>626</v>
      </c>
      <c r="I1036">
        <v>0</v>
      </c>
      <c r="J1036">
        <v>0</v>
      </c>
      <c r="K1036">
        <v>0</v>
      </c>
      <c r="L1036">
        <v>0</v>
      </c>
      <c r="M1036">
        <v>100</v>
      </c>
      <c r="N1036">
        <v>70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74</v>
      </c>
      <c r="W1036">
        <v>518</v>
      </c>
      <c r="Z1036">
        <v>0</v>
      </c>
      <c r="AA1036" t="s">
        <v>2228</v>
      </c>
    </row>
    <row r="1037" spans="1:27" x14ac:dyDescent="0.25">
      <c r="H1037" t="s">
        <v>369</v>
      </c>
    </row>
    <row r="1038" spans="1:27" x14ac:dyDescent="0.25">
      <c r="A1038">
        <v>516</v>
      </c>
      <c r="B1038">
        <v>2707</v>
      </c>
      <c r="C1038" t="s">
        <v>2229</v>
      </c>
      <c r="D1038" t="s">
        <v>20</v>
      </c>
      <c r="E1038" t="s">
        <v>2230</v>
      </c>
      <c r="F1038" t="s">
        <v>2231</v>
      </c>
      <c r="G1038" t="str">
        <f>"00014840"</f>
        <v>00014840</v>
      </c>
      <c r="H1038" t="s">
        <v>626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70</v>
      </c>
      <c r="O1038">
        <v>30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114</v>
      </c>
      <c r="W1038">
        <v>588</v>
      </c>
      <c r="Z1038">
        <v>0</v>
      </c>
      <c r="AA1038" t="s">
        <v>2228</v>
      </c>
    </row>
    <row r="1039" spans="1:27" x14ac:dyDescent="0.25">
      <c r="H1039">
        <v>211</v>
      </c>
    </row>
    <row r="1040" spans="1:27" x14ac:dyDescent="0.25">
      <c r="A1040">
        <v>517</v>
      </c>
      <c r="B1040">
        <v>2304</v>
      </c>
      <c r="C1040" t="s">
        <v>2232</v>
      </c>
      <c r="D1040" t="s">
        <v>892</v>
      </c>
      <c r="E1040" t="s">
        <v>94</v>
      </c>
      <c r="F1040" t="s">
        <v>2233</v>
      </c>
      <c r="G1040" t="str">
        <f>"201406001200"</f>
        <v>201406001200</v>
      </c>
      <c r="H1040" t="s">
        <v>626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70</v>
      </c>
      <c r="O1040">
        <v>30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110</v>
      </c>
      <c r="W1040">
        <v>588</v>
      </c>
      <c r="Z1040">
        <v>0</v>
      </c>
      <c r="AA1040" t="s">
        <v>2228</v>
      </c>
    </row>
    <row r="1041" spans="1:27" x14ac:dyDescent="0.25">
      <c r="H1041" t="s">
        <v>2234</v>
      </c>
    </row>
    <row r="1042" spans="1:27" x14ac:dyDescent="0.25">
      <c r="A1042">
        <v>518</v>
      </c>
      <c r="B1042">
        <v>2738</v>
      </c>
      <c r="C1042" t="s">
        <v>2171</v>
      </c>
      <c r="D1042" t="s">
        <v>818</v>
      </c>
      <c r="E1042" t="s">
        <v>100</v>
      </c>
      <c r="F1042" t="s">
        <v>2235</v>
      </c>
      <c r="G1042" t="str">
        <f>"201406011951"</f>
        <v>201406011951</v>
      </c>
      <c r="H1042" t="s">
        <v>2060</v>
      </c>
      <c r="I1042">
        <v>0</v>
      </c>
      <c r="J1042">
        <v>0</v>
      </c>
      <c r="K1042">
        <v>0</v>
      </c>
      <c r="L1042">
        <v>200</v>
      </c>
      <c r="M1042">
        <v>0</v>
      </c>
      <c r="N1042">
        <v>70</v>
      </c>
      <c r="O1042">
        <v>70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56</v>
      </c>
      <c r="W1042">
        <v>392</v>
      </c>
      <c r="Z1042">
        <v>0</v>
      </c>
      <c r="AA1042" t="s">
        <v>2228</v>
      </c>
    </row>
    <row r="1043" spans="1:27" x14ac:dyDescent="0.25">
      <c r="H1043">
        <v>208</v>
      </c>
    </row>
    <row r="1044" spans="1:27" x14ac:dyDescent="0.25">
      <c r="A1044">
        <v>519</v>
      </c>
      <c r="B1044">
        <v>862</v>
      </c>
      <c r="C1044" t="s">
        <v>2236</v>
      </c>
      <c r="D1044" t="s">
        <v>2237</v>
      </c>
      <c r="E1044" t="s">
        <v>47</v>
      </c>
      <c r="F1044" t="s">
        <v>2238</v>
      </c>
      <c r="G1044" t="str">
        <f>"00014238"</f>
        <v>00014238</v>
      </c>
      <c r="H1044" t="s">
        <v>299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30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232</v>
      </c>
      <c r="W1044">
        <v>588</v>
      </c>
      <c r="Z1044">
        <v>1</v>
      </c>
      <c r="AA1044" t="s">
        <v>2239</v>
      </c>
    </row>
    <row r="1045" spans="1:27" x14ac:dyDescent="0.25">
      <c r="H1045" t="s">
        <v>2240</v>
      </c>
    </row>
    <row r="1046" spans="1:27" x14ac:dyDescent="0.25">
      <c r="A1046">
        <v>520</v>
      </c>
      <c r="B1046">
        <v>629</v>
      </c>
      <c r="C1046" t="s">
        <v>2241</v>
      </c>
      <c r="D1046" t="s">
        <v>2242</v>
      </c>
      <c r="E1046" t="s">
        <v>165</v>
      </c>
      <c r="F1046" t="s">
        <v>2243</v>
      </c>
      <c r="G1046" t="str">
        <f>"00010691"</f>
        <v>00010691</v>
      </c>
      <c r="H1046" t="s">
        <v>299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30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86</v>
      </c>
      <c r="W1046">
        <v>588</v>
      </c>
      <c r="Z1046">
        <v>1</v>
      </c>
      <c r="AA1046" t="s">
        <v>2239</v>
      </c>
    </row>
    <row r="1047" spans="1:27" x14ac:dyDescent="0.25">
      <c r="H1047" t="s">
        <v>98</v>
      </c>
    </row>
    <row r="1048" spans="1:27" x14ac:dyDescent="0.25">
      <c r="A1048">
        <v>521</v>
      </c>
      <c r="B1048">
        <v>1437</v>
      </c>
      <c r="C1048" t="s">
        <v>2244</v>
      </c>
      <c r="D1048" t="s">
        <v>2245</v>
      </c>
      <c r="E1048" t="s">
        <v>644</v>
      </c>
      <c r="F1048" t="s">
        <v>2246</v>
      </c>
      <c r="G1048" t="str">
        <f>"201303000416"</f>
        <v>201303000416</v>
      </c>
      <c r="H1048" t="s">
        <v>766</v>
      </c>
      <c r="I1048">
        <v>0</v>
      </c>
      <c r="J1048">
        <v>0</v>
      </c>
      <c r="K1048">
        <v>0</v>
      </c>
      <c r="L1048">
        <v>0</v>
      </c>
      <c r="M1048">
        <v>130</v>
      </c>
      <c r="N1048">
        <v>70</v>
      </c>
      <c r="O1048">
        <v>50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57</v>
      </c>
      <c r="W1048">
        <v>399</v>
      </c>
      <c r="Z1048">
        <v>0</v>
      </c>
      <c r="AA1048" t="s">
        <v>2247</v>
      </c>
    </row>
    <row r="1049" spans="1:27" x14ac:dyDescent="0.25">
      <c r="H1049" t="s">
        <v>2248</v>
      </c>
    </row>
    <row r="1050" spans="1:27" x14ac:dyDescent="0.25">
      <c r="A1050">
        <v>522</v>
      </c>
      <c r="B1050">
        <v>1812</v>
      </c>
      <c r="C1050" t="s">
        <v>2249</v>
      </c>
      <c r="D1050" t="s">
        <v>81</v>
      </c>
      <c r="E1050" t="s">
        <v>822</v>
      </c>
      <c r="F1050" t="s">
        <v>2250</v>
      </c>
      <c r="G1050" t="str">
        <f>"00013495"</f>
        <v>00013495</v>
      </c>
      <c r="H1050" t="s">
        <v>559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160</v>
      </c>
      <c r="W1050">
        <v>588</v>
      </c>
      <c r="Z1050">
        <v>0</v>
      </c>
      <c r="AA1050" t="s">
        <v>2251</v>
      </c>
    </row>
    <row r="1051" spans="1:27" x14ac:dyDescent="0.25">
      <c r="H1051" t="s">
        <v>1245</v>
      </c>
    </row>
    <row r="1052" spans="1:27" x14ac:dyDescent="0.25">
      <c r="A1052">
        <v>523</v>
      </c>
      <c r="B1052">
        <v>728</v>
      </c>
      <c r="C1052" t="s">
        <v>2252</v>
      </c>
      <c r="D1052" t="s">
        <v>2253</v>
      </c>
      <c r="E1052" t="s">
        <v>644</v>
      </c>
      <c r="F1052" t="s">
        <v>2254</v>
      </c>
      <c r="G1052" t="str">
        <f>"201506002389"</f>
        <v>201506002389</v>
      </c>
      <c r="H1052" t="s">
        <v>206</v>
      </c>
      <c r="I1052">
        <v>0</v>
      </c>
      <c r="J1052">
        <v>0</v>
      </c>
      <c r="K1052">
        <v>0</v>
      </c>
      <c r="L1052">
        <v>200</v>
      </c>
      <c r="M1052">
        <v>0</v>
      </c>
      <c r="N1052">
        <v>70</v>
      </c>
      <c r="O1052">
        <v>50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51</v>
      </c>
      <c r="W1052">
        <v>357</v>
      </c>
      <c r="Z1052">
        <v>0</v>
      </c>
      <c r="AA1052" t="s">
        <v>2255</v>
      </c>
    </row>
    <row r="1053" spans="1:27" x14ac:dyDescent="0.25">
      <c r="H1053" t="s">
        <v>1669</v>
      </c>
    </row>
    <row r="1054" spans="1:27" x14ac:dyDescent="0.25">
      <c r="A1054">
        <v>524</v>
      </c>
      <c r="B1054">
        <v>261</v>
      </c>
      <c r="C1054" t="s">
        <v>2256</v>
      </c>
      <c r="D1054" t="s">
        <v>176</v>
      </c>
      <c r="E1054" t="s">
        <v>81</v>
      </c>
      <c r="F1054" t="s">
        <v>2257</v>
      </c>
      <c r="G1054" t="str">
        <f>"201406006756"</f>
        <v>201406006756</v>
      </c>
      <c r="H1054" t="s">
        <v>879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70</v>
      </c>
      <c r="O1054">
        <v>30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105</v>
      </c>
      <c r="W1054">
        <v>588</v>
      </c>
      <c r="Z1054">
        <v>0</v>
      </c>
      <c r="AA1054" t="s">
        <v>2255</v>
      </c>
    </row>
    <row r="1055" spans="1:27" x14ac:dyDescent="0.25">
      <c r="H1055" t="s">
        <v>549</v>
      </c>
    </row>
    <row r="1056" spans="1:27" x14ac:dyDescent="0.25">
      <c r="A1056">
        <v>525</v>
      </c>
      <c r="B1056">
        <v>1816</v>
      </c>
      <c r="C1056" t="s">
        <v>2258</v>
      </c>
      <c r="D1056" t="s">
        <v>652</v>
      </c>
      <c r="E1056" t="s">
        <v>863</v>
      </c>
      <c r="F1056" t="s">
        <v>2259</v>
      </c>
      <c r="G1056" t="str">
        <f>"200903000728"</f>
        <v>200903000728</v>
      </c>
      <c r="H1056" t="s">
        <v>879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70</v>
      </c>
      <c r="O1056">
        <v>30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111</v>
      </c>
      <c r="W1056">
        <v>588</v>
      </c>
      <c r="Z1056">
        <v>0</v>
      </c>
      <c r="AA1056" t="s">
        <v>2255</v>
      </c>
    </row>
    <row r="1057" spans="1:27" x14ac:dyDescent="0.25">
      <c r="H1057" t="s">
        <v>2260</v>
      </c>
    </row>
    <row r="1058" spans="1:27" x14ac:dyDescent="0.25">
      <c r="A1058">
        <v>526</v>
      </c>
      <c r="B1058">
        <v>1080</v>
      </c>
      <c r="C1058" t="s">
        <v>2261</v>
      </c>
      <c r="D1058" t="s">
        <v>1408</v>
      </c>
      <c r="E1058" t="s">
        <v>586</v>
      </c>
      <c r="F1058" t="s">
        <v>2262</v>
      </c>
      <c r="G1058" t="str">
        <f>"00014135"</f>
        <v>00014135</v>
      </c>
      <c r="H1058" t="s">
        <v>1010</v>
      </c>
      <c r="I1058">
        <v>0</v>
      </c>
      <c r="J1058">
        <v>0</v>
      </c>
      <c r="K1058">
        <v>0</v>
      </c>
      <c r="L1058">
        <v>200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63</v>
      </c>
      <c r="W1058">
        <v>441</v>
      </c>
      <c r="Z1058">
        <v>0</v>
      </c>
      <c r="AA1058" t="s">
        <v>2263</v>
      </c>
    </row>
    <row r="1059" spans="1:27" x14ac:dyDescent="0.25">
      <c r="H1059" t="s">
        <v>208</v>
      </c>
    </row>
    <row r="1060" spans="1:27" x14ac:dyDescent="0.25">
      <c r="A1060">
        <v>527</v>
      </c>
      <c r="B1060">
        <v>2392</v>
      </c>
      <c r="C1060" t="s">
        <v>2264</v>
      </c>
      <c r="D1060" t="s">
        <v>1683</v>
      </c>
      <c r="E1060" t="s">
        <v>41</v>
      </c>
      <c r="F1060" t="s">
        <v>2265</v>
      </c>
      <c r="G1060" t="str">
        <f>"00014277"</f>
        <v>00014277</v>
      </c>
      <c r="H1060" t="s">
        <v>265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50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117</v>
      </c>
      <c r="W1060">
        <v>588</v>
      </c>
      <c r="Z1060">
        <v>0</v>
      </c>
      <c r="AA1060" t="s">
        <v>2266</v>
      </c>
    </row>
    <row r="1061" spans="1:27" x14ac:dyDescent="0.25">
      <c r="H1061" t="s">
        <v>2267</v>
      </c>
    </row>
    <row r="1062" spans="1:27" x14ac:dyDescent="0.25">
      <c r="A1062">
        <v>528</v>
      </c>
      <c r="B1062">
        <v>2639</v>
      </c>
      <c r="C1062" t="s">
        <v>2268</v>
      </c>
      <c r="D1062" t="s">
        <v>2269</v>
      </c>
      <c r="E1062" t="s">
        <v>94</v>
      </c>
      <c r="F1062" t="s">
        <v>2270</v>
      </c>
      <c r="G1062" t="str">
        <f>"00012227"</f>
        <v>00012227</v>
      </c>
      <c r="H1062" t="s">
        <v>683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70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120</v>
      </c>
      <c r="W1062">
        <v>588</v>
      </c>
      <c r="Z1062">
        <v>0</v>
      </c>
      <c r="AA1062" t="s">
        <v>2271</v>
      </c>
    </row>
    <row r="1063" spans="1:27" x14ac:dyDescent="0.25">
      <c r="H1063">
        <v>203</v>
      </c>
    </row>
    <row r="1064" spans="1:27" x14ac:dyDescent="0.25">
      <c r="A1064">
        <v>529</v>
      </c>
      <c r="B1064">
        <v>2934</v>
      </c>
      <c r="C1064" t="s">
        <v>2272</v>
      </c>
      <c r="D1064" t="s">
        <v>176</v>
      </c>
      <c r="E1064" t="s">
        <v>165</v>
      </c>
      <c r="F1064" t="s">
        <v>2273</v>
      </c>
      <c r="G1064" t="str">
        <f>"201506001355"</f>
        <v>201506001355</v>
      </c>
      <c r="H1064" t="s">
        <v>1305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70</v>
      </c>
      <c r="O1064">
        <v>30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108</v>
      </c>
      <c r="W1064">
        <v>588</v>
      </c>
      <c r="Z1064">
        <v>0</v>
      </c>
      <c r="AA1064" t="s">
        <v>2274</v>
      </c>
    </row>
    <row r="1065" spans="1:27" x14ac:dyDescent="0.25">
      <c r="H1065" t="s">
        <v>2275</v>
      </c>
    </row>
    <row r="1066" spans="1:27" x14ac:dyDescent="0.25">
      <c r="A1066">
        <v>530</v>
      </c>
      <c r="B1066">
        <v>1404</v>
      </c>
      <c r="C1066" t="s">
        <v>2276</v>
      </c>
      <c r="D1066" t="s">
        <v>1026</v>
      </c>
      <c r="E1066" t="s">
        <v>81</v>
      </c>
      <c r="F1066" t="s">
        <v>2277</v>
      </c>
      <c r="G1066" t="str">
        <f>"00014042"</f>
        <v>00014042</v>
      </c>
      <c r="H1066" t="s">
        <v>1410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70</v>
      </c>
      <c r="O1066">
        <v>50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239</v>
      </c>
      <c r="W1066">
        <v>588</v>
      </c>
      <c r="Z1066">
        <v>0</v>
      </c>
      <c r="AA1066" t="s">
        <v>2278</v>
      </c>
    </row>
    <row r="1067" spans="1:27" x14ac:dyDescent="0.25">
      <c r="H1067" t="s">
        <v>2279</v>
      </c>
    </row>
    <row r="1068" spans="1:27" x14ac:dyDescent="0.25">
      <c r="A1068">
        <v>531</v>
      </c>
      <c r="B1068">
        <v>410</v>
      </c>
      <c r="C1068" t="s">
        <v>2280</v>
      </c>
      <c r="D1068" t="s">
        <v>47</v>
      </c>
      <c r="E1068" t="s">
        <v>951</v>
      </c>
      <c r="F1068" t="s">
        <v>2281</v>
      </c>
      <c r="G1068" t="str">
        <f>"00013412"</f>
        <v>00013412</v>
      </c>
      <c r="H1068" t="s">
        <v>716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70</v>
      </c>
      <c r="O1068">
        <v>0</v>
      </c>
      <c r="P1068">
        <v>50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80</v>
      </c>
      <c r="W1068">
        <v>560</v>
      </c>
      <c r="Z1068">
        <v>0</v>
      </c>
      <c r="AA1068" t="s">
        <v>2282</v>
      </c>
    </row>
    <row r="1069" spans="1:27" x14ac:dyDescent="0.25">
      <c r="H1069" t="s">
        <v>1029</v>
      </c>
    </row>
    <row r="1070" spans="1:27" x14ac:dyDescent="0.25">
      <c r="A1070">
        <v>532</v>
      </c>
      <c r="B1070">
        <v>3066</v>
      </c>
      <c r="C1070" t="s">
        <v>2283</v>
      </c>
      <c r="D1070" t="s">
        <v>1803</v>
      </c>
      <c r="E1070" t="s">
        <v>80</v>
      </c>
      <c r="F1070" t="s">
        <v>2284</v>
      </c>
      <c r="G1070" t="str">
        <f>"201406012293"</f>
        <v>201406012293</v>
      </c>
      <c r="H1070" t="s">
        <v>947</v>
      </c>
      <c r="I1070">
        <v>0</v>
      </c>
      <c r="J1070">
        <v>0</v>
      </c>
      <c r="K1070">
        <v>0</v>
      </c>
      <c r="L1070">
        <v>200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66</v>
      </c>
      <c r="W1070">
        <v>462</v>
      </c>
      <c r="Z1070">
        <v>0</v>
      </c>
      <c r="AA1070" t="s">
        <v>2285</v>
      </c>
    </row>
    <row r="1071" spans="1:27" x14ac:dyDescent="0.25">
      <c r="H1071" t="s">
        <v>2286</v>
      </c>
    </row>
    <row r="1072" spans="1:27" x14ac:dyDescent="0.25">
      <c r="A1072">
        <v>533</v>
      </c>
      <c r="B1072">
        <v>2785</v>
      </c>
      <c r="C1072" t="s">
        <v>175</v>
      </c>
      <c r="D1072" t="s">
        <v>112</v>
      </c>
      <c r="E1072" t="s">
        <v>2287</v>
      </c>
      <c r="F1072" t="s">
        <v>2288</v>
      </c>
      <c r="G1072" t="str">
        <f>"201506002057"</f>
        <v>201506002057</v>
      </c>
      <c r="H1072" t="s">
        <v>239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94</v>
      </c>
      <c r="W1072">
        <v>588</v>
      </c>
      <c r="Z1072">
        <v>0</v>
      </c>
      <c r="AA1072" t="s">
        <v>2289</v>
      </c>
    </row>
    <row r="1073" spans="1:27" x14ac:dyDescent="0.25">
      <c r="H1073">
        <v>203</v>
      </c>
    </row>
    <row r="1074" spans="1:27" x14ac:dyDescent="0.25">
      <c r="A1074">
        <v>534</v>
      </c>
      <c r="B1074">
        <v>743</v>
      </c>
      <c r="C1074" t="s">
        <v>2290</v>
      </c>
      <c r="D1074" t="s">
        <v>1313</v>
      </c>
      <c r="E1074" t="s">
        <v>34</v>
      </c>
      <c r="F1074" t="s">
        <v>2291</v>
      </c>
      <c r="G1074" t="str">
        <f>"201406009253"</f>
        <v>201406009253</v>
      </c>
      <c r="H1074" t="s">
        <v>49</v>
      </c>
      <c r="I1074">
        <v>0</v>
      </c>
      <c r="J1074">
        <v>0</v>
      </c>
      <c r="K1074">
        <v>0</v>
      </c>
      <c r="L1074">
        <v>0</v>
      </c>
      <c r="M1074">
        <v>100</v>
      </c>
      <c r="N1074">
        <v>70</v>
      </c>
      <c r="O1074">
        <v>0</v>
      </c>
      <c r="P1074">
        <v>30</v>
      </c>
      <c r="Q1074">
        <v>0</v>
      </c>
      <c r="R1074">
        <v>70</v>
      </c>
      <c r="S1074">
        <v>0</v>
      </c>
      <c r="T1074">
        <v>0</v>
      </c>
      <c r="U1074">
        <v>0</v>
      </c>
      <c r="V1074">
        <v>58</v>
      </c>
      <c r="W1074">
        <v>406</v>
      </c>
      <c r="Z1074">
        <v>0</v>
      </c>
      <c r="AA1074" t="s">
        <v>2292</v>
      </c>
    </row>
    <row r="1075" spans="1:27" x14ac:dyDescent="0.25">
      <c r="H1075" t="s">
        <v>2293</v>
      </c>
    </row>
    <row r="1076" spans="1:27" x14ac:dyDescent="0.25">
      <c r="A1076">
        <v>535</v>
      </c>
      <c r="B1076">
        <v>1492</v>
      </c>
      <c r="C1076" t="s">
        <v>2294</v>
      </c>
      <c r="D1076" t="s">
        <v>2295</v>
      </c>
      <c r="E1076" t="s">
        <v>81</v>
      </c>
      <c r="F1076" t="s">
        <v>2296</v>
      </c>
      <c r="G1076" t="str">
        <f>"00015017"</f>
        <v>00015017</v>
      </c>
      <c r="H1076" t="s">
        <v>785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70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84</v>
      </c>
      <c r="W1076">
        <v>588</v>
      </c>
      <c r="Z1076">
        <v>0</v>
      </c>
      <c r="AA1076" t="s">
        <v>2297</v>
      </c>
    </row>
    <row r="1077" spans="1:27" x14ac:dyDescent="0.25">
      <c r="H1077" t="s">
        <v>2298</v>
      </c>
    </row>
    <row r="1078" spans="1:27" x14ac:dyDescent="0.25">
      <c r="A1078">
        <v>536</v>
      </c>
      <c r="B1078">
        <v>3270</v>
      </c>
      <c r="C1078" t="s">
        <v>2299</v>
      </c>
      <c r="D1078" t="s">
        <v>40</v>
      </c>
      <c r="E1078" t="s">
        <v>155</v>
      </c>
      <c r="F1078" t="s">
        <v>2300</v>
      </c>
      <c r="G1078" t="str">
        <f>"201406010792"</f>
        <v>201406010792</v>
      </c>
      <c r="H1078">
        <v>660</v>
      </c>
      <c r="I1078">
        <v>0</v>
      </c>
      <c r="J1078">
        <v>0</v>
      </c>
      <c r="K1078">
        <v>0</v>
      </c>
      <c r="L1078">
        <v>0</v>
      </c>
      <c r="M1078">
        <v>100</v>
      </c>
      <c r="N1078">
        <v>30</v>
      </c>
      <c r="O1078">
        <v>0</v>
      </c>
      <c r="P1078">
        <v>30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92</v>
      </c>
      <c r="W1078">
        <v>588</v>
      </c>
      <c r="Z1078">
        <v>0</v>
      </c>
      <c r="AA1078">
        <v>1408</v>
      </c>
    </row>
    <row r="1079" spans="1:27" x14ac:dyDescent="0.25">
      <c r="H1079" t="s">
        <v>2301</v>
      </c>
    </row>
    <row r="1080" spans="1:27" x14ac:dyDescent="0.25">
      <c r="A1080">
        <v>537</v>
      </c>
      <c r="B1080">
        <v>1066</v>
      </c>
      <c r="C1080" t="s">
        <v>40</v>
      </c>
      <c r="D1080" t="s">
        <v>2302</v>
      </c>
      <c r="E1080" t="s">
        <v>21</v>
      </c>
      <c r="F1080" t="s">
        <v>2303</v>
      </c>
      <c r="G1080" t="str">
        <f>"201506001763"</f>
        <v>201506001763</v>
      </c>
      <c r="H1080" t="s">
        <v>926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70</v>
      </c>
      <c r="O1080">
        <v>0</v>
      </c>
      <c r="P1080">
        <v>0</v>
      </c>
      <c r="Q1080">
        <v>50</v>
      </c>
      <c r="R1080">
        <v>0</v>
      </c>
      <c r="S1080">
        <v>0</v>
      </c>
      <c r="T1080">
        <v>0</v>
      </c>
      <c r="U1080">
        <v>0</v>
      </c>
      <c r="V1080">
        <v>200</v>
      </c>
      <c r="W1080">
        <v>588</v>
      </c>
      <c r="Z1080">
        <v>0</v>
      </c>
      <c r="AA1080" t="s">
        <v>2304</v>
      </c>
    </row>
    <row r="1081" spans="1:27" x14ac:dyDescent="0.25">
      <c r="H1081">
        <v>204</v>
      </c>
    </row>
    <row r="1082" spans="1:27" x14ac:dyDescent="0.25">
      <c r="A1082">
        <v>538</v>
      </c>
      <c r="B1082">
        <v>2969</v>
      </c>
      <c r="C1082" t="s">
        <v>2305</v>
      </c>
      <c r="D1082" t="s">
        <v>1102</v>
      </c>
      <c r="E1082" t="s">
        <v>100</v>
      </c>
      <c r="F1082" t="s">
        <v>2306</v>
      </c>
      <c r="G1082" t="str">
        <f>"00014618"</f>
        <v>00014618</v>
      </c>
      <c r="H1082" t="s">
        <v>374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50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108</v>
      </c>
      <c r="W1082">
        <v>588</v>
      </c>
      <c r="Z1082">
        <v>0</v>
      </c>
      <c r="AA1082" t="s">
        <v>2307</v>
      </c>
    </row>
    <row r="1083" spans="1:27" x14ac:dyDescent="0.25">
      <c r="H1083" t="s">
        <v>2308</v>
      </c>
    </row>
    <row r="1084" spans="1:27" x14ac:dyDescent="0.25">
      <c r="A1084">
        <v>539</v>
      </c>
      <c r="B1084">
        <v>348</v>
      </c>
      <c r="C1084" t="s">
        <v>2309</v>
      </c>
      <c r="D1084" t="s">
        <v>2310</v>
      </c>
      <c r="E1084" t="s">
        <v>81</v>
      </c>
      <c r="F1084" t="s">
        <v>2311</v>
      </c>
      <c r="G1084" t="str">
        <f>"201506001555"</f>
        <v>201506001555</v>
      </c>
      <c r="H1084" t="s">
        <v>1104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70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121</v>
      </c>
      <c r="W1084">
        <v>588</v>
      </c>
      <c r="Z1084">
        <v>0</v>
      </c>
      <c r="AA1084" t="s">
        <v>2312</v>
      </c>
    </row>
    <row r="1085" spans="1:27" x14ac:dyDescent="0.25">
      <c r="H1085" t="s">
        <v>2313</v>
      </c>
    </row>
    <row r="1086" spans="1:27" x14ac:dyDescent="0.25">
      <c r="A1086">
        <v>540</v>
      </c>
      <c r="B1086">
        <v>248</v>
      </c>
      <c r="C1086" t="s">
        <v>2314</v>
      </c>
      <c r="D1086" t="s">
        <v>47</v>
      </c>
      <c r="E1086" t="s">
        <v>81</v>
      </c>
      <c r="F1086" t="s">
        <v>2315</v>
      </c>
      <c r="G1086" t="str">
        <f>"00014558"</f>
        <v>00014558</v>
      </c>
      <c r="H1086" t="s">
        <v>716</v>
      </c>
      <c r="I1086">
        <v>0</v>
      </c>
      <c r="J1086">
        <v>0</v>
      </c>
      <c r="K1086">
        <v>0</v>
      </c>
      <c r="L1086">
        <v>200</v>
      </c>
      <c r="M1086">
        <v>0</v>
      </c>
      <c r="N1086">
        <v>70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58</v>
      </c>
      <c r="W1086">
        <v>406</v>
      </c>
      <c r="Z1086">
        <v>0</v>
      </c>
      <c r="AA1086" t="s">
        <v>2316</v>
      </c>
    </row>
    <row r="1087" spans="1:27" x14ac:dyDescent="0.25">
      <c r="H1087" t="s">
        <v>2317</v>
      </c>
    </row>
    <row r="1088" spans="1:27" x14ac:dyDescent="0.25">
      <c r="A1088">
        <v>541</v>
      </c>
      <c r="B1088">
        <v>706</v>
      </c>
      <c r="C1088" t="s">
        <v>406</v>
      </c>
      <c r="D1088" t="s">
        <v>88</v>
      </c>
      <c r="E1088" t="s">
        <v>81</v>
      </c>
      <c r="F1088" t="s">
        <v>2318</v>
      </c>
      <c r="G1088" t="str">
        <f>"00015302"</f>
        <v>00015302</v>
      </c>
      <c r="H1088" t="s">
        <v>2319</v>
      </c>
      <c r="I1088">
        <v>0</v>
      </c>
      <c r="J1088">
        <v>0</v>
      </c>
      <c r="K1088">
        <v>0</v>
      </c>
      <c r="L1088">
        <v>200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39</v>
      </c>
      <c r="W1088">
        <v>273</v>
      </c>
      <c r="Z1088">
        <v>0</v>
      </c>
      <c r="AA1088" t="s">
        <v>2320</v>
      </c>
    </row>
    <row r="1089" spans="1:27" x14ac:dyDescent="0.25">
      <c r="H1089" t="s">
        <v>2321</v>
      </c>
    </row>
    <row r="1090" spans="1:27" x14ac:dyDescent="0.25">
      <c r="A1090">
        <v>542</v>
      </c>
      <c r="B1090">
        <v>2303</v>
      </c>
      <c r="C1090" t="s">
        <v>2322</v>
      </c>
      <c r="D1090" t="s">
        <v>176</v>
      </c>
      <c r="E1090" t="s">
        <v>2323</v>
      </c>
      <c r="F1090" t="s">
        <v>2324</v>
      </c>
      <c r="G1090" t="str">
        <f>"201506002788"</f>
        <v>201506002788</v>
      </c>
      <c r="H1090" t="s">
        <v>665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70</v>
      </c>
      <c r="O1090">
        <v>30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84</v>
      </c>
      <c r="W1090">
        <v>588</v>
      </c>
      <c r="Z1090">
        <v>0</v>
      </c>
      <c r="AA1090" t="s">
        <v>2325</v>
      </c>
    </row>
    <row r="1091" spans="1:27" x14ac:dyDescent="0.25">
      <c r="H1091" t="s">
        <v>98</v>
      </c>
    </row>
    <row r="1092" spans="1:27" x14ac:dyDescent="0.25">
      <c r="A1092">
        <v>543</v>
      </c>
      <c r="B1092">
        <v>1132</v>
      </c>
      <c r="C1092" t="s">
        <v>2326</v>
      </c>
      <c r="D1092" t="s">
        <v>58</v>
      </c>
      <c r="E1092" t="s">
        <v>81</v>
      </c>
      <c r="F1092" t="s">
        <v>2327</v>
      </c>
      <c r="G1092" t="str">
        <f>"00003036"</f>
        <v>00003036</v>
      </c>
      <c r="H1092" t="s">
        <v>1397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70</v>
      </c>
      <c r="O1092">
        <v>70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182</v>
      </c>
      <c r="W1092">
        <v>588</v>
      </c>
      <c r="Z1092">
        <v>2</v>
      </c>
      <c r="AA1092" t="s">
        <v>2328</v>
      </c>
    </row>
    <row r="1093" spans="1:27" x14ac:dyDescent="0.25">
      <c r="H1093" t="s">
        <v>2329</v>
      </c>
    </row>
    <row r="1094" spans="1:27" x14ac:dyDescent="0.25">
      <c r="A1094">
        <v>544</v>
      </c>
      <c r="B1094">
        <v>2181</v>
      </c>
      <c r="C1094" t="s">
        <v>2330</v>
      </c>
      <c r="D1094" t="s">
        <v>136</v>
      </c>
      <c r="E1094" t="s">
        <v>54</v>
      </c>
      <c r="F1094" t="s">
        <v>2331</v>
      </c>
      <c r="G1094" t="str">
        <f>"00012282"</f>
        <v>00012282</v>
      </c>
      <c r="H1094" t="s">
        <v>2332</v>
      </c>
      <c r="I1094">
        <v>0</v>
      </c>
      <c r="J1094">
        <v>0</v>
      </c>
      <c r="K1094">
        <v>0</v>
      </c>
      <c r="L1094">
        <v>0</v>
      </c>
      <c r="M1094">
        <v>100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117</v>
      </c>
      <c r="W1094">
        <v>588</v>
      </c>
      <c r="Z1094">
        <v>0</v>
      </c>
      <c r="AA1094" t="s">
        <v>2333</v>
      </c>
    </row>
    <row r="1095" spans="1:27" x14ac:dyDescent="0.25">
      <c r="H1095">
        <v>203</v>
      </c>
    </row>
    <row r="1096" spans="1:27" x14ac:dyDescent="0.25">
      <c r="A1096">
        <v>545</v>
      </c>
      <c r="B1096">
        <v>1637</v>
      </c>
      <c r="C1096" t="s">
        <v>2334</v>
      </c>
      <c r="D1096" t="s">
        <v>14</v>
      </c>
      <c r="E1096" t="s">
        <v>81</v>
      </c>
      <c r="F1096" t="s">
        <v>2335</v>
      </c>
      <c r="G1096" t="str">
        <f>"201304001187"</f>
        <v>201304001187</v>
      </c>
      <c r="H1096" t="s">
        <v>206</v>
      </c>
      <c r="I1096">
        <v>0</v>
      </c>
      <c r="J1096">
        <v>0</v>
      </c>
      <c r="K1096">
        <v>0</v>
      </c>
      <c r="L1096">
        <v>260</v>
      </c>
      <c r="M1096">
        <v>0</v>
      </c>
      <c r="N1096">
        <v>70</v>
      </c>
      <c r="O1096">
        <v>70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38</v>
      </c>
      <c r="W1096">
        <v>266</v>
      </c>
      <c r="Z1096">
        <v>0</v>
      </c>
      <c r="AA1096" t="s">
        <v>2336</v>
      </c>
    </row>
    <row r="1097" spans="1:27" x14ac:dyDescent="0.25">
      <c r="H1097" t="s">
        <v>2337</v>
      </c>
    </row>
    <row r="1098" spans="1:27" x14ac:dyDescent="0.25">
      <c r="A1098">
        <v>546</v>
      </c>
      <c r="B1098">
        <v>670</v>
      </c>
      <c r="C1098" t="s">
        <v>2338</v>
      </c>
      <c r="D1098" t="s">
        <v>293</v>
      </c>
      <c r="E1098" t="s">
        <v>100</v>
      </c>
      <c r="F1098" t="s">
        <v>2339</v>
      </c>
      <c r="G1098" t="str">
        <f>"00014719"</f>
        <v>00014719</v>
      </c>
      <c r="H1098" t="s">
        <v>2340</v>
      </c>
      <c r="I1098">
        <v>150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90</v>
      </c>
      <c r="W1098">
        <v>588</v>
      </c>
      <c r="Z1098">
        <v>0</v>
      </c>
      <c r="AA1098" t="s">
        <v>2341</v>
      </c>
    </row>
    <row r="1099" spans="1:27" x14ac:dyDescent="0.25">
      <c r="H1099" t="s">
        <v>98</v>
      </c>
    </row>
    <row r="1100" spans="1:27" x14ac:dyDescent="0.25">
      <c r="A1100">
        <v>547</v>
      </c>
      <c r="B1100">
        <v>1847</v>
      </c>
      <c r="C1100" t="s">
        <v>2342</v>
      </c>
      <c r="D1100" t="s">
        <v>2343</v>
      </c>
      <c r="E1100" t="s">
        <v>100</v>
      </c>
      <c r="F1100" t="s">
        <v>2344</v>
      </c>
      <c r="G1100" t="str">
        <f>"201406015229"</f>
        <v>201406015229</v>
      </c>
      <c r="H1100">
        <v>682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70</v>
      </c>
      <c r="O1100">
        <v>0</v>
      </c>
      <c r="P1100">
        <v>30</v>
      </c>
      <c r="Q1100">
        <v>30</v>
      </c>
      <c r="R1100">
        <v>0</v>
      </c>
      <c r="S1100">
        <v>0</v>
      </c>
      <c r="T1100">
        <v>0</v>
      </c>
      <c r="U1100">
        <v>0</v>
      </c>
      <c r="V1100">
        <v>107</v>
      </c>
      <c r="W1100">
        <v>588</v>
      </c>
      <c r="Z1100">
        <v>0</v>
      </c>
      <c r="AA1100">
        <v>1400</v>
      </c>
    </row>
    <row r="1101" spans="1:27" x14ac:dyDescent="0.25">
      <c r="H1101" t="s">
        <v>2345</v>
      </c>
    </row>
    <row r="1102" spans="1:27" x14ac:dyDescent="0.25">
      <c r="A1102">
        <v>548</v>
      </c>
      <c r="B1102">
        <v>2458</v>
      </c>
      <c r="C1102" t="s">
        <v>2346</v>
      </c>
      <c r="D1102" t="s">
        <v>1547</v>
      </c>
      <c r="E1102" t="s">
        <v>121</v>
      </c>
      <c r="F1102" t="s">
        <v>2347</v>
      </c>
      <c r="G1102" t="str">
        <f>"201304005679"</f>
        <v>201304005679</v>
      </c>
      <c r="H1102" t="s">
        <v>879</v>
      </c>
      <c r="I1102">
        <v>0</v>
      </c>
      <c r="J1102">
        <v>0</v>
      </c>
      <c r="K1102">
        <v>0</v>
      </c>
      <c r="L1102">
        <v>0</v>
      </c>
      <c r="M1102">
        <v>100</v>
      </c>
      <c r="N1102">
        <v>30</v>
      </c>
      <c r="O1102">
        <v>70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68</v>
      </c>
      <c r="W1102">
        <v>476</v>
      </c>
      <c r="Z1102">
        <v>0</v>
      </c>
      <c r="AA1102" t="s">
        <v>2348</v>
      </c>
    </row>
    <row r="1103" spans="1:27" x14ac:dyDescent="0.25">
      <c r="H1103" t="s">
        <v>2349</v>
      </c>
    </row>
    <row r="1104" spans="1:27" x14ac:dyDescent="0.25">
      <c r="A1104">
        <v>549</v>
      </c>
      <c r="B1104">
        <v>1287</v>
      </c>
      <c r="C1104" t="s">
        <v>2350</v>
      </c>
      <c r="D1104" t="s">
        <v>2310</v>
      </c>
      <c r="E1104" t="s">
        <v>2351</v>
      </c>
      <c r="F1104" t="s">
        <v>2352</v>
      </c>
      <c r="G1104" t="str">
        <f>"201406003844"</f>
        <v>201406003844</v>
      </c>
      <c r="H1104" t="s">
        <v>697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70</v>
      </c>
      <c r="O1104">
        <v>0</v>
      </c>
      <c r="P1104">
        <v>0</v>
      </c>
      <c r="Q1104">
        <v>30</v>
      </c>
      <c r="R1104">
        <v>0</v>
      </c>
      <c r="S1104">
        <v>0</v>
      </c>
      <c r="T1104">
        <v>0</v>
      </c>
      <c r="U1104">
        <v>0</v>
      </c>
      <c r="V1104">
        <v>153</v>
      </c>
      <c r="W1104">
        <v>588</v>
      </c>
      <c r="Z1104">
        <v>0</v>
      </c>
      <c r="AA1104" t="s">
        <v>2353</v>
      </c>
    </row>
    <row r="1105" spans="1:27" x14ac:dyDescent="0.25">
      <c r="H1105" t="s">
        <v>2354</v>
      </c>
    </row>
    <row r="1106" spans="1:27" x14ac:dyDescent="0.25">
      <c r="A1106">
        <v>550</v>
      </c>
      <c r="B1106">
        <v>2628</v>
      </c>
      <c r="C1106" t="s">
        <v>2355</v>
      </c>
      <c r="D1106" t="s">
        <v>840</v>
      </c>
      <c r="E1106" t="s">
        <v>80</v>
      </c>
      <c r="F1106" t="s">
        <v>2356</v>
      </c>
      <c r="G1106" t="str">
        <f>"00014316"</f>
        <v>00014316</v>
      </c>
      <c r="H1106" t="s">
        <v>1572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70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120</v>
      </c>
      <c r="W1106">
        <v>588</v>
      </c>
      <c r="Z1106">
        <v>0</v>
      </c>
      <c r="AA1106" t="s">
        <v>2357</v>
      </c>
    </row>
    <row r="1107" spans="1:27" x14ac:dyDescent="0.25">
      <c r="H1107" t="s">
        <v>2358</v>
      </c>
    </row>
    <row r="1108" spans="1:27" x14ac:dyDescent="0.25">
      <c r="A1108">
        <v>551</v>
      </c>
      <c r="B1108">
        <v>2099</v>
      </c>
      <c r="C1108" t="s">
        <v>2359</v>
      </c>
      <c r="D1108" t="s">
        <v>818</v>
      </c>
      <c r="E1108" t="s">
        <v>2360</v>
      </c>
      <c r="F1108" t="s">
        <v>2361</v>
      </c>
      <c r="G1108" t="str">
        <f>"00012403"</f>
        <v>00012403</v>
      </c>
      <c r="H1108">
        <v>671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30</v>
      </c>
      <c r="P1108">
        <v>30</v>
      </c>
      <c r="Q1108">
        <v>50</v>
      </c>
      <c r="R1108">
        <v>0</v>
      </c>
      <c r="S1108">
        <v>0</v>
      </c>
      <c r="T1108">
        <v>0</v>
      </c>
      <c r="U1108">
        <v>0</v>
      </c>
      <c r="V1108">
        <v>240</v>
      </c>
      <c r="W1108">
        <v>588</v>
      </c>
      <c r="Z1108">
        <v>0</v>
      </c>
      <c r="AA1108">
        <v>1399</v>
      </c>
    </row>
    <row r="1109" spans="1:27" x14ac:dyDescent="0.25">
      <c r="H1109" t="s">
        <v>2362</v>
      </c>
    </row>
    <row r="1110" spans="1:27" x14ac:dyDescent="0.25">
      <c r="A1110">
        <v>552</v>
      </c>
      <c r="B1110">
        <v>2192</v>
      </c>
      <c r="C1110" t="s">
        <v>2363</v>
      </c>
      <c r="D1110" t="s">
        <v>20</v>
      </c>
      <c r="E1110" t="s">
        <v>143</v>
      </c>
      <c r="F1110" t="s">
        <v>2364</v>
      </c>
      <c r="G1110" t="str">
        <f>"00013974"</f>
        <v>00013974</v>
      </c>
      <c r="H1110" t="s">
        <v>708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70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133</v>
      </c>
      <c r="W1110">
        <v>588</v>
      </c>
      <c r="Z1110">
        <v>0</v>
      </c>
      <c r="AA1110" t="s">
        <v>2365</v>
      </c>
    </row>
    <row r="1111" spans="1:27" x14ac:dyDescent="0.25">
      <c r="H1111" t="s">
        <v>98</v>
      </c>
    </row>
    <row r="1112" spans="1:27" x14ac:dyDescent="0.25">
      <c r="A1112">
        <v>553</v>
      </c>
      <c r="B1112">
        <v>1862</v>
      </c>
      <c r="C1112" t="s">
        <v>2366</v>
      </c>
      <c r="D1112" t="s">
        <v>2367</v>
      </c>
      <c r="E1112" t="s">
        <v>100</v>
      </c>
      <c r="F1112" t="s">
        <v>2368</v>
      </c>
      <c r="G1112" t="str">
        <f>"201506001081"</f>
        <v>201506001081</v>
      </c>
      <c r="H1112" t="s">
        <v>1372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70</v>
      </c>
      <c r="O1112">
        <v>50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84</v>
      </c>
      <c r="W1112">
        <v>588</v>
      </c>
      <c r="Z1112">
        <v>0</v>
      </c>
      <c r="AA1112" t="s">
        <v>2369</v>
      </c>
    </row>
    <row r="1113" spans="1:27" x14ac:dyDescent="0.25">
      <c r="H1113" t="s">
        <v>2370</v>
      </c>
    </row>
    <row r="1114" spans="1:27" x14ac:dyDescent="0.25">
      <c r="A1114">
        <v>554</v>
      </c>
      <c r="B1114">
        <v>2587</v>
      </c>
      <c r="C1114" t="s">
        <v>2371</v>
      </c>
      <c r="D1114" t="s">
        <v>87</v>
      </c>
      <c r="E1114" t="s">
        <v>2372</v>
      </c>
      <c r="F1114" t="s">
        <v>2373</v>
      </c>
      <c r="G1114" t="str">
        <f>"00013904"</f>
        <v>00013904</v>
      </c>
      <c r="H1114" t="s">
        <v>1377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70</v>
      </c>
      <c r="V1114">
        <v>140</v>
      </c>
      <c r="W1114">
        <v>588</v>
      </c>
      <c r="Z1114">
        <v>0</v>
      </c>
      <c r="AA1114" t="s">
        <v>2374</v>
      </c>
    </row>
    <row r="1115" spans="1:27" x14ac:dyDescent="0.25">
      <c r="H1115" t="s">
        <v>2375</v>
      </c>
    </row>
    <row r="1116" spans="1:27" x14ac:dyDescent="0.25">
      <c r="A1116">
        <v>555</v>
      </c>
      <c r="B1116">
        <v>2522</v>
      </c>
      <c r="C1116" t="s">
        <v>557</v>
      </c>
      <c r="D1116" t="s">
        <v>818</v>
      </c>
      <c r="E1116" t="s">
        <v>94</v>
      </c>
      <c r="F1116" t="s">
        <v>2376</v>
      </c>
      <c r="G1116" t="str">
        <f>"201304001252"</f>
        <v>201304001252</v>
      </c>
      <c r="H1116" t="s">
        <v>716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50</v>
      </c>
      <c r="O1116">
        <v>30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105</v>
      </c>
      <c r="W1116">
        <v>588</v>
      </c>
      <c r="Z1116">
        <v>0</v>
      </c>
      <c r="AA1116" t="s">
        <v>2377</v>
      </c>
    </row>
    <row r="1117" spans="1:27" x14ac:dyDescent="0.25">
      <c r="H1117" t="s">
        <v>2378</v>
      </c>
    </row>
    <row r="1118" spans="1:27" x14ac:dyDescent="0.25">
      <c r="A1118">
        <v>556</v>
      </c>
      <c r="B1118">
        <v>2097</v>
      </c>
      <c r="C1118" t="s">
        <v>2379</v>
      </c>
      <c r="D1118" t="s">
        <v>20</v>
      </c>
      <c r="E1118" t="s">
        <v>100</v>
      </c>
      <c r="F1118" t="s">
        <v>2380</v>
      </c>
      <c r="G1118" t="str">
        <f>"201506001161"</f>
        <v>201506001161</v>
      </c>
      <c r="H1118" t="s">
        <v>384</v>
      </c>
      <c r="I1118">
        <v>0</v>
      </c>
      <c r="J1118">
        <v>0</v>
      </c>
      <c r="K1118">
        <v>0</v>
      </c>
      <c r="L1118">
        <v>0</v>
      </c>
      <c r="M1118">
        <v>100</v>
      </c>
      <c r="N1118">
        <v>70</v>
      </c>
      <c r="O1118">
        <v>50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61</v>
      </c>
      <c r="W1118">
        <v>427</v>
      </c>
      <c r="Z1118">
        <v>0</v>
      </c>
      <c r="AA1118" t="s">
        <v>2381</v>
      </c>
    </row>
    <row r="1119" spans="1:27" x14ac:dyDescent="0.25">
      <c r="H1119" t="s">
        <v>2382</v>
      </c>
    </row>
    <row r="1120" spans="1:27" x14ac:dyDescent="0.25">
      <c r="A1120">
        <v>557</v>
      </c>
      <c r="B1120">
        <v>1242</v>
      </c>
      <c r="C1120" t="s">
        <v>738</v>
      </c>
      <c r="D1120" t="s">
        <v>2383</v>
      </c>
      <c r="E1120" t="s">
        <v>422</v>
      </c>
      <c r="F1120" t="s">
        <v>2384</v>
      </c>
      <c r="G1120" t="str">
        <f>"00014663"</f>
        <v>00014663</v>
      </c>
      <c r="H1120">
        <v>847</v>
      </c>
      <c r="I1120">
        <v>0</v>
      </c>
      <c r="J1120">
        <v>0</v>
      </c>
      <c r="K1120">
        <v>0</v>
      </c>
      <c r="L1120">
        <v>200</v>
      </c>
      <c r="M1120">
        <v>0</v>
      </c>
      <c r="N1120">
        <v>70</v>
      </c>
      <c r="O1120">
        <v>70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30</v>
      </c>
      <c r="W1120">
        <v>210</v>
      </c>
      <c r="Z1120">
        <v>0</v>
      </c>
      <c r="AA1120">
        <v>1397</v>
      </c>
    </row>
    <row r="1121" spans="1:27" x14ac:dyDescent="0.25">
      <c r="H1121" t="s">
        <v>2385</v>
      </c>
    </row>
    <row r="1122" spans="1:27" x14ac:dyDescent="0.25">
      <c r="A1122">
        <v>558</v>
      </c>
      <c r="B1122">
        <v>16</v>
      </c>
      <c r="C1122" t="s">
        <v>2386</v>
      </c>
      <c r="D1122" t="s">
        <v>112</v>
      </c>
      <c r="E1122" t="s">
        <v>822</v>
      </c>
      <c r="F1122" t="s">
        <v>2387</v>
      </c>
      <c r="G1122" t="str">
        <f>"201506001944"</f>
        <v>201506001944</v>
      </c>
      <c r="H1122" t="s">
        <v>690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70</v>
      </c>
      <c r="O1122">
        <v>0</v>
      </c>
      <c r="P1122">
        <v>70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72</v>
      </c>
      <c r="W1122">
        <v>504</v>
      </c>
      <c r="Z1122">
        <v>0</v>
      </c>
      <c r="AA1122" t="s">
        <v>2388</v>
      </c>
    </row>
    <row r="1123" spans="1:27" x14ac:dyDescent="0.25">
      <c r="H1123" t="s">
        <v>2389</v>
      </c>
    </row>
    <row r="1124" spans="1:27" x14ac:dyDescent="0.25">
      <c r="A1124">
        <v>559</v>
      </c>
      <c r="B1124">
        <v>1407</v>
      </c>
      <c r="C1124" t="s">
        <v>2390</v>
      </c>
      <c r="D1124" t="s">
        <v>620</v>
      </c>
      <c r="E1124" t="s">
        <v>143</v>
      </c>
      <c r="F1124" t="s">
        <v>2391</v>
      </c>
      <c r="G1124" t="str">
        <f>"200712003515"</f>
        <v>200712003515</v>
      </c>
      <c r="H1124" t="s">
        <v>1449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70</v>
      </c>
      <c r="O1124">
        <v>30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95</v>
      </c>
      <c r="W1124">
        <v>588</v>
      </c>
      <c r="Z1124">
        <v>0</v>
      </c>
      <c r="AA1124" t="s">
        <v>2388</v>
      </c>
    </row>
    <row r="1125" spans="1:27" x14ac:dyDescent="0.25">
      <c r="H1125" t="s">
        <v>2392</v>
      </c>
    </row>
    <row r="1126" spans="1:27" x14ac:dyDescent="0.25">
      <c r="A1126">
        <v>560</v>
      </c>
      <c r="B1126">
        <v>2705</v>
      </c>
      <c r="C1126" t="s">
        <v>2393</v>
      </c>
      <c r="D1126" t="s">
        <v>2394</v>
      </c>
      <c r="E1126" t="s">
        <v>80</v>
      </c>
      <c r="F1126" t="s">
        <v>2395</v>
      </c>
      <c r="G1126" t="str">
        <f>"201506002675"</f>
        <v>201506002675</v>
      </c>
      <c r="H1126" t="s">
        <v>1321</v>
      </c>
      <c r="I1126">
        <v>0</v>
      </c>
      <c r="J1126">
        <v>0</v>
      </c>
      <c r="K1126">
        <v>0</v>
      </c>
      <c r="L1126">
        <v>200</v>
      </c>
      <c r="M1126">
        <v>0</v>
      </c>
      <c r="N1126">
        <v>70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51</v>
      </c>
      <c r="W1126">
        <v>357</v>
      </c>
      <c r="Z1126">
        <v>0</v>
      </c>
      <c r="AA1126" t="s">
        <v>2396</v>
      </c>
    </row>
    <row r="1127" spans="1:27" x14ac:dyDescent="0.25">
      <c r="H1127" t="s">
        <v>2397</v>
      </c>
    </row>
    <row r="1128" spans="1:27" x14ac:dyDescent="0.25">
      <c r="A1128">
        <v>561</v>
      </c>
      <c r="B1128">
        <v>2616</v>
      </c>
      <c r="C1128" t="s">
        <v>2398</v>
      </c>
      <c r="D1128" t="s">
        <v>2399</v>
      </c>
      <c r="E1128" t="s">
        <v>81</v>
      </c>
      <c r="F1128" t="s">
        <v>2400</v>
      </c>
      <c r="G1128" t="str">
        <f>"00014160"</f>
        <v>00014160</v>
      </c>
      <c r="H1128">
        <v>737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70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102</v>
      </c>
      <c r="W1128">
        <v>588</v>
      </c>
      <c r="Z1128">
        <v>0</v>
      </c>
      <c r="AA1128">
        <v>1395</v>
      </c>
    </row>
    <row r="1129" spans="1:27" x14ac:dyDescent="0.25">
      <c r="H1129" t="s">
        <v>2401</v>
      </c>
    </row>
    <row r="1130" spans="1:27" x14ac:dyDescent="0.25">
      <c r="A1130">
        <v>562</v>
      </c>
      <c r="B1130">
        <v>764</v>
      </c>
      <c r="C1130" t="s">
        <v>2402</v>
      </c>
      <c r="D1130" t="s">
        <v>607</v>
      </c>
      <c r="E1130" t="s">
        <v>81</v>
      </c>
      <c r="F1130" t="s">
        <v>2403</v>
      </c>
      <c r="G1130" t="str">
        <f>"00014845"</f>
        <v>00014845</v>
      </c>
      <c r="H1130" t="s">
        <v>1256</v>
      </c>
      <c r="I1130">
        <v>150</v>
      </c>
      <c r="J1130">
        <v>0</v>
      </c>
      <c r="K1130">
        <v>0</v>
      </c>
      <c r="L1130">
        <v>200</v>
      </c>
      <c r="M1130">
        <v>0</v>
      </c>
      <c r="N1130">
        <v>70</v>
      </c>
      <c r="O1130">
        <v>30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35</v>
      </c>
      <c r="W1130">
        <v>245</v>
      </c>
      <c r="Z1130">
        <v>0</v>
      </c>
      <c r="AA1130" t="s">
        <v>2404</v>
      </c>
    </row>
    <row r="1131" spans="1:27" x14ac:dyDescent="0.25">
      <c r="H1131" t="s">
        <v>564</v>
      </c>
    </row>
    <row r="1132" spans="1:27" x14ac:dyDescent="0.25">
      <c r="A1132">
        <v>563</v>
      </c>
      <c r="B1132">
        <v>2060</v>
      </c>
      <c r="C1132" t="s">
        <v>2405</v>
      </c>
      <c r="D1132" t="s">
        <v>332</v>
      </c>
      <c r="E1132" t="s">
        <v>100</v>
      </c>
      <c r="F1132" t="s">
        <v>2406</v>
      </c>
      <c r="G1132" t="str">
        <f>"201304006202"</f>
        <v>201304006202</v>
      </c>
      <c r="H1132" t="s">
        <v>1397</v>
      </c>
      <c r="I1132">
        <v>0</v>
      </c>
      <c r="J1132">
        <v>0</v>
      </c>
      <c r="K1132">
        <v>0</v>
      </c>
      <c r="L1132">
        <v>0</v>
      </c>
      <c r="M1132">
        <v>100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103</v>
      </c>
      <c r="W1132">
        <v>588</v>
      </c>
      <c r="Z1132">
        <v>0</v>
      </c>
      <c r="AA1132" t="s">
        <v>2407</v>
      </c>
    </row>
    <row r="1133" spans="1:27" x14ac:dyDescent="0.25">
      <c r="H1133" t="s">
        <v>2408</v>
      </c>
    </row>
    <row r="1134" spans="1:27" x14ac:dyDescent="0.25">
      <c r="A1134">
        <v>564</v>
      </c>
      <c r="B1134">
        <v>2070</v>
      </c>
      <c r="C1134" t="s">
        <v>2409</v>
      </c>
      <c r="D1134" t="s">
        <v>1552</v>
      </c>
      <c r="E1134" t="s">
        <v>143</v>
      </c>
      <c r="F1134" t="s">
        <v>2410</v>
      </c>
      <c r="G1134" t="str">
        <f>"201506003561"</f>
        <v>201506003561</v>
      </c>
      <c r="H1134" t="s">
        <v>978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70</v>
      </c>
      <c r="O1134">
        <v>30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96</v>
      </c>
      <c r="W1134">
        <v>588</v>
      </c>
      <c r="Z1134">
        <v>0</v>
      </c>
      <c r="AA1134" t="s">
        <v>2411</v>
      </c>
    </row>
    <row r="1135" spans="1:27" x14ac:dyDescent="0.25">
      <c r="H1135" t="s">
        <v>2412</v>
      </c>
    </row>
    <row r="1136" spans="1:27" x14ac:dyDescent="0.25">
      <c r="A1136">
        <v>565</v>
      </c>
      <c r="B1136">
        <v>1818</v>
      </c>
      <c r="C1136" t="s">
        <v>2413</v>
      </c>
      <c r="D1136" t="s">
        <v>2414</v>
      </c>
      <c r="E1136" t="s">
        <v>1194</v>
      </c>
      <c r="F1136" t="s">
        <v>2415</v>
      </c>
      <c r="G1136" t="str">
        <f>"00014935"</f>
        <v>00014935</v>
      </c>
      <c r="H1136" t="s">
        <v>1275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70</v>
      </c>
      <c r="O1136">
        <v>70</v>
      </c>
      <c r="P1136">
        <v>0</v>
      </c>
      <c r="Q1136">
        <v>0</v>
      </c>
      <c r="R1136">
        <v>30</v>
      </c>
      <c r="S1136">
        <v>0</v>
      </c>
      <c r="T1136">
        <v>0</v>
      </c>
      <c r="U1136">
        <v>0</v>
      </c>
      <c r="V1136">
        <v>75</v>
      </c>
      <c r="W1136">
        <v>525</v>
      </c>
      <c r="Z1136">
        <v>0</v>
      </c>
      <c r="AA1136" t="s">
        <v>2416</v>
      </c>
    </row>
    <row r="1137" spans="1:27" x14ac:dyDescent="0.25">
      <c r="H1137" t="s">
        <v>2417</v>
      </c>
    </row>
    <row r="1138" spans="1:27" x14ac:dyDescent="0.25">
      <c r="A1138">
        <v>566</v>
      </c>
      <c r="B1138">
        <v>2731</v>
      </c>
      <c r="C1138" t="s">
        <v>2418</v>
      </c>
      <c r="D1138" t="s">
        <v>210</v>
      </c>
      <c r="E1138" t="s">
        <v>2419</v>
      </c>
      <c r="F1138" t="s">
        <v>2420</v>
      </c>
      <c r="G1138" t="str">
        <f>"201506003329"</f>
        <v>201506003329</v>
      </c>
      <c r="H1138" t="s">
        <v>879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50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248</v>
      </c>
      <c r="W1138">
        <v>588</v>
      </c>
      <c r="Z1138">
        <v>0</v>
      </c>
      <c r="AA1138" t="s">
        <v>2421</v>
      </c>
    </row>
    <row r="1139" spans="1:27" x14ac:dyDescent="0.25">
      <c r="H1139" t="s">
        <v>2422</v>
      </c>
    </row>
    <row r="1140" spans="1:27" x14ac:dyDescent="0.25">
      <c r="A1140">
        <v>567</v>
      </c>
      <c r="B1140">
        <v>270</v>
      </c>
      <c r="C1140" t="s">
        <v>2423</v>
      </c>
      <c r="D1140" t="s">
        <v>2424</v>
      </c>
      <c r="E1140" t="s">
        <v>422</v>
      </c>
      <c r="F1140" t="s">
        <v>2425</v>
      </c>
      <c r="G1140" t="str">
        <f>"00014738"</f>
        <v>00014738</v>
      </c>
      <c r="H1140" t="s">
        <v>1478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70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99</v>
      </c>
      <c r="W1140">
        <v>588</v>
      </c>
      <c r="Z1140">
        <v>0</v>
      </c>
      <c r="AA1140" t="s">
        <v>2426</v>
      </c>
    </row>
    <row r="1141" spans="1:27" x14ac:dyDescent="0.25">
      <c r="H1141" t="s">
        <v>2427</v>
      </c>
    </row>
    <row r="1142" spans="1:27" x14ac:dyDescent="0.25">
      <c r="A1142">
        <v>568</v>
      </c>
      <c r="B1142">
        <v>526</v>
      </c>
      <c r="C1142" t="s">
        <v>13</v>
      </c>
      <c r="D1142" t="s">
        <v>14</v>
      </c>
      <c r="E1142" t="s">
        <v>155</v>
      </c>
      <c r="F1142" t="s">
        <v>2428</v>
      </c>
      <c r="G1142" t="str">
        <f>"201406013518"</f>
        <v>201406013518</v>
      </c>
      <c r="H1142" t="s">
        <v>1316</v>
      </c>
      <c r="I1142">
        <v>150</v>
      </c>
      <c r="J1142">
        <v>0</v>
      </c>
      <c r="K1142">
        <v>0</v>
      </c>
      <c r="L1142">
        <v>0</v>
      </c>
      <c r="M1142">
        <v>0</v>
      </c>
      <c r="N1142">
        <v>70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60</v>
      </c>
      <c r="W1142">
        <v>420</v>
      </c>
      <c r="Z1142">
        <v>0</v>
      </c>
      <c r="AA1142" t="s">
        <v>2429</v>
      </c>
    </row>
    <row r="1143" spans="1:27" x14ac:dyDescent="0.25">
      <c r="H1143" t="s">
        <v>2430</v>
      </c>
    </row>
    <row r="1144" spans="1:27" x14ac:dyDescent="0.25">
      <c r="A1144">
        <v>569</v>
      </c>
      <c r="B1144">
        <v>2013</v>
      </c>
      <c r="C1144" t="s">
        <v>2431</v>
      </c>
      <c r="D1144" t="s">
        <v>20</v>
      </c>
      <c r="E1144" t="s">
        <v>1280</v>
      </c>
      <c r="F1144" t="s">
        <v>2432</v>
      </c>
      <c r="G1144" t="str">
        <f>"00014953"</f>
        <v>00014953</v>
      </c>
      <c r="H1144" t="s">
        <v>789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70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Z1144">
        <v>0</v>
      </c>
      <c r="AA1144" t="s">
        <v>2433</v>
      </c>
    </row>
    <row r="1145" spans="1:27" x14ac:dyDescent="0.25">
      <c r="H1145" t="s">
        <v>2138</v>
      </c>
    </row>
    <row r="1146" spans="1:27" x14ac:dyDescent="0.25">
      <c r="A1146">
        <v>570</v>
      </c>
      <c r="B1146">
        <v>3187</v>
      </c>
      <c r="C1146" t="s">
        <v>2434</v>
      </c>
      <c r="D1146" t="s">
        <v>155</v>
      </c>
      <c r="E1146" t="s">
        <v>393</v>
      </c>
      <c r="F1146" t="s">
        <v>2435</v>
      </c>
      <c r="G1146" t="str">
        <f>"201506001689"</f>
        <v>201506001689</v>
      </c>
      <c r="H1146" t="s">
        <v>218</v>
      </c>
      <c r="I1146">
        <v>0</v>
      </c>
      <c r="J1146">
        <v>0</v>
      </c>
      <c r="K1146">
        <v>0</v>
      </c>
      <c r="L1146">
        <v>200</v>
      </c>
      <c r="M1146">
        <v>0</v>
      </c>
      <c r="N1146">
        <v>70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48</v>
      </c>
      <c r="W1146">
        <v>336</v>
      </c>
      <c r="Z1146">
        <v>0</v>
      </c>
      <c r="AA1146" t="s">
        <v>2436</v>
      </c>
    </row>
    <row r="1147" spans="1:27" x14ac:dyDescent="0.25">
      <c r="H1147" t="s">
        <v>2437</v>
      </c>
    </row>
    <row r="1148" spans="1:27" x14ac:dyDescent="0.25">
      <c r="A1148">
        <v>571</v>
      </c>
      <c r="B1148">
        <v>1955</v>
      </c>
      <c r="C1148" t="s">
        <v>1870</v>
      </c>
      <c r="D1148" t="s">
        <v>850</v>
      </c>
      <c r="E1148" t="s">
        <v>143</v>
      </c>
      <c r="F1148" t="s">
        <v>2438</v>
      </c>
      <c r="G1148" t="str">
        <f>"00015074"</f>
        <v>00015074</v>
      </c>
      <c r="H1148">
        <v>770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Z1148">
        <v>0</v>
      </c>
      <c r="AA1148">
        <v>1388</v>
      </c>
    </row>
    <row r="1149" spans="1:27" x14ac:dyDescent="0.25">
      <c r="H1149">
        <v>204</v>
      </c>
    </row>
    <row r="1150" spans="1:27" x14ac:dyDescent="0.25">
      <c r="A1150">
        <v>572</v>
      </c>
      <c r="B1150">
        <v>1258</v>
      </c>
      <c r="C1150" t="s">
        <v>2439</v>
      </c>
      <c r="D1150" t="s">
        <v>58</v>
      </c>
      <c r="E1150" t="s">
        <v>100</v>
      </c>
      <c r="F1150" t="s">
        <v>2440</v>
      </c>
      <c r="G1150" t="str">
        <f>"201406010540"</f>
        <v>201406010540</v>
      </c>
      <c r="H1150" t="s">
        <v>597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84</v>
      </c>
      <c r="W1150">
        <v>588</v>
      </c>
      <c r="Z1150">
        <v>0</v>
      </c>
      <c r="AA1150" t="s">
        <v>2441</v>
      </c>
    </row>
    <row r="1151" spans="1:27" x14ac:dyDescent="0.25">
      <c r="H1151" t="s">
        <v>2442</v>
      </c>
    </row>
    <row r="1152" spans="1:27" x14ac:dyDescent="0.25">
      <c r="A1152">
        <v>573</v>
      </c>
      <c r="B1152">
        <v>2348</v>
      </c>
      <c r="C1152" t="s">
        <v>2443</v>
      </c>
      <c r="D1152" t="s">
        <v>1026</v>
      </c>
      <c r="E1152" t="s">
        <v>100</v>
      </c>
      <c r="F1152" t="s">
        <v>2444</v>
      </c>
      <c r="G1152" t="str">
        <f>"201405001760"</f>
        <v>201405001760</v>
      </c>
      <c r="H1152" t="s">
        <v>2445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70</v>
      </c>
      <c r="O1152">
        <v>0</v>
      </c>
      <c r="P1152">
        <v>0</v>
      </c>
      <c r="Q1152">
        <v>0</v>
      </c>
      <c r="R1152">
        <v>50</v>
      </c>
      <c r="S1152">
        <v>0</v>
      </c>
      <c r="T1152">
        <v>0</v>
      </c>
      <c r="U1152">
        <v>0</v>
      </c>
      <c r="V1152">
        <v>112</v>
      </c>
      <c r="W1152">
        <v>588</v>
      </c>
      <c r="Z1152">
        <v>0</v>
      </c>
      <c r="AA1152" t="s">
        <v>2446</v>
      </c>
    </row>
    <row r="1153" spans="1:27" x14ac:dyDescent="0.25">
      <c r="H1153">
        <v>211</v>
      </c>
    </row>
    <row r="1154" spans="1:27" x14ac:dyDescent="0.25">
      <c r="A1154">
        <v>574</v>
      </c>
      <c r="B1154">
        <v>1141</v>
      </c>
      <c r="C1154" t="s">
        <v>2447</v>
      </c>
      <c r="D1154" t="s">
        <v>54</v>
      </c>
      <c r="E1154" t="s">
        <v>54</v>
      </c>
      <c r="F1154" t="s">
        <v>2448</v>
      </c>
      <c r="G1154" t="str">
        <f>"201506003470"</f>
        <v>201506003470</v>
      </c>
      <c r="H1154" t="s">
        <v>1790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30</v>
      </c>
      <c r="Q1154">
        <v>70</v>
      </c>
      <c r="R1154">
        <v>0</v>
      </c>
      <c r="S1154">
        <v>0</v>
      </c>
      <c r="T1154">
        <v>0</v>
      </c>
      <c r="U1154">
        <v>0</v>
      </c>
      <c r="V1154">
        <v>100</v>
      </c>
      <c r="W1154">
        <v>588</v>
      </c>
      <c r="Z1154">
        <v>0</v>
      </c>
      <c r="AA1154" t="s">
        <v>2449</v>
      </c>
    </row>
    <row r="1155" spans="1:27" x14ac:dyDescent="0.25">
      <c r="H1155" t="s">
        <v>2450</v>
      </c>
    </row>
    <row r="1156" spans="1:27" x14ac:dyDescent="0.25">
      <c r="A1156">
        <v>575</v>
      </c>
      <c r="B1156">
        <v>2409</v>
      </c>
      <c r="C1156" t="s">
        <v>2451</v>
      </c>
      <c r="D1156" t="s">
        <v>332</v>
      </c>
      <c r="E1156" t="s">
        <v>121</v>
      </c>
      <c r="F1156" t="s">
        <v>2452</v>
      </c>
      <c r="G1156" t="str">
        <f>"201402009177"</f>
        <v>201402009177</v>
      </c>
      <c r="H1156" t="s">
        <v>730</v>
      </c>
      <c r="I1156">
        <v>0</v>
      </c>
      <c r="J1156">
        <v>0</v>
      </c>
      <c r="K1156">
        <v>0</v>
      </c>
      <c r="L1156">
        <v>200</v>
      </c>
      <c r="M1156">
        <v>0</v>
      </c>
      <c r="N1156">
        <v>70</v>
      </c>
      <c r="O1156">
        <v>70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35</v>
      </c>
      <c r="W1156">
        <v>245</v>
      </c>
      <c r="Z1156">
        <v>0</v>
      </c>
      <c r="AA1156" t="s">
        <v>2453</v>
      </c>
    </row>
    <row r="1157" spans="1:27" x14ac:dyDescent="0.25">
      <c r="H1157" t="s">
        <v>2454</v>
      </c>
    </row>
    <row r="1158" spans="1:27" x14ac:dyDescent="0.25">
      <c r="A1158">
        <v>576</v>
      </c>
      <c r="B1158">
        <v>313</v>
      </c>
      <c r="C1158" t="s">
        <v>2455</v>
      </c>
      <c r="D1158" t="s">
        <v>14</v>
      </c>
      <c r="E1158" t="s">
        <v>54</v>
      </c>
      <c r="F1158" t="s">
        <v>2456</v>
      </c>
      <c r="G1158" t="str">
        <f>"201406012521"</f>
        <v>201406012521</v>
      </c>
      <c r="H1158" t="s">
        <v>2457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70</v>
      </c>
      <c r="O1158">
        <v>30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178</v>
      </c>
      <c r="W1158">
        <v>588</v>
      </c>
      <c r="Z1158">
        <v>0</v>
      </c>
      <c r="AA1158" t="s">
        <v>2458</v>
      </c>
    </row>
    <row r="1159" spans="1:27" x14ac:dyDescent="0.25">
      <c r="H1159">
        <v>203</v>
      </c>
    </row>
    <row r="1160" spans="1:27" x14ac:dyDescent="0.25">
      <c r="A1160">
        <v>577</v>
      </c>
      <c r="B1160">
        <v>1052</v>
      </c>
      <c r="C1160" t="s">
        <v>2459</v>
      </c>
      <c r="D1160" t="s">
        <v>58</v>
      </c>
      <c r="E1160" t="s">
        <v>165</v>
      </c>
      <c r="F1160" t="s">
        <v>2460</v>
      </c>
      <c r="G1160" t="str">
        <f>"200712004677"</f>
        <v>200712004677</v>
      </c>
      <c r="H1160" t="s">
        <v>2457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70</v>
      </c>
      <c r="O1160">
        <v>0</v>
      </c>
      <c r="P1160">
        <v>0</v>
      </c>
      <c r="Q1160">
        <v>30</v>
      </c>
      <c r="R1160">
        <v>0</v>
      </c>
      <c r="S1160">
        <v>0</v>
      </c>
      <c r="T1160">
        <v>0</v>
      </c>
      <c r="U1160">
        <v>0</v>
      </c>
      <c r="V1160">
        <v>108</v>
      </c>
      <c r="W1160">
        <v>588</v>
      </c>
      <c r="Z1160">
        <v>0</v>
      </c>
      <c r="AA1160" t="s">
        <v>2458</v>
      </c>
    </row>
    <row r="1161" spans="1:27" x14ac:dyDescent="0.25">
      <c r="H1161" t="s">
        <v>2461</v>
      </c>
    </row>
    <row r="1162" spans="1:27" x14ac:dyDescent="0.25">
      <c r="A1162">
        <v>578</v>
      </c>
      <c r="B1162">
        <v>136</v>
      </c>
      <c r="C1162" t="s">
        <v>557</v>
      </c>
      <c r="D1162" t="s">
        <v>314</v>
      </c>
      <c r="E1162" t="s">
        <v>54</v>
      </c>
      <c r="F1162" t="s">
        <v>2462</v>
      </c>
      <c r="G1162" t="str">
        <f>"201406016108"</f>
        <v>201406016108</v>
      </c>
      <c r="H1162" t="s">
        <v>879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70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84</v>
      </c>
      <c r="W1162">
        <v>588</v>
      </c>
      <c r="Z1162">
        <v>1</v>
      </c>
      <c r="AA1162" t="s">
        <v>2463</v>
      </c>
    </row>
    <row r="1163" spans="1:27" x14ac:dyDescent="0.25">
      <c r="H1163">
        <v>201</v>
      </c>
    </row>
    <row r="1164" spans="1:27" x14ac:dyDescent="0.25">
      <c r="A1164">
        <v>579</v>
      </c>
      <c r="B1164">
        <v>2080</v>
      </c>
      <c r="C1164" t="s">
        <v>2464</v>
      </c>
      <c r="D1164" t="s">
        <v>20</v>
      </c>
      <c r="E1164" t="s">
        <v>21</v>
      </c>
      <c r="F1164" t="s">
        <v>2465</v>
      </c>
      <c r="G1164" t="str">
        <f>"00014708"</f>
        <v>00014708</v>
      </c>
      <c r="H1164" t="s">
        <v>2466</v>
      </c>
      <c r="I1164">
        <v>0</v>
      </c>
      <c r="J1164">
        <v>0</v>
      </c>
      <c r="K1164">
        <v>0</v>
      </c>
      <c r="L1164">
        <v>0</v>
      </c>
      <c r="M1164">
        <v>100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189</v>
      </c>
      <c r="W1164">
        <v>588</v>
      </c>
      <c r="Z1164">
        <v>0</v>
      </c>
      <c r="AA1164" t="s">
        <v>2467</v>
      </c>
    </row>
    <row r="1165" spans="1:27" x14ac:dyDescent="0.25">
      <c r="H1165" t="s">
        <v>2468</v>
      </c>
    </row>
    <row r="1166" spans="1:27" x14ac:dyDescent="0.25">
      <c r="A1166">
        <v>580</v>
      </c>
      <c r="B1166">
        <v>2046</v>
      </c>
      <c r="C1166" t="s">
        <v>2469</v>
      </c>
      <c r="D1166" t="s">
        <v>1408</v>
      </c>
      <c r="E1166" t="s">
        <v>81</v>
      </c>
      <c r="F1166" t="s">
        <v>2470</v>
      </c>
      <c r="G1166" t="str">
        <f>"00013810"</f>
        <v>00013810</v>
      </c>
      <c r="H1166" t="s">
        <v>218</v>
      </c>
      <c r="I1166">
        <v>0</v>
      </c>
      <c r="J1166">
        <v>0</v>
      </c>
      <c r="K1166">
        <v>0</v>
      </c>
      <c r="L1166">
        <v>0</v>
      </c>
      <c r="M1166">
        <v>100</v>
      </c>
      <c r="N1166">
        <v>50</v>
      </c>
      <c r="O1166">
        <v>50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57</v>
      </c>
      <c r="W1166">
        <v>399</v>
      </c>
      <c r="Z1166">
        <v>0</v>
      </c>
      <c r="AA1166" t="s">
        <v>2471</v>
      </c>
    </row>
    <row r="1167" spans="1:27" x14ac:dyDescent="0.25">
      <c r="H1167" t="s">
        <v>56</v>
      </c>
    </row>
    <row r="1168" spans="1:27" x14ac:dyDescent="0.25">
      <c r="A1168">
        <v>581</v>
      </c>
      <c r="B1168">
        <v>335</v>
      </c>
      <c r="C1168" t="s">
        <v>2472</v>
      </c>
      <c r="D1168" t="s">
        <v>69</v>
      </c>
      <c r="E1168" t="s">
        <v>155</v>
      </c>
      <c r="F1168" t="s">
        <v>2473</v>
      </c>
      <c r="G1168" t="str">
        <f>"00013298"</f>
        <v>00013298</v>
      </c>
      <c r="H1168" t="s">
        <v>1305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70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152</v>
      </c>
      <c r="W1168">
        <v>588</v>
      </c>
      <c r="Z1168">
        <v>0</v>
      </c>
      <c r="AA1168" t="s">
        <v>2474</v>
      </c>
    </row>
    <row r="1169" spans="1:27" x14ac:dyDescent="0.25">
      <c r="H1169" t="s">
        <v>2475</v>
      </c>
    </row>
    <row r="1170" spans="1:27" x14ac:dyDescent="0.25">
      <c r="A1170">
        <v>582</v>
      </c>
      <c r="B1170">
        <v>2567</v>
      </c>
      <c r="C1170" t="s">
        <v>2476</v>
      </c>
      <c r="D1170" t="s">
        <v>40</v>
      </c>
      <c r="E1170" t="s">
        <v>59</v>
      </c>
      <c r="F1170" t="s">
        <v>2477</v>
      </c>
      <c r="G1170" t="str">
        <f>"00002053"</f>
        <v>00002053</v>
      </c>
      <c r="H1170" t="s">
        <v>1184</v>
      </c>
      <c r="I1170">
        <v>0</v>
      </c>
      <c r="J1170">
        <v>0</v>
      </c>
      <c r="K1170">
        <v>0</v>
      </c>
      <c r="L1170">
        <v>200</v>
      </c>
      <c r="M1170">
        <v>0</v>
      </c>
      <c r="N1170">
        <v>70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64</v>
      </c>
      <c r="W1170">
        <v>448</v>
      </c>
      <c r="Z1170">
        <v>0</v>
      </c>
      <c r="AA1170" t="s">
        <v>2478</v>
      </c>
    </row>
    <row r="1171" spans="1:27" x14ac:dyDescent="0.25">
      <c r="H1171" t="s">
        <v>2479</v>
      </c>
    </row>
    <row r="1172" spans="1:27" x14ac:dyDescent="0.25">
      <c r="A1172">
        <v>583</v>
      </c>
      <c r="B1172">
        <v>1683</v>
      </c>
      <c r="C1172" t="s">
        <v>2480</v>
      </c>
      <c r="D1172" t="s">
        <v>2481</v>
      </c>
      <c r="E1172" t="s">
        <v>2482</v>
      </c>
      <c r="F1172" t="s">
        <v>2483</v>
      </c>
      <c r="G1172" t="str">
        <f>"00013941"</f>
        <v>00013941</v>
      </c>
      <c r="H1172" t="s">
        <v>697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50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216</v>
      </c>
      <c r="W1172">
        <v>588</v>
      </c>
      <c r="Z1172">
        <v>0</v>
      </c>
      <c r="AA1172" t="s">
        <v>2484</v>
      </c>
    </row>
    <row r="1173" spans="1:27" x14ac:dyDescent="0.25">
      <c r="H1173" t="s">
        <v>2485</v>
      </c>
    </row>
    <row r="1174" spans="1:27" x14ac:dyDescent="0.25">
      <c r="A1174">
        <v>584</v>
      </c>
      <c r="B1174">
        <v>1102</v>
      </c>
      <c r="C1174" t="s">
        <v>2486</v>
      </c>
      <c r="D1174" t="s">
        <v>813</v>
      </c>
      <c r="E1174" t="s">
        <v>81</v>
      </c>
      <c r="F1174" t="s">
        <v>2487</v>
      </c>
      <c r="G1174" t="str">
        <f>"200801002615"</f>
        <v>200801002615</v>
      </c>
      <c r="H1174" t="s">
        <v>2488</v>
      </c>
      <c r="I1174">
        <v>0</v>
      </c>
      <c r="J1174">
        <v>0</v>
      </c>
      <c r="K1174">
        <v>0</v>
      </c>
      <c r="L1174">
        <v>0</v>
      </c>
      <c r="M1174">
        <v>100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180</v>
      </c>
      <c r="W1174">
        <v>588</v>
      </c>
      <c r="Z1174">
        <v>0</v>
      </c>
      <c r="AA1174" t="s">
        <v>2489</v>
      </c>
    </row>
    <row r="1175" spans="1:27" x14ac:dyDescent="0.25">
      <c r="H1175">
        <v>202</v>
      </c>
    </row>
    <row r="1176" spans="1:27" x14ac:dyDescent="0.25">
      <c r="A1176">
        <v>585</v>
      </c>
      <c r="B1176">
        <v>2168</v>
      </c>
      <c r="C1176" t="s">
        <v>2490</v>
      </c>
      <c r="D1176" t="s">
        <v>1683</v>
      </c>
      <c r="E1176" t="s">
        <v>81</v>
      </c>
      <c r="F1176" t="s">
        <v>2491</v>
      </c>
      <c r="G1176" t="str">
        <f>"00014633"</f>
        <v>00014633</v>
      </c>
      <c r="H1176" t="s">
        <v>879</v>
      </c>
      <c r="I1176">
        <v>0</v>
      </c>
      <c r="J1176">
        <v>0</v>
      </c>
      <c r="K1176">
        <v>0</v>
      </c>
      <c r="L1176">
        <v>200</v>
      </c>
      <c r="M1176">
        <v>0</v>
      </c>
      <c r="N1176">
        <v>70</v>
      </c>
      <c r="O1176">
        <v>0</v>
      </c>
      <c r="P1176">
        <v>70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45</v>
      </c>
      <c r="W1176">
        <v>315</v>
      </c>
      <c r="Z1176">
        <v>0</v>
      </c>
      <c r="AA1176" t="s">
        <v>2492</v>
      </c>
    </row>
    <row r="1177" spans="1:27" x14ac:dyDescent="0.25">
      <c r="H1177" t="s">
        <v>2493</v>
      </c>
    </row>
    <row r="1178" spans="1:27" x14ac:dyDescent="0.25">
      <c r="A1178">
        <v>586</v>
      </c>
      <c r="B1178">
        <v>439</v>
      </c>
      <c r="C1178" t="s">
        <v>2494</v>
      </c>
      <c r="D1178" t="s">
        <v>155</v>
      </c>
      <c r="E1178" t="s">
        <v>121</v>
      </c>
      <c r="F1178" t="s">
        <v>2495</v>
      </c>
      <c r="G1178" t="str">
        <f>"201604001404"</f>
        <v>201604001404</v>
      </c>
      <c r="H1178" t="s">
        <v>785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70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144</v>
      </c>
      <c r="W1178">
        <v>588</v>
      </c>
      <c r="Z1178">
        <v>0</v>
      </c>
      <c r="AA1178" t="s">
        <v>2496</v>
      </c>
    </row>
    <row r="1179" spans="1:27" x14ac:dyDescent="0.25">
      <c r="H1179">
        <v>201</v>
      </c>
    </row>
    <row r="1180" spans="1:27" x14ac:dyDescent="0.25">
      <c r="A1180">
        <v>587</v>
      </c>
      <c r="B1180">
        <v>1965</v>
      </c>
      <c r="C1180" t="s">
        <v>2497</v>
      </c>
      <c r="D1180" t="s">
        <v>332</v>
      </c>
      <c r="E1180" t="s">
        <v>2498</v>
      </c>
      <c r="F1180" t="s">
        <v>2499</v>
      </c>
      <c r="G1180" t="str">
        <f>"201506000186"</f>
        <v>201506000186</v>
      </c>
      <c r="H1180" t="s">
        <v>71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50</v>
      </c>
      <c r="Q1180">
        <v>0</v>
      </c>
      <c r="R1180">
        <v>30</v>
      </c>
      <c r="S1180">
        <v>0</v>
      </c>
      <c r="T1180">
        <v>0</v>
      </c>
      <c r="U1180">
        <v>0</v>
      </c>
      <c r="V1180">
        <v>219</v>
      </c>
      <c r="W1180">
        <v>588</v>
      </c>
      <c r="Z1180">
        <v>0</v>
      </c>
      <c r="AA1180" t="s">
        <v>2500</v>
      </c>
    </row>
    <row r="1181" spans="1:27" x14ac:dyDescent="0.25">
      <c r="H1181" t="s">
        <v>2501</v>
      </c>
    </row>
    <row r="1182" spans="1:27" x14ac:dyDescent="0.25">
      <c r="A1182">
        <v>588</v>
      </c>
      <c r="B1182">
        <v>696</v>
      </c>
      <c r="C1182" t="s">
        <v>2502</v>
      </c>
      <c r="D1182" t="s">
        <v>2503</v>
      </c>
      <c r="E1182" t="s">
        <v>54</v>
      </c>
      <c r="F1182" t="s">
        <v>2504</v>
      </c>
      <c r="G1182" t="str">
        <f>"00015081"</f>
        <v>00015081</v>
      </c>
      <c r="H1182" t="s">
        <v>229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70</v>
      </c>
      <c r="O1182">
        <v>70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70</v>
      </c>
      <c r="W1182">
        <v>490</v>
      </c>
      <c r="Z1182">
        <v>0</v>
      </c>
      <c r="AA1182" t="s">
        <v>2505</v>
      </c>
    </row>
    <row r="1183" spans="1:27" x14ac:dyDescent="0.25">
      <c r="H1183" t="s">
        <v>2506</v>
      </c>
    </row>
    <row r="1184" spans="1:27" x14ac:dyDescent="0.25">
      <c r="A1184">
        <v>589</v>
      </c>
      <c r="B1184">
        <v>40</v>
      </c>
      <c r="C1184" t="s">
        <v>2507</v>
      </c>
      <c r="D1184" t="s">
        <v>2399</v>
      </c>
      <c r="E1184" t="s">
        <v>165</v>
      </c>
      <c r="F1184" t="s">
        <v>2508</v>
      </c>
      <c r="G1184" t="str">
        <f>"201506001252"</f>
        <v>201506001252</v>
      </c>
      <c r="H1184" t="s">
        <v>554</v>
      </c>
      <c r="I1184">
        <v>0</v>
      </c>
      <c r="J1184">
        <v>0</v>
      </c>
      <c r="K1184">
        <v>0</v>
      </c>
      <c r="L1184">
        <v>200</v>
      </c>
      <c r="M1184">
        <v>0</v>
      </c>
      <c r="N1184">
        <v>70</v>
      </c>
      <c r="O1184">
        <v>0</v>
      </c>
      <c r="P1184">
        <v>30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46</v>
      </c>
      <c r="W1184">
        <v>322</v>
      </c>
      <c r="Z1184">
        <v>0</v>
      </c>
      <c r="AA1184" t="s">
        <v>2509</v>
      </c>
    </row>
    <row r="1185" spans="1:27" x14ac:dyDescent="0.25">
      <c r="H1185" t="s">
        <v>98</v>
      </c>
    </row>
    <row r="1186" spans="1:27" x14ac:dyDescent="0.25">
      <c r="A1186">
        <v>590</v>
      </c>
      <c r="B1186">
        <v>341</v>
      </c>
      <c r="C1186" t="s">
        <v>415</v>
      </c>
      <c r="D1186" t="s">
        <v>216</v>
      </c>
      <c r="E1186" t="s">
        <v>80</v>
      </c>
      <c r="F1186" t="s">
        <v>2510</v>
      </c>
      <c r="G1186" t="str">
        <f>"201304005629"</f>
        <v>201304005629</v>
      </c>
      <c r="H1186" t="s">
        <v>947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70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84</v>
      </c>
      <c r="W1186">
        <v>588</v>
      </c>
      <c r="Z1186">
        <v>0</v>
      </c>
      <c r="AA1186" t="s">
        <v>2511</v>
      </c>
    </row>
    <row r="1187" spans="1:27" x14ac:dyDescent="0.25">
      <c r="H1187" t="s">
        <v>2512</v>
      </c>
    </row>
    <row r="1188" spans="1:27" x14ac:dyDescent="0.25">
      <c r="A1188">
        <v>591</v>
      </c>
      <c r="B1188">
        <v>2864</v>
      </c>
      <c r="C1188" t="s">
        <v>2326</v>
      </c>
      <c r="D1188" t="s">
        <v>323</v>
      </c>
      <c r="E1188" t="s">
        <v>80</v>
      </c>
      <c r="F1188" t="s">
        <v>2513</v>
      </c>
      <c r="G1188" t="str">
        <f>"00014453"</f>
        <v>00014453</v>
      </c>
      <c r="H1188">
        <v>715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70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101</v>
      </c>
      <c r="W1188">
        <v>588</v>
      </c>
      <c r="Z1188">
        <v>1</v>
      </c>
      <c r="AA1188">
        <v>1373</v>
      </c>
    </row>
    <row r="1189" spans="1:27" x14ac:dyDescent="0.25">
      <c r="H1189" t="s">
        <v>2514</v>
      </c>
    </row>
    <row r="1190" spans="1:27" x14ac:dyDescent="0.25">
      <c r="A1190">
        <v>592</v>
      </c>
      <c r="B1190">
        <v>2257</v>
      </c>
      <c r="C1190" t="s">
        <v>2515</v>
      </c>
      <c r="D1190" t="s">
        <v>20</v>
      </c>
      <c r="E1190" t="s">
        <v>80</v>
      </c>
      <c r="F1190" t="s">
        <v>2516</v>
      </c>
      <c r="G1190" t="str">
        <f>"201406000699"</f>
        <v>201406000699</v>
      </c>
      <c r="H1190" t="s">
        <v>626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30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138</v>
      </c>
      <c r="W1190">
        <v>588</v>
      </c>
      <c r="Z1190">
        <v>0</v>
      </c>
      <c r="AA1190" t="s">
        <v>2517</v>
      </c>
    </row>
    <row r="1191" spans="1:27" x14ac:dyDescent="0.25">
      <c r="H1191" t="s">
        <v>2518</v>
      </c>
    </row>
    <row r="1192" spans="1:27" x14ac:dyDescent="0.25">
      <c r="A1192">
        <v>593</v>
      </c>
      <c r="B1192">
        <v>1006</v>
      </c>
      <c r="C1192" t="s">
        <v>2519</v>
      </c>
      <c r="D1192" t="s">
        <v>652</v>
      </c>
      <c r="E1192" t="s">
        <v>143</v>
      </c>
      <c r="F1192" t="s">
        <v>2520</v>
      </c>
      <c r="G1192" t="str">
        <f>"00015002"</f>
        <v>00015002</v>
      </c>
      <c r="H1192" t="s">
        <v>509</v>
      </c>
      <c r="I1192">
        <v>0</v>
      </c>
      <c r="J1192">
        <v>0</v>
      </c>
      <c r="K1192">
        <v>0</v>
      </c>
      <c r="L1192">
        <v>200</v>
      </c>
      <c r="M1192">
        <v>0</v>
      </c>
      <c r="N1192">
        <v>70</v>
      </c>
      <c r="O1192">
        <v>70</v>
      </c>
      <c r="P1192">
        <v>0</v>
      </c>
      <c r="Q1192">
        <v>70</v>
      </c>
      <c r="R1192">
        <v>30</v>
      </c>
      <c r="S1192">
        <v>0</v>
      </c>
      <c r="T1192">
        <v>0</v>
      </c>
      <c r="U1192">
        <v>0</v>
      </c>
      <c r="V1192">
        <v>16</v>
      </c>
      <c r="W1192">
        <v>112</v>
      </c>
      <c r="Z1192">
        <v>0</v>
      </c>
      <c r="AA1192" t="s">
        <v>2521</v>
      </c>
    </row>
    <row r="1193" spans="1:27" x14ac:dyDescent="0.25">
      <c r="H1193" t="s">
        <v>250</v>
      </c>
    </row>
    <row r="1194" spans="1:27" x14ac:dyDescent="0.25">
      <c r="A1194">
        <v>594</v>
      </c>
      <c r="B1194">
        <v>1592</v>
      </c>
      <c r="C1194" t="s">
        <v>2522</v>
      </c>
      <c r="D1194" t="s">
        <v>210</v>
      </c>
      <c r="E1194" t="s">
        <v>155</v>
      </c>
      <c r="F1194" t="s">
        <v>2523</v>
      </c>
      <c r="G1194" t="str">
        <f>"00014549"</f>
        <v>00014549</v>
      </c>
      <c r="H1194">
        <v>704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50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84</v>
      </c>
      <c r="W1194">
        <v>588</v>
      </c>
      <c r="Z1194">
        <v>0</v>
      </c>
      <c r="AA1194">
        <v>1372</v>
      </c>
    </row>
    <row r="1195" spans="1:27" x14ac:dyDescent="0.25">
      <c r="H1195" t="s">
        <v>56</v>
      </c>
    </row>
    <row r="1196" spans="1:27" x14ac:dyDescent="0.25">
      <c r="A1196">
        <v>595</v>
      </c>
      <c r="B1196">
        <v>865</v>
      </c>
      <c r="C1196" t="s">
        <v>2524</v>
      </c>
      <c r="D1196" t="s">
        <v>136</v>
      </c>
      <c r="E1196" t="s">
        <v>276</v>
      </c>
      <c r="F1196" t="s">
        <v>2525</v>
      </c>
      <c r="G1196" t="str">
        <f>"201408000093"</f>
        <v>201408000093</v>
      </c>
      <c r="H1196" t="s">
        <v>554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70</v>
      </c>
      <c r="O1196">
        <v>0</v>
      </c>
      <c r="P1196">
        <v>50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71</v>
      </c>
      <c r="W1196">
        <v>497</v>
      </c>
      <c r="Z1196">
        <v>1</v>
      </c>
      <c r="AA1196" t="s">
        <v>2526</v>
      </c>
    </row>
    <row r="1197" spans="1:27" x14ac:dyDescent="0.25">
      <c r="H1197" t="s">
        <v>2527</v>
      </c>
    </row>
    <row r="1198" spans="1:27" x14ac:dyDescent="0.25">
      <c r="A1198">
        <v>596</v>
      </c>
      <c r="B1198">
        <v>2890</v>
      </c>
      <c r="C1198" t="s">
        <v>2528</v>
      </c>
      <c r="D1198" t="s">
        <v>2529</v>
      </c>
      <c r="E1198" t="s">
        <v>822</v>
      </c>
      <c r="F1198" t="s">
        <v>2530</v>
      </c>
      <c r="G1198" t="str">
        <f>"00013759"</f>
        <v>00013759</v>
      </c>
      <c r="H1198" t="s">
        <v>2531</v>
      </c>
      <c r="I1198">
        <v>0</v>
      </c>
      <c r="J1198">
        <v>0</v>
      </c>
      <c r="K1198">
        <v>0</v>
      </c>
      <c r="L1198">
        <v>200</v>
      </c>
      <c r="M1198">
        <v>0</v>
      </c>
      <c r="N1198">
        <v>70</v>
      </c>
      <c r="O1198">
        <v>70</v>
      </c>
      <c r="P1198">
        <v>50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45</v>
      </c>
      <c r="W1198">
        <v>315</v>
      </c>
      <c r="Z1198">
        <v>0</v>
      </c>
      <c r="AA1198" t="s">
        <v>2526</v>
      </c>
    </row>
    <row r="1199" spans="1:27" x14ac:dyDescent="0.25">
      <c r="H1199" t="s">
        <v>1125</v>
      </c>
    </row>
    <row r="1200" spans="1:27" x14ac:dyDescent="0.25">
      <c r="A1200">
        <v>597</v>
      </c>
      <c r="B1200">
        <v>986</v>
      </c>
      <c r="C1200" t="s">
        <v>2532</v>
      </c>
      <c r="D1200" t="s">
        <v>2533</v>
      </c>
      <c r="E1200" t="s">
        <v>100</v>
      </c>
      <c r="F1200" t="s">
        <v>2534</v>
      </c>
      <c r="G1200" t="str">
        <f>"201406013741"</f>
        <v>201406013741</v>
      </c>
      <c r="H1200" t="s">
        <v>865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70</v>
      </c>
      <c r="O1200">
        <v>70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75</v>
      </c>
      <c r="W1200">
        <v>525</v>
      </c>
      <c r="Z1200">
        <v>1</v>
      </c>
      <c r="AA1200" t="s">
        <v>2535</v>
      </c>
    </row>
    <row r="1201" spans="1:27" x14ac:dyDescent="0.25">
      <c r="H1201" t="s">
        <v>2536</v>
      </c>
    </row>
    <row r="1202" spans="1:27" x14ac:dyDescent="0.25">
      <c r="A1202">
        <v>598</v>
      </c>
      <c r="B1202">
        <v>1015</v>
      </c>
      <c r="C1202" t="s">
        <v>2537</v>
      </c>
      <c r="D1202" t="s">
        <v>2538</v>
      </c>
      <c r="E1202" t="s">
        <v>143</v>
      </c>
      <c r="F1202" t="s">
        <v>2539</v>
      </c>
      <c r="G1202" t="str">
        <f>"00014770"</f>
        <v>00014770</v>
      </c>
      <c r="H1202" t="s">
        <v>690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119</v>
      </c>
      <c r="W1202">
        <v>588</v>
      </c>
      <c r="Z1202">
        <v>0</v>
      </c>
      <c r="AA1202" t="s">
        <v>2540</v>
      </c>
    </row>
    <row r="1203" spans="1:27" x14ac:dyDescent="0.25">
      <c r="H1203" t="s">
        <v>1878</v>
      </c>
    </row>
    <row r="1204" spans="1:27" x14ac:dyDescent="0.25">
      <c r="A1204">
        <v>599</v>
      </c>
      <c r="B1204">
        <v>2943</v>
      </c>
      <c r="C1204" t="s">
        <v>2541</v>
      </c>
      <c r="D1204" t="s">
        <v>1594</v>
      </c>
      <c r="E1204" t="s">
        <v>121</v>
      </c>
      <c r="F1204" t="s">
        <v>2542</v>
      </c>
      <c r="G1204" t="str">
        <f>"201407000158"</f>
        <v>201407000158</v>
      </c>
      <c r="H1204" t="s">
        <v>1005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50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162</v>
      </c>
      <c r="W1204">
        <v>588</v>
      </c>
      <c r="Z1204">
        <v>0</v>
      </c>
      <c r="AA1204" t="s">
        <v>2543</v>
      </c>
    </row>
    <row r="1205" spans="1:27" x14ac:dyDescent="0.25">
      <c r="H1205" t="s">
        <v>2544</v>
      </c>
    </row>
    <row r="1206" spans="1:27" x14ac:dyDescent="0.25">
      <c r="A1206">
        <v>600</v>
      </c>
      <c r="B1206">
        <v>3384</v>
      </c>
      <c r="C1206" t="s">
        <v>2545</v>
      </c>
      <c r="D1206" t="s">
        <v>2546</v>
      </c>
      <c r="E1206" t="s">
        <v>2547</v>
      </c>
      <c r="F1206" t="s">
        <v>2548</v>
      </c>
      <c r="G1206" t="str">
        <f>"00013614"</f>
        <v>00013614</v>
      </c>
      <c r="H1206" t="s">
        <v>2549</v>
      </c>
      <c r="I1206">
        <v>0</v>
      </c>
      <c r="J1206">
        <v>0</v>
      </c>
      <c r="K1206">
        <v>0</v>
      </c>
      <c r="L1206">
        <v>260</v>
      </c>
      <c r="M1206">
        <v>0</v>
      </c>
      <c r="N1206">
        <v>70</v>
      </c>
      <c r="O1206">
        <v>70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Z1206">
        <v>0</v>
      </c>
      <c r="AA1206" t="s">
        <v>2550</v>
      </c>
    </row>
    <row r="1207" spans="1:27" x14ac:dyDescent="0.25">
      <c r="H1207" t="s">
        <v>2551</v>
      </c>
    </row>
    <row r="1208" spans="1:27" x14ac:dyDescent="0.25">
      <c r="A1208">
        <v>601</v>
      </c>
      <c r="B1208">
        <v>2847</v>
      </c>
      <c r="C1208" t="s">
        <v>2552</v>
      </c>
      <c r="D1208" t="s">
        <v>346</v>
      </c>
      <c r="E1208" t="s">
        <v>59</v>
      </c>
      <c r="F1208" t="s">
        <v>2553</v>
      </c>
      <c r="G1208" t="str">
        <f>"201304003936"</f>
        <v>201304003936</v>
      </c>
      <c r="H1208" t="s">
        <v>2060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70</v>
      </c>
      <c r="O1208">
        <v>0</v>
      </c>
      <c r="P1208">
        <v>30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88</v>
      </c>
      <c r="W1208">
        <v>588</v>
      </c>
      <c r="Z1208">
        <v>1</v>
      </c>
      <c r="AA1208" t="s">
        <v>2554</v>
      </c>
    </row>
    <row r="1209" spans="1:27" x14ac:dyDescent="0.25">
      <c r="H1209" t="s">
        <v>2555</v>
      </c>
    </row>
    <row r="1210" spans="1:27" x14ac:dyDescent="0.25">
      <c r="A1210">
        <v>602</v>
      </c>
      <c r="B1210">
        <v>2386</v>
      </c>
      <c r="C1210" t="s">
        <v>2556</v>
      </c>
      <c r="D1210" t="s">
        <v>20</v>
      </c>
      <c r="E1210" t="s">
        <v>81</v>
      </c>
      <c r="F1210" t="s">
        <v>2557</v>
      </c>
      <c r="G1210" t="str">
        <f>"201505000184"</f>
        <v>201505000184</v>
      </c>
      <c r="H1210" t="s">
        <v>789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50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129</v>
      </c>
      <c r="W1210">
        <v>588</v>
      </c>
      <c r="Z1210">
        <v>0</v>
      </c>
      <c r="AA1210" t="s">
        <v>2558</v>
      </c>
    </row>
    <row r="1211" spans="1:27" x14ac:dyDescent="0.25">
      <c r="H1211" t="s">
        <v>98</v>
      </c>
    </row>
    <row r="1212" spans="1:27" x14ac:dyDescent="0.25">
      <c r="A1212">
        <v>603</v>
      </c>
      <c r="B1212">
        <v>1672</v>
      </c>
      <c r="C1212" t="s">
        <v>2559</v>
      </c>
      <c r="D1212" t="s">
        <v>2560</v>
      </c>
      <c r="E1212" t="s">
        <v>54</v>
      </c>
      <c r="F1212" t="s">
        <v>2561</v>
      </c>
      <c r="G1212" t="str">
        <f>"201412003422"</f>
        <v>201412003422</v>
      </c>
      <c r="H1212" t="s">
        <v>926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50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90</v>
      </c>
      <c r="W1212">
        <v>588</v>
      </c>
      <c r="Z1212">
        <v>0</v>
      </c>
      <c r="AA1212" t="s">
        <v>2562</v>
      </c>
    </row>
    <row r="1213" spans="1:27" x14ac:dyDescent="0.25">
      <c r="H1213" t="s">
        <v>286</v>
      </c>
    </row>
    <row r="1214" spans="1:27" x14ac:dyDescent="0.25">
      <c r="A1214">
        <v>604</v>
      </c>
      <c r="B1214">
        <v>525</v>
      </c>
      <c r="C1214" t="s">
        <v>2563</v>
      </c>
      <c r="D1214" t="s">
        <v>338</v>
      </c>
      <c r="E1214" t="s">
        <v>47</v>
      </c>
      <c r="F1214" t="s">
        <v>2564</v>
      </c>
      <c r="G1214" t="str">
        <f>"201402012344"</f>
        <v>201402012344</v>
      </c>
      <c r="H1214" t="s">
        <v>412</v>
      </c>
      <c r="I1214">
        <v>0</v>
      </c>
      <c r="J1214">
        <v>0</v>
      </c>
      <c r="K1214">
        <v>0</v>
      </c>
      <c r="L1214">
        <v>260</v>
      </c>
      <c r="M1214">
        <v>0</v>
      </c>
      <c r="N1214">
        <v>70</v>
      </c>
      <c r="O1214">
        <v>70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28</v>
      </c>
      <c r="W1214">
        <v>196</v>
      </c>
      <c r="Z1214">
        <v>0</v>
      </c>
      <c r="AA1214" t="s">
        <v>2565</v>
      </c>
    </row>
    <row r="1215" spans="1:27" x14ac:dyDescent="0.25">
      <c r="H1215" t="s">
        <v>2566</v>
      </c>
    </row>
    <row r="1216" spans="1:27" x14ac:dyDescent="0.25">
      <c r="A1216">
        <v>605</v>
      </c>
      <c r="B1216">
        <v>2488</v>
      </c>
      <c r="C1216" t="s">
        <v>1870</v>
      </c>
      <c r="D1216" t="s">
        <v>293</v>
      </c>
      <c r="E1216" t="s">
        <v>1280</v>
      </c>
      <c r="F1216" t="s">
        <v>2567</v>
      </c>
      <c r="G1216" t="str">
        <f>"00013888"</f>
        <v>00013888</v>
      </c>
      <c r="H1216" t="s">
        <v>1449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70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96</v>
      </c>
      <c r="W1216">
        <v>588</v>
      </c>
      <c r="Z1216">
        <v>0</v>
      </c>
      <c r="AA1216" t="s">
        <v>2568</v>
      </c>
    </row>
    <row r="1217" spans="1:27" x14ac:dyDescent="0.25">
      <c r="H1217" t="s">
        <v>2569</v>
      </c>
    </row>
    <row r="1218" spans="1:27" x14ac:dyDescent="0.25">
      <c r="A1218">
        <v>606</v>
      </c>
      <c r="B1218">
        <v>373</v>
      </c>
      <c r="C1218" t="s">
        <v>2570</v>
      </c>
      <c r="D1218" t="s">
        <v>176</v>
      </c>
      <c r="E1218" t="s">
        <v>81</v>
      </c>
      <c r="F1218" t="s">
        <v>2571</v>
      </c>
      <c r="G1218" t="str">
        <f>"201304006081"</f>
        <v>201304006081</v>
      </c>
      <c r="H1218" t="s">
        <v>665</v>
      </c>
      <c r="I1218">
        <v>0</v>
      </c>
      <c r="J1218">
        <v>0</v>
      </c>
      <c r="K1218">
        <v>200</v>
      </c>
      <c r="L1218">
        <v>260</v>
      </c>
      <c r="M1218">
        <v>0</v>
      </c>
      <c r="N1218">
        <v>70</v>
      </c>
      <c r="O1218">
        <v>70</v>
      </c>
      <c r="P1218">
        <v>50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Z1218">
        <v>0</v>
      </c>
      <c r="AA1218" t="s">
        <v>2572</v>
      </c>
    </row>
    <row r="1219" spans="1:27" x14ac:dyDescent="0.25">
      <c r="H1219" t="s">
        <v>2573</v>
      </c>
    </row>
    <row r="1220" spans="1:27" x14ac:dyDescent="0.25">
      <c r="A1220">
        <v>607</v>
      </c>
      <c r="B1220">
        <v>2164</v>
      </c>
      <c r="C1220" t="s">
        <v>2574</v>
      </c>
      <c r="D1220" t="s">
        <v>581</v>
      </c>
      <c r="E1220" t="s">
        <v>497</v>
      </c>
      <c r="F1220" t="s">
        <v>2575</v>
      </c>
      <c r="G1220" t="str">
        <f>"201406015254"</f>
        <v>201406015254</v>
      </c>
      <c r="H1220" t="s">
        <v>1204</v>
      </c>
      <c r="I1220">
        <v>150</v>
      </c>
      <c r="J1220">
        <v>0</v>
      </c>
      <c r="K1220">
        <v>0</v>
      </c>
      <c r="L1220">
        <v>200</v>
      </c>
      <c r="M1220">
        <v>0</v>
      </c>
      <c r="N1220">
        <v>70</v>
      </c>
      <c r="O1220">
        <v>0</v>
      </c>
      <c r="P1220">
        <v>70</v>
      </c>
      <c r="Q1220">
        <v>30</v>
      </c>
      <c r="R1220">
        <v>70</v>
      </c>
      <c r="S1220">
        <v>0</v>
      </c>
      <c r="T1220">
        <v>0</v>
      </c>
      <c r="U1220">
        <v>0</v>
      </c>
      <c r="V1220">
        <v>0</v>
      </c>
      <c r="W1220">
        <v>0</v>
      </c>
      <c r="Z1220">
        <v>0</v>
      </c>
      <c r="AA1220" t="s">
        <v>2576</v>
      </c>
    </row>
    <row r="1221" spans="1:27" x14ac:dyDescent="0.25">
      <c r="H1221">
        <v>201</v>
      </c>
    </row>
    <row r="1222" spans="1:27" x14ac:dyDescent="0.25">
      <c r="A1222">
        <v>608</v>
      </c>
      <c r="B1222">
        <v>2410</v>
      </c>
      <c r="C1222" t="s">
        <v>2577</v>
      </c>
      <c r="D1222" t="s">
        <v>2578</v>
      </c>
      <c r="E1222" t="s">
        <v>2579</v>
      </c>
      <c r="F1222" t="s">
        <v>2580</v>
      </c>
      <c r="G1222" t="str">
        <f>"00015135"</f>
        <v>00015135</v>
      </c>
      <c r="H1222" t="s">
        <v>400</v>
      </c>
      <c r="I1222">
        <v>0</v>
      </c>
      <c r="J1222">
        <v>0</v>
      </c>
      <c r="K1222">
        <v>0</v>
      </c>
      <c r="L1222">
        <v>200</v>
      </c>
      <c r="M1222">
        <v>30</v>
      </c>
      <c r="N1222">
        <v>70</v>
      </c>
      <c r="O1222">
        <v>70</v>
      </c>
      <c r="P1222">
        <v>50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24</v>
      </c>
      <c r="W1222">
        <v>168</v>
      </c>
      <c r="Z1222">
        <v>0</v>
      </c>
      <c r="AA1222" t="s">
        <v>2581</v>
      </c>
    </row>
    <row r="1223" spans="1:27" x14ac:dyDescent="0.25">
      <c r="H1223" t="s">
        <v>2582</v>
      </c>
    </row>
    <row r="1224" spans="1:27" x14ac:dyDescent="0.25">
      <c r="A1224">
        <v>609</v>
      </c>
      <c r="B1224">
        <v>898</v>
      </c>
      <c r="C1224" t="s">
        <v>2583</v>
      </c>
      <c r="D1224" t="s">
        <v>243</v>
      </c>
      <c r="E1224" t="s">
        <v>143</v>
      </c>
      <c r="F1224" t="s">
        <v>2584</v>
      </c>
      <c r="G1224" t="str">
        <f>"201506003696"</f>
        <v>201506003696</v>
      </c>
      <c r="H1224" t="s">
        <v>665</v>
      </c>
      <c r="I1224">
        <v>0</v>
      </c>
      <c r="J1224">
        <v>0</v>
      </c>
      <c r="K1224">
        <v>0</v>
      </c>
      <c r="L1224">
        <v>260</v>
      </c>
      <c r="M1224">
        <v>0</v>
      </c>
      <c r="N1224">
        <v>50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48</v>
      </c>
      <c r="W1224">
        <v>336</v>
      </c>
      <c r="Z1224">
        <v>0</v>
      </c>
      <c r="AA1224" t="s">
        <v>2585</v>
      </c>
    </row>
    <row r="1225" spans="1:27" x14ac:dyDescent="0.25">
      <c r="H1225" t="s">
        <v>1175</v>
      </c>
    </row>
    <row r="1226" spans="1:27" x14ac:dyDescent="0.25">
      <c r="A1226">
        <v>610</v>
      </c>
      <c r="B1226">
        <v>737</v>
      </c>
      <c r="C1226" t="s">
        <v>2586</v>
      </c>
      <c r="D1226" t="s">
        <v>1683</v>
      </c>
      <c r="E1226" t="s">
        <v>1289</v>
      </c>
      <c r="F1226" t="s">
        <v>2587</v>
      </c>
      <c r="G1226" t="str">
        <f>"201412005073"</f>
        <v>201412005073</v>
      </c>
      <c r="H1226" t="s">
        <v>2457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50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99</v>
      </c>
      <c r="W1226">
        <v>588</v>
      </c>
      <c r="Z1226">
        <v>0</v>
      </c>
      <c r="AA1226" t="s">
        <v>2585</v>
      </c>
    </row>
    <row r="1227" spans="1:27" x14ac:dyDescent="0.25">
      <c r="H1227" t="s">
        <v>98</v>
      </c>
    </row>
    <row r="1228" spans="1:27" x14ac:dyDescent="0.25">
      <c r="A1228">
        <v>611</v>
      </c>
      <c r="B1228">
        <v>2074</v>
      </c>
      <c r="C1228" t="s">
        <v>2588</v>
      </c>
      <c r="D1228" t="s">
        <v>20</v>
      </c>
      <c r="E1228" t="s">
        <v>497</v>
      </c>
      <c r="F1228" t="s">
        <v>2589</v>
      </c>
      <c r="G1228" t="str">
        <f>"00010472"</f>
        <v>00010472</v>
      </c>
      <c r="H1228" t="s">
        <v>2590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30</v>
      </c>
      <c r="R1228">
        <v>0</v>
      </c>
      <c r="S1228">
        <v>0</v>
      </c>
      <c r="T1228">
        <v>0</v>
      </c>
      <c r="U1228">
        <v>0</v>
      </c>
      <c r="V1228">
        <v>198</v>
      </c>
      <c r="W1228">
        <v>588</v>
      </c>
      <c r="Z1228">
        <v>0</v>
      </c>
      <c r="AA1228" t="s">
        <v>2591</v>
      </c>
    </row>
    <row r="1229" spans="1:27" x14ac:dyDescent="0.25">
      <c r="H1229" t="s">
        <v>2592</v>
      </c>
    </row>
    <row r="1230" spans="1:27" x14ac:dyDescent="0.25">
      <c r="A1230">
        <v>612</v>
      </c>
      <c r="B1230">
        <v>654</v>
      </c>
      <c r="C1230" t="s">
        <v>2593</v>
      </c>
      <c r="D1230" t="s">
        <v>20</v>
      </c>
      <c r="E1230" t="s">
        <v>21</v>
      </c>
      <c r="F1230" t="s">
        <v>2594</v>
      </c>
      <c r="G1230" t="str">
        <f>"00012424"</f>
        <v>00012424</v>
      </c>
      <c r="H1230" t="s">
        <v>2590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30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156</v>
      </c>
      <c r="W1230">
        <v>588</v>
      </c>
      <c r="Z1230">
        <v>3</v>
      </c>
      <c r="AA1230" t="s">
        <v>2591</v>
      </c>
    </row>
    <row r="1231" spans="1:27" x14ac:dyDescent="0.25">
      <c r="H1231">
        <v>203</v>
      </c>
    </row>
    <row r="1232" spans="1:27" x14ac:dyDescent="0.25">
      <c r="A1232">
        <v>613</v>
      </c>
      <c r="B1232">
        <v>2031</v>
      </c>
      <c r="C1232" t="s">
        <v>2595</v>
      </c>
      <c r="D1232" t="s">
        <v>2596</v>
      </c>
      <c r="E1232" t="s">
        <v>456</v>
      </c>
      <c r="F1232" t="s">
        <v>2597</v>
      </c>
      <c r="G1232" t="str">
        <f>"00015101"</f>
        <v>00015101</v>
      </c>
      <c r="H1232" t="s">
        <v>265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113</v>
      </c>
      <c r="W1232">
        <v>588</v>
      </c>
      <c r="Z1232">
        <v>0</v>
      </c>
      <c r="AA1232" t="s">
        <v>2598</v>
      </c>
    </row>
    <row r="1233" spans="1:27" x14ac:dyDescent="0.25">
      <c r="H1233" t="s">
        <v>2013</v>
      </c>
    </row>
    <row r="1234" spans="1:27" x14ac:dyDescent="0.25">
      <c r="A1234">
        <v>614</v>
      </c>
      <c r="B1234">
        <v>1187</v>
      </c>
      <c r="C1234" t="s">
        <v>387</v>
      </c>
      <c r="D1234" t="s">
        <v>40</v>
      </c>
      <c r="E1234" t="s">
        <v>1375</v>
      </c>
      <c r="F1234" t="s">
        <v>2599</v>
      </c>
      <c r="G1234" t="str">
        <f>"201402010720"</f>
        <v>201402010720</v>
      </c>
      <c r="H1234" t="s">
        <v>265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101</v>
      </c>
      <c r="W1234">
        <v>588</v>
      </c>
      <c r="Z1234">
        <v>0</v>
      </c>
      <c r="AA1234" t="s">
        <v>2598</v>
      </c>
    </row>
    <row r="1235" spans="1:27" x14ac:dyDescent="0.25">
      <c r="H1235" t="s">
        <v>98</v>
      </c>
    </row>
    <row r="1236" spans="1:27" x14ac:dyDescent="0.25">
      <c r="A1236">
        <v>615</v>
      </c>
      <c r="B1236">
        <v>436</v>
      </c>
      <c r="C1236" t="s">
        <v>2600</v>
      </c>
      <c r="D1236" t="s">
        <v>143</v>
      </c>
      <c r="E1236" t="s">
        <v>507</v>
      </c>
      <c r="F1236" t="s">
        <v>2601</v>
      </c>
      <c r="G1236" t="str">
        <f>"00013153"</f>
        <v>00013153</v>
      </c>
      <c r="H1236" t="s">
        <v>785</v>
      </c>
      <c r="I1236">
        <v>0</v>
      </c>
      <c r="J1236">
        <v>0</v>
      </c>
      <c r="K1236">
        <v>0</v>
      </c>
      <c r="L1236">
        <v>0</v>
      </c>
      <c r="M1236">
        <v>100</v>
      </c>
      <c r="N1236">
        <v>50</v>
      </c>
      <c r="O1236">
        <v>0</v>
      </c>
      <c r="P1236">
        <v>0</v>
      </c>
      <c r="Q1236">
        <v>70</v>
      </c>
      <c r="R1236">
        <v>0</v>
      </c>
      <c r="S1236">
        <v>0</v>
      </c>
      <c r="T1236">
        <v>0</v>
      </c>
      <c r="U1236">
        <v>0</v>
      </c>
      <c r="V1236">
        <v>60</v>
      </c>
      <c r="W1236">
        <v>420</v>
      </c>
      <c r="Z1236">
        <v>0</v>
      </c>
      <c r="AA1236" t="s">
        <v>2602</v>
      </c>
    </row>
    <row r="1237" spans="1:27" x14ac:dyDescent="0.25">
      <c r="H1237" t="s">
        <v>2603</v>
      </c>
    </row>
    <row r="1238" spans="1:27" x14ac:dyDescent="0.25">
      <c r="A1238">
        <v>616</v>
      </c>
      <c r="B1238">
        <v>1474</v>
      </c>
      <c r="C1238" t="s">
        <v>2244</v>
      </c>
      <c r="D1238" t="s">
        <v>210</v>
      </c>
      <c r="E1238" t="s">
        <v>2604</v>
      </c>
      <c r="F1238" t="s">
        <v>2605</v>
      </c>
      <c r="G1238" t="str">
        <f>"201406009434"</f>
        <v>201406009434</v>
      </c>
      <c r="H1238" t="s">
        <v>2606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70</v>
      </c>
      <c r="O1238">
        <v>50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118</v>
      </c>
      <c r="W1238">
        <v>588</v>
      </c>
      <c r="Z1238">
        <v>0</v>
      </c>
      <c r="AA1238" t="s">
        <v>2607</v>
      </c>
    </row>
    <row r="1239" spans="1:27" x14ac:dyDescent="0.25">
      <c r="H1239" t="s">
        <v>2608</v>
      </c>
    </row>
    <row r="1240" spans="1:27" x14ac:dyDescent="0.25">
      <c r="A1240">
        <v>617</v>
      </c>
      <c r="B1240">
        <v>663</v>
      </c>
      <c r="C1240" t="s">
        <v>2609</v>
      </c>
      <c r="D1240" t="s">
        <v>2610</v>
      </c>
      <c r="E1240" t="s">
        <v>54</v>
      </c>
      <c r="F1240" t="s">
        <v>2611</v>
      </c>
      <c r="G1240" t="str">
        <f>"00014607"</f>
        <v>00014607</v>
      </c>
      <c r="H1240" t="s">
        <v>697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30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120</v>
      </c>
      <c r="W1240">
        <v>588</v>
      </c>
      <c r="Z1240">
        <v>0</v>
      </c>
      <c r="AA1240" t="s">
        <v>2612</v>
      </c>
    </row>
    <row r="1241" spans="1:27" x14ac:dyDescent="0.25">
      <c r="H1241" t="s">
        <v>2013</v>
      </c>
    </row>
    <row r="1242" spans="1:27" x14ac:dyDescent="0.25">
      <c r="A1242">
        <v>618</v>
      </c>
      <c r="B1242">
        <v>2118</v>
      </c>
      <c r="C1242" t="s">
        <v>2613</v>
      </c>
      <c r="D1242" t="s">
        <v>620</v>
      </c>
      <c r="E1242" t="s">
        <v>2614</v>
      </c>
      <c r="F1242" t="s">
        <v>2615</v>
      </c>
      <c r="G1242" t="str">
        <f>"00014406"</f>
        <v>00014406</v>
      </c>
      <c r="H1242" t="s">
        <v>708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30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84</v>
      </c>
      <c r="W1242">
        <v>588</v>
      </c>
      <c r="Z1242">
        <v>0</v>
      </c>
      <c r="AA1242" t="s">
        <v>2616</v>
      </c>
    </row>
    <row r="1243" spans="1:27" x14ac:dyDescent="0.25">
      <c r="H1243" t="s">
        <v>2617</v>
      </c>
    </row>
    <row r="1244" spans="1:27" x14ac:dyDescent="0.25">
      <c r="A1244">
        <v>619</v>
      </c>
      <c r="B1244">
        <v>922</v>
      </c>
      <c r="C1244" t="s">
        <v>2618</v>
      </c>
      <c r="D1244" t="s">
        <v>216</v>
      </c>
      <c r="E1244" t="s">
        <v>143</v>
      </c>
      <c r="F1244" t="s">
        <v>2619</v>
      </c>
      <c r="G1244" t="str">
        <f>"201406010295"</f>
        <v>201406010295</v>
      </c>
      <c r="H1244" t="s">
        <v>1372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50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130</v>
      </c>
      <c r="W1244">
        <v>588</v>
      </c>
      <c r="Z1244">
        <v>0</v>
      </c>
      <c r="AA1244" t="s">
        <v>2620</v>
      </c>
    </row>
    <row r="1245" spans="1:27" x14ac:dyDescent="0.25">
      <c r="H1245" t="s">
        <v>2621</v>
      </c>
    </row>
    <row r="1246" spans="1:27" x14ac:dyDescent="0.25">
      <c r="A1246">
        <v>620</v>
      </c>
      <c r="B1246">
        <v>1694</v>
      </c>
      <c r="C1246" t="s">
        <v>2622</v>
      </c>
      <c r="D1246" t="s">
        <v>581</v>
      </c>
      <c r="E1246" t="s">
        <v>143</v>
      </c>
      <c r="F1246" t="s">
        <v>2623</v>
      </c>
      <c r="G1246" t="str">
        <f>"201405002206"</f>
        <v>201405002206</v>
      </c>
      <c r="H1246" t="s">
        <v>926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70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105</v>
      </c>
      <c r="W1246">
        <v>588</v>
      </c>
      <c r="Z1246">
        <v>0</v>
      </c>
      <c r="AA1246" t="s">
        <v>2624</v>
      </c>
    </row>
    <row r="1247" spans="1:27" x14ac:dyDescent="0.25">
      <c r="H1247" t="s">
        <v>2625</v>
      </c>
    </row>
    <row r="1248" spans="1:27" x14ac:dyDescent="0.25">
      <c r="A1248">
        <v>621</v>
      </c>
      <c r="B1248">
        <v>103</v>
      </c>
      <c r="C1248" t="s">
        <v>2626</v>
      </c>
      <c r="D1248" t="s">
        <v>507</v>
      </c>
      <c r="E1248" t="s">
        <v>155</v>
      </c>
      <c r="F1248" t="s">
        <v>2627</v>
      </c>
      <c r="G1248" t="str">
        <f>"201506001925"</f>
        <v>201506001925</v>
      </c>
      <c r="H1248" t="s">
        <v>433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83</v>
      </c>
      <c r="W1248">
        <v>581</v>
      </c>
      <c r="Z1248">
        <v>0</v>
      </c>
      <c r="AA1248" t="s">
        <v>2628</v>
      </c>
    </row>
    <row r="1249" spans="1:27" x14ac:dyDescent="0.25">
      <c r="H1249" t="s">
        <v>2629</v>
      </c>
    </row>
    <row r="1250" spans="1:27" x14ac:dyDescent="0.25">
      <c r="A1250">
        <v>622</v>
      </c>
      <c r="B1250">
        <v>1380</v>
      </c>
      <c r="C1250" t="s">
        <v>2630</v>
      </c>
      <c r="D1250" t="s">
        <v>309</v>
      </c>
      <c r="E1250" t="s">
        <v>81</v>
      </c>
      <c r="F1250" t="s">
        <v>2631</v>
      </c>
      <c r="G1250" t="str">
        <f>"00014338"</f>
        <v>00014338</v>
      </c>
      <c r="H1250" t="s">
        <v>2632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70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176</v>
      </c>
      <c r="W1250">
        <v>588</v>
      </c>
      <c r="Z1250">
        <v>0</v>
      </c>
      <c r="AA1250" t="s">
        <v>2628</v>
      </c>
    </row>
    <row r="1251" spans="1:27" x14ac:dyDescent="0.25">
      <c r="H1251" t="s">
        <v>2633</v>
      </c>
    </row>
    <row r="1252" spans="1:27" x14ac:dyDescent="0.25">
      <c r="A1252">
        <v>623</v>
      </c>
      <c r="B1252">
        <v>363</v>
      </c>
      <c r="C1252" t="s">
        <v>1664</v>
      </c>
      <c r="D1252" t="s">
        <v>2634</v>
      </c>
      <c r="E1252" t="s">
        <v>100</v>
      </c>
      <c r="F1252" t="s">
        <v>2635</v>
      </c>
      <c r="G1252" t="str">
        <f>"00015263"</f>
        <v>00015263</v>
      </c>
      <c r="H1252" t="s">
        <v>1620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50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118</v>
      </c>
      <c r="W1252">
        <v>588</v>
      </c>
      <c r="Z1252">
        <v>0</v>
      </c>
      <c r="AA1252" t="s">
        <v>2636</v>
      </c>
    </row>
    <row r="1253" spans="1:27" x14ac:dyDescent="0.25">
      <c r="H1253" t="s">
        <v>2637</v>
      </c>
    </row>
    <row r="1254" spans="1:27" x14ac:dyDescent="0.25">
      <c r="A1254">
        <v>624</v>
      </c>
      <c r="B1254">
        <v>1414</v>
      </c>
      <c r="C1254" t="s">
        <v>2638</v>
      </c>
      <c r="D1254" t="s">
        <v>143</v>
      </c>
      <c r="E1254" t="s">
        <v>1194</v>
      </c>
      <c r="F1254" t="s">
        <v>2639</v>
      </c>
      <c r="G1254" t="str">
        <f>"201405001757"</f>
        <v>201405001757</v>
      </c>
      <c r="H1254">
        <v>737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30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180</v>
      </c>
      <c r="W1254">
        <v>588</v>
      </c>
      <c r="Z1254">
        <v>0</v>
      </c>
      <c r="AA1254">
        <v>1355</v>
      </c>
    </row>
    <row r="1255" spans="1:27" x14ac:dyDescent="0.25">
      <c r="H1255" t="s">
        <v>2640</v>
      </c>
    </row>
    <row r="1256" spans="1:27" x14ac:dyDescent="0.25">
      <c r="A1256">
        <v>625</v>
      </c>
      <c r="B1256">
        <v>3237</v>
      </c>
      <c r="C1256" t="s">
        <v>2641</v>
      </c>
      <c r="D1256" t="s">
        <v>142</v>
      </c>
      <c r="E1256" t="s">
        <v>143</v>
      </c>
      <c r="F1256" t="s">
        <v>2642</v>
      </c>
      <c r="G1256" t="str">
        <f>"00015241"</f>
        <v>00015241</v>
      </c>
      <c r="H1256" t="s">
        <v>1698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70</v>
      </c>
      <c r="O1256">
        <v>50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30</v>
      </c>
      <c r="V1256">
        <v>69</v>
      </c>
      <c r="W1256">
        <v>483</v>
      </c>
      <c r="Z1256">
        <v>0</v>
      </c>
      <c r="AA1256" t="s">
        <v>2643</v>
      </c>
    </row>
    <row r="1257" spans="1:27" x14ac:dyDescent="0.25">
      <c r="H1257" t="s">
        <v>2644</v>
      </c>
    </row>
    <row r="1258" spans="1:27" x14ac:dyDescent="0.25">
      <c r="A1258">
        <v>626</v>
      </c>
      <c r="B1258">
        <v>1175</v>
      </c>
      <c r="C1258" t="s">
        <v>2645</v>
      </c>
      <c r="D1258" t="s">
        <v>216</v>
      </c>
      <c r="E1258" t="s">
        <v>155</v>
      </c>
      <c r="F1258" t="s">
        <v>2646</v>
      </c>
      <c r="G1258" t="str">
        <f>"201406007929"</f>
        <v>201406007929</v>
      </c>
      <c r="H1258" t="s">
        <v>665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50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84</v>
      </c>
      <c r="W1258">
        <v>588</v>
      </c>
      <c r="Z1258">
        <v>0</v>
      </c>
      <c r="AA1258" t="s">
        <v>2647</v>
      </c>
    </row>
    <row r="1259" spans="1:27" x14ac:dyDescent="0.25">
      <c r="H1259" t="s">
        <v>2648</v>
      </c>
    </row>
    <row r="1260" spans="1:27" x14ac:dyDescent="0.25">
      <c r="A1260">
        <v>627</v>
      </c>
      <c r="B1260">
        <v>1773</v>
      </c>
      <c r="C1260" t="s">
        <v>2649</v>
      </c>
      <c r="D1260" t="s">
        <v>581</v>
      </c>
      <c r="E1260" t="s">
        <v>951</v>
      </c>
      <c r="F1260" t="s">
        <v>2650</v>
      </c>
      <c r="G1260" t="str">
        <f>"200802003387"</f>
        <v>200802003387</v>
      </c>
      <c r="H1260" t="s">
        <v>1160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70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84</v>
      </c>
      <c r="W1260">
        <v>588</v>
      </c>
      <c r="Z1260">
        <v>0</v>
      </c>
      <c r="AA1260" t="s">
        <v>2651</v>
      </c>
    </row>
    <row r="1261" spans="1:27" x14ac:dyDescent="0.25">
      <c r="H1261">
        <v>211</v>
      </c>
    </row>
    <row r="1262" spans="1:27" x14ac:dyDescent="0.25">
      <c r="A1262">
        <v>628</v>
      </c>
      <c r="B1262">
        <v>2272</v>
      </c>
      <c r="C1262" t="s">
        <v>2652</v>
      </c>
      <c r="D1262" t="s">
        <v>2653</v>
      </c>
      <c r="E1262" t="s">
        <v>81</v>
      </c>
      <c r="F1262" t="s">
        <v>2654</v>
      </c>
      <c r="G1262" t="str">
        <f>"201506000513"</f>
        <v>201506000513</v>
      </c>
      <c r="H1262" t="s">
        <v>379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70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72</v>
      </c>
      <c r="W1262">
        <v>504</v>
      </c>
      <c r="Z1262">
        <v>1</v>
      </c>
      <c r="AA1262" t="s">
        <v>2655</v>
      </c>
    </row>
    <row r="1263" spans="1:27" x14ac:dyDescent="0.25">
      <c r="H1263" t="s">
        <v>2656</v>
      </c>
    </row>
    <row r="1264" spans="1:27" x14ac:dyDescent="0.25">
      <c r="A1264">
        <v>629</v>
      </c>
      <c r="B1264">
        <v>290</v>
      </c>
      <c r="C1264" t="s">
        <v>2657</v>
      </c>
      <c r="D1264" t="s">
        <v>813</v>
      </c>
      <c r="E1264" t="s">
        <v>155</v>
      </c>
      <c r="F1264" t="s">
        <v>2658</v>
      </c>
      <c r="G1264" t="str">
        <f>"201304000081"</f>
        <v>201304000081</v>
      </c>
      <c r="H1264" t="s">
        <v>1756</v>
      </c>
      <c r="I1264">
        <v>150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44</v>
      </c>
      <c r="W1264">
        <v>308</v>
      </c>
      <c r="Z1264">
        <v>0</v>
      </c>
      <c r="AA1264" t="s">
        <v>2659</v>
      </c>
    </row>
    <row r="1265" spans="1:27" x14ac:dyDescent="0.25">
      <c r="H1265" t="s">
        <v>2660</v>
      </c>
    </row>
    <row r="1266" spans="1:27" x14ac:dyDescent="0.25">
      <c r="A1266">
        <v>630</v>
      </c>
      <c r="B1266">
        <v>2547</v>
      </c>
      <c r="C1266" t="s">
        <v>2661</v>
      </c>
      <c r="D1266" t="s">
        <v>100</v>
      </c>
      <c r="E1266" t="s">
        <v>47</v>
      </c>
      <c r="F1266" t="s">
        <v>2662</v>
      </c>
      <c r="G1266" t="str">
        <f>"00015025"</f>
        <v>00015025</v>
      </c>
      <c r="H1266" t="s">
        <v>2663</v>
      </c>
      <c r="I1266">
        <v>0</v>
      </c>
      <c r="J1266">
        <v>0</v>
      </c>
      <c r="K1266">
        <v>0</v>
      </c>
      <c r="L1266">
        <v>200</v>
      </c>
      <c r="M1266">
        <v>0</v>
      </c>
      <c r="N1266">
        <v>70</v>
      </c>
      <c r="O1266">
        <v>30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27</v>
      </c>
      <c r="W1266">
        <v>189</v>
      </c>
      <c r="Z1266">
        <v>0</v>
      </c>
      <c r="AA1266" t="s">
        <v>2664</v>
      </c>
    </row>
    <row r="1267" spans="1:27" x14ac:dyDescent="0.25">
      <c r="H1267" t="s">
        <v>2665</v>
      </c>
    </row>
    <row r="1268" spans="1:27" x14ac:dyDescent="0.25">
      <c r="A1268">
        <v>631</v>
      </c>
      <c r="B1268">
        <v>2991</v>
      </c>
      <c r="C1268" t="s">
        <v>2666</v>
      </c>
      <c r="D1268" t="s">
        <v>87</v>
      </c>
      <c r="E1268" t="s">
        <v>54</v>
      </c>
      <c r="F1268" t="s">
        <v>2667</v>
      </c>
      <c r="G1268" t="str">
        <f>"00014535"</f>
        <v>00014535</v>
      </c>
      <c r="H1268" t="s">
        <v>2457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70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213</v>
      </c>
      <c r="W1268">
        <v>588</v>
      </c>
      <c r="Z1268">
        <v>1</v>
      </c>
      <c r="AA1268" t="s">
        <v>2668</v>
      </c>
    </row>
    <row r="1269" spans="1:27" x14ac:dyDescent="0.25">
      <c r="H1269" t="s">
        <v>2669</v>
      </c>
    </row>
    <row r="1270" spans="1:27" x14ac:dyDescent="0.25">
      <c r="A1270">
        <v>632</v>
      </c>
      <c r="B1270">
        <v>761</v>
      </c>
      <c r="C1270" t="s">
        <v>826</v>
      </c>
      <c r="D1270" t="s">
        <v>87</v>
      </c>
      <c r="E1270" t="s">
        <v>2604</v>
      </c>
      <c r="F1270" t="s">
        <v>2670</v>
      </c>
      <c r="G1270" t="str">
        <f>"201304003321"</f>
        <v>201304003321</v>
      </c>
      <c r="H1270" t="s">
        <v>1478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140</v>
      </c>
      <c r="W1270">
        <v>588</v>
      </c>
      <c r="Z1270">
        <v>0</v>
      </c>
      <c r="AA1270" t="s">
        <v>2671</v>
      </c>
    </row>
    <row r="1271" spans="1:27" x14ac:dyDescent="0.25">
      <c r="H1271" t="s">
        <v>2672</v>
      </c>
    </row>
    <row r="1272" spans="1:27" x14ac:dyDescent="0.25">
      <c r="A1272">
        <v>633</v>
      </c>
      <c r="B1272">
        <v>3012</v>
      </c>
      <c r="C1272" t="s">
        <v>2673</v>
      </c>
      <c r="D1272" t="s">
        <v>2674</v>
      </c>
      <c r="E1272" t="s">
        <v>2675</v>
      </c>
      <c r="F1272" t="s">
        <v>2676</v>
      </c>
      <c r="G1272" t="str">
        <f>"00013142"</f>
        <v>00013142</v>
      </c>
      <c r="H1272" t="s">
        <v>1478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89</v>
      </c>
      <c r="W1272">
        <v>588</v>
      </c>
      <c r="Z1272">
        <v>0</v>
      </c>
      <c r="AA1272" t="s">
        <v>2671</v>
      </c>
    </row>
    <row r="1273" spans="1:27" x14ac:dyDescent="0.25">
      <c r="H1273" t="s">
        <v>2677</v>
      </c>
    </row>
    <row r="1274" spans="1:27" x14ac:dyDescent="0.25">
      <c r="A1274">
        <v>634</v>
      </c>
      <c r="B1274">
        <v>2102</v>
      </c>
      <c r="C1274" t="s">
        <v>2678</v>
      </c>
      <c r="D1274" t="s">
        <v>87</v>
      </c>
      <c r="E1274" t="s">
        <v>94</v>
      </c>
      <c r="F1274" t="s">
        <v>2679</v>
      </c>
      <c r="G1274" t="str">
        <f>"00013922"</f>
        <v>00013922</v>
      </c>
      <c r="H1274" t="s">
        <v>2680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50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84</v>
      </c>
      <c r="W1274">
        <v>588</v>
      </c>
      <c r="Z1274">
        <v>2</v>
      </c>
      <c r="AA1274" t="s">
        <v>2681</v>
      </c>
    </row>
    <row r="1275" spans="1:27" x14ac:dyDescent="0.25">
      <c r="H1275">
        <v>211</v>
      </c>
    </row>
    <row r="1276" spans="1:27" x14ac:dyDescent="0.25">
      <c r="A1276">
        <v>635</v>
      </c>
      <c r="B1276">
        <v>1806</v>
      </c>
      <c r="C1276" t="s">
        <v>2682</v>
      </c>
      <c r="D1276" t="s">
        <v>2683</v>
      </c>
      <c r="E1276" t="s">
        <v>607</v>
      </c>
      <c r="F1276" t="s">
        <v>2684</v>
      </c>
      <c r="G1276" t="str">
        <f>"201406006001"</f>
        <v>201406006001</v>
      </c>
      <c r="H1276">
        <v>748</v>
      </c>
      <c r="I1276">
        <v>0</v>
      </c>
      <c r="J1276">
        <v>0</v>
      </c>
      <c r="K1276">
        <v>0</v>
      </c>
      <c r="L1276">
        <v>200</v>
      </c>
      <c r="M1276">
        <v>30</v>
      </c>
      <c r="N1276">
        <v>70</v>
      </c>
      <c r="O1276">
        <v>30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39</v>
      </c>
      <c r="W1276">
        <v>273</v>
      </c>
      <c r="Z1276">
        <v>0</v>
      </c>
      <c r="AA1276">
        <v>1351</v>
      </c>
    </row>
    <row r="1277" spans="1:27" x14ac:dyDescent="0.25">
      <c r="H1277" t="s">
        <v>2685</v>
      </c>
    </row>
    <row r="1278" spans="1:27" x14ac:dyDescent="0.25">
      <c r="A1278">
        <v>636</v>
      </c>
      <c r="B1278">
        <v>512</v>
      </c>
      <c r="C1278" t="s">
        <v>2686</v>
      </c>
      <c r="D1278" t="s">
        <v>581</v>
      </c>
      <c r="E1278" t="s">
        <v>143</v>
      </c>
      <c r="F1278" t="s">
        <v>2687</v>
      </c>
      <c r="G1278" t="str">
        <f>"00014334"</f>
        <v>00014334</v>
      </c>
      <c r="H1278" t="s">
        <v>49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224</v>
      </c>
      <c r="W1278">
        <v>588</v>
      </c>
      <c r="Z1278">
        <v>0</v>
      </c>
      <c r="AA1278" t="s">
        <v>2688</v>
      </c>
    </row>
    <row r="1279" spans="1:27" x14ac:dyDescent="0.25">
      <c r="H1279">
        <v>211</v>
      </c>
    </row>
    <row r="1280" spans="1:27" x14ac:dyDescent="0.25">
      <c r="A1280">
        <v>637</v>
      </c>
      <c r="B1280">
        <v>2426</v>
      </c>
      <c r="C1280" t="s">
        <v>2689</v>
      </c>
      <c r="D1280" t="s">
        <v>323</v>
      </c>
      <c r="E1280" t="s">
        <v>81</v>
      </c>
      <c r="F1280" t="s">
        <v>2690</v>
      </c>
      <c r="G1280" t="str">
        <f>"00012591"</f>
        <v>00012591</v>
      </c>
      <c r="H1280" t="s">
        <v>49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120</v>
      </c>
      <c r="W1280">
        <v>588</v>
      </c>
      <c r="Z1280">
        <v>2</v>
      </c>
      <c r="AA1280" t="s">
        <v>2688</v>
      </c>
    </row>
    <row r="1281" spans="1:27" x14ac:dyDescent="0.25">
      <c r="H1281" t="s">
        <v>2691</v>
      </c>
    </row>
    <row r="1282" spans="1:27" x14ac:dyDescent="0.25">
      <c r="A1282">
        <v>638</v>
      </c>
      <c r="B1282">
        <v>2459</v>
      </c>
      <c r="C1282" t="s">
        <v>2692</v>
      </c>
      <c r="D1282" t="s">
        <v>47</v>
      </c>
      <c r="E1282" t="s">
        <v>100</v>
      </c>
      <c r="F1282" t="s">
        <v>2693</v>
      </c>
      <c r="G1282" t="str">
        <f>"201506002665"</f>
        <v>201506002665</v>
      </c>
      <c r="H1282" t="s">
        <v>2694</v>
      </c>
      <c r="I1282">
        <v>0</v>
      </c>
      <c r="J1282">
        <v>0</v>
      </c>
      <c r="K1282">
        <v>0</v>
      </c>
      <c r="L1282">
        <v>260</v>
      </c>
      <c r="M1282">
        <v>0</v>
      </c>
      <c r="N1282">
        <v>70</v>
      </c>
      <c r="O1282">
        <v>0</v>
      </c>
      <c r="P1282">
        <v>0</v>
      </c>
      <c r="Q1282">
        <v>70</v>
      </c>
      <c r="R1282">
        <v>0</v>
      </c>
      <c r="S1282">
        <v>0</v>
      </c>
      <c r="T1282">
        <v>0</v>
      </c>
      <c r="U1282">
        <v>0</v>
      </c>
      <c r="V1282">
        <v>8</v>
      </c>
      <c r="W1282">
        <v>56</v>
      </c>
      <c r="Z1282">
        <v>0</v>
      </c>
      <c r="AA1282" t="s">
        <v>2695</v>
      </c>
    </row>
    <row r="1283" spans="1:27" x14ac:dyDescent="0.25">
      <c r="H1283" t="s">
        <v>466</v>
      </c>
    </row>
    <row r="1284" spans="1:27" x14ac:dyDescent="0.25">
      <c r="A1284">
        <v>639</v>
      </c>
      <c r="B1284">
        <v>1710</v>
      </c>
      <c r="C1284" t="s">
        <v>2696</v>
      </c>
      <c r="D1284" t="s">
        <v>652</v>
      </c>
      <c r="E1284" t="s">
        <v>21</v>
      </c>
      <c r="F1284" t="s">
        <v>2697</v>
      </c>
      <c r="G1284" t="str">
        <f>"201406011537"</f>
        <v>201406011537</v>
      </c>
      <c r="H1284" t="s">
        <v>894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70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84</v>
      </c>
      <c r="W1284">
        <v>588</v>
      </c>
      <c r="Z1284">
        <v>0</v>
      </c>
      <c r="AA1284" t="s">
        <v>2698</v>
      </c>
    </row>
    <row r="1285" spans="1:27" x14ac:dyDescent="0.25">
      <c r="H1285" t="s">
        <v>2699</v>
      </c>
    </row>
    <row r="1286" spans="1:27" x14ac:dyDescent="0.25">
      <c r="A1286">
        <v>640</v>
      </c>
      <c r="B1286">
        <v>368</v>
      </c>
      <c r="C1286" t="s">
        <v>2700</v>
      </c>
      <c r="D1286" t="s">
        <v>20</v>
      </c>
      <c r="E1286" t="s">
        <v>81</v>
      </c>
      <c r="F1286" t="s">
        <v>2701</v>
      </c>
      <c r="G1286" t="str">
        <f>"201406009063"</f>
        <v>201406009063</v>
      </c>
      <c r="H1286">
        <v>660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70</v>
      </c>
      <c r="O1286">
        <v>0</v>
      </c>
      <c r="P1286">
        <v>0</v>
      </c>
      <c r="Q1286">
        <v>30</v>
      </c>
      <c r="R1286">
        <v>0</v>
      </c>
      <c r="S1286">
        <v>0</v>
      </c>
      <c r="T1286">
        <v>0</v>
      </c>
      <c r="U1286">
        <v>0</v>
      </c>
      <c r="V1286">
        <v>100</v>
      </c>
      <c r="W1286">
        <v>588</v>
      </c>
      <c r="Z1286">
        <v>1</v>
      </c>
      <c r="AA1286">
        <v>1348</v>
      </c>
    </row>
    <row r="1287" spans="1:27" x14ac:dyDescent="0.25">
      <c r="H1287" t="s">
        <v>2702</v>
      </c>
    </row>
    <row r="1288" spans="1:27" x14ac:dyDescent="0.25">
      <c r="A1288">
        <v>641</v>
      </c>
      <c r="B1288">
        <v>1711</v>
      </c>
      <c r="C1288" t="s">
        <v>2703</v>
      </c>
      <c r="D1288" t="s">
        <v>476</v>
      </c>
      <c r="E1288" t="s">
        <v>94</v>
      </c>
      <c r="F1288" t="s">
        <v>2704</v>
      </c>
      <c r="G1288" t="str">
        <f>"201511026674"</f>
        <v>201511026674</v>
      </c>
      <c r="H1288" t="s">
        <v>1372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70</v>
      </c>
      <c r="T1288">
        <v>0</v>
      </c>
      <c r="U1288">
        <v>0</v>
      </c>
      <c r="V1288">
        <v>144</v>
      </c>
      <c r="W1288">
        <v>588</v>
      </c>
      <c r="Z1288">
        <v>0</v>
      </c>
      <c r="AA1288" t="s">
        <v>2705</v>
      </c>
    </row>
    <row r="1289" spans="1:27" x14ac:dyDescent="0.25">
      <c r="H1289" t="s">
        <v>2706</v>
      </c>
    </row>
    <row r="1290" spans="1:27" x14ac:dyDescent="0.25">
      <c r="A1290">
        <v>642</v>
      </c>
      <c r="B1290">
        <v>873</v>
      </c>
      <c r="C1290" t="s">
        <v>2707</v>
      </c>
      <c r="D1290" t="s">
        <v>620</v>
      </c>
      <c r="E1290" t="s">
        <v>81</v>
      </c>
      <c r="F1290" t="s">
        <v>2708</v>
      </c>
      <c r="G1290" t="str">
        <f>"00014542"</f>
        <v>00014542</v>
      </c>
      <c r="H1290" t="s">
        <v>716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106</v>
      </c>
      <c r="W1290">
        <v>588</v>
      </c>
      <c r="Z1290">
        <v>0</v>
      </c>
      <c r="AA1290" t="s">
        <v>2709</v>
      </c>
    </row>
    <row r="1291" spans="1:27" x14ac:dyDescent="0.25">
      <c r="H1291" t="s">
        <v>2710</v>
      </c>
    </row>
    <row r="1292" spans="1:27" x14ac:dyDescent="0.25">
      <c r="A1292">
        <v>643</v>
      </c>
      <c r="B1292">
        <v>1107</v>
      </c>
      <c r="C1292" t="s">
        <v>2711</v>
      </c>
      <c r="D1292" t="s">
        <v>136</v>
      </c>
      <c r="E1292" t="s">
        <v>81</v>
      </c>
      <c r="F1292" t="s">
        <v>2712</v>
      </c>
      <c r="G1292" t="str">
        <f>"201406009086"</f>
        <v>201406009086</v>
      </c>
      <c r="H1292" t="s">
        <v>1638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70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111</v>
      </c>
      <c r="W1292">
        <v>588</v>
      </c>
      <c r="Z1292">
        <v>0</v>
      </c>
      <c r="AA1292" t="s">
        <v>2713</v>
      </c>
    </row>
    <row r="1293" spans="1:27" x14ac:dyDescent="0.25">
      <c r="H1293" t="s">
        <v>98</v>
      </c>
    </row>
    <row r="1294" spans="1:27" x14ac:dyDescent="0.25">
      <c r="A1294">
        <v>644</v>
      </c>
      <c r="B1294">
        <v>180</v>
      </c>
      <c r="C1294" t="s">
        <v>2714</v>
      </c>
      <c r="D1294" t="s">
        <v>2715</v>
      </c>
      <c r="E1294" t="s">
        <v>155</v>
      </c>
      <c r="F1294" t="s">
        <v>2716</v>
      </c>
      <c r="G1294" t="str">
        <f>"201406007646"</f>
        <v>201406007646</v>
      </c>
      <c r="H1294" t="s">
        <v>2069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50</v>
      </c>
      <c r="O1294">
        <v>0</v>
      </c>
      <c r="P1294">
        <v>30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108</v>
      </c>
      <c r="W1294">
        <v>588</v>
      </c>
      <c r="Z1294">
        <v>0</v>
      </c>
      <c r="AA1294" t="s">
        <v>2717</v>
      </c>
    </row>
    <row r="1295" spans="1:27" x14ac:dyDescent="0.25">
      <c r="H1295" t="s">
        <v>2718</v>
      </c>
    </row>
    <row r="1296" spans="1:27" x14ac:dyDescent="0.25">
      <c r="A1296">
        <v>645</v>
      </c>
      <c r="B1296">
        <v>3229</v>
      </c>
      <c r="C1296" t="s">
        <v>2719</v>
      </c>
      <c r="D1296" t="s">
        <v>2720</v>
      </c>
      <c r="E1296" t="s">
        <v>100</v>
      </c>
      <c r="F1296" t="s">
        <v>2721</v>
      </c>
      <c r="G1296" t="str">
        <f>"00015299"</f>
        <v>00015299</v>
      </c>
      <c r="H1296" t="s">
        <v>544</v>
      </c>
      <c r="I1296">
        <v>0</v>
      </c>
      <c r="J1296">
        <v>0</v>
      </c>
      <c r="K1296">
        <v>0</v>
      </c>
      <c r="L1296">
        <v>0</v>
      </c>
      <c r="M1296">
        <v>100</v>
      </c>
      <c r="N1296">
        <v>70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60</v>
      </c>
      <c r="W1296">
        <v>420</v>
      </c>
      <c r="Z1296">
        <v>0</v>
      </c>
      <c r="AA1296" t="s">
        <v>2722</v>
      </c>
    </row>
    <row r="1297" spans="1:27" x14ac:dyDescent="0.25">
      <c r="H1297" t="s">
        <v>2723</v>
      </c>
    </row>
    <row r="1298" spans="1:27" x14ac:dyDescent="0.25">
      <c r="A1298">
        <v>646</v>
      </c>
      <c r="B1298">
        <v>1322</v>
      </c>
      <c r="C1298" t="s">
        <v>2724</v>
      </c>
      <c r="D1298" t="s">
        <v>351</v>
      </c>
      <c r="E1298" t="s">
        <v>281</v>
      </c>
      <c r="F1298" t="s">
        <v>2725</v>
      </c>
      <c r="G1298" t="str">
        <f>"201411000165"</f>
        <v>201411000165</v>
      </c>
      <c r="H1298" t="s">
        <v>1620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70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84</v>
      </c>
      <c r="W1298">
        <v>588</v>
      </c>
      <c r="Z1298">
        <v>0</v>
      </c>
      <c r="AA1298" t="s">
        <v>2726</v>
      </c>
    </row>
    <row r="1299" spans="1:27" x14ac:dyDescent="0.25">
      <c r="H1299" t="s">
        <v>2727</v>
      </c>
    </row>
    <row r="1300" spans="1:27" x14ac:dyDescent="0.25">
      <c r="A1300">
        <v>647</v>
      </c>
      <c r="B1300">
        <v>735</v>
      </c>
      <c r="C1300" t="s">
        <v>2728</v>
      </c>
      <c r="D1300" t="s">
        <v>476</v>
      </c>
      <c r="E1300" t="s">
        <v>100</v>
      </c>
      <c r="F1300" t="s">
        <v>2729</v>
      </c>
      <c r="G1300" t="str">
        <f>"201406013843"</f>
        <v>201406013843</v>
      </c>
      <c r="H1300" t="s">
        <v>458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70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76</v>
      </c>
      <c r="W1300">
        <v>532</v>
      </c>
      <c r="Z1300">
        <v>0</v>
      </c>
      <c r="AA1300" t="s">
        <v>2730</v>
      </c>
    </row>
    <row r="1301" spans="1:27" x14ac:dyDescent="0.25">
      <c r="H1301" t="s">
        <v>404</v>
      </c>
    </row>
    <row r="1302" spans="1:27" x14ac:dyDescent="0.25">
      <c r="A1302">
        <v>648</v>
      </c>
      <c r="B1302">
        <v>1116</v>
      </c>
      <c r="C1302" t="s">
        <v>2731</v>
      </c>
      <c r="D1302" t="s">
        <v>2732</v>
      </c>
      <c r="E1302" t="s">
        <v>47</v>
      </c>
      <c r="F1302" t="s">
        <v>2733</v>
      </c>
      <c r="G1302" t="str">
        <f>"00014691"</f>
        <v>00014691</v>
      </c>
      <c r="H1302" t="s">
        <v>1219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70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85</v>
      </c>
      <c r="W1302">
        <v>588</v>
      </c>
      <c r="Z1302">
        <v>0</v>
      </c>
      <c r="AA1302" t="s">
        <v>2734</v>
      </c>
    </row>
    <row r="1303" spans="1:27" x14ac:dyDescent="0.25">
      <c r="H1303" t="s">
        <v>2735</v>
      </c>
    </row>
    <row r="1304" spans="1:27" x14ac:dyDescent="0.25">
      <c r="A1304">
        <v>649</v>
      </c>
      <c r="B1304">
        <v>541</v>
      </c>
      <c r="C1304" t="s">
        <v>2736</v>
      </c>
      <c r="D1304" t="s">
        <v>40</v>
      </c>
      <c r="E1304" t="s">
        <v>143</v>
      </c>
      <c r="F1304" t="s">
        <v>2737</v>
      </c>
      <c r="G1304" t="str">
        <f>"201406013312"</f>
        <v>201406013312</v>
      </c>
      <c r="H1304" t="s">
        <v>597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70</v>
      </c>
      <c r="O1304">
        <v>0</v>
      </c>
      <c r="P1304">
        <v>50</v>
      </c>
      <c r="Q1304">
        <v>0</v>
      </c>
      <c r="R1304">
        <v>30</v>
      </c>
      <c r="S1304">
        <v>0</v>
      </c>
      <c r="T1304">
        <v>0</v>
      </c>
      <c r="U1304">
        <v>0</v>
      </c>
      <c r="V1304">
        <v>61</v>
      </c>
      <c r="W1304">
        <v>427</v>
      </c>
      <c r="Z1304">
        <v>0</v>
      </c>
      <c r="AA1304" t="s">
        <v>2738</v>
      </c>
    </row>
    <row r="1305" spans="1:27" x14ac:dyDescent="0.25">
      <c r="H1305" t="s">
        <v>2739</v>
      </c>
    </row>
    <row r="1306" spans="1:27" x14ac:dyDescent="0.25">
      <c r="A1306">
        <v>650</v>
      </c>
      <c r="B1306">
        <v>2353</v>
      </c>
      <c r="C1306" t="s">
        <v>2740</v>
      </c>
      <c r="D1306" t="s">
        <v>2741</v>
      </c>
      <c r="E1306" t="s">
        <v>21</v>
      </c>
      <c r="F1306" t="s">
        <v>2742</v>
      </c>
      <c r="G1306" t="str">
        <f>"00014212"</f>
        <v>00014212</v>
      </c>
      <c r="H1306" t="s">
        <v>1160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30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89</v>
      </c>
      <c r="W1306">
        <v>588</v>
      </c>
      <c r="Z1306">
        <v>0</v>
      </c>
      <c r="AA1306" t="s">
        <v>2743</v>
      </c>
    </row>
    <row r="1307" spans="1:27" x14ac:dyDescent="0.25">
      <c r="H1307" t="s">
        <v>970</v>
      </c>
    </row>
    <row r="1308" spans="1:27" x14ac:dyDescent="0.25">
      <c r="A1308">
        <v>651</v>
      </c>
      <c r="B1308">
        <v>2816</v>
      </c>
      <c r="C1308" t="s">
        <v>2744</v>
      </c>
      <c r="D1308" t="s">
        <v>332</v>
      </c>
      <c r="E1308" t="s">
        <v>850</v>
      </c>
      <c r="F1308" t="s">
        <v>2745</v>
      </c>
      <c r="G1308" t="str">
        <f>"201412001252"</f>
        <v>201412001252</v>
      </c>
      <c r="H1308" t="s">
        <v>626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105</v>
      </c>
      <c r="W1308">
        <v>588</v>
      </c>
      <c r="Z1308">
        <v>0</v>
      </c>
      <c r="AA1308" t="s">
        <v>2746</v>
      </c>
    </row>
    <row r="1309" spans="1:27" x14ac:dyDescent="0.25">
      <c r="H1309" t="s">
        <v>2138</v>
      </c>
    </row>
    <row r="1310" spans="1:27" x14ac:dyDescent="0.25">
      <c r="A1310">
        <v>652</v>
      </c>
      <c r="B1310">
        <v>2341</v>
      </c>
      <c r="C1310" t="s">
        <v>2047</v>
      </c>
      <c r="D1310" t="s">
        <v>2747</v>
      </c>
      <c r="E1310" t="s">
        <v>100</v>
      </c>
      <c r="F1310" t="s">
        <v>2748</v>
      </c>
      <c r="G1310" t="str">
        <f>"201505000153"</f>
        <v>201505000153</v>
      </c>
      <c r="H1310" t="s">
        <v>2332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70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96</v>
      </c>
      <c r="W1310">
        <v>588</v>
      </c>
      <c r="Z1310">
        <v>0</v>
      </c>
      <c r="AA1310" t="s">
        <v>2749</v>
      </c>
    </row>
    <row r="1311" spans="1:27" x14ac:dyDescent="0.25">
      <c r="H1311" t="s">
        <v>1417</v>
      </c>
    </row>
    <row r="1312" spans="1:27" x14ac:dyDescent="0.25">
      <c r="A1312">
        <v>653</v>
      </c>
      <c r="B1312">
        <v>469</v>
      </c>
      <c r="C1312" t="s">
        <v>2750</v>
      </c>
      <c r="D1312" t="s">
        <v>323</v>
      </c>
      <c r="E1312" t="s">
        <v>1150</v>
      </c>
      <c r="F1312" t="s">
        <v>2751</v>
      </c>
      <c r="G1312" t="str">
        <f>"00015013"</f>
        <v>00015013</v>
      </c>
      <c r="H1312" t="s">
        <v>90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70</v>
      </c>
      <c r="O1312">
        <v>30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84</v>
      </c>
      <c r="W1312">
        <v>588</v>
      </c>
      <c r="Z1312">
        <v>2</v>
      </c>
      <c r="AA1312" t="s">
        <v>2752</v>
      </c>
    </row>
    <row r="1313" spans="1:27" x14ac:dyDescent="0.25">
      <c r="H1313" t="s">
        <v>2753</v>
      </c>
    </row>
    <row r="1314" spans="1:27" x14ac:dyDescent="0.25">
      <c r="A1314">
        <v>654</v>
      </c>
      <c r="B1314">
        <v>2501</v>
      </c>
      <c r="C1314" t="s">
        <v>2754</v>
      </c>
      <c r="D1314" t="s">
        <v>1149</v>
      </c>
      <c r="E1314" t="s">
        <v>41</v>
      </c>
      <c r="F1314" t="s">
        <v>2755</v>
      </c>
      <c r="G1314" t="str">
        <f>"201506002453"</f>
        <v>201506002453</v>
      </c>
      <c r="H1314" t="s">
        <v>716</v>
      </c>
      <c r="I1314">
        <v>0</v>
      </c>
      <c r="J1314">
        <v>0</v>
      </c>
      <c r="K1314">
        <v>0</v>
      </c>
      <c r="L1314">
        <v>0</v>
      </c>
      <c r="M1314">
        <v>100</v>
      </c>
      <c r="N1314">
        <v>70</v>
      </c>
      <c r="O1314">
        <v>50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56</v>
      </c>
      <c r="W1314">
        <v>392</v>
      </c>
      <c r="Z1314">
        <v>0</v>
      </c>
      <c r="AA1314" t="s">
        <v>2756</v>
      </c>
    </row>
    <row r="1315" spans="1:27" x14ac:dyDescent="0.25">
      <c r="H1315" t="s">
        <v>2757</v>
      </c>
    </row>
    <row r="1316" spans="1:27" x14ac:dyDescent="0.25">
      <c r="A1316">
        <v>655</v>
      </c>
      <c r="B1316">
        <v>1979</v>
      </c>
      <c r="C1316" t="s">
        <v>2758</v>
      </c>
      <c r="D1316" t="s">
        <v>40</v>
      </c>
      <c r="E1316" t="s">
        <v>121</v>
      </c>
      <c r="F1316" t="s">
        <v>2759</v>
      </c>
      <c r="G1316" t="str">
        <f>"00014659"</f>
        <v>00014659</v>
      </c>
      <c r="H1316" t="s">
        <v>1305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30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129</v>
      </c>
      <c r="W1316">
        <v>588</v>
      </c>
      <c r="Z1316">
        <v>0</v>
      </c>
      <c r="AA1316" t="s">
        <v>2760</v>
      </c>
    </row>
    <row r="1317" spans="1:27" x14ac:dyDescent="0.25">
      <c r="H1317">
        <v>203</v>
      </c>
    </row>
    <row r="1318" spans="1:27" x14ac:dyDescent="0.25">
      <c r="A1318">
        <v>656</v>
      </c>
      <c r="B1318">
        <v>577</v>
      </c>
      <c r="C1318" t="s">
        <v>232</v>
      </c>
      <c r="D1318" t="s">
        <v>332</v>
      </c>
      <c r="E1318" t="s">
        <v>34</v>
      </c>
      <c r="F1318" t="s">
        <v>2761</v>
      </c>
      <c r="G1318" t="str">
        <f>"00013629"</f>
        <v>00013629</v>
      </c>
      <c r="H1318" t="s">
        <v>1853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70</v>
      </c>
      <c r="O1318">
        <v>30</v>
      </c>
      <c r="P1318">
        <v>0</v>
      </c>
      <c r="Q1318">
        <v>0</v>
      </c>
      <c r="R1318">
        <v>30</v>
      </c>
      <c r="S1318">
        <v>0</v>
      </c>
      <c r="T1318">
        <v>0</v>
      </c>
      <c r="U1318">
        <v>0</v>
      </c>
      <c r="V1318">
        <v>153</v>
      </c>
      <c r="W1318">
        <v>588</v>
      </c>
      <c r="Z1318">
        <v>0</v>
      </c>
      <c r="AA1318" t="s">
        <v>2762</v>
      </c>
    </row>
    <row r="1319" spans="1:27" x14ac:dyDescent="0.25">
      <c r="H1319" t="s">
        <v>2763</v>
      </c>
    </row>
    <row r="1320" spans="1:27" x14ac:dyDescent="0.25">
      <c r="A1320">
        <v>657</v>
      </c>
      <c r="B1320">
        <v>1538</v>
      </c>
      <c r="C1320" t="s">
        <v>2764</v>
      </c>
      <c r="D1320" t="s">
        <v>40</v>
      </c>
      <c r="E1320" t="s">
        <v>2765</v>
      </c>
      <c r="F1320" t="s">
        <v>2766</v>
      </c>
      <c r="G1320" t="str">
        <f>"00012814"</f>
        <v>00012814</v>
      </c>
      <c r="H1320" t="s">
        <v>2663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70</v>
      </c>
      <c r="O1320">
        <v>0</v>
      </c>
      <c r="P1320">
        <v>50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51</v>
      </c>
      <c r="W1320">
        <v>357</v>
      </c>
      <c r="Z1320">
        <v>0</v>
      </c>
      <c r="AA1320" t="s">
        <v>2767</v>
      </c>
    </row>
    <row r="1321" spans="1:27" x14ac:dyDescent="0.25">
      <c r="H1321" t="s">
        <v>2768</v>
      </c>
    </row>
    <row r="1322" spans="1:27" x14ac:dyDescent="0.25">
      <c r="A1322">
        <v>658</v>
      </c>
      <c r="B1322">
        <v>1477</v>
      </c>
      <c r="C1322" t="s">
        <v>2769</v>
      </c>
      <c r="D1322" t="s">
        <v>20</v>
      </c>
      <c r="E1322" t="s">
        <v>165</v>
      </c>
      <c r="F1322" t="s">
        <v>2770</v>
      </c>
      <c r="G1322" t="str">
        <f>"00015029"</f>
        <v>00015029</v>
      </c>
      <c r="H1322">
        <v>693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70</v>
      </c>
      <c r="O1322">
        <v>50</v>
      </c>
      <c r="P1322">
        <v>0</v>
      </c>
      <c r="Q1322">
        <v>0</v>
      </c>
      <c r="R1322">
        <v>30</v>
      </c>
      <c r="S1322">
        <v>0</v>
      </c>
      <c r="T1322">
        <v>0</v>
      </c>
      <c r="U1322">
        <v>0</v>
      </c>
      <c r="V1322">
        <v>71</v>
      </c>
      <c r="W1322">
        <v>497</v>
      </c>
      <c r="Z1322">
        <v>0</v>
      </c>
      <c r="AA1322">
        <v>1340</v>
      </c>
    </row>
    <row r="1323" spans="1:27" x14ac:dyDescent="0.25">
      <c r="H1323" t="s">
        <v>2771</v>
      </c>
    </row>
    <row r="1324" spans="1:27" x14ac:dyDescent="0.25">
      <c r="A1324">
        <v>659</v>
      </c>
      <c r="B1324">
        <v>404</v>
      </c>
      <c r="C1324" t="s">
        <v>2772</v>
      </c>
      <c r="D1324" t="s">
        <v>2773</v>
      </c>
      <c r="E1324" t="s">
        <v>54</v>
      </c>
      <c r="F1324" t="s">
        <v>2774</v>
      </c>
      <c r="G1324" t="str">
        <f>"201406009769"</f>
        <v>201406009769</v>
      </c>
      <c r="H1324">
        <v>682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146</v>
      </c>
      <c r="W1324">
        <v>588</v>
      </c>
      <c r="Z1324">
        <v>0</v>
      </c>
      <c r="AA1324">
        <v>1340</v>
      </c>
    </row>
    <row r="1325" spans="1:27" x14ac:dyDescent="0.25">
      <c r="H1325" t="s">
        <v>2775</v>
      </c>
    </row>
    <row r="1326" spans="1:27" x14ac:dyDescent="0.25">
      <c r="A1326">
        <v>660</v>
      </c>
      <c r="B1326">
        <v>1230</v>
      </c>
      <c r="C1326" t="s">
        <v>2776</v>
      </c>
      <c r="D1326" t="s">
        <v>581</v>
      </c>
      <c r="E1326" t="s">
        <v>47</v>
      </c>
      <c r="F1326" t="s">
        <v>2777</v>
      </c>
      <c r="G1326" t="str">
        <f>"00014617"</f>
        <v>00014617</v>
      </c>
      <c r="H1326" t="s">
        <v>2778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30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84</v>
      </c>
      <c r="W1326">
        <v>588</v>
      </c>
      <c r="Z1326">
        <v>0</v>
      </c>
      <c r="AA1326" t="s">
        <v>2779</v>
      </c>
    </row>
    <row r="1327" spans="1:27" x14ac:dyDescent="0.25">
      <c r="H1327" t="s">
        <v>147</v>
      </c>
    </row>
    <row r="1328" spans="1:27" x14ac:dyDescent="0.25">
      <c r="A1328">
        <v>661</v>
      </c>
      <c r="B1328">
        <v>1513</v>
      </c>
      <c r="C1328" t="s">
        <v>2780</v>
      </c>
      <c r="D1328" t="s">
        <v>2781</v>
      </c>
      <c r="E1328" t="s">
        <v>100</v>
      </c>
      <c r="F1328" t="s">
        <v>2782</v>
      </c>
      <c r="G1328" t="str">
        <f>"201406006570"</f>
        <v>201406006570</v>
      </c>
      <c r="H1328" t="s">
        <v>690</v>
      </c>
      <c r="I1328">
        <v>0</v>
      </c>
      <c r="J1328">
        <v>0</v>
      </c>
      <c r="K1328">
        <v>0</v>
      </c>
      <c r="L1328">
        <v>0</v>
      </c>
      <c r="M1328">
        <v>100</v>
      </c>
      <c r="N1328">
        <v>70</v>
      </c>
      <c r="O1328">
        <v>0</v>
      </c>
      <c r="P1328">
        <v>50</v>
      </c>
      <c r="Q1328">
        <v>0</v>
      </c>
      <c r="R1328">
        <v>0</v>
      </c>
      <c r="S1328">
        <v>30</v>
      </c>
      <c r="T1328">
        <v>0</v>
      </c>
      <c r="U1328">
        <v>0</v>
      </c>
      <c r="V1328">
        <v>48</v>
      </c>
      <c r="W1328">
        <v>336</v>
      </c>
      <c r="Z1328">
        <v>1</v>
      </c>
      <c r="AA1328" t="s">
        <v>2783</v>
      </c>
    </row>
    <row r="1329" spans="1:27" x14ac:dyDescent="0.25">
      <c r="H1329" t="s">
        <v>933</v>
      </c>
    </row>
    <row r="1330" spans="1:27" x14ac:dyDescent="0.25">
      <c r="A1330">
        <v>662</v>
      </c>
      <c r="B1330">
        <v>2912</v>
      </c>
      <c r="C1330" t="s">
        <v>2784</v>
      </c>
      <c r="D1330" t="s">
        <v>112</v>
      </c>
      <c r="E1330" t="s">
        <v>263</v>
      </c>
      <c r="F1330" t="s">
        <v>2785</v>
      </c>
      <c r="G1330" t="str">
        <f>"00014424"</f>
        <v>00014424</v>
      </c>
      <c r="H1330" t="s">
        <v>71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70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84</v>
      </c>
      <c r="W1330">
        <v>588</v>
      </c>
      <c r="Z1330">
        <v>1</v>
      </c>
      <c r="AA1330" t="s">
        <v>2786</v>
      </c>
    </row>
    <row r="1331" spans="1:27" x14ac:dyDescent="0.25">
      <c r="H1331" t="s">
        <v>2787</v>
      </c>
    </row>
    <row r="1332" spans="1:27" x14ac:dyDescent="0.25">
      <c r="A1332">
        <v>663</v>
      </c>
      <c r="B1332">
        <v>1282</v>
      </c>
      <c r="C1332" t="s">
        <v>148</v>
      </c>
      <c r="D1332" t="s">
        <v>2788</v>
      </c>
      <c r="E1332" t="s">
        <v>155</v>
      </c>
      <c r="F1332" t="s">
        <v>2789</v>
      </c>
      <c r="G1332" t="str">
        <f>"00015001"</f>
        <v>00015001</v>
      </c>
      <c r="H1332" t="s">
        <v>1178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140</v>
      </c>
      <c r="W1332">
        <v>588</v>
      </c>
      <c r="Z1332">
        <v>0</v>
      </c>
      <c r="AA1332" t="s">
        <v>2790</v>
      </c>
    </row>
    <row r="1333" spans="1:27" x14ac:dyDescent="0.25">
      <c r="H1333">
        <v>201</v>
      </c>
    </row>
    <row r="1334" spans="1:27" x14ac:dyDescent="0.25">
      <c r="A1334">
        <v>664</v>
      </c>
      <c r="B1334">
        <v>650</v>
      </c>
      <c r="C1334" t="s">
        <v>2791</v>
      </c>
      <c r="D1334" t="s">
        <v>1335</v>
      </c>
      <c r="E1334" t="s">
        <v>81</v>
      </c>
      <c r="F1334" t="s">
        <v>2792</v>
      </c>
      <c r="G1334" t="str">
        <f>"201511012201"</f>
        <v>201511012201</v>
      </c>
      <c r="H1334" t="s">
        <v>1346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70</v>
      </c>
      <c r="O1334">
        <v>50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204</v>
      </c>
      <c r="W1334">
        <v>588</v>
      </c>
      <c r="Z1334">
        <v>0</v>
      </c>
      <c r="AA1334" t="s">
        <v>2793</v>
      </c>
    </row>
    <row r="1335" spans="1:27" x14ac:dyDescent="0.25">
      <c r="H1335" t="s">
        <v>2794</v>
      </c>
    </row>
    <row r="1336" spans="1:27" x14ac:dyDescent="0.25">
      <c r="A1336">
        <v>665</v>
      </c>
      <c r="B1336">
        <v>388</v>
      </c>
      <c r="C1336" t="s">
        <v>2700</v>
      </c>
      <c r="D1336" t="s">
        <v>2795</v>
      </c>
      <c r="E1336" t="s">
        <v>81</v>
      </c>
      <c r="F1336" t="s">
        <v>2796</v>
      </c>
      <c r="G1336" t="str">
        <f>"200807000677"</f>
        <v>200807000677</v>
      </c>
      <c r="H1336" t="s">
        <v>2632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50</v>
      </c>
      <c r="O1336">
        <v>0</v>
      </c>
      <c r="P1336">
        <v>0</v>
      </c>
      <c r="Q1336">
        <v>30</v>
      </c>
      <c r="R1336">
        <v>0</v>
      </c>
      <c r="S1336">
        <v>0</v>
      </c>
      <c r="T1336">
        <v>0</v>
      </c>
      <c r="U1336">
        <v>0</v>
      </c>
      <c r="V1336">
        <v>111</v>
      </c>
      <c r="W1336">
        <v>588</v>
      </c>
      <c r="Z1336">
        <v>1</v>
      </c>
      <c r="AA1336" t="s">
        <v>2797</v>
      </c>
    </row>
    <row r="1337" spans="1:27" x14ac:dyDescent="0.25">
      <c r="H1337" t="s">
        <v>2702</v>
      </c>
    </row>
    <row r="1338" spans="1:27" x14ac:dyDescent="0.25">
      <c r="A1338">
        <v>666</v>
      </c>
      <c r="B1338">
        <v>781</v>
      </c>
      <c r="C1338" t="s">
        <v>2798</v>
      </c>
      <c r="D1338" t="s">
        <v>2799</v>
      </c>
      <c r="E1338" t="s">
        <v>100</v>
      </c>
      <c r="F1338" t="s">
        <v>2800</v>
      </c>
      <c r="G1338" t="str">
        <f>"201304003735"</f>
        <v>201304003735</v>
      </c>
      <c r="H1338" t="s">
        <v>1104</v>
      </c>
      <c r="I1338">
        <v>150</v>
      </c>
      <c r="J1338">
        <v>0</v>
      </c>
      <c r="K1338">
        <v>0</v>
      </c>
      <c r="L1338">
        <v>200</v>
      </c>
      <c r="M1338">
        <v>0</v>
      </c>
      <c r="N1338">
        <v>70</v>
      </c>
      <c r="O1338">
        <v>30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24</v>
      </c>
      <c r="W1338">
        <v>168</v>
      </c>
      <c r="Z1338">
        <v>0</v>
      </c>
      <c r="AA1338" t="s">
        <v>2801</v>
      </c>
    </row>
    <row r="1339" spans="1:27" x14ac:dyDescent="0.25">
      <c r="H1339" t="s">
        <v>2802</v>
      </c>
    </row>
    <row r="1340" spans="1:27" x14ac:dyDescent="0.25">
      <c r="A1340">
        <v>667</v>
      </c>
      <c r="B1340">
        <v>1502</v>
      </c>
      <c r="C1340" t="s">
        <v>21</v>
      </c>
      <c r="D1340" t="s">
        <v>2803</v>
      </c>
      <c r="E1340" t="s">
        <v>41</v>
      </c>
      <c r="F1340" t="s">
        <v>2804</v>
      </c>
      <c r="G1340" t="str">
        <f>"201406010276"</f>
        <v>201406010276</v>
      </c>
      <c r="H1340" t="s">
        <v>1270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70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228</v>
      </c>
      <c r="W1340">
        <v>588</v>
      </c>
      <c r="Z1340">
        <v>0</v>
      </c>
      <c r="AA1340" t="s">
        <v>2805</v>
      </c>
    </row>
    <row r="1341" spans="1:27" x14ac:dyDescent="0.25">
      <c r="H1341" t="s">
        <v>2806</v>
      </c>
    </row>
    <row r="1342" spans="1:27" x14ac:dyDescent="0.25">
      <c r="A1342">
        <v>668</v>
      </c>
      <c r="B1342">
        <v>1360</v>
      </c>
      <c r="C1342" t="s">
        <v>2121</v>
      </c>
      <c r="D1342" t="s">
        <v>620</v>
      </c>
      <c r="E1342" t="s">
        <v>121</v>
      </c>
      <c r="F1342" t="s">
        <v>2807</v>
      </c>
      <c r="G1342" t="str">
        <f>"200802008630"</f>
        <v>200802008630</v>
      </c>
      <c r="H1342" t="s">
        <v>947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110</v>
      </c>
      <c r="W1342">
        <v>588</v>
      </c>
      <c r="Z1342">
        <v>0</v>
      </c>
      <c r="AA1342" t="s">
        <v>2808</v>
      </c>
    </row>
    <row r="1343" spans="1:27" x14ac:dyDescent="0.25">
      <c r="H1343" t="s">
        <v>2809</v>
      </c>
    </row>
    <row r="1344" spans="1:27" x14ac:dyDescent="0.25">
      <c r="A1344">
        <v>669</v>
      </c>
      <c r="B1344">
        <v>980</v>
      </c>
      <c r="C1344" t="s">
        <v>2810</v>
      </c>
      <c r="D1344" t="s">
        <v>20</v>
      </c>
      <c r="E1344" t="s">
        <v>54</v>
      </c>
      <c r="F1344" t="s">
        <v>2811</v>
      </c>
      <c r="G1344" t="str">
        <f>"00015078"</f>
        <v>00015078</v>
      </c>
      <c r="H1344" t="s">
        <v>1698</v>
      </c>
      <c r="I1344">
        <v>0</v>
      </c>
      <c r="J1344">
        <v>0</v>
      </c>
      <c r="K1344">
        <v>0</v>
      </c>
      <c r="L1344">
        <v>0</v>
      </c>
      <c r="M1344">
        <v>100</v>
      </c>
      <c r="N1344">
        <v>70</v>
      </c>
      <c r="O1344">
        <v>50</v>
      </c>
      <c r="P1344">
        <v>0</v>
      </c>
      <c r="Q1344">
        <v>0</v>
      </c>
      <c r="R1344">
        <v>50</v>
      </c>
      <c r="S1344">
        <v>0</v>
      </c>
      <c r="T1344">
        <v>0</v>
      </c>
      <c r="U1344">
        <v>0</v>
      </c>
      <c r="V1344">
        <v>49</v>
      </c>
      <c r="W1344">
        <v>343</v>
      </c>
      <c r="Z1344">
        <v>0</v>
      </c>
      <c r="AA1344" t="s">
        <v>2812</v>
      </c>
    </row>
    <row r="1345" spans="1:27" x14ac:dyDescent="0.25">
      <c r="H1345" t="s">
        <v>2813</v>
      </c>
    </row>
    <row r="1346" spans="1:27" x14ac:dyDescent="0.25">
      <c r="A1346">
        <v>670</v>
      </c>
      <c r="B1346">
        <v>2589</v>
      </c>
      <c r="C1346" t="s">
        <v>2814</v>
      </c>
      <c r="D1346" t="s">
        <v>581</v>
      </c>
      <c r="E1346" t="s">
        <v>41</v>
      </c>
      <c r="F1346" t="s">
        <v>2815</v>
      </c>
      <c r="G1346" t="str">
        <f>"201402008554"</f>
        <v>201402008554</v>
      </c>
      <c r="H1346" t="s">
        <v>1104</v>
      </c>
      <c r="I1346">
        <v>0</v>
      </c>
      <c r="J1346">
        <v>0</v>
      </c>
      <c r="K1346">
        <v>0</v>
      </c>
      <c r="L1346">
        <v>200</v>
      </c>
      <c r="M1346">
        <v>0</v>
      </c>
      <c r="N1346">
        <v>70</v>
      </c>
      <c r="O1346">
        <v>70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39</v>
      </c>
      <c r="W1346">
        <v>273</v>
      </c>
      <c r="Z1346">
        <v>0</v>
      </c>
      <c r="AA1346" t="s">
        <v>2816</v>
      </c>
    </row>
    <row r="1347" spans="1:27" x14ac:dyDescent="0.25">
      <c r="H1347" t="s">
        <v>2817</v>
      </c>
    </row>
    <row r="1348" spans="1:27" x14ac:dyDescent="0.25">
      <c r="A1348">
        <v>671</v>
      </c>
      <c r="B1348">
        <v>927</v>
      </c>
      <c r="C1348" t="s">
        <v>2818</v>
      </c>
      <c r="D1348" t="s">
        <v>532</v>
      </c>
      <c r="E1348" t="s">
        <v>165</v>
      </c>
      <c r="F1348" t="s">
        <v>2819</v>
      </c>
      <c r="G1348" t="str">
        <f>"00013490"</f>
        <v>00013490</v>
      </c>
      <c r="H1348" t="s">
        <v>697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96</v>
      </c>
      <c r="W1348">
        <v>588</v>
      </c>
      <c r="Z1348">
        <v>2</v>
      </c>
      <c r="AA1348" t="s">
        <v>2820</v>
      </c>
    </row>
    <row r="1349" spans="1:27" x14ac:dyDescent="0.25">
      <c r="H1349" t="s">
        <v>2821</v>
      </c>
    </row>
    <row r="1350" spans="1:27" x14ac:dyDescent="0.25">
      <c r="A1350">
        <v>672</v>
      </c>
      <c r="B1350">
        <v>2569</v>
      </c>
      <c r="C1350" t="s">
        <v>2822</v>
      </c>
      <c r="D1350" t="s">
        <v>542</v>
      </c>
      <c r="E1350" t="s">
        <v>121</v>
      </c>
      <c r="F1350" t="s">
        <v>2823</v>
      </c>
      <c r="G1350" t="str">
        <f>"00015062"</f>
        <v>00015062</v>
      </c>
      <c r="H1350" t="s">
        <v>1316</v>
      </c>
      <c r="I1350">
        <v>0</v>
      </c>
      <c r="J1350">
        <v>0</v>
      </c>
      <c r="K1350">
        <v>0</v>
      </c>
      <c r="L1350">
        <v>200</v>
      </c>
      <c r="M1350">
        <v>0</v>
      </c>
      <c r="N1350">
        <v>70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44</v>
      </c>
      <c r="W1350">
        <v>308</v>
      </c>
      <c r="Z1350">
        <v>0</v>
      </c>
      <c r="AA1350" t="s">
        <v>2824</v>
      </c>
    </row>
    <row r="1351" spans="1:27" x14ac:dyDescent="0.25">
      <c r="H1351" t="s">
        <v>2825</v>
      </c>
    </row>
    <row r="1352" spans="1:27" x14ac:dyDescent="0.25">
      <c r="A1352">
        <v>673</v>
      </c>
      <c r="B1352">
        <v>493</v>
      </c>
      <c r="C1352" t="s">
        <v>2826</v>
      </c>
      <c r="D1352" t="s">
        <v>1127</v>
      </c>
      <c r="E1352" t="s">
        <v>155</v>
      </c>
      <c r="F1352" t="s">
        <v>2827</v>
      </c>
      <c r="G1352" t="str">
        <f>"00014500"</f>
        <v>00014500</v>
      </c>
      <c r="H1352" t="s">
        <v>785</v>
      </c>
      <c r="I1352">
        <v>0</v>
      </c>
      <c r="J1352">
        <v>0</v>
      </c>
      <c r="K1352">
        <v>0</v>
      </c>
      <c r="L1352">
        <v>200</v>
      </c>
      <c r="M1352">
        <v>0</v>
      </c>
      <c r="N1352">
        <v>70</v>
      </c>
      <c r="O1352">
        <v>0</v>
      </c>
      <c r="P1352">
        <v>30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44</v>
      </c>
      <c r="W1352">
        <v>308</v>
      </c>
      <c r="Z1352">
        <v>0</v>
      </c>
      <c r="AA1352" t="s">
        <v>2828</v>
      </c>
    </row>
    <row r="1353" spans="1:27" x14ac:dyDescent="0.25">
      <c r="H1353" t="s">
        <v>2829</v>
      </c>
    </row>
    <row r="1354" spans="1:27" x14ac:dyDescent="0.25">
      <c r="A1354">
        <v>674</v>
      </c>
      <c r="B1354">
        <v>2365</v>
      </c>
      <c r="C1354" t="s">
        <v>2830</v>
      </c>
      <c r="D1354" t="s">
        <v>1375</v>
      </c>
      <c r="E1354" t="s">
        <v>121</v>
      </c>
      <c r="F1354" t="s">
        <v>2831</v>
      </c>
      <c r="G1354" t="str">
        <f>"00013830"</f>
        <v>00013830</v>
      </c>
      <c r="H1354" t="s">
        <v>36</v>
      </c>
      <c r="I1354">
        <v>0</v>
      </c>
      <c r="J1354">
        <v>0</v>
      </c>
      <c r="K1354">
        <v>0</v>
      </c>
      <c r="L1354">
        <v>200</v>
      </c>
      <c r="M1354">
        <v>0</v>
      </c>
      <c r="N1354">
        <v>70</v>
      </c>
      <c r="O1354">
        <v>0</v>
      </c>
      <c r="P1354">
        <v>50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24</v>
      </c>
      <c r="W1354">
        <v>168</v>
      </c>
      <c r="Z1354">
        <v>1</v>
      </c>
      <c r="AA1354" t="s">
        <v>2832</v>
      </c>
    </row>
    <row r="1355" spans="1:27" x14ac:dyDescent="0.25">
      <c r="H1355" t="s">
        <v>2833</v>
      </c>
    </row>
    <row r="1356" spans="1:27" x14ac:dyDescent="0.25">
      <c r="A1356">
        <v>675</v>
      </c>
      <c r="B1356">
        <v>2255</v>
      </c>
      <c r="C1356" t="s">
        <v>2834</v>
      </c>
      <c r="D1356" t="s">
        <v>581</v>
      </c>
      <c r="E1356" t="s">
        <v>456</v>
      </c>
      <c r="F1356" t="s">
        <v>2835</v>
      </c>
      <c r="G1356" t="str">
        <f>"201406011445"</f>
        <v>201406011445</v>
      </c>
      <c r="H1356" t="s">
        <v>2836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70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133</v>
      </c>
      <c r="W1356">
        <v>588</v>
      </c>
      <c r="Z1356">
        <v>2</v>
      </c>
      <c r="AA1356" t="s">
        <v>2837</v>
      </c>
    </row>
    <row r="1357" spans="1:27" x14ac:dyDescent="0.25">
      <c r="H1357" t="s">
        <v>2838</v>
      </c>
    </row>
    <row r="1358" spans="1:27" x14ac:dyDescent="0.25">
      <c r="A1358">
        <v>676</v>
      </c>
      <c r="B1358">
        <v>909</v>
      </c>
      <c r="C1358" t="s">
        <v>2839</v>
      </c>
      <c r="D1358" t="s">
        <v>1121</v>
      </c>
      <c r="E1358" t="s">
        <v>2226</v>
      </c>
      <c r="F1358" t="s">
        <v>2840</v>
      </c>
      <c r="G1358" t="str">
        <f>"00014069"</f>
        <v>00014069</v>
      </c>
      <c r="H1358" t="s">
        <v>2836</v>
      </c>
      <c r="I1358">
        <v>0</v>
      </c>
      <c r="J1358">
        <v>0</v>
      </c>
      <c r="K1358">
        <v>0</v>
      </c>
      <c r="L1358">
        <v>200</v>
      </c>
      <c r="M1358">
        <v>0</v>
      </c>
      <c r="N1358">
        <v>70</v>
      </c>
      <c r="O1358">
        <v>0</v>
      </c>
      <c r="P1358">
        <v>0</v>
      </c>
      <c r="Q1358">
        <v>0</v>
      </c>
      <c r="R1358">
        <v>30</v>
      </c>
      <c r="S1358">
        <v>0</v>
      </c>
      <c r="T1358">
        <v>0</v>
      </c>
      <c r="U1358">
        <v>0</v>
      </c>
      <c r="V1358">
        <v>51</v>
      </c>
      <c r="W1358">
        <v>357</v>
      </c>
      <c r="Z1358">
        <v>0</v>
      </c>
      <c r="AA1358" t="s">
        <v>2841</v>
      </c>
    </row>
    <row r="1359" spans="1:27" x14ac:dyDescent="0.25">
      <c r="H1359" t="s">
        <v>1078</v>
      </c>
    </row>
    <row r="1360" spans="1:27" x14ac:dyDescent="0.25">
      <c r="A1360">
        <v>677</v>
      </c>
      <c r="B1360">
        <v>2349</v>
      </c>
      <c r="C1360" t="s">
        <v>2842</v>
      </c>
      <c r="D1360" t="s">
        <v>309</v>
      </c>
      <c r="E1360" t="s">
        <v>80</v>
      </c>
      <c r="F1360" t="s">
        <v>2843</v>
      </c>
      <c r="G1360" t="str">
        <f>"201304003617"</f>
        <v>201304003617</v>
      </c>
      <c r="H1360" t="s">
        <v>1449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114</v>
      </c>
      <c r="W1360">
        <v>588</v>
      </c>
      <c r="Z1360">
        <v>0</v>
      </c>
      <c r="AA1360" t="s">
        <v>2844</v>
      </c>
    </row>
    <row r="1361" spans="1:27" x14ac:dyDescent="0.25">
      <c r="H1361" t="s">
        <v>2845</v>
      </c>
    </row>
    <row r="1362" spans="1:27" x14ac:dyDescent="0.25">
      <c r="A1362">
        <v>678</v>
      </c>
      <c r="B1362">
        <v>1906</v>
      </c>
      <c r="C1362" t="s">
        <v>2846</v>
      </c>
      <c r="D1362" t="s">
        <v>2847</v>
      </c>
      <c r="E1362" t="s">
        <v>143</v>
      </c>
      <c r="F1362" t="s">
        <v>2848</v>
      </c>
      <c r="G1362" t="str">
        <f>"00014801"</f>
        <v>00014801</v>
      </c>
      <c r="H1362" t="s">
        <v>544</v>
      </c>
      <c r="I1362">
        <v>0</v>
      </c>
      <c r="J1362">
        <v>0</v>
      </c>
      <c r="K1362">
        <v>0</v>
      </c>
      <c r="L1362">
        <v>0</v>
      </c>
      <c r="M1362">
        <v>100</v>
      </c>
      <c r="N1362">
        <v>70</v>
      </c>
      <c r="O1362">
        <v>50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50</v>
      </c>
      <c r="W1362">
        <v>350</v>
      </c>
      <c r="Z1362">
        <v>0</v>
      </c>
      <c r="AA1362" t="s">
        <v>2849</v>
      </c>
    </row>
    <row r="1363" spans="1:27" x14ac:dyDescent="0.25">
      <c r="H1363" t="s">
        <v>1417</v>
      </c>
    </row>
    <row r="1364" spans="1:27" x14ac:dyDescent="0.25">
      <c r="A1364">
        <v>679</v>
      </c>
      <c r="B1364">
        <v>3268</v>
      </c>
      <c r="C1364" t="s">
        <v>792</v>
      </c>
      <c r="D1364" t="s">
        <v>2850</v>
      </c>
      <c r="E1364" t="s">
        <v>602</v>
      </c>
      <c r="F1364" t="s">
        <v>2851</v>
      </c>
      <c r="G1364" t="str">
        <f>"201303000540"</f>
        <v>201303000540</v>
      </c>
      <c r="H1364" t="s">
        <v>741</v>
      </c>
      <c r="I1364">
        <v>0</v>
      </c>
      <c r="J1364">
        <v>0</v>
      </c>
      <c r="K1364">
        <v>0</v>
      </c>
      <c r="L1364">
        <v>260</v>
      </c>
      <c r="M1364">
        <v>0</v>
      </c>
      <c r="N1364">
        <v>70</v>
      </c>
      <c r="O1364">
        <v>70</v>
      </c>
      <c r="P1364">
        <v>0</v>
      </c>
      <c r="Q1364">
        <v>0</v>
      </c>
      <c r="R1364">
        <v>30</v>
      </c>
      <c r="S1364">
        <v>0</v>
      </c>
      <c r="T1364">
        <v>0</v>
      </c>
      <c r="U1364">
        <v>0</v>
      </c>
      <c r="V1364">
        <v>24</v>
      </c>
      <c r="W1364">
        <v>168</v>
      </c>
      <c r="Z1364">
        <v>0</v>
      </c>
      <c r="AA1364" t="s">
        <v>2852</v>
      </c>
    </row>
    <row r="1365" spans="1:27" x14ac:dyDescent="0.25">
      <c r="H1365" t="s">
        <v>2853</v>
      </c>
    </row>
    <row r="1366" spans="1:27" x14ac:dyDescent="0.25">
      <c r="A1366">
        <v>680</v>
      </c>
      <c r="B1366">
        <v>2538</v>
      </c>
      <c r="C1366" t="s">
        <v>783</v>
      </c>
      <c r="D1366" t="s">
        <v>2854</v>
      </c>
      <c r="E1366" t="s">
        <v>276</v>
      </c>
      <c r="F1366" t="s">
        <v>2855</v>
      </c>
      <c r="G1366" t="str">
        <f>"201304004203"</f>
        <v>201304004203</v>
      </c>
      <c r="H1366" t="s">
        <v>1010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50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82</v>
      </c>
      <c r="W1366">
        <v>574</v>
      </c>
      <c r="Z1366">
        <v>1</v>
      </c>
      <c r="AA1366" t="s">
        <v>2856</v>
      </c>
    </row>
    <row r="1367" spans="1:27" x14ac:dyDescent="0.25">
      <c r="H1367">
        <v>202</v>
      </c>
    </row>
    <row r="1368" spans="1:27" x14ac:dyDescent="0.25">
      <c r="A1368">
        <v>681</v>
      </c>
      <c r="B1368">
        <v>1234</v>
      </c>
      <c r="C1368" t="s">
        <v>2857</v>
      </c>
      <c r="D1368" t="s">
        <v>21</v>
      </c>
      <c r="E1368" t="s">
        <v>41</v>
      </c>
      <c r="F1368" t="s">
        <v>2858</v>
      </c>
      <c r="G1368" t="str">
        <f>"00011372"</f>
        <v>00011372</v>
      </c>
      <c r="H1368">
        <v>1034</v>
      </c>
      <c r="I1368">
        <v>150</v>
      </c>
      <c r="J1368">
        <v>0</v>
      </c>
      <c r="K1368">
        <v>0</v>
      </c>
      <c r="L1368">
        <v>0</v>
      </c>
      <c r="M1368">
        <v>0</v>
      </c>
      <c r="N1368">
        <v>70</v>
      </c>
      <c r="O1368">
        <v>0</v>
      </c>
      <c r="P1368">
        <v>70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Z1368">
        <v>0</v>
      </c>
      <c r="AA1368">
        <v>1324</v>
      </c>
    </row>
    <row r="1369" spans="1:27" x14ac:dyDescent="0.25">
      <c r="H1369" t="s">
        <v>1417</v>
      </c>
    </row>
    <row r="1370" spans="1:27" x14ac:dyDescent="0.25">
      <c r="A1370">
        <v>682</v>
      </c>
      <c r="B1370">
        <v>633</v>
      </c>
      <c r="C1370" t="s">
        <v>2859</v>
      </c>
      <c r="D1370" t="s">
        <v>54</v>
      </c>
      <c r="E1370" t="s">
        <v>81</v>
      </c>
      <c r="F1370" t="s">
        <v>2860</v>
      </c>
      <c r="G1370" t="str">
        <f>"201505000418"</f>
        <v>201505000418</v>
      </c>
      <c r="H1370" t="s">
        <v>2184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70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212</v>
      </c>
      <c r="W1370">
        <v>588</v>
      </c>
      <c r="Z1370">
        <v>0</v>
      </c>
      <c r="AA1370" t="s">
        <v>2861</v>
      </c>
    </row>
    <row r="1371" spans="1:27" x14ac:dyDescent="0.25">
      <c r="H1371" t="s">
        <v>2862</v>
      </c>
    </row>
    <row r="1372" spans="1:27" x14ac:dyDescent="0.25">
      <c r="A1372">
        <v>683</v>
      </c>
      <c r="B1372">
        <v>1120</v>
      </c>
      <c r="C1372" t="s">
        <v>1988</v>
      </c>
      <c r="D1372" t="s">
        <v>581</v>
      </c>
      <c r="E1372" t="s">
        <v>88</v>
      </c>
      <c r="F1372" t="s">
        <v>2863</v>
      </c>
      <c r="G1372" t="str">
        <f>"201304005247"</f>
        <v>201304005247</v>
      </c>
      <c r="H1372" t="s">
        <v>2184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70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105</v>
      </c>
      <c r="W1372">
        <v>588</v>
      </c>
      <c r="Z1372">
        <v>0</v>
      </c>
      <c r="AA1372" t="s">
        <v>2861</v>
      </c>
    </row>
    <row r="1373" spans="1:27" x14ac:dyDescent="0.25">
      <c r="H1373" t="s">
        <v>2864</v>
      </c>
    </row>
    <row r="1374" spans="1:27" x14ac:dyDescent="0.25">
      <c r="A1374">
        <v>684</v>
      </c>
      <c r="B1374">
        <v>2421</v>
      </c>
      <c r="C1374" t="s">
        <v>2865</v>
      </c>
      <c r="D1374" t="s">
        <v>47</v>
      </c>
      <c r="E1374" t="s">
        <v>94</v>
      </c>
      <c r="F1374" t="s">
        <v>2866</v>
      </c>
      <c r="G1374" t="str">
        <f>"201506001799"</f>
        <v>201506001799</v>
      </c>
      <c r="H1374" t="s">
        <v>2184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70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96</v>
      </c>
      <c r="W1374">
        <v>588</v>
      </c>
      <c r="Z1374">
        <v>0</v>
      </c>
      <c r="AA1374" t="s">
        <v>2861</v>
      </c>
    </row>
    <row r="1375" spans="1:27" x14ac:dyDescent="0.25">
      <c r="H1375" t="s">
        <v>2867</v>
      </c>
    </row>
    <row r="1376" spans="1:27" x14ac:dyDescent="0.25">
      <c r="A1376">
        <v>685</v>
      </c>
      <c r="B1376">
        <v>833</v>
      </c>
      <c r="C1376" t="s">
        <v>2868</v>
      </c>
      <c r="D1376" t="s">
        <v>652</v>
      </c>
      <c r="E1376" t="s">
        <v>507</v>
      </c>
      <c r="F1376" t="s">
        <v>2869</v>
      </c>
      <c r="G1376" t="str">
        <f>"201406015381"</f>
        <v>201406015381</v>
      </c>
      <c r="H1376" t="s">
        <v>1816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30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76</v>
      </c>
      <c r="W1376">
        <v>532</v>
      </c>
      <c r="Z1376">
        <v>0</v>
      </c>
      <c r="AA1376" t="s">
        <v>2870</v>
      </c>
    </row>
    <row r="1377" spans="1:27" x14ac:dyDescent="0.25">
      <c r="H1377" t="s">
        <v>2871</v>
      </c>
    </row>
    <row r="1378" spans="1:27" x14ac:dyDescent="0.25">
      <c r="A1378">
        <v>686</v>
      </c>
      <c r="B1378">
        <v>3048</v>
      </c>
      <c r="C1378" t="s">
        <v>2872</v>
      </c>
      <c r="D1378" t="s">
        <v>2873</v>
      </c>
      <c r="E1378" t="s">
        <v>2874</v>
      </c>
      <c r="F1378" t="s">
        <v>2875</v>
      </c>
      <c r="G1378" t="str">
        <f>"201410006660"</f>
        <v>201410006660</v>
      </c>
      <c r="H1378" t="s">
        <v>265</v>
      </c>
      <c r="I1378">
        <v>0</v>
      </c>
      <c r="J1378">
        <v>0</v>
      </c>
      <c r="K1378">
        <v>0</v>
      </c>
      <c r="L1378">
        <v>200</v>
      </c>
      <c r="M1378">
        <v>0</v>
      </c>
      <c r="N1378">
        <v>70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44</v>
      </c>
      <c r="W1378">
        <v>308</v>
      </c>
      <c r="Z1378">
        <v>0</v>
      </c>
      <c r="AA1378" t="s">
        <v>2876</v>
      </c>
    </row>
    <row r="1379" spans="1:27" x14ac:dyDescent="0.25">
      <c r="H1379" t="s">
        <v>2877</v>
      </c>
    </row>
    <row r="1380" spans="1:27" x14ac:dyDescent="0.25">
      <c r="A1380">
        <v>687</v>
      </c>
      <c r="B1380">
        <v>2853</v>
      </c>
      <c r="C1380" t="s">
        <v>2878</v>
      </c>
      <c r="D1380" t="s">
        <v>532</v>
      </c>
      <c r="E1380" t="s">
        <v>456</v>
      </c>
      <c r="F1380" t="s">
        <v>2879</v>
      </c>
      <c r="G1380" t="str">
        <f>"00011147"</f>
        <v>00011147</v>
      </c>
      <c r="H1380" t="s">
        <v>1410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179</v>
      </c>
      <c r="W1380">
        <v>588</v>
      </c>
      <c r="Z1380">
        <v>1</v>
      </c>
      <c r="AA1380" t="s">
        <v>2880</v>
      </c>
    </row>
    <row r="1381" spans="1:27" x14ac:dyDescent="0.25">
      <c r="H1381" t="s">
        <v>2881</v>
      </c>
    </row>
    <row r="1382" spans="1:27" x14ac:dyDescent="0.25">
      <c r="A1382">
        <v>688</v>
      </c>
      <c r="B1382">
        <v>2217</v>
      </c>
      <c r="C1382" t="s">
        <v>2882</v>
      </c>
      <c r="D1382" t="s">
        <v>40</v>
      </c>
      <c r="E1382" t="s">
        <v>88</v>
      </c>
      <c r="F1382" t="s">
        <v>2883</v>
      </c>
      <c r="G1382" t="str">
        <f>"00014288"</f>
        <v>00014288</v>
      </c>
      <c r="H1382" t="s">
        <v>1005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96</v>
      </c>
      <c r="W1382">
        <v>588</v>
      </c>
      <c r="Z1382">
        <v>0</v>
      </c>
      <c r="AA1382" t="s">
        <v>2884</v>
      </c>
    </row>
    <row r="1383" spans="1:27" x14ac:dyDescent="0.25">
      <c r="H1383" t="s">
        <v>2885</v>
      </c>
    </row>
    <row r="1384" spans="1:27" x14ac:dyDescent="0.25">
      <c r="A1384">
        <v>689</v>
      </c>
      <c r="B1384">
        <v>514</v>
      </c>
      <c r="C1384" t="s">
        <v>2886</v>
      </c>
      <c r="D1384" t="s">
        <v>2887</v>
      </c>
      <c r="E1384" t="s">
        <v>456</v>
      </c>
      <c r="F1384" t="s">
        <v>2888</v>
      </c>
      <c r="G1384" t="str">
        <f>"201507002588"</f>
        <v>201507002588</v>
      </c>
      <c r="H1384">
        <v>671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30</v>
      </c>
      <c r="O1384">
        <v>30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84</v>
      </c>
      <c r="W1384">
        <v>588</v>
      </c>
      <c r="Z1384">
        <v>1</v>
      </c>
      <c r="AA1384">
        <v>1319</v>
      </c>
    </row>
    <row r="1385" spans="1:27" x14ac:dyDescent="0.25">
      <c r="H1385" t="s">
        <v>2889</v>
      </c>
    </row>
    <row r="1386" spans="1:27" x14ac:dyDescent="0.25">
      <c r="A1386">
        <v>690</v>
      </c>
      <c r="B1386">
        <v>190</v>
      </c>
      <c r="C1386" t="s">
        <v>2890</v>
      </c>
      <c r="D1386" t="s">
        <v>243</v>
      </c>
      <c r="E1386" t="s">
        <v>47</v>
      </c>
      <c r="F1386" t="s">
        <v>2891</v>
      </c>
      <c r="G1386" t="str">
        <f>"00012465"</f>
        <v>00012465</v>
      </c>
      <c r="H1386">
        <v>660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70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179</v>
      </c>
      <c r="W1386">
        <v>588</v>
      </c>
      <c r="Z1386">
        <v>0</v>
      </c>
      <c r="AA1386">
        <v>1318</v>
      </c>
    </row>
    <row r="1387" spans="1:27" x14ac:dyDescent="0.25">
      <c r="H1387" t="s">
        <v>2892</v>
      </c>
    </row>
    <row r="1388" spans="1:27" x14ac:dyDescent="0.25">
      <c r="A1388">
        <v>691</v>
      </c>
      <c r="B1388">
        <v>2914</v>
      </c>
      <c r="C1388" t="s">
        <v>2893</v>
      </c>
      <c r="D1388" t="s">
        <v>2894</v>
      </c>
      <c r="E1388" t="s">
        <v>94</v>
      </c>
      <c r="F1388" t="s">
        <v>2895</v>
      </c>
      <c r="G1388" t="str">
        <f>"201304002179"</f>
        <v>201304002179</v>
      </c>
      <c r="H1388" t="s">
        <v>1638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70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84</v>
      </c>
      <c r="W1388">
        <v>588</v>
      </c>
      <c r="Z1388">
        <v>1</v>
      </c>
      <c r="AA1388" t="s">
        <v>2896</v>
      </c>
    </row>
    <row r="1389" spans="1:27" x14ac:dyDescent="0.25">
      <c r="H1389" t="s">
        <v>2897</v>
      </c>
    </row>
    <row r="1390" spans="1:27" x14ac:dyDescent="0.25">
      <c r="A1390">
        <v>692</v>
      </c>
      <c r="B1390">
        <v>1643</v>
      </c>
      <c r="C1390" t="s">
        <v>2898</v>
      </c>
      <c r="D1390" t="s">
        <v>1102</v>
      </c>
      <c r="E1390" t="s">
        <v>81</v>
      </c>
      <c r="F1390" t="s">
        <v>2899</v>
      </c>
      <c r="G1390" t="str">
        <f>"00014742"</f>
        <v>00014742</v>
      </c>
      <c r="H1390">
        <v>726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50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77</v>
      </c>
      <c r="W1390">
        <v>539</v>
      </c>
      <c r="Z1390">
        <v>0</v>
      </c>
      <c r="AA1390">
        <v>1315</v>
      </c>
    </row>
    <row r="1391" spans="1:27" x14ac:dyDescent="0.25">
      <c r="H1391">
        <v>201</v>
      </c>
    </row>
    <row r="1392" spans="1:27" x14ac:dyDescent="0.25">
      <c r="A1392">
        <v>693</v>
      </c>
      <c r="B1392">
        <v>1789</v>
      </c>
      <c r="C1392" t="s">
        <v>2900</v>
      </c>
      <c r="D1392" t="s">
        <v>27</v>
      </c>
      <c r="E1392" t="s">
        <v>41</v>
      </c>
      <c r="F1392" t="s">
        <v>2901</v>
      </c>
      <c r="G1392" t="str">
        <f>"201406013850"</f>
        <v>201406013850</v>
      </c>
      <c r="H1392" t="s">
        <v>746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70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163</v>
      </c>
      <c r="W1392">
        <v>588</v>
      </c>
      <c r="Z1392">
        <v>0</v>
      </c>
      <c r="AA1392" t="s">
        <v>2902</v>
      </c>
    </row>
    <row r="1393" spans="1:27" x14ac:dyDescent="0.25">
      <c r="H1393" t="s">
        <v>147</v>
      </c>
    </row>
    <row r="1394" spans="1:27" x14ac:dyDescent="0.25">
      <c r="A1394">
        <v>694</v>
      </c>
      <c r="B1394">
        <v>1591</v>
      </c>
      <c r="C1394" t="s">
        <v>2903</v>
      </c>
      <c r="D1394" t="s">
        <v>243</v>
      </c>
      <c r="E1394" t="s">
        <v>143</v>
      </c>
      <c r="F1394" t="s">
        <v>2904</v>
      </c>
      <c r="G1394" t="str">
        <f>"00011493"</f>
        <v>00011493</v>
      </c>
      <c r="H1394" t="s">
        <v>842</v>
      </c>
      <c r="I1394">
        <v>0</v>
      </c>
      <c r="J1394">
        <v>0</v>
      </c>
      <c r="K1394">
        <v>0</v>
      </c>
      <c r="L1394">
        <v>200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36</v>
      </c>
      <c r="W1394">
        <v>252</v>
      </c>
      <c r="Z1394">
        <v>0</v>
      </c>
      <c r="AA1394" t="s">
        <v>2905</v>
      </c>
    </row>
    <row r="1395" spans="1:27" x14ac:dyDescent="0.25">
      <c r="H1395" t="s">
        <v>2906</v>
      </c>
    </row>
    <row r="1396" spans="1:27" x14ac:dyDescent="0.25">
      <c r="A1396">
        <v>695</v>
      </c>
      <c r="B1396">
        <v>2690</v>
      </c>
      <c r="C1396" t="s">
        <v>2907</v>
      </c>
      <c r="D1396" t="s">
        <v>176</v>
      </c>
      <c r="E1396" t="s">
        <v>507</v>
      </c>
      <c r="F1396" t="s">
        <v>2908</v>
      </c>
      <c r="G1396" t="str">
        <f>"00013101"</f>
        <v>00013101</v>
      </c>
      <c r="H1396" t="s">
        <v>626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240</v>
      </c>
      <c r="W1396">
        <v>588</v>
      </c>
      <c r="Z1396">
        <v>0</v>
      </c>
      <c r="AA1396" t="s">
        <v>2909</v>
      </c>
    </row>
    <row r="1397" spans="1:27" x14ac:dyDescent="0.25">
      <c r="H1397">
        <v>211</v>
      </c>
    </row>
    <row r="1398" spans="1:27" x14ac:dyDescent="0.25">
      <c r="A1398">
        <v>696</v>
      </c>
      <c r="B1398">
        <v>754</v>
      </c>
      <c r="C1398" t="s">
        <v>2910</v>
      </c>
      <c r="D1398" t="s">
        <v>210</v>
      </c>
      <c r="E1398" t="s">
        <v>81</v>
      </c>
      <c r="F1398" t="s">
        <v>2911</v>
      </c>
      <c r="G1398" t="str">
        <f>"201304000297"</f>
        <v>201304000297</v>
      </c>
      <c r="H1398" t="s">
        <v>626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97</v>
      </c>
      <c r="W1398">
        <v>588</v>
      </c>
      <c r="Z1398">
        <v>0</v>
      </c>
      <c r="AA1398" t="s">
        <v>2909</v>
      </c>
    </row>
    <row r="1399" spans="1:27" x14ac:dyDescent="0.25">
      <c r="H1399" t="s">
        <v>1825</v>
      </c>
    </row>
    <row r="1400" spans="1:27" x14ac:dyDescent="0.25">
      <c r="A1400">
        <v>697</v>
      </c>
      <c r="B1400">
        <v>403</v>
      </c>
      <c r="C1400" t="s">
        <v>2912</v>
      </c>
      <c r="D1400" t="s">
        <v>20</v>
      </c>
      <c r="E1400" t="s">
        <v>34</v>
      </c>
      <c r="F1400" t="s">
        <v>2913</v>
      </c>
      <c r="G1400" t="str">
        <f>"00013942"</f>
        <v>00013942</v>
      </c>
      <c r="H1400" t="s">
        <v>2914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30</v>
      </c>
      <c r="O1400">
        <v>30</v>
      </c>
      <c r="P1400">
        <v>30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89</v>
      </c>
      <c r="W1400">
        <v>588</v>
      </c>
      <c r="Z1400">
        <v>1</v>
      </c>
      <c r="AA1400" t="s">
        <v>2915</v>
      </c>
    </row>
    <row r="1401" spans="1:27" x14ac:dyDescent="0.25">
      <c r="H1401" t="s">
        <v>2916</v>
      </c>
    </row>
    <row r="1402" spans="1:27" x14ac:dyDescent="0.25">
      <c r="A1402">
        <v>698</v>
      </c>
      <c r="B1402">
        <v>613</v>
      </c>
      <c r="C1402" t="s">
        <v>2917</v>
      </c>
      <c r="D1402" t="s">
        <v>332</v>
      </c>
      <c r="E1402" t="s">
        <v>2918</v>
      </c>
      <c r="F1402" t="s">
        <v>2919</v>
      </c>
      <c r="G1402" t="str">
        <f>"201412000484"</f>
        <v>201412000484</v>
      </c>
      <c r="H1402" t="s">
        <v>90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70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240</v>
      </c>
      <c r="W1402">
        <v>588</v>
      </c>
      <c r="Z1402">
        <v>1</v>
      </c>
      <c r="AA1402" t="s">
        <v>2920</v>
      </c>
    </row>
    <row r="1403" spans="1:27" x14ac:dyDescent="0.25">
      <c r="H1403" t="s">
        <v>2921</v>
      </c>
    </row>
    <row r="1404" spans="1:27" x14ac:dyDescent="0.25">
      <c r="A1404">
        <v>699</v>
      </c>
      <c r="B1404">
        <v>2523</v>
      </c>
      <c r="C1404" t="s">
        <v>2922</v>
      </c>
      <c r="D1404" t="s">
        <v>2923</v>
      </c>
      <c r="E1404" t="s">
        <v>21</v>
      </c>
      <c r="F1404" t="s">
        <v>2924</v>
      </c>
      <c r="G1404" t="str">
        <f>"201506002595"</f>
        <v>201506002595</v>
      </c>
      <c r="H1404">
        <v>693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84</v>
      </c>
      <c r="W1404">
        <v>588</v>
      </c>
      <c r="Z1404">
        <v>2</v>
      </c>
      <c r="AA1404">
        <v>1311</v>
      </c>
    </row>
    <row r="1405" spans="1:27" x14ac:dyDescent="0.25">
      <c r="H1405" t="s">
        <v>2021</v>
      </c>
    </row>
    <row r="1406" spans="1:27" x14ac:dyDescent="0.25">
      <c r="A1406">
        <v>700</v>
      </c>
      <c r="B1406">
        <v>79</v>
      </c>
      <c r="C1406" t="s">
        <v>1870</v>
      </c>
      <c r="D1406" t="s">
        <v>54</v>
      </c>
      <c r="E1406" t="s">
        <v>100</v>
      </c>
      <c r="F1406" t="s">
        <v>2925</v>
      </c>
      <c r="G1406" t="str">
        <f>"201506000300"</f>
        <v>201506000300</v>
      </c>
      <c r="H1406" t="s">
        <v>894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70</v>
      </c>
      <c r="O1406">
        <v>0</v>
      </c>
      <c r="P1406">
        <v>30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74</v>
      </c>
      <c r="W1406">
        <v>518</v>
      </c>
      <c r="Z1406">
        <v>0</v>
      </c>
      <c r="AA1406" t="s">
        <v>2926</v>
      </c>
    </row>
    <row r="1407" spans="1:27" x14ac:dyDescent="0.25">
      <c r="H1407" t="s">
        <v>369</v>
      </c>
    </row>
    <row r="1408" spans="1:27" x14ac:dyDescent="0.25">
      <c r="A1408">
        <v>701</v>
      </c>
      <c r="B1408">
        <v>415</v>
      </c>
      <c r="C1408" t="s">
        <v>929</v>
      </c>
      <c r="D1408" t="s">
        <v>1896</v>
      </c>
      <c r="E1408" t="s">
        <v>88</v>
      </c>
      <c r="F1408" t="s">
        <v>2927</v>
      </c>
      <c r="G1408" t="str">
        <f>"201406001983"</f>
        <v>201406001983</v>
      </c>
      <c r="H1408" t="s">
        <v>746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70</v>
      </c>
      <c r="O1408">
        <v>30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79</v>
      </c>
      <c r="W1408">
        <v>553</v>
      </c>
      <c r="Z1408">
        <v>0</v>
      </c>
      <c r="AA1408" t="s">
        <v>2928</v>
      </c>
    </row>
    <row r="1409" spans="1:27" x14ac:dyDescent="0.25">
      <c r="H1409" t="s">
        <v>98</v>
      </c>
    </row>
    <row r="1410" spans="1:27" x14ac:dyDescent="0.25">
      <c r="A1410">
        <v>702</v>
      </c>
      <c r="B1410">
        <v>1898</v>
      </c>
      <c r="C1410" t="s">
        <v>2929</v>
      </c>
      <c r="D1410" t="s">
        <v>652</v>
      </c>
      <c r="E1410" t="s">
        <v>1182</v>
      </c>
      <c r="F1410" t="s">
        <v>2930</v>
      </c>
      <c r="G1410" t="str">
        <f>"00013320"</f>
        <v>00013320</v>
      </c>
      <c r="H1410" t="s">
        <v>1178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30</v>
      </c>
      <c r="O1410">
        <v>70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70</v>
      </c>
      <c r="W1410">
        <v>490</v>
      </c>
      <c r="Z1410">
        <v>0</v>
      </c>
      <c r="AA1410" t="s">
        <v>2931</v>
      </c>
    </row>
    <row r="1411" spans="1:27" x14ac:dyDescent="0.25">
      <c r="H1411" t="s">
        <v>2932</v>
      </c>
    </row>
    <row r="1412" spans="1:27" x14ac:dyDescent="0.25">
      <c r="A1412">
        <v>703</v>
      </c>
      <c r="B1412">
        <v>2787</v>
      </c>
      <c r="C1412" t="s">
        <v>2132</v>
      </c>
      <c r="D1412" t="s">
        <v>323</v>
      </c>
      <c r="E1412" t="s">
        <v>100</v>
      </c>
      <c r="F1412" t="s">
        <v>2933</v>
      </c>
      <c r="G1412" t="str">
        <f>"00011274"</f>
        <v>00011274</v>
      </c>
      <c r="H1412" t="s">
        <v>389</v>
      </c>
      <c r="I1412">
        <v>0</v>
      </c>
      <c r="J1412">
        <v>0</v>
      </c>
      <c r="K1412">
        <v>0</v>
      </c>
      <c r="L1412">
        <v>200</v>
      </c>
      <c r="M1412">
        <v>0</v>
      </c>
      <c r="N1412">
        <v>70</v>
      </c>
      <c r="O1412">
        <v>30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33</v>
      </c>
      <c r="W1412">
        <v>231</v>
      </c>
      <c r="Z1412">
        <v>0</v>
      </c>
      <c r="AA1412" t="s">
        <v>2934</v>
      </c>
    </row>
    <row r="1413" spans="1:27" x14ac:dyDescent="0.25">
      <c r="H1413" t="s">
        <v>2935</v>
      </c>
    </row>
    <row r="1414" spans="1:27" x14ac:dyDescent="0.25">
      <c r="A1414">
        <v>704</v>
      </c>
      <c r="B1414">
        <v>2057</v>
      </c>
      <c r="C1414" t="s">
        <v>2936</v>
      </c>
      <c r="D1414" t="s">
        <v>20</v>
      </c>
      <c r="E1414" t="s">
        <v>143</v>
      </c>
      <c r="F1414" t="s">
        <v>2937</v>
      </c>
      <c r="G1414" t="str">
        <f>"201304005067"</f>
        <v>201304005067</v>
      </c>
      <c r="H1414">
        <v>649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70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137</v>
      </c>
      <c r="W1414">
        <v>588</v>
      </c>
      <c r="Z1414">
        <v>0</v>
      </c>
      <c r="AA1414">
        <v>1307</v>
      </c>
    </row>
    <row r="1415" spans="1:27" x14ac:dyDescent="0.25">
      <c r="H1415" t="s">
        <v>2938</v>
      </c>
    </row>
    <row r="1416" spans="1:27" x14ac:dyDescent="0.25">
      <c r="A1416">
        <v>705</v>
      </c>
      <c r="B1416">
        <v>655</v>
      </c>
      <c r="C1416" t="s">
        <v>2939</v>
      </c>
      <c r="D1416" t="s">
        <v>818</v>
      </c>
      <c r="E1416" t="s">
        <v>822</v>
      </c>
      <c r="F1416" t="s">
        <v>2940</v>
      </c>
      <c r="G1416" t="str">
        <f>"200712004973"</f>
        <v>200712004973</v>
      </c>
      <c r="H1416">
        <v>649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70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97</v>
      </c>
      <c r="W1416">
        <v>588</v>
      </c>
      <c r="Z1416">
        <v>0</v>
      </c>
      <c r="AA1416">
        <v>1307</v>
      </c>
    </row>
    <row r="1417" spans="1:27" x14ac:dyDescent="0.25">
      <c r="H1417" t="s">
        <v>369</v>
      </c>
    </row>
    <row r="1418" spans="1:27" x14ac:dyDescent="0.25">
      <c r="A1418">
        <v>706</v>
      </c>
      <c r="B1418">
        <v>133</v>
      </c>
      <c r="C1418" t="s">
        <v>2326</v>
      </c>
      <c r="D1418" t="s">
        <v>216</v>
      </c>
      <c r="E1418" t="s">
        <v>2941</v>
      </c>
      <c r="F1418" t="s">
        <v>2942</v>
      </c>
      <c r="G1418" t="str">
        <f>"00013601"</f>
        <v>00013601</v>
      </c>
      <c r="H1418" t="s">
        <v>96</v>
      </c>
      <c r="I1418">
        <v>0</v>
      </c>
      <c r="J1418">
        <v>0</v>
      </c>
      <c r="K1418">
        <v>0</v>
      </c>
      <c r="L1418">
        <v>0</v>
      </c>
      <c r="M1418">
        <v>100</v>
      </c>
      <c r="N1418">
        <v>50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53</v>
      </c>
      <c r="W1418">
        <v>371</v>
      </c>
      <c r="Z1418">
        <v>0</v>
      </c>
      <c r="AA1418" t="s">
        <v>2943</v>
      </c>
    </row>
    <row r="1419" spans="1:27" x14ac:dyDescent="0.25">
      <c r="H1419" t="s">
        <v>2944</v>
      </c>
    </row>
    <row r="1420" spans="1:27" x14ac:dyDescent="0.25">
      <c r="A1420">
        <v>707</v>
      </c>
      <c r="B1420">
        <v>1390</v>
      </c>
      <c r="C1420" t="s">
        <v>2945</v>
      </c>
      <c r="D1420" t="s">
        <v>532</v>
      </c>
      <c r="E1420" t="s">
        <v>155</v>
      </c>
      <c r="F1420" t="s">
        <v>2946</v>
      </c>
      <c r="G1420" t="str">
        <f>"201412001915"</f>
        <v>201412001915</v>
      </c>
      <c r="H1420" t="s">
        <v>746</v>
      </c>
      <c r="I1420">
        <v>150</v>
      </c>
      <c r="J1420">
        <v>0</v>
      </c>
      <c r="K1420">
        <v>0</v>
      </c>
      <c r="L1420">
        <v>0</v>
      </c>
      <c r="M1420">
        <v>100</v>
      </c>
      <c r="N1420">
        <v>0</v>
      </c>
      <c r="O1420">
        <v>70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47</v>
      </c>
      <c r="W1420">
        <v>329</v>
      </c>
      <c r="Z1420">
        <v>0</v>
      </c>
      <c r="AA1420" t="s">
        <v>2947</v>
      </c>
    </row>
    <row r="1421" spans="1:27" x14ac:dyDescent="0.25">
      <c r="H1421" t="s">
        <v>2948</v>
      </c>
    </row>
    <row r="1422" spans="1:27" x14ac:dyDescent="0.25">
      <c r="A1422">
        <v>708</v>
      </c>
      <c r="B1422">
        <v>2584</v>
      </c>
      <c r="C1422" t="s">
        <v>955</v>
      </c>
      <c r="D1422" t="s">
        <v>100</v>
      </c>
      <c r="E1422" t="s">
        <v>81</v>
      </c>
      <c r="F1422" t="s">
        <v>2949</v>
      </c>
      <c r="G1422" t="str">
        <f>"200712002606"</f>
        <v>200712002606</v>
      </c>
      <c r="H1422" t="s">
        <v>1620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30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84</v>
      </c>
      <c r="W1422">
        <v>588</v>
      </c>
      <c r="Z1422">
        <v>2</v>
      </c>
      <c r="AA1422" t="s">
        <v>2950</v>
      </c>
    </row>
    <row r="1423" spans="1:27" x14ac:dyDescent="0.25">
      <c r="H1423" t="s">
        <v>2951</v>
      </c>
    </row>
    <row r="1424" spans="1:27" x14ac:dyDescent="0.25">
      <c r="A1424">
        <v>709</v>
      </c>
      <c r="B1424">
        <v>794</v>
      </c>
      <c r="C1424" t="s">
        <v>2952</v>
      </c>
      <c r="D1424" t="s">
        <v>204</v>
      </c>
      <c r="E1424" t="s">
        <v>276</v>
      </c>
      <c r="F1424" t="s">
        <v>2953</v>
      </c>
      <c r="G1424" t="str">
        <f>"00015038"</f>
        <v>00015038</v>
      </c>
      <c r="H1424" t="s">
        <v>61</v>
      </c>
      <c r="I1424">
        <v>0</v>
      </c>
      <c r="J1424">
        <v>0</v>
      </c>
      <c r="K1424">
        <v>0</v>
      </c>
      <c r="L1424">
        <v>200</v>
      </c>
      <c r="M1424">
        <v>0</v>
      </c>
      <c r="N1424">
        <v>70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35</v>
      </c>
      <c r="W1424">
        <v>245</v>
      </c>
      <c r="Z1424">
        <v>0</v>
      </c>
      <c r="AA1424" t="s">
        <v>2954</v>
      </c>
    </row>
    <row r="1425" spans="1:27" x14ac:dyDescent="0.25">
      <c r="H1425" t="s">
        <v>56</v>
      </c>
    </row>
    <row r="1426" spans="1:27" x14ac:dyDescent="0.25">
      <c r="A1426">
        <v>710</v>
      </c>
      <c r="B1426">
        <v>1097</v>
      </c>
      <c r="C1426" t="s">
        <v>2955</v>
      </c>
      <c r="D1426" t="s">
        <v>210</v>
      </c>
      <c r="E1426" t="s">
        <v>21</v>
      </c>
      <c r="F1426" t="s">
        <v>2956</v>
      </c>
      <c r="G1426" t="str">
        <f>"200801008969"</f>
        <v>200801008969</v>
      </c>
      <c r="H1426">
        <v>682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290</v>
      </c>
      <c r="W1426">
        <v>588</v>
      </c>
      <c r="Z1426">
        <v>0</v>
      </c>
      <c r="AA1426">
        <v>1300</v>
      </c>
    </row>
    <row r="1427" spans="1:27" x14ac:dyDescent="0.25">
      <c r="H1427" t="s">
        <v>2957</v>
      </c>
    </row>
    <row r="1428" spans="1:27" x14ac:dyDescent="0.25">
      <c r="A1428">
        <v>711</v>
      </c>
      <c r="B1428">
        <v>1018</v>
      </c>
      <c r="C1428" t="s">
        <v>2268</v>
      </c>
      <c r="D1428" t="s">
        <v>332</v>
      </c>
      <c r="E1428" t="s">
        <v>143</v>
      </c>
      <c r="F1428" t="s">
        <v>2958</v>
      </c>
      <c r="G1428" t="str">
        <f>"201506001300"</f>
        <v>201506001300</v>
      </c>
      <c r="H1428" t="s">
        <v>879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70</v>
      </c>
      <c r="O1428">
        <v>0</v>
      </c>
      <c r="P1428">
        <v>0</v>
      </c>
      <c r="Q1428">
        <v>0</v>
      </c>
      <c r="R1428">
        <v>30</v>
      </c>
      <c r="S1428">
        <v>0</v>
      </c>
      <c r="T1428">
        <v>0</v>
      </c>
      <c r="U1428">
        <v>0</v>
      </c>
      <c r="V1428">
        <v>68</v>
      </c>
      <c r="W1428">
        <v>476</v>
      </c>
      <c r="Z1428">
        <v>0</v>
      </c>
      <c r="AA1428" t="s">
        <v>2959</v>
      </c>
    </row>
    <row r="1429" spans="1:27" x14ac:dyDescent="0.25">
      <c r="H1429" t="s">
        <v>98</v>
      </c>
    </row>
    <row r="1430" spans="1:27" x14ac:dyDescent="0.25">
      <c r="A1430">
        <v>712</v>
      </c>
      <c r="B1430">
        <v>1956</v>
      </c>
      <c r="C1430" t="s">
        <v>2960</v>
      </c>
      <c r="D1430" t="s">
        <v>243</v>
      </c>
      <c r="E1430" t="s">
        <v>94</v>
      </c>
      <c r="F1430" t="s">
        <v>2961</v>
      </c>
      <c r="G1430" t="str">
        <f>"00013905"</f>
        <v>00013905</v>
      </c>
      <c r="H1430" t="s">
        <v>2060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30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96</v>
      </c>
      <c r="W1430">
        <v>588</v>
      </c>
      <c r="Z1430">
        <v>0</v>
      </c>
      <c r="AA1430" t="s">
        <v>2962</v>
      </c>
    </row>
    <row r="1431" spans="1:27" x14ac:dyDescent="0.25">
      <c r="H1431" t="s">
        <v>2963</v>
      </c>
    </row>
    <row r="1432" spans="1:27" x14ac:dyDescent="0.25">
      <c r="A1432">
        <v>713</v>
      </c>
      <c r="B1432">
        <v>1934</v>
      </c>
      <c r="C1432" t="s">
        <v>2964</v>
      </c>
      <c r="D1432" t="s">
        <v>652</v>
      </c>
      <c r="E1432" t="s">
        <v>143</v>
      </c>
      <c r="F1432" t="s">
        <v>2965</v>
      </c>
      <c r="G1432" t="str">
        <f>"201304000831"</f>
        <v>201304000831</v>
      </c>
      <c r="H1432" t="s">
        <v>61</v>
      </c>
      <c r="I1432">
        <v>0</v>
      </c>
      <c r="J1432">
        <v>0</v>
      </c>
      <c r="K1432">
        <v>0</v>
      </c>
      <c r="L1432">
        <v>200</v>
      </c>
      <c r="M1432">
        <v>0</v>
      </c>
      <c r="N1432">
        <v>70</v>
      </c>
      <c r="O1432">
        <v>30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30</v>
      </c>
      <c r="W1432">
        <v>210</v>
      </c>
      <c r="Z1432">
        <v>0</v>
      </c>
      <c r="AA1432" t="s">
        <v>2966</v>
      </c>
    </row>
    <row r="1433" spans="1:27" x14ac:dyDescent="0.25">
      <c r="H1433" t="s">
        <v>2967</v>
      </c>
    </row>
    <row r="1434" spans="1:27" x14ac:dyDescent="0.25">
      <c r="A1434">
        <v>714</v>
      </c>
      <c r="B1434">
        <v>3225</v>
      </c>
      <c r="C1434" t="s">
        <v>2968</v>
      </c>
      <c r="D1434" t="s">
        <v>176</v>
      </c>
      <c r="E1434" t="s">
        <v>47</v>
      </c>
      <c r="F1434" t="s">
        <v>2969</v>
      </c>
      <c r="G1434" t="str">
        <f>"00014157"</f>
        <v>00014157</v>
      </c>
      <c r="H1434" t="s">
        <v>1638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70</v>
      </c>
      <c r="O1434">
        <v>0</v>
      </c>
      <c r="P1434">
        <v>30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77</v>
      </c>
      <c r="W1434">
        <v>539</v>
      </c>
      <c r="Z1434">
        <v>0</v>
      </c>
      <c r="AA1434" t="s">
        <v>2970</v>
      </c>
    </row>
    <row r="1435" spans="1:27" x14ac:dyDescent="0.25">
      <c r="H1435">
        <v>211</v>
      </c>
    </row>
    <row r="1436" spans="1:27" x14ac:dyDescent="0.25">
      <c r="A1436">
        <v>715</v>
      </c>
      <c r="B1436">
        <v>1580</v>
      </c>
      <c r="C1436" t="s">
        <v>2971</v>
      </c>
      <c r="D1436" t="s">
        <v>813</v>
      </c>
      <c r="E1436" t="s">
        <v>81</v>
      </c>
      <c r="F1436" t="s">
        <v>2972</v>
      </c>
      <c r="G1436" t="str">
        <f>"201506003886"</f>
        <v>201506003886</v>
      </c>
      <c r="H1436" t="s">
        <v>1449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70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74</v>
      </c>
      <c r="W1436">
        <v>518</v>
      </c>
      <c r="Z1436">
        <v>0</v>
      </c>
      <c r="AA1436" t="s">
        <v>2973</v>
      </c>
    </row>
    <row r="1437" spans="1:27" x14ac:dyDescent="0.25">
      <c r="H1437" t="s">
        <v>2974</v>
      </c>
    </row>
    <row r="1438" spans="1:27" x14ac:dyDescent="0.25">
      <c r="A1438">
        <v>716</v>
      </c>
      <c r="B1438">
        <v>1932</v>
      </c>
      <c r="C1438" t="s">
        <v>2975</v>
      </c>
      <c r="D1438" t="s">
        <v>216</v>
      </c>
      <c r="E1438" t="s">
        <v>121</v>
      </c>
      <c r="F1438" t="s">
        <v>2976</v>
      </c>
      <c r="G1438" t="str">
        <f>"00013126"</f>
        <v>00013126</v>
      </c>
      <c r="H1438" t="s">
        <v>1270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113</v>
      </c>
      <c r="W1438">
        <v>588</v>
      </c>
      <c r="Z1438">
        <v>1</v>
      </c>
      <c r="AA1438" t="s">
        <v>2977</v>
      </c>
    </row>
    <row r="1439" spans="1:27" x14ac:dyDescent="0.25">
      <c r="H1439" t="s">
        <v>2978</v>
      </c>
    </row>
    <row r="1440" spans="1:27" x14ac:dyDescent="0.25">
      <c r="A1440">
        <v>717</v>
      </c>
      <c r="B1440">
        <v>3134</v>
      </c>
      <c r="C1440" t="s">
        <v>2979</v>
      </c>
      <c r="D1440" t="s">
        <v>332</v>
      </c>
      <c r="E1440" t="s">
        <v>143</v>
      </c>
      <c r="F1440" t="s">
        <v>2980</v>
      </c>
      <c r="G1440" t="str">
        <f>"00013469"</f>
        <v>00013469</v>
      </c>
      <c r="H1440" t="s">
        <v>2981</v>
      </c>
      <c r="I1440">
        <v>0</v>
      </c>
      <c r="J1440">
        <v>0</v>
      </c>
      <c r="K1440">
        <v>0</v>
      </c>
      <c r="L1440">
        <v>200</v>
      </c>
      <c r="M1440">
        <v>0</v>
      </c>
      <c r="N1440">
        <v>70</v>
      </c>
      <c r="O1440">
        <v>70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Z1440">
        <v>0</v>
      </c>
      <c r="AA1440" t="s">
        <v>2982</v>
      </c>
    </row>
    <row r="1441" spans="1:27" x14ac:dyDescent="0.25">
      <c r="H1441" t="s">
        <v>2983</v>
      </c>
    </row>
    <row r="1442" spans="1:27" x14ac:dyDescent="0.25">
      <c r="A1442">
        <v>718</v>
      </c>
      <c r="B1442">
        <v>2176</v>
      </c>
      <c r="C1442" t="s">
        <v>2984</v>
      </c>
      <c r="D1442" t="s">
        <v>652</v>
      </c>
      <c r="E1442" t="s">
        <v>422</v>
      </c>
      <c r="F1442" t="s">
        <v>2985</v>
      </c>
      <c r="G1442" t="str">
        <f>"201406008201"</f>
        <v>201406008201</v>
      </c>
      <c r="H1442" t="s">
        <v>2986</v>
      </c>
      <c r="I1442">
        <v>0</v>
      </c>
      <c r="J1442">
        <v>0</v>
      </c>
      <c r="K1442">
        <v>0</v>
      </c>
      <c r="L1442">
        <v>200</v>
      </c>
      <c r="M1442">
        <v>30</v>
      </c>
      <c r="N1442">
        <v>70</v>
      </c>
      <c r="O1442">
        <v>70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36</v>
      </c>
      <c r="W1442">
        <v>252</v>
      </c>
      <c r="Z1442">
        <v>1</v>
      </c>
      <c r="AA1442" t="s">
        <v>2987</v>
      </c>
    </row>
    <row r="1443" spans="1:27" x14ac:dyDescent="0.25">
      <c r="H1443" t="s">
        <v>2988</v>
      </c>
    </row>
    <row r="1444" spans="1:27" x14ac:dyDescent="0.25">
      <c r="A1444">
        <v>719</v>
      </c>
      <c r="B1444">
        <v>3189</v>
      </c>
      <c r="C1444" t="s">
        <v>2989</v>
      </c>
      <c r="D1444" t="s">
        <v>243</v>
      </c>
      <c r="E1444" t="s">
        <v>54</v>
      </c>
      <c r="F1444" t="s">
        <v>2990</v>
      </c>
      <c r="G1444" t="str">
        <f>"200801010769"</f>
        <v>200801010769</v>
      </c>
      <c r="H1444">
        <v>649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70</v>
      </c>
      <c r="O1444">
        <v>0</v>
      </c>
      <c r="P1444">
        <v>50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75</v>
      </c>
      <c r="W1444">
        <v>525</v>
      </c>
      <c r="Z1444">
        <v>0</v>
      </c>
      <c r="AA1444">
        <v>1294</v>
      </c>
    </row>
    <row r="1445" spans="1:27" x14ac:dyDescent="0.25">
      <c r="H1445" t="s">
        <v>2991</v>
      </c>
    </row>
    <row r="1446" spans="1:27" x14ac:dyDescent="0.25">
      <c r="A1446">
        <v>720</v>
      </c>
      <c r="B1446">
        <v>456</v>
      </c>
      <c r="C1446" t="s">
        <v>2992</v>
      </c>
      <c r="D1446" t="s">
        <v>532</v>
      </c>
      <c r="E1446" t="s">
        <v>54</v>
      </c>
      <c r="F1446" t="s">
        <v>2993</v>
      </c>
      <c r="G1446" t="str">
        <f>"201406000810"</f>
        <v>201406000810</v>
      </c>
      <c r="H1446" t="s">
        <v>1045</v>
      </c>
      <c r="I1446">
        <v>0</v>
      </c>
      <c r="J1446">
        <v>0</v>
      </c>
      <c r="K1446">
        <v>0</v>
      </c>
      <c r="L1446">
        <v>200</v>
      </c>
      <c r="M1446">
        <v>0</v>
      </c>
      <c r="N1446">
        <v>70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38</v>
      </c>
      <c r="W1446">
        <v>266</v>
      </c>
      <c r="Z1446">
        <v>1</v>
      </c>
      <c r="AA1446" t="s">
        <v>2994</v>
      </c>
    </row>
    <row r="1447" spans="1:27" x14ac:dyDescent="0.25">
      <c r="H1447" t="s">
        <v>2995</v>
      </c>
    </row>
    <row r="1448" spans="1:27" x14ac:dyDescent="0.25">
      <c r="A1448">
        <v>721</v>
      </c>
      <c r="B1448">
        <v>712</v>
      </c>
      <c r="C1448" t="s">
        <v>2996</v>
      </c>
      <c r="D1448" t="s">
        <v>2997</v>
      </c>
      <c r="E1448" t="s">
        <v>54</v>
      </c>
      <c r="F1448" t="s">
        <v>2998</v>
      </c>
      <c r="G1448" t="str">
        <f>"00013934"</f>
        <v>00013934</v>
      </c>
      <c r="H1448" t="s">
        <v>1397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175</v>
      </c>
      <c r="W1448">
        <v>588</v>
      </c>
      <c r="Z1448">
        <v>0</v>
      </c>
      <c r="AA1448" t="s">
        <v>2999</v>
      </c>
    </row>
    <row r="1449" spans="1:27" x14ac:dyDescent="0.25">
      <c r="H1449" t="s">
        <v>3000</v>
      </c>
    </row>
    <row r="1450" spans="1:27" x14ac:dyDescent="0.25">
      <c r="A1450">
        <v>722</v>
      </c>
      <c r="B1450">
        <v>2256</v>
      </c>
      <c r="C1450" t="s">
        <v>2268</v>
      </c>
      <c r="D1450" t="s">
        <v>3001</v>
      </c>
      <c r="E1450" t="s">
        <v>644</v>
      </c>
      <c r="F1450" t="s">
        <v>3002</v>
      </c>
      <c r="G1450" t="str">
        <f>"201406012037"</f>
        <v>201406012037</v>
      </c>
      <c r="H1450" t="s">
        <v>30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70</v>
      </c>
      <c r="O1450">
        <v>0</v>
      </c>
      <c r="P1450">
        <v>0</v>
      </c>
      <c r="Q1450">
        <v>0</v>
      </c>
      <c r="R1450">
        <v>30</v>
      </c>
      <c r="S1450">
        <v>0</v>
      </c>
      <c r="T1450">
        <v>0</v>
      </c>
      <c r="U1450">
        <v>0</v>
      </c>
      <c r="V1450">
        <v>65</v>
      </c>
      <c r="W1450">
        <v>455</v>
      </c>
      <c r="Z1450">
        <v>1</v>
      </c>
      <c r="AA1450" t="s">
        <v>3003</v>
      </c>
    </row>
    <row r="1451" spans="1:27" x14ac:dyDescent="0.25">
      <c r="H1451" t="s">
        <v>3004</v>
      </c>
    </row>
    <row r="1452" spans="1:27" x14ac:dyDescent="0.25">
      <c r="A1452">
        <v>723</v>
      </c>
      <c r="B1452">
        <v>738</v>
      </c>
      <c r="C1452" t="s">
        <v>3005</v>
      </c>
      <c r="D1452" t="s">
        <v>2529</v>
      </c>
      <c r="E1452" t="s">
        <v>121</v>
      </c>
      <c r="F1452" t="s">
        <v>3006</v>
      </c>
      <c r="G1452" t="str">
        <f>"201406010263"</f>
        <v>201406010263</v>
      </c>
      <c r="H1452" t="s">
        <v>1698</v>
      </c>
      <c r="I1452">
        <v>0</v>
      </c>
      <c r="J1452">
        <v>0</v>
      </c>
      <c r="K1452">
        <v>0</v>
      </c>
      <c r="L1452">
        <v>200</v>
      </c>
      <c r="M1452">
        <v>0</v>
      </c>
      <c r="N1452">
        <v>70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43</v>
      </c>
      <c r="W1452">
        <v>301</v>
      </c>
      <c r="Z1452">
        <v>0</v>
      </c>
      <c r="AA1452" t="s">
        <v>3007</v>
      </c>
    </row>
    <row r="1453" spans="1:27" x14ac:dyDescent="0.25">
      <c r="H1453" t="s">
        <v>3008</v>
      </c>
    </row>
    <row r="1454" spans="1:27" x14ac:dyDescent="0.25">
      <c r="A1454">
        <v>724</v>
      </c>
      <c r="B1454">
        <v>714</v>
      </c>
      <c r="C1454" t="s">
        <v>3009</v>
      </c>
      <c r="D1454" t="s">
        <v>3010</v>
      </c>
      <c r="E1454" t="s">
        <v>54</v>
      </c>
      <c r="F1454" t="s">
        <v>3011</v>
      </c>
      <c r="G1454" t="str">
        <f>"00014706"</f>
        <v>00014706</v>
      </c>
      <c r="H1454" t="s">
        <v>833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70</v>
      </c>
      <c r="V1454">
        <v>74</v>
      </c>
      <c r="W1454">
        <v>518</v>
      </c>
      <c r="Z1454">
        <v>0</v>
      </c>
      <c r="AA1454" t="s">
        <v>3012</v>
      </c>
    </row>
    <row r="1455" spans="1:27" x14ac:dyDescent="0.25">
      <c r="H1455" t="s">
        <v>3013</v>
      </c>
    </row>
    <row r="1456" spans="1:27" x14ac:dyDescent="0.25">
      <c r="A1456">
        <v>725</v>
      </c>
      <c r="B1456">
        <v>1519</v>
      </c>
      <c r="C1456" t="s">
        <v>3014</v>
      </c>
      <c r="D1456" t="s">
        <v>20</v>
      </c>
      <c r="E1456" t="s">
        <v>310</v>
      </c>
      <c r="F1456" t="s">
        <v>3015</v>
      </c>
      <c r="G1456" t="str">
        <f>"00015056"</f>
        <v>00015056</v>
      </c>
      <c r="H1456" t="s">
        <v>3016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30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67</v>
      </c>
      <c r="W1456">
        <v>469</v>
      </c>
      <c r="Z1456">
        <v>0</v>
      </c>
      <c r="AA1456" t="s">
        <v>3017</v>
      </c>
    </row>
    <row r="1457" spans="1:27" x14ac:dyDescent="0.25">
      <c r="H1457" t="s">
        <v>3018</v>
      </c>
    </row>
    <row r="1458" spans="1:27" x14ac:dyDescent="0.25">
      <c r="A1458">
        <v>726</v>
      </c>
      <c r="B1458">
        <v>3348</v>
      </c>
      <c r="C1458" t="s">
        <v>3019</v>
      </c>
      <c r="D1458" t="s">
        <v>3020</v>
      </c>
      <c r="E1458" t="s">
        <v>3021</v>
      </c>
      <c r="F1458" t="s">
        <v>3022</v>
      </c>
      <c r="G1458" t="str">
        <f>"201406010132"</f>
        <v>201406010132</v>
      </c>
      <c r="H1458" t="s">
        <v>374</v>
      </c>
      <c r="I1458">
        <v>0</v>
      </c>
      <c r="J1458">
        <v>0</v>
      </c>
      <c r="K1458">
        <v>0</v>
      </c>
      <c r="L1458">
        <v>200</v>
      </c>
      <c r="M1458">
        <v>30</v>
      </c>
      <c r="N1458">
        <v>70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36</v>
      </c>
      <c r="W1458">
        <v>252</v>
      </c>
      <c r="Z1458">
        <v>0</v>
      </c>
      <c r="AA1458" t="s">
        <v>3023</v>
      </c>
    </row>
    <row r="1459" spans="1:27" x14ac:dyDescent="0.25">
      <c r="H1459" t="s">
        <v>3024</v>
      </c>
    </row>
    <row r="1460" spans="1:27" x14ac:dyDescent="0.25">
      <c r="A1460">
        <v>727</v>
      </c>
      <c r="B1460">
        <v>1321</v>
      </c>
      <c r="C1460" t="s">
        <v>1929</v>
      </c>
      <c r="D1460" t="s">
        <v>210</v>
      </c>
      <c r="E1460" t="s">
        <v>41</v>
      </c>
      <c r="F1460" t="s">
        <v>3025</v>
      </c>
      <c r="G1460" t="str">
        <f>"201406019287"</f>
        <v>201406019287</v>
      </c>
      <c r="H1460" t="s">
        <v>2104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101</v>
      </c>
      <c r="W1460">
        <v>588</v>
      </c>
      <c r="Z1460">
        <v>0</v>
      </c>
      <c r="AA1460" t="s">
        <v>3026</v>
      </c>
    </row>
    <row r="1461" spans="1:27" x14ac:dyDescent="0.25">
      <c r="H1461" t="s">
        <v>3027</v>
      </c>
    </row>
    <row r="1462" spans="1:27" x14ac:dyDescent="0.25">
      <c r="A1462">
        <v>728</v>
      </c>
      <c r="B1462">
        <v>1280</v>
      </c>
      <c r="C1462" t="s">
        <v>3028</v>
      </c>
      <c r="D1462" t="s">
        <v>332</v>
      </c>
      <c r="E1462" t="s">
        <v>94</v>
      </c>
      <c r="F1462" t="s">
        <v>3029</v>
      </c>
      <c r="G1462" t="str">
        <f>"00014193"</f>
        <v>00014193</v>
      </c>
      <c r="H1462" t="s">
        <v>71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83</v>
      </c>
      <c r="W1462">
        <v>581</v>
      </c>
      <c r="Z1462">
        <v>0</v>
      </c>
      <c r="AA1462" t="s">
        <v>3030</v>
      </c>
    </row>
    <row r="1463" spans="1:27" x14ac:dyDescent="0.25">
      <c r="H1463" t="s">
        <v>3031</v>
      </c>
    </row>
    <row r="1464" spans="1:27" x14ac:dyDescent="0.25">
      <c r="A1464">
        <v>729</v>
      </c>
      <c r="B1464">
        <v>2897</v>
      </c>
      <c r="C1464" t="s">
        <v>3032</v>
      </c>
      <c r="D1464" t="s">
        <v>3033</v>
      </c>
      <c r="E1464" t="s">
        <v>81</v>
      </c>
      <c r="F1464" t="s">
        <v>3034</v>
      </c>
      <c r="G1464" t="str">
        <f>"00014176"</f>
        <v>00014176</v>
      </c>
      <c r="H1464" t="s">
        <v>3035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30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173</v>
      </c>
      <c r="W1464">
        <v>588</v>
      </c>
      <c r="Z1464">
        <v>0</v>
      </c>
      <c r="AA1464" t="s">
        <v>3036</v>
      </c>
    </row>
    <row r="1465" spans="1:27" x14ac:dyDescent="0.25">
      <c r="H1465">
        <v>211</v>
      </c>
    </row>
    <row r="1466" spans="1:27" x14ac:dyDescent="0.25">
      <c r="A1466">
        <v>730</v>
      </c>
      <c r="B1466">
        <v>26</v>
      </c>
      <c r="C1466" t="s">
        <v>3037</v>
      </c>
      <c r="D1466" t="s">
        <v>323</v>
      </c>
      <c r="E1466" t="s">
        <v>121</v>
      </c>
      <c r="F1466" t="s">
        <v>3038</v>
      </c>
      <c r="G1466" t="str">
        <f>"201406014667"</f>
        <v>201406014667</v>
      </c>
      <c r="H1466" t="s">
        <v>458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70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68</v>
      </c>
      <c r="W1466">
        <v>476</v>
      </c>
      <c r="Z1466">
        <v>0</v>
      </c>
      <c r="AA1466" t="s">
        <v>3039</v>
      </c>
    </row>
    <row r="1467" spans="1:27" x14ac:dyDescent="0.25">
      <c r="H1467" t="s">
        <v>579</v>
      </c>
    </row>
    <row r="1468" spans="1:27" x14ac:dyDescent="0.25">
      <c r="A1468">
        <v>731</v>
      </c>
      <c r="B1468">
        <v>1030</v>
      </c>
      <c r="C1468" t="s">
        <v>3040</v>
      </c>
      <c r="D1468" t="s">
        <v>1212</v>
      </c>
      <c r="E1468" t="s">
        <v>80</v>
      </c>
      <c r="F1468" t="s">
        <v>3041</v>
      </c>
      <c r="G1468" t="str">
        <f>"00013190"</f>
        <v>00013190</v>
      </c>
      <c r="H1468" t="s">
        <v>2632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156</v>
      </c>
      <c r="W1468">
        <v>588</v>
      </c>
      <c r="Z1468">
        <v>0</v>
      </c>
      <c r="AA1468" t="s">
        <v>3042</v>
      </c>
    </row>
    <row r="1469" spans="1:27" x14ac:dyDescent="0.25">
      <c r="H1469">
        <v>211</v>
      </c>
    </row>
    <row r="1470" spans="1:27" x14ac:dyDescent="0.25">
      <c r="A1470">
        <v>732</v>
      </c>
      <c r="B1470">
        <v>269</v>
      </c>
      <c r="C1470" t="s">
        <v>3043</v>
      </c>
      <c r="D1470" t="s">
        <v>1026</v>
      </c>
      <c r="E1470" t="s">
        <v>100</v>
      </c>
      <c r="F1470" t="s">
        <v>3044</v>
      </c>
      <c r="G1470" t="str">
        <f>"201406009138"</f>
        <v>201406009138</v>
      </c>
      <c r="H1470">
        <v>946</v>
      </c>
      <c r="I1470">
        <v>0</v>
      </c>
      <c r="J1470">
        <v>0</v>
      </c>
      <c r="K1470">
        <v>0</v>
      </c>
      <c r="L1470">
        <v>200</v>
      </c>
      <c r="M1470">
        <v>0</v>
      </c>
      <c r="N1470">
        <v>70</v>
      </c>
      <c r="O1470">
        <v>70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Z1470">
        <v>0</v>
      </c>
      <c r="AA1470">
        <v>1286</v>
      </c>
    </row>
    <row r="1471" spans="1:27" x14ac:dyDescent="0.25">
      <c r="H1471" t="s">
        <v>3045</v>
      </c>
    </row>
    <row r="1472" spans="1:27" x14ac:dyDescent="0.25">
      <c r="A1472">
        <v>733</v>
      </c>
      <c r="B1472">
        <v>1810</v>
      </c>
      <c r="C1472" t="s">
        <v>13</v>
      </c>
      <c r="D1472" t="s">
        <v>40</v>
      </c>
      <c r="E1472" t="s">
        <v>100</v>
      </c>
      <c r="F1472" t="s">
        <v>3046</v>
      </c>
      <c r="G1472" t="str">
        <f>"201406002960"</f>
        <v>201406002960</v>
      </c>
      <c r="H1472" t="s">
        <v>965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50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153</v>
      </c>
      <c r="W1472">
        <v>588</v>
      </c>
      <c r="Z1472">
        <v>0</v>
      </c>
      <c r="AA1472" t="s">
        <v>3047</v>
      </c>
    </row>
    <row r="1473" spans="1:27" x14ac:dyDescent="0.25">
      <c r="H1473" t="s">
        <v>3048</v>
      </c>
    </row>
    <row r="1474" spans="1:27" x14ac:dyDescent="0.25">
      <c r="A1474">
        <v>734</v>
      </c>
      <c r="B1474">
        <v>1910</v>
      </c>
      <c r="C1474" t="s">
        <v>2050</v>
      </c>
      <c r="D1474" t="s">
        <v>332</v>
      </c>
      <c r="E1474" t="s">
        <v>47</v>
      </c>
      <c r="F1474" t="s">
        <v>3049</v>
      </c>
      <c r="G1474" t="str">
        <f>"00015152"</f>
        <v>00015152</v>
      </c>
      <c r="H1474" t="s">
        <v>224</v>
      </c>
      <c r="I1474">
        <v>0</v>
      </c>
      <c r="J1474">
        <v>0</v>
      </c>
      <c r="K1474">
        <v>0</v>
      </c>
      <c r="L1474">
        <v>200</v>
      </c>
      <c r="M1474">
        <v>0</v>
      </c>
      <c r="N1474">
        <v>70</v>
      </c>
      <c r="O1474">
        <v>70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18</v>
      </c>
      <c r="W1474">
        <v>126</v>
      </c>
      <c r="Z1474">
        <v>0</v>
      </c>
      <c r="AA1474" t="s">
        <v>3050</v>
      </c>
    </row>
    <row r="1475" spans="1:27" x14ac:dyDescent="0.25">
      <c r="H1475" t="s">
        <v>73</v>
      </c>
    </row>
    <row r="1476" spans="1:27" x14ac:dyDescent="0.25">
      <c r="A1476">
        <v>735</v>
      </c>
      <c r="B1476">
        <v>2293</v>
      </c>
      <c r="C1476" t="s">
        <v>3051</v>
      </c>
      <c r="D1476" t="s">
        <v>541</v>
      </c>
      <c r="E1476" t="s">
        <v>3052</v>
      </c>
      <c r="F1476" t="s">
        <v>3053</v>
      </c>
      <c r="G1476" t="str">
        <f>"00014405"</f>
        <v>00014405</v>
      </c>
      <c r="H1476" t="s">
        <v>30</v>
      </c>
      <c r="I1476">
        <v>0</v>
      </c>
      <c r="J1476">
        <v>0</v>
      </c>
      <c r="K1476">
        <v>0</v>
      </c>
      <c r="L1476">
        <v>200</v>
      </c>
      <c r="M1476">
        <v>0</v>
      </c>
      <c r="N1476">
        <v>70</v>
      </c>
      <c r="O1476">
        <v>50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32</v>
      </c>
      <c r="W1476">
        <v>224</v>
      </c>
      <c r="Z1476">
        <v>0</v>
      </c>
      <c r="AA1476" t="s">
        <v>3054</v>
      </c>
    </row>
    <row r="1477" spans="1:27" x14ac:dyDescent="0.25">
      <c r="H1477" t="s">
        <v>56</v>
      </c>
    </row>
    <row r="1478" spans="1:27" x14ac:dyDescent="0.25">
      <c r="A1478">
        <v>736</v>
      </c>
      <c r="B1478">
        <v>965</v>
      </c>
      <c r="C1478" t="s">
        <v>3055</v>
      </c>
      <c r="D1478" t="s">
        <v>3056</v>
      </c>
      <c r="E1478" t="s">
        <v>21</v>
      </c>
      <c r="F1478" t="s">
        <v>3057</v>
      </c>
      <c r="G1478" t="str">
        <f>"201304001739"</f>
        <v>201304001739</v>
      </c>
      <c r="H1478" t="s">
        <v>1104</v>
      </c>
      <c r="I1478">
        <v>0</v>
      </c>
      <c r="J1478">
        <v>0</v>
      </c>
      <c r="K1478">
        <v>0</v>
      </c>
      <c r="L1478">
        <v>0</v>
      </c>
      <c r="M1478">
        <v>100</v>
      </c>
      <c r="N1478">
        <v>70</v>
      </c>
      <c r="O1478">
        <v>70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46</v>
      </c>
      <c r="W1478">
        <v>322</v>
      </c>
      <c r="Z1478">
        <v>0</v>
      </c>
      <c r="AA1478" t="s">
        <v>3058</v>
      </c>
    </row>
    <row r="1479" spans="1:27" x14ac:dyDescent="0.25">
      <c r="H1479" t="s">
        <v>3059</v>
      </c>
    </row>
    <row r="1480" spans="1:27" x14ac:dyDescent="0.25">
      <c r="A1480">
        <v>737</v>
      </c>
      <c r="B1480">
        <v>2715</v>
      </c>
      <c r="C1480" t="s">
        <v>3060</v>
      </c>
      <c r="D1480" t="s">
        <v>818</v>
      </c>
      <c r="E1480" t="s">
        <v>121</v>
      </c>
      <c r="F1480" t="s">
        <v>3061</v>
      </c>
      <c r="G1480" t="str">
        <f>"00015326"</f>
        <v>00015326</v>
      </c>
      <c r="H1480" t="s">
        <v>894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177</v>
      </c>
      <c r="W1480">
        <v>588</v>
      </c>
      <c r="Z1480">
        <v>0</v>
      </c>
      <c r="AA1480" t="s">
        <v>3062</v>
      </c>
    </row>
    <row r="1481" spans="1:27" x14ac:dyDescent="0.25">
      <c r="H1481">
        <v>203</v>
      </c>
    </row>
    <row r="1482" spans="1:27" x14ac:dyDescent="0.25">
      <c r="A1482">
        <v>738</v>
      </c>
      <c r="B1482">
        <v>760</v>
      </c>
      <c r="C1482" t="s">
        <v>3063</v>
      </c>
      <c r="D1482" t="s">
        <v>112</v>
      </c>
      <c r="E1482" t="s">
        <v>94</v>
      </c>
      <c r="F1482" t="s">
        <v>3064</v>
      </c>
      <c r="G1482" t="str">
        <f>"201304005457"</f>
        <v>201304005457</v>
      </c>
      <c r="H1482" t="s">
        <v>1383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50</v>
      </c>
      <c r="O1482">
        <v>30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82</v>
      </c>
      <c r="W1482">
        <v>574</v>
      </c>
      <c r="Z1482">
        <v>0</v>
      </c>
      <c r="AA1482" t="s">
        <v>3062</v>
      </c>
    </row>
    <row r="1483" spans="1:27" x14ac:dyDescent="0.25">
      <c r="H1483" t="s">
        <v>2215</v>
      </c>
    </row>
    <row r="1484" spans="1:27" x14ac:dyDescent="0.25">
      <c r="A1484">
        <v>739</v>
      </c>
      <c r="B1484">
        <v>2677</v>
      </c>
      <c r="C1484" t="s">
        <v>3065</v>
      </c>
      <c r="D1484" t="s">
        <v>3066</v>
      </c>
      <c r="E1484" t="s">
        <v>41</v>
      </c>
      <c r="F1484" t="s">
        <v>3067</v>
      </c>
      <c r="G1484" t="str">
        <f>"00014332"</f>
        <v>00014332</v>
      </c>
      <c r="H1484" t="s">
        <v>499</v>
      </c>
      <c r="I1484">
        <v>0</v>
      </c>
      <c r="J1484">
        <v>0</v>
      </c>
      <c r="K1484">
        <v>0</v>
      </c>
      <c r="L1484">
        <v>200</v>
      </c>
      <c r="M1484">
        <v>0</v>
      </c>
      <c r="N1484">
        <v>70</v>
      </c>
      <c r="O1484">
        <v>70</v>
      </c>
      <c r="P1484">
        <v>0</v>
      </c>
      <c r="Q1484">
        <v>0</v>
      </c>
      <c r="R1484">
        <v>30</v>
      </c>
      <c r="S1484">
        <v>0</v>
      </c>
      <c r="T1484">
        <v>0</v>
      </c>
      <c r="U1484">
        <v>0</v>
      </c>
      <c r="V1484">
        <v>15</v>
      </c>
      <c r="W1484">
        <v>105</v>
      </c>
      <c r="Z1484">
        <v>0</v>
      </c>
      <c r="AA1484" t="s">
        <v>3068</v>
      </c>
    </row>
    <row r="1485" spans="1:27" x14ac:dyDescent="0.25">
      <c r="H1485" t="s">
        <v>3069</v>
      </c>
    </row>
    <row r="1486" spans="1:27" x14ac:dyDescent="0.25">
      <c r="A1486">
        <v>740</v>
      </c>
      <c r="B1486">
        <v>377</v>
      </c>
      <c r="C1486" t="s">
        <v>3070</v>
      </c>
      <c r="D1486" t="s">
        <v>176</v>
      </c>
      <c r="E1486" t="s">
        <v>94</v>
      </c>
      <c r="F1486" t="s">
        <v>3071</v>
      </c>
      <c r="G1486" t="str">
        <f>"00015177"</f>
        <v>00015177</v>
      </c>
      <c r="H1486" t="s">
        <v>1316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70</v>
      </c>
      <c r="O1486">
        <v>70</v>
      </c>
      <c r="P1486">
        <v>0</v>
      </c>
      <c r="Q1486">
        <v>0</v>
      </c>
      <c r="R1486">
        <v>30</v>
      </c>
      <c r="S1486">
        <v>0</v>
      </c>
      <c r="T1486">
        <v>0</v>
      </c>
      <c r="U1486">
        <v>0</v>
      </c>
      <c r="V1486">
        <v>51</v>
      </c>
      <c r="W1486">
        <v>357</v>
      </c>
      <c r="Z1486">
        <v>0</v>
      </c>
      <c r="AA1486" t="s">
        <v>3072</v>
      </c>
    </row>
    <row r="1487" spans="1:27" x14ac:dyDescent="0.25">
      <c r="H1487" t="s">
        <v>3073</v>
      </c>
    </row>
    <row r="1488" spans="1:27" x14ac:dyDescent="0.25">
      <c r="A1488">
        <v>741</v>
      </c>
      <c r="B1488">
        <v>81</v>
      </c>
      <c r="C1488" t="s">
        <v>3074</v>
      </c>
      <c r="D1488" t="s">
        <v>20</v>
      </c>
      <c r="E1488" t="s">
        <v>1280</v>
      </c>
      <c r="F1488" t="s">
        <v>3075</v>
      </c>
      <c r="G1488" t="str">
        <f>"00012461"</f>
        <v>00012461</v>
      </c>
      <c r="H1488">
        <v>660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30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218</v>
      </c>
      <c r="W1488">
        <v>588</v>
      </c>
      <c r="Z1488">
        <v>0</v>
      </c>
      <c r="AA1488">
        <v>1278</v>
      </c>
    </row>
    <row r="1489" spans="1:27" x14ac:dyDescent="0.25">
      <c r="H1489" t="s">
        <v>3076</v>
      </c>
    </row>
    <row r="1490" spans="1:27" x14ac:dyDescent="0.25">
      <c r="A1490">
        <v>742</v>
      </c>
      <c r="B1490">
        <v>13</v>
      </c>
      <c r="C1490" t="s">
        <v>3077</v>
      </c>
      <c r="D1490" t="s">
        <v>3078</v>
      </c>
      <c r="E1490" t="s">
        <v>3079</v>
      </c>
      <c r="F1490" t="s">
        <v>3080</v>
      </c>
      <c r="G1490" t="str">
        <f>"201604001877"</f>
        <v>201604001877</v>
      </c>
      <c r="H1490">
        <v>660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30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190</v>
      </c>
      <c r="W1490">
        <v>588</v>
      </c>
      <c r="Z1490">
        <v>0</v>
      </c>
      <c r="AA1490">
        <v>1278</v>
      </c>
    </row>
    <row r="1491" spans="1:27" x14ac:dyDescent="0.25">
      <c r="H1491" t="s">
        <v>98</v>
      </c>
    </row>
    <row r="1492" spans="1:27" x14ac:dyDescent="0.25">
      <c r="A1492">
        <v>743</v>
      </c>
      <c r="B1492">
        <v>2310</v>
      </c>
      <c r="C1492" t="s">
        <v>3081</v>
      </c>
      <c r="D1492" t="s">
        <v>3082</v>
      </c>
      <c r="E1492" t="s">
        <v>81</v>
      </c>
      <c r="F1492" t="s">
        <v>3083</v>
      </c>
      <c r="G1492" t="str">
        <f>"00011730"</f>
        <v>00011730</v>
      </c>
      <c r="H1492" t="s">
        <v>1638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30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84</v>
      </c>
      <c r="W1492">
        <v>588</v>
      </c>
      <c r="Z1492">
        <v>0</v>
      </c>
      <c r="AA1492" t="s">
        <v>3084</v>
      </c>
    </row>
    <row r="1493" spans="1:27" x14ac:dyDescent="0.25">
      <c r="H1493" t="s">
        <v>3085</v>
      </c>
    </row>
    <row r="1494" spans="1:27" x14ac:dyDescent="0.25">
      <c r="A1494">
        <v>744</v>
      </c>
      <c r="B1494">
        <v>1167</v>
      </c>
      <c r="C1494" t="s">
        <v>3086</v>
      </c>
      <c r="D1494" t="s">
        <v>14</v>
      </c>
      <c r="E1494" t="s">
        <v>155</v>
      </c>
      <c r="F1494" t="s">
        <v>3087</v>
      </c>
      <c r="G1494" t="str">
        <f>"200802006561"</f>
        <v>200802006561</v>
      </c>
      <c r="H1494" t="s">
        <v>1410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70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72</v>
      </c>
      <c r="W1494">
        <v>504</v>
      </c>
      <c r="Z1494">
        <v>2</v>
      </c>
      <c r="AA1494" t="s">
        <v>3088</v>
      </c>
    </row>
    <row r="1495" spans="1:27" x14ac:dyDescent="0.25">
      <c r="H1495" t="s">
        <v>3089</v>
      </c>
    </row>
    <row r="1496" spans="1:27" x14ac:dyDescent="0.25">
      <c r="A1496">
        <v>745</v>
      </c>
      <c r="B1496">
        <v>1273</v>
      </c>
      <c r="C1496" t="s">
        <v>3090</v>
      </c>
      <c r="D1496" t="s">
        <v>3091</v>
      </c>
      <c r="E1496" t="s">
        <v>54</v>
      </c>
      <c r="F1496" t="s">
        <v>3092</v>
      </c>
      <c r="G1496" t="str">
        <f>"201406013199"</f>
        <v>201406013199</v>
      </c>
      <c r="H1496" t="s">
        <v>766</v>
      </c>
      <c r="I1496">
        <v>0</v>
      </c>
      <c r="J1496">
        <v>0</v>
      </c>
      <c r="K1496">
        <v>0</v>
      </c>
      <c r="L1496">
        <v>200</v>
      </c>
      <c r="M1496">
        <v>0</v>
      </c>
      <c r="N1496">
        <v>30</v>
      </c>
      <c r="O1496">
        <v>0</v>
      </c>
      <c r="P1496">
        <v>0</v>
      </c>
      <c r="Q1496">
        <v>30</v>
      </c>
      <c r="R1496">
        <v>0</v>
      </c>
      <c r="S1496">
        <v>0</v>
      </c>
      <c r="T1496">
        <v>0</v>
      </c>
      <c r="U1496">
        <v>0</v>
      </c>
      <c r="V1496">
        <v>36</v>
      </c>
      <c r="W1496">
        <v>252</v>
      </c>
      <c r="Z1496">
        <v>1</v>
      </c>
      <c r="AA1496" t="s">
        <v>3093</v>
      </c>
    </row>
    <row r="1497" spans="1:27" x14ac:dyDescent="0.25">
      <c r="H1497" t="s">
        <v>3094</v>
      </c>
    </row>
    <row r="1498" spans="1:27" x14ac:dyDescent="0.25">
      <c r="A1498">
        <v>746</v>
      </c>
      <c r="B1498">
        <v>308</v>
      </c>
      <c r="C1498" t="s">
        <v>3095</v>
      </c>
      <c r="D1498" t="s">
        <v>40</v>
      </c>
      <c r="E1498" t="s">
        <v>54</v>
      </c>
      <c r="F1498" t="s">
        <v>3096</v>
      </c>
      <c r="G1498" t="str">
        <f>"201402004711"</f>
        <v>201402004711</v>
      </c>
      <c r="H1498" t="s">
        <v>433</v>
      </c>
      <c r="I1498">
        <v>0</v>
      </c>
      <c r="J1498">
        <v>0</v>
      </c>
      <c r="K1498">
        <v>0</v>
      </c>
      <c r="L1498">
        <v>200</v>
      </c>
      <c r="M1498">
        <v>0</v>
      </c>
      <c r="N1498">
        <v>70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37</v>
      </c>
      <c r="W1498">
        <v>259</v>
      </c>
      <c r="Z1498">
        <v>0</v>
      </c>
      <c r="AA1498" t="s">
        <v>3097</v>
      </c>
    </row>
    <row r="1499" spans="1:27" x14ac:dyDescent="0.25">
      <c r="H1499" t="s">
        <v>3098</v>
      </c>
    </row>
    <row r="1500" spans="1:27" x14ac:dyDescent="0.25">
      <c r="A1500">
        <v>747</v>
      </c>
      <c r="B1500">
        <v>1398</v>
      </c>
      <c r="C1500" t="s">
        <v>3099</v>
      </c>
      <c r="D1500" t="s">
        <v>20</v>
      </c>
      <c r="E1500" t="s">
        <v>100</v>
      </c>
      <c r="F1500" t="s">
        <v>3100</v>
      </c>
      <c r="G1500" t="str">
        <f>"00014837"</f>
        <v>00014837</v>
      </c>
      <c r="H1500" t="s">
        <v>746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157</v>
      </c>
      <c r="W1500">
        <v>588</v>
      </c>
      <c r="Z1500">
        <v>2</v>
      </c>
      <c r="AA1500" t="s">
        <v>3101</v>
      </c>
    </row>
    <row r="1501" spans="1:27" x14ac:dyDescent="0.25">
      <c r="H1501" t="s">
        <v>3102</v>
      </c>
    </row>
    <row r="1502" spans="1:27" x14ac:dyDescent="0.25">
      <c r="A1502">
        <v>748</v>
      </c>
      <c r="B1502">
        <v>2505</v>
      </c>
      <c r="C1502" t="s">
        <v>3103</v>
      </c>
      <c r="D1502" t="s">
        <v>3104</v>
      </c>
      <c r="E1502" t="s">
        <v>1238</v>
      </c>
      <c r="F1502" t="s">
        <v>3105</v>
      </c>
      <c r="G1502" t="str">
        <f>"00013349"</f>
        <v>00013349</v>
      </c>
      <c r="H1502" t="s">
        <v>1762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30</v>
      </c>
      <c r="O1502">
        <v>30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72</v>
      </c>
      <c r="W1502">
        <v>504</v>
      </c>
      <c r="Z1502">
        <v>2</v>
      </c>
      <c r="AA1502" t="s">
        <v>3106</v>
      </c>
    </row>
    <row r="1503" spans="1:27" x14ac:dyDescent="0.25">
      <c r="H1503" t="s">
        <v>3107</v>
      </c>
    </row>
    <row r="1504" spans="1:27" x14ac:dyDescent="0.25">
      <c r="A1504">
        <v>749</v>
      </c>
      <c r="B1504">
        <v>1275</v>
      </c>
      <c r="C1504" t="s">
        <v>3108</v>
      </c>
      <c r="D1504" t="s">
        <v>3109</v>
      </c>
      <c r="E1504" t="s">
        <v>81</v>
      </c>
      <c r="F1504" t="s">
        <v>3110</v>
      </c>
      <c r="G1504" t="str">
        <f>"00014328"</f>
        <v>00014328</v>
      </c>
      <c r="H1504" t="s">
        <v>1173</v>
      </c>
      <c r="I1504">
        <v>150</v>
      </c>
      <c r="J1504">
        <v>0</v>
      </c>
      <c r="K1504">
        <v>0</v>
      </c>
      <c r="L1504">
        <v>0</v>
      </c>
      <c r="M1504">
        <v>0</v>
      </c>
      <c r="N1504">
        <v>70</v>
      </c>
      <c r="O1504">
        <v>70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34</v>
      </c>
      <c r="W1504">
        <v>238</v>
      </c>
      <c r="Z1504">
        <v>0</v>
      </c>
      <c r="AA1504" t="s">
        <v>3111</v>
      </c>
    </row>
    <row r="1505" spans="1:27" x14ac:dyDescent="0.25">
      <c r="H1505" t="s">
        <v>3112</v>
      </c>
    </row>
    <row r="1506" spans="1:27" x14ac:dyDescent="0.25">
      <c r="A1506">
        <v>750</v>
      </c>
      <c r="B1506">
        <v>940</v>
      </c>
      <c r="C1506" t="s">
        <v>3113</v>
      </c>
      <c r="D1506" t="s">
        <v>719</v>
      </c>
      <c r="E1506" t="s">
        <v>47</v>
      </c>
      <c r="F1506" t="s">
        <v>3114</v>
      </c>
      <c r="G1506" t="str">
        <f>"00013628"</f>
        <v>00013628</v>
      </c>
      <c r="H1506" t="s">
        <v>212</v>
      </c>
      <c r="I1506">
        <v>0</v>
      </c>
      <c r="J1506">
        <v>0</v>
      </c>
      <c r="K1506">
        <v>0</v>
      </c>
      <c r="L1506">
        <v>200</v>
      </c>
      <c r="M1506">
        <v>0</v>
      </c>
      <c r="N1506">
        <v>70</v>
      </c>
      <c r="O1506">
        <v>30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27</v>
      </c>
      <c r="W1506">
        <v>189</v>
      </c>
      <c r="Z1506">
        <v>0</v>
      </c>
      <c r="AA1506" t="s">
        <v>3115</v>
      </c>
    </row>
    <row r="1507" spans="1:27" x14ac:dyDescent="0.25">
      <c r="H1507" t="s">
        <v>3116</v>
      </c>
    </row>
    <row r="1508" spans="1:27" x14ac:dyDescent="0.25">
      <c r="A1508">
        <v>751</v>
      </c>
      <c r="B1508">
        <v>1344</v>
      </c>
      <c r="C1508" t="s">
        <v>2102</v>
      </c>
      <c r="D1508" t="s">
        <v>20</v>
      </c>
      <c r="E1508" t="s">
        <v>233</v>
      </c>
      <c r="F1508" t="s">
        <v>3117</v>
      </c>
      <c r="G1508" t="str">
        <f>"201506002868"</f>
        <v>201506002868</v>
      </c>
      <c r="H1508" t="s">
        <v>384</v>
      </c>
      <c r="I1508">
        <v>0</v>
      </c>
      <c r="J1508">
        <v>0</v>
      </c>
      <c r="K1508">
        <v>0</v>
      </c>
      <c r="L1508">
        <v>0</v>
      </c>
      <c r="M1508">
        <v>100</v>
      </c>
      <c r="N1508">
        <v>70</v>
      </c>
      <c r="O1508">
        <v>70</v>
      </c>
      <c r="P1508">
        <v>0</v>
      </c>
      <c r="Q1508">
        <v>30</v>
      </c>
      <c r="R1508">
        <v>0</v>
      </c>
      <c r="S1508">
        <v>0</v>
      </c>
      <c r="T1508">
        <v>0</v>
      </c>
      <c r="U1508">
        <v>0</v>
      </c>
      <c r="V1508">
        <v>36</v>
      </c>
      <c r="W1508">
        <v>252</v>
      </c>
      <c r="Z1508">
        <v>0</v>
      </c>
      <c r="AA1508" t="s">
        <v>3115</v>
      </c>
    </row>
    <row r="1509" spans="1:27" x14ac:dyDescent="0.25">
      <c r="H1509" t="s">
        <v>3118</v>
      </c>
    </row>
    <row r="1510" spans="1:27" x14ac:dyDescent="0.25">
      <c r="A1510">
        <v>752</v>
      </c>
      <c r="B1510">
        <v>1678</v>
      </c>
      <c r="C1510" t="s">
        <v>3119</v>
      </c>
      <c r="D1510" t="s">
        <v>891</v>
      </c>
      <c r="E1510" t="s">
        <v>3120</v>
      </c>
      <c r="F1510" t="s">
        <v>3121</v>
      </c>
      <c r="G1510" t="str">
        <f>"00010647"</f>
        <v>00010647</v>
      </c>
      <c r="H1510" t="s">
        <v>2060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99</v>
      </c>
      <c r="W1510">
        <v>588</v>
      </c>
      <c r="Z1510">
        <v>1</v>
      </c>
      <c r="AA1510" t="s">
        <v>3122</v>
      </c>
    </row>
    <row r="1511" spans="1:27" x14ac:dyDescent="0.25">
      <c r="H1511" t="s">
        <v>3123</v>
      </c>
    </row>
    <row r="1512" spans="1:27" x14ac:dyDescent="0.25">
      <c r="A1512">
        <v>753</v>
      </c>
      <c r="B1512">
        <v>697</v>
      </c>
      <c r="C1512" t="s">
        <v>3124</v>
      </c>
      <c r="D1512" t="s">
        <v>40</v>
      </c>
      <c r="E1512" t="s">
        <v>165</v>
      </c>
      <c r="F1512" t="s">
        <v>3125</v>
      </c>
      <c r="G1512" t="str">
        <f>"201406012675"</f>
        <v>201406012675</v>
      </c>
      <c r="H1512" t="s">
        <v>3126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70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136</v>
      </c>
      <c r="W1512">
        <v>588</v>
      </c>
      <c r="Z1512">
        <v>0</v>
      </c>
      <c r="AA1512" t="s">
        <v>3127</v>
      </c>
    </row>
    <row r="1513" spans="1:27" x14ac:dyDescent="0.25">
      <c r="H1513" t="s">
        <v>3128</v>
      </c>
    </row>
    <row r="1514" spans="1:27" x14ac:dyDescent="0.25">
      <c r="A1514">
        <v>754</v>
      </c>
      <c r="B1514">
        <v>1014</v>
      </c>
      <c r="C1514" t="s">
        <v>3129</v>
      </c>
      <c r="D1514" t="s">
        <v>3130</v>
      </c>
      <c r="E1514" t="s">
        <v>3131</v>
      </c>
      <c r="F1514" t="s">
        <v>3132</v>
      </c>
      <c r="G1514" t="str">
        <f>"00014473"</f>
        <v>00014473</v>
      </c>
      <c r="H1514" t="s">
        <v>2590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30</v>
      </c>
      <c r="O1514">
        <v>30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70</v>
      </c>
      <c r="W1514">
        <v>490</v>
      </c>
      <c r="Z1514">
        <v>0</v>
      </c>
      <c r="AA1514" t="s">
        <v>3133</v>
      </c>
    </row>
    <row r="1515" spans="1:27" x14ac:dyDescent="0.25">
      <c r="H1515" t="s">
        <v>3134</v>
      </c>
    </row>
    <row r="1516" spans="1:27" x14ac:dyDescent="0.25">
      <c r="A1516">
        <v>755</v>
      </c>
      <c r="B1516">
        <v>2172</v>
      </c>
      <c r="C1516" t="s">
        <v>3135</v>
      </c>
      <c r="D1516" t="s">
        <v>332</v>
      </c>
      <c r="E1516" t="s">
        <v>94</v>
      </c>
      <c r="F1516" t="s">
        <v>3136</v>
      </c>
      <c r="G1516" t="str">
        <f>"201304000365"</f>
        <v>201304000365</v>
      </c>
      <c r="H1516" t="s">
        <v>389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30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65</v>
      </c>
      <c r="W1516">
        <v>455</v>
      </c>
      <c r="Z1516">
        <v>0</v>
      </c>
      <c r="AA1516" t="s">
        <v>3137</v>
      </c>
    </row>
    <row r="1517" spans="1:27" x14ac:dyDescent="0.25">
      <c r="H1517" t="s">
        <v>549</v>
      </c>
    </row>
    <row r="1518" spans="1:27" x14ac:dyDescent="0.25">
      <c r="A1518">
        <v>756</v>
      </c>
      <c r="B1518">
        <v>1676</v>
      </c>
      <c r="C1518" t="s">
        <v>2350</v>
      </c>
      <c r="D1518" t="s">
        <v>136</v>
      </c>
      <c r="E1518" t="s">
        <v>422</v>
      </c>
      <c r="F1518" t="s">
        <v>3138</v>
      </c>
      <c r="G1518" t="str">
        <f>"00012362"</f>
        <v>00012362</v>
      </c>
      <c r="H1518" t="s">
        <v>920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70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56</v>
      </c>
      <c r="W1518">
        <v>392</v>
      </c>
      <c r="Z1518">
        <v>0</v>
      </c>
      <c r="AA1518" t="s">
        <v>3139</v>
      </c>
    </row>
    <row r="1519" spans="1:27" x14ac:dyDescent="0.25">
      <c r="H1519">
        <v>201</v>
      </c>
    </row>
    <row r="1520" spans="1:27" x14ac:dyDescent="0.25">
      <c r="A1520">
        <v>757</v>
      </c>
      <c r="B1520">
        <v>397</v>
      </c>
      <c r="C1520" t="s">
        <v>2276</v>
      </c>
      <c r="D1520" t="s">
        <v>532</v>
      </c>
      <c r="E1520" t="s">
        <v>94</v>
      </c>
      <c r="F1520" t="s">
        <v>3140</v>
      </c>
      <c r="G1520" t="str">
        <f>"00015319"</f>
        <v>00015319</v>
      </c>
      <c r="H1520" t="s">
        <v>458</v>
      </c>
      <c r="I1520">
        <v>0</v>
      </c>
      <c r="J1520">
        <v>0</v>
      </c>
      <c r="K1520">
        <v>0</v>
      </c>
      <c r="L1520">
        <v>200</v>
      </c>
      <c r="M1520">
        <v>0</v>
      </c>
      <c r="N1520">
        <v>70</v>
      </c>
      <c r="O1520">
        <v>30</v>
      </c>
      <c r="P1520">
        <v>0</v>
      </c>
      <c r="Q1520">
        <v>0</v>
      </c>
      <c r="R1520">
        <v>30</v>
      </c>
      <c r="S1520">
        <v>0</v>
      </c>
      <c r="T1520">
        <v>0</v>
      </c>
      <c r="U1520">
        <v>0</v>
      </c>
      <c r="V1520">
        <v>27</v>
      </c>
      <c r="W1520">
        <v>189</v>
      </c>
      <c r="Z1520">
        <v>0</v>
      </c>
      <c r="AA1520" t="s">
        <v>3141</v>
      </c>
    </row>
    <row r="1521" spans="1:27" x14ac:dyDescent="0.25">
      <c r="H1521" t="s">
        <v>3142</v>
      </c>
    </row>
    <row r="1522" spans="1:27" x14ac:dyDescent="0.25">
      <c r="A1522">
        <v>758</v>
      </c>
      <c r="B1522">
        <v>1297</v>
      </c>
      <c r="C1522" t="s">
        <v>3143</v>
      </c>
      <c r="D1522" t="s">
        <v>332</v>
      </c>
      <c r="E1522" t="s">
        <v>143</v>
      </c>
      <c r="F1522" t="s">
        <v>3144</v>
      </c>
      <c r="G1522" t="str">
        <f>"201304003173"</f>
        <v>201304003173</v>
      </c>
      <c r="H1522" t="s">
        <v>2445</v>
      </c>
      <c r="I1522">
        <v>0</v>
      </c>
      <c r="J1522">
        <v>0</v>
      </c>
      <c r="K1522">
        <v>0</v>
      </c>
      <c r="L1522">
        <v>200</v>
      </c>
      <c r="M1522">
        <v>0</v>
      </c>
      <c r="N1522">
        <v>70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45</v>
      </c>
      <c r="W1522">
        <v>315</v>
      </c>
      <c r="Z1522">
        <v>0</v>
      </c>
      <c r="AA1522" t="s">
        <v>3141</v>
      </c>
    </row>
    <row r="1523" spans="1:27" x14ac:dyDescent="0.25">
      <c r="H1523" t="s">
        <v>3145</v>
      </c>
    </row>
    <row r="1524" spans="1:27" x14ac:dyDescent="0.25">
      <c r="A1524">
        <v>759</v>
      </c>
      <c r="B1524">
        <v>964</v>
      </c>
      <c r="C1524" t="s">
        <v>3146</v>
      </c>
      <c r="D1524" t="s">
        <v>3147</v>
      </c>
      <c r="E1524" t="s">
        <v>1194</v>
      </c>
      <c r="F1524" t="s">
        <v>3148</v>
      </c>
      <c r="G1524" t="str">
        <f>"00013772"</f>
        <v>00013772</v>
      </c>
      <c r="H1524" t="s">
        <v>1562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30</v>
      </c>
      <c r="R1524">
        <v>0</v>
      </c>
      <c r="S1524">
        <v>0</v>
      </c>
      <c r="T1524">
        <v>0</v>
      </c>
      <c r="U1524">
        <v>0</v>
      </c>
      <c r="V1524">
        <v>144</v>
      </c>
      <c r="W1524">
        <v>588</v>
      </c>
      <c r="Z1524">
        <v>0</v>
      </c>
      <c r="AA1524" t="s">
        <v>3141</v>
      </c>
    </row>
    <row r="1525" spans="1:27" x14ac:dyDescent="0.25">
      <c r="H1525" t="s">
        <v>3149</v>
      </c>
    </row>
    <row r="1526" spans="1:27" x14ac:dyDescent="0.25">
      <c r="A1526">
        <v>760</v>
      </c>
      <c r="B1526">
        <v>562</v>
      </c>
      <c r="C1526" t="s">
        <v>3150</v>
      </c>
      <c r="D1526" t="s">
        <v>602</v>
      </c>
      <c r="E1526" t="s">
        <v>644</v>
      </c>
      <c r="F1526" t="s">
        <v>3151</v>
      </c>
      <c r="G1526" t="str">
        <f>"00011112"</f>
        <v>00011112</v>
      </c>
      <c r="H1526" t="s">
        <v>3035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210</v>
      </c>
      <c r="W1526">
        <v>588</v>
      </c>
      <c r="Z1526">
        <v>2</v>
      </c>
      <c r="AA1526" t="s">
        <v>3152</v>
      </c>
    </row>
    <row r="1527" spans="1:27" x14ac:dyDescent="0.25">
      <c r="H1527">
        <v>202</v>
      </c>
    </row>
    <row r="1528" spans="1:27" x14ac:dyDescent="0.25">
      <c r="A1528">
        <v>761</v>
      </c>
      <c r="B1528">
        <v>1359</v>
      </c>
      <c r="C1528" t="s">
        <v>3153</v>
      </c>
      <c r="D1528" t="s">
        <v>346</v>
      </c>
      <c r="E1528" t="s">
        <v>393</v>
      </c>
      <c r="F1528" t="s">
        <v>3154</v>
      </c>
      <c r="G1528" t="str">
        <f>"201506000184"</f>
        <v>201506000184</v>
      </c>
      <c r="H1528" t="s">
        <v>71</v>
      </c>
      <c r="I1528">
        <v>0</v>
      </c>
      <c r="J1528">
        <v>0</v>
      </c>
      <c r="K1528">
        <v>0</v>
      </c>
      <c r="L1528">
        <v>0</v>
      </c>
      <c r="M1528">
        <v>100</v>
      </c>
      <c r="N1528">
        <v>30</v>
      </c>
      <c r="O1528">
        <v>0</v>
      </c>
      <c r="P1528">
        <v>0</v>
      </c>
      <c r="Q1528">
        <v>0</v>
      </c>
      <c r="R1528">
        <v>30</v>
      </c>
      <c r="S1528">
        <v>0</v>
      </c>
      <c r="T1528">
        <v>0</v>
      </c>
      <c r="U1528">
        <v>0</v>
      </c>
      <c r="V1528">
        <v>60</v>
      </c>
      <c r="W1528">
        <v>420</v>
      </c>
      <c r="Z1528">
        <v>0</v>
      </c>
      <c r="AA1528" t="s">
        <v>3155</v>
      </c>
    </row>
    <row r="1529" spans="1:27" x14ac:dyDescent="0.25">
      <c r="H1529" t="s">
        <v>3156</v>
      </c>
    </row>
    <row r="1530" spans="1:27" x14ac:dyDescent="0.25">
      <c r="A1530">
        <v>762</v>
      </c>
      <c r="B1530">
        <v>3317</v>
      </c>
      <c r="C1530" t="s">
        <v>415</v>
      </c>
      <c r="D1530" t="s">
        <v>40</v>
      </c>
      <c r="E1530" t="s">
        <v>3157</v>
      </c>
      <c r="F1530" t="s">
        <v>3158</v>
      </c>
      <c r="G1530" t="str">
        <f>"201406015678"</f>
        <v>201406015678</v>
      </c>
      <c r="H1530" t="s">
        <v>544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70</v>
      </c>
      <c r="O1530">
        <v>70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52</v>
      </c>
      <c r="W1530">
        <v>364</v>
      </c>
      <c r="Z1530">
        <v>0</v>
      </c>
      <c r="AA1530" t="s">
        <v>3159</v>
      </c>
    </row>
    <row r="1531" spans="1:27" x14ac:dyDescent="0.25">
      <c r="H1531" t="s">
        <v>1825</v>
      </c>
    </row>
    <row r="1532" spans="1:27" x14ac:dyDescent="0.25">
      <c r="A1532">
        <v>763</v>
      </c>
      <c r="B1532">
        <v>471</v>
      </c>
      <c r="C1532" t="s">
        <v>3160</v>
      </c>
      <c r="D1532" t="s">
        <v>216</v>
      </c>
      <c r="E1532" t="s">
        <v>81</v>
      </c>
      <c r="F1532" t="s">
        <v>3161</v>
      </c>
      <c r="G1532" t="str">
        <f>"00014228"</f>
        <v>00014228</v>
      </c>
      <c r="H1532" t="s">
        <v>3162</v>
      </c>
      <c r="I1532">
        <v>0</v>
      </c>
      <c r="J1532">
        <v>0</v>
      </c>
      <c r="K1532">
        <v>0</v>
      </c>
      <c r="L1532">
        <v>200</v>
      </c>
      <c r="M1532">
        <v>0</v>
      </c>
      <c r="N1532">
        <v>70</v>
      </c>
      <c r="O1532">
        <v>30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25</v>
      </c>
      <c r="W1532">
        <v>175</v>
      </c>
      <c r="Z1532">
        <v>0</v>
      </c>
      <c r="AA1532" t="s">
        <v>3163</v>
      </c>
    </row>
    <row r="1533" spans="1:27" x14ac:dyDescent="0.25">
      <c r="H1533" t="s">
        <v>3164</v>
      </c>
    </row>
    <row r="1534" spans="1:27" x14ac:dyDescent="0.25">
      <c r="A1534">
        <v>764</v>
      </c>
      <c r="B1534">
        <v>2958</v>
      </c>
      <c r="C1534" t="s">
        <v>3165</v>
      </c>
      <c r="D1534" t="s">
        <v>3166</v>
      </c>
      <c r="E1534" t="s">
        <v>143</v>
      </c>
      <c r="F1534" t="s">
        <v>3167</v>
      </c>
      <c r="G1534" t="str">
        <f>"201406001508"</f>
        <v>201406001508</v>
      </c>
      <c r="H1534" t="s">
        <v>3168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70</v>
      </c>
      <c r="O1534">
        <v>30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73</v>
      </c>
      <c r="W1534">
        <v>511</v>
      </c>
      <c r="Z1534">
        <v>1</v>
      </c>
      <c r="AA1534" t="s">
        <v>3169</v>
      </c>
    </row>
    <row r="1535" spans="1:27" x14ac:dyDescent="0.25">
      <c r="H1535" t="s">
        <v>3170</v>
      </c>
    </row>
    <row r="1536" spans="1:27" x14ac:dyDescent="0.25">
      <c r="A1536">
        <v>765</v>
      </c>
      <c r="B1536">
        <v>3074</v>
      </c>
      <c r="C1536" t="s">
        <v>3171</v>
      </c>
      <c r="D1536" t="s">
        <v>3172</v>
      </c>
      <c r="E1536" t="s">
        <v>21</v>
      </c>
      <c r="F1536" t="s">
        <v>3173</v>
      </c>
      <c r="G1536" t="str">
        <f>"00013294"</f>
        <v>00013294</v>
      </c>
      <c r="H1536" t="s">
        <v>2632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134</v>
      </c>
      <c r="W1536">
        <v>588</v>
      </c>
      <c r="Z1536">
        <v>1</v>
      </c>
      <c r="AA1536" t="s">
        <v>3174</v>
      </c>
    </row>
    <row r="1537" spans="1:27" x14ac:dyDescent="0.25">
      <c r="H1537" t="s">
        <v>2787</v>
      </c>
    </row>
    <row r="1538" spans="1:27" x14ac:dyDescent="0.25">
      <c r="A1538">
        <v>766</v>
      </c>
      <c r="B1538">
        <v>3196</v>
      </c>
      <c r="C1538" t="s">
        <v>3175</v>
      </c>
      <c r="D1538" t="s">
        <v>20</v>
      </c>
      <c r="E1538" t="s">
        <v>34</v>
      </c>
      <c r="F1538" t="s">
        <v>3176</v>
      </c>
      <c r="G1538" t="str">
        <f>"201304000483"</f>
        <v>201304000483</v>
      </c>
      <c r="H1538" t="s">
        <v>1160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70</v>
      </c>
      <c r="O1538">
        <v>0</v>
      </c>
      <c r="P1538">
        <v>0</v>
      </c>
      <c r="Q1538">
        <v>70</v>
      </c>
      <c r="R1538">
        <v>0</v>
      </c>
      <c r="S1538">
        <v>0</v>
      </c>
      <c r="T1538">
        <v>0</v>
      </c>
      <c r="U1538">
        <v>0</v>
      </c>
      <c r="V1538">
        <v>60</v>
      </c>
      <c r="W1538">
        <v>420</v>
      </c>
      <c r="Z1538">
        <v>0</v>
      </c>
      <c r="AA1538" t="s">
        <v>3177</v>
      </c>
    </row>
    <row r="1539" spans="1:27" x14ac:dyDescent="0.25">
      <c r="H1539" t="s">
        <v>98</v>
      </c>
    </row>
    <row r="1540" spans="1:27" x14ac:dyDescent="0.25">
      <c r="A1540">
        <v>767</v>
      </c>
      <c r="B1540">
        <v>2336</v>
      </c>
      <c r="C1540" t="s">
        <v>3178</v>
      </c>
      <c r="D1540" t="s">
        <v>694</v>
      </c>
      <c r="E1540" t="s">
        <v>351</v>
      </c>
      <c r="F1540" t="s">
        <v>3179</v>
      </c>
      <c r="G1540" t="str">
        <f>"00014996"</f>
        <v>00014996</v>
      </c>
      <c r="H1540" t="s">
        <v>2680</v>
      </c>
      <c r="I1540">
        <v>0</v>
      </c>
      <c r="J1540">
        <v>0</v>
      </c>
      <c r="K1540">
        <v>0</v>
      </c>
      <c r="L1540">
        <v>200</v>
      </c>
      <c r="M1540">
        <v>0</v>
      </c>
      <c r="N1540">
        <v>70</v>
      </c>
      <c r="O1540">
        <v>50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36</v>
      </c>
      <c r="W1540">
        <v>252</v>
      </c>
      <c r="Z1540">
        <v>0</v>
      </c>
      <c r="AA1540" t="s">
        <v>3180</v>
      </c>
    </row>
    <row r="1541" spans="1:27" x14ac:dyDescent="0.25">
      <c r="H1541" t="s">
        <v>549</v>
      </c>
    </row>
    <row r="1542" spans="1:27" x14ac:dyDescent="0.25">
      <c r="A1542">
        <v>768</v>
      </c>
      <c r="B1542">
        <v>2547</v>
      </c>
      <c r="C1542" t="s">
        <v>2661</v>
      </c>
      <c r="D1542" t="s">
        <v>100</v>
      </c>
      <c r="E1542" t="s">
        <v>47</v>
      </c>
      <c r="F1542" t="s">
        <v>2662</v>
      </c>
      <c r="G1542" t="str">
        <f>"00015025"</f>
        <v>00015025</v>
      </c>
      <c r="H1542" t="s">
        <v>2663</v>
      </c>
      <c r="I1542">
        <v>0</v>
      </c>
      <c r="J1542">
        <v>0</v>
      </c>
      <c r="K1542">
        <v>0</v>
      </c>
      <c r="L1542">
        <v>0</v>
      </c>
      <c r="M1542">
        <v>100</v>
      </c>
      <c r="N1542">
        <v>70</v>
      </c>
      <c r="O1542">
        <v>30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27</v>
      </c>
      <c r="W1542">
        <v>189</v>
      </c>
      <c r="Z1542">
        <v>0</v>
      </c>
      <c r="AA1542" t="s">
        <v>3181</v>
      </c>
    </row>
    <row r="1543" spans="1:27" x14ac:dyDescent="0.25">
      <c r="H1543" t="s">
        <v>2665</v>
      </c>
    </row>
    <row r="1544" spans="1:27" x14ac:dyDescent="0.25">
      <c r="A1544">
        <v>769</v>
      </c>
      <c r="B1544">
        <v>2210</v>
      </c>
      <c r="C1544" t="s">
        <v>3182</v>
      </c>
      <c r="D1544" t="s">
        <v>323</v>
      </c>
      <c r="E1544" t="s">
        <v>507</v>
      </c>
      <c r="F1544" t="s">
        <v>3183</v>
      </c>
      <c r="G1544" t="str">
        <f>"00014440"</f>
        <v>00014440</v>
      </c>
      <c r="H1544" t="s">
        <v>2981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70</v>
      </c>
      <c r="O1544">
        <v>0</v>
      </c>
      <c r="P1544">
        <v>30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28</v>
      </c>
      <c r="W1544">
        <v>196</v>
      </c>
      <c r="Z1544">
        <v>0</v>
      </c>
      <c r="AA1544" t="s">
        <v>3184</v>
      </c>
    </row>
    <row r="1545" spans="1:27" x14ac:dyDescent="0.25">
      <c r="H1545" t="s">
        <v>3185</v>
      </c>
    </row>
    <row r="1546" spans="1:27" x14ac:dyDescent="0.25">
      <c r="A1546">
        <v>770</v>
      </c>
      <c r="B1546">
        <v>757</v>
      </c>
      <c r="C1546" t="s">
        <v>3186</v>
      </c>
      <c r="D1546" t="s">
        <v>20</v>
      </c>
      <c r="E1546" t="s">
        <v>143</v>
      </c>
      <c r="F1546" t="s">
        <v>3187</v>
      </c>
      <c r="G1546" t="str">
        <f>"201411000392"</f>
        <v>201411000392</v>
      </c>
      <c r="H1546">
        <v>737</v>
      </c>
      <c r="I1546">
        <v>0</v>
      </c>
      <c r="J1546">
        <v>0</v>
      </c>
      <c r="K1546">
        <v>0</v>
      </c>
      <c r="L1546">
        <v>0</v>
      </c>
      <c r="M1546">
        <v>100</v>
      </c>
      <c r="N1546">
        <v>70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49</v>
      </c>
      <c r="W1546">
        <v>343</v>
      </c>
      <c r="Z1546">
        <v>0</v>
      </c>
      <c r="AA1546">
        <v>1250</v>
      </c>
    </row>
    <row r="1547" spans="1:27" x14ac:dyDescent="0.25">
      <c r="H1547" t="s">
        <v>3188</v>
      </c>
    </row>
    <row r="1548" spans="1:27" x14ac:dyDescent="0.25">
      <c r="A1548">
        <v>771</v>
      </c>
      <c r="B1548">
        <v>1830</v>
      </c>
      <c r="C1548" t="s">
        <v>3189</v>
      </c>
      <c r="D1548" t="s">
        <v>1726</v>
      </c>
      <c r="E1548" t="s">
        <v>47</v>
      </c>
      <c r="F1548" t="s">
        <v>3190</v>
      </c>
      <c r="G1548" t="str">
        <f>"201406000624"</f>
        <v>201406000624</v>
      </c>
      <c r="H1548" t="s">
        <v>1010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70</v>
      </c>
      <c r="O1548">
        <v>70</v>
      </c>
      <c r="P1548">
        <v>50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51</v>
      </c>
      <c r="W1548">
        <v>357</v>
      </c>
      <c r="Z1548">
        <v>0</v>
      </c>
      <c r="AA1548" t="s">
        <v>3191</v>
      </c>
    </row>
    <row r="1549" spans="1:27" x14ac:dyDescent="0.25">
      <c r="H1549" t="s">
        <v>3192</v>
      </c>
    </row>
    <row r="1550" spans="1:27" x14ac:dyDescent="0.25">
      <c r="A1550">
        <v>772</v>
      </c>
      <c r="B1550">
        <v>1062</v>
      </c>
      <c r="C1550" t="s">
        <v>3193</v>
      </c>
      <c r="D1550" t="s">
        <v>1803</v>
      </c>
      <c r="E1550" t="s">
        <v>81</v>
      </c>
      <c r="F1550" t="s">
        <v>3194</v>
      </c>
      <c r="G1550" t="str">
        <f>"201406001808"</f>
        <v>201406001808</v>
      </c>
      <c r="H1550" t="s">
        <v>3195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70</v>
      </c>
      <c r="O1550">
        <v>0</v>
      </c>
      <c r="P1550">
        <v>50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27</v>
      </c>
      <c r="W1550">
        <v>189</v>
      </c>
      <c r="Z1550">
        <v>2</v>
      </c>
      <c r="AA1550" t="s">
        <v>3196</v>
      </c>
    </row>
    <row r="1551" spans="1:27" x14ac:dyDescent="0.25">
      <c r="H1551" t="s">
        <v>130</v>
      </c>
    </row>
    <row r="1552" spans="1:27" x14ac:dyDescent="0.25">
      <c r="A1552">
        <v>773</v>
      </c>
      <c r="B1552">
        <v>3041</v>
      </c>
      <c r="C1552" t="s">
        <v>3197</v>
      </c>
      <c r="D1552" t="s">
        <v>3198</v>
      </c>
      <c r="E1552" t="s">
        <v>155</v>
      </c>
      <c r="F1552" t="s">
        <v>3199</v>
      </c>
      <c r="G1552" t="str">
        <f>"00014651"</f>
        <v>00014651</v>
      </c>
      <c r="H1552" t="s">
        <v>2836</v>
      </c>
      <c r="I1552">
        <v>0</v>
      </c>
      <c r="J1552">
        <v>0</v>
      </c>
      <c r="K1552">
        <v>0</v>
      </c>
      <c r="L1552">
        <v>0</v>
      </c>
      <c r="M1552">
        <v>100</v>
      </c>
      <c r="N1552">
        <v>70</v>
      </c>
      <c r="O1552">
        <v>50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51</v>
      </c>
      <c r="W1552">
        <v>357</v>
      </c>
      <c r="Z1552">
        <v>0</v>
      </c>
      <c r="AA1552" t="s">
        <v>3200</v>
      </c>
    </row>
    <row r="1553" spans="1:27" x14ac:dyDescent="0.25">
      <c r="H1553" t="s">
        <v>530</v>
      </c>
    </row>
    <row r="1554" spans="1:27" x14ac:dyDescent="0.25">
      <c r="A1554">
        <v>774</v>
      </c>
      <c r="B1554">
        <v>244</v>
      </c>
      <c r="C1554" t="s">
        <v>3201</v>
      </c>
      <c r="D1554" t="s">
        <v>3202</v>
      </c>
      <c r="E1554" t="s">
        <v>47</v>
      </c>
      <c r="F1554" t="s">
        <v>3203</v>
      </c>
      <c r="G1554" t="str">
        <f>"201406012487"</f>
        <v>201406012487</v>
      </c>
      <c r="H1554" t="s">
        <v>43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70</v>
      </c>
      <c r="O1554">
        <v>70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51</v>
      </c>
      <c r="W1554">
        <v>357</v>
      </c>
      <c r="Z1554">
        <v>1</v>
      </c>
      <c r="AA1554" t="s">
        <v>3204</v>
      </c>
    </row>
    <row r="1555" spans="1:27" x14ac:dyDescent="0.25">
      <c r="H1555" t="s">
        <v>3205</v>
      </c>
    </row>
    <row r="1556" spans="1:27" x14ac:dyDescent="0.25">
      <c r="A1556">
        <v>775</v>
      </c>
      <c r="B1556">
        <v>118</v>
      </c>
      <c r="C1556" t="s">
        <v>3206</v>
      </c>
      <c r="D1556" t="s">
        <v>40</v>
      </c>
      <c r="E1556" t="s">
        <v>47</v>
      </c>
      <c r="F1556" t="s">
        <v>3207</v>
      </c>
      <c r="G1556" t="str">
        <f>"00014598"</f>
        <v>00014598</v>
      </c>
      <c r="H1556" t="s">
        <v>3208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135</v>
      </c>
      <c r="W1556">
        <v>588</v>
      </c>
      <c r="Z1556">
        <v>0</v>
      </c>
      <c r="AA1556" t="s">
        <v>3204</v>
      </c>
    </row>
    <row r="1557" spans="1:27" x14ac:dyDescent="0.25">
      <c r="H1557" t="s">
        <v>3209</v>
      </c>
    </row>
    <row r="1558" spans="1:27" x14ac:dyDescent="0.25">
      <c r="A1558">
        <v>776</v>
      </c>
      <c r="B1558">
        <v>2520</v>
      </c>
      <c r="C1558" t="s">
        <v>3210</v>
      </c>
      <c r="D1558" t="s">
        <v>40</v>
      </c>
      <c r="E1558" t="s">
        <v>542</v>
      </c>
      <c r="F1558" t="s">
        <v>3211</v>
      </c>
      <c r="G1558" t="str">
        <f>"200812000854"</f>
        <v>200812000854</v>
      </c>
      <c r="H1558" t="s">
        <v>3212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30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84</v>
      </c>
      <c r="W1558">
        <v>588</v>
      </c>
      <c r="Z1558">
        <v>0</v>
      </c>
      <c r="AA1558" t="s">
        <v>3213</v>
      </c>
    </row>
    <row r="1559" spans="1:27" x14ac:dyDescent="0.25">
      <c r="H1559" t="s">
        <v>98</v>
      </c>
    </row>
    <row r="1560" spans="1:27" x14ac:dyDescent="0.25">
      <c r="A1560">
        <v>777</v>
      </c>
      <c r="B1560">
        <v>2260</v>
      </c>
      <c r="C1560" t="s">
        <v>3214</v>
      </c>
      <c r="D1560" t="s">
        <v>87</v>
      </c>
      <c r="E1560" t="s">
        <v>100</v>
      </c>
      <c r="F1560" t="s">
        <v>3215</v>
      </c>
      <c r="G1560" t="str">
        <f>"00013843"</f>
        <v>00013843</v>
      </c>
      <c r="H1560" t="s">
        <v>30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70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62</v>
      </c>
      <c r="W1560">
        <v>434</v>
      </c>
      <c r="Z1560">
        <v>1</v>
      </c>
      <c r="AA1560" t="s">
        <v>3216</v>
      </c>
    </row>
    <row r="1561" spans="1:27" x14ac:dyDescent="0.25">
      <c r="H1561" t="s">
        <v>3217</v>
      </c>
    </row>
    <row r="1562" spans="1:27" x14ac:dyDescent="0.25">
      <c r="A1562">
        <v>778</v>
      </c>
      <c r="B1562">
        <v>1396</v>
      </c>
      <c r="C1562" t="s">
        <v>3218</v>
      </c>
      <c r="D1562" t="s">
        <v>398</v>
      </c>
      <c r="E1562" t="s">
        <v>41</v>
      </c>
      <c r="F1562" t="s">
        <v>3219</v>
      </c>
      <c r="G1562" t="str">
        <f>"201406014297"</f>
        <v>201406014297</v>
      </c>
      <c r="H1562" t="s">
        <v>3168</v>
      </c>
      <c r="I1562">
        <v>150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59</v>
      </c>
      <c r="W1562">
        <v>413</v>
      </c>
      <c r="Z1562">
        <v>0</v>
      </c>
      <c r="AA1562" t="s">
        <v>3220</v>
      </c>
    </row>
    <row r="1563" spans="1:27" x14ac:dyDescent="0.25">
      <c r="H1563" t="s">
        <v>3221</v>
      </c>
    </row>
    <row r="1564" spans="1:27" x14ac:dyDescent="0.25">
      <c r="A1564">
        <v>779</v>
      </c>
      <c r="B1564">
        <v>746</v>
      </c>
      <c r="C1564" t="s">
        <v>3222</v>
      </c>
      <c r="D1564" t="s">
        <v>20</v>
      </c>
      <c r="E1564" t="s">
        <v>41</v>
      </c>
      <c r="F1564" t="s">
        <v>3223</v>
      </c>
      <c r="G1564" t="str">
        <f>"00014981"</f>
        <v>00014981</v>
      </c>
      <c r="H1564">
        <v>737</v>
      </c>
      <c r="I1564">
        <v>150</v>
      </c>
      <c r="J1564">
        <v>0</v>
      </c>
      <c r="K1564">
        <v>0</v>
      </c>
      <c r="L1564">
        <v>200</v>
      </c>
      <c r="M1564">
        <v>30</v>
      </c>
      <c r="N1564">
        <v>70</v>
      </c>
      <c r="O1564">
        <v>50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0</v>
      </c>
      <c r="Z1564">
        <v>0</v>
      </c>
      <c r="AA1564">
        <v>1237</v>
      </c>
    </row>
    <row r="1565" spans="1:27" x14ac:dyDescent="0.25">
      <c r="H1565" t="s">
        <v>3224</v>
      </c>
    </row>
    <row r="1566" spans="1:27" x14ac:dyDescent="0.25">
      <c r="A1566">
        <v>780</v>
      </c>
      <c r="B1566">
        <v>2044</v>
      </c>
      <c r="C1566" t="s">
        <v>3225</v>
      </c>
      <c r="D1566" t="s">
        <v>40</v>
      </c>
      <c r="E1566" t="s">
        <v>47</v>
      </c>
      <c r="F1566" t="s">
        <v>3226</v>
      </c>
      <c r="G1566" t="str">
        <f>"201505000200"</f>
        <v>201505000200</v>
      </c>
      <c r="H1566" t="s">
        <v>3208</v>
      </c>
      <c r="I1566">
        <v>0</v>
      </c>
      <c r="J1566">
        <v>0</v>
      </c>
      <c r="K1566">
        <v>0</v>
      </c>
      <c r="L1566">
        <v>200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54</v>
      </c>
      <c r="W1566">
        <v>378</v>
      </c>
      <c r="Z1566">
        <v>0</v>
      </c>
      <c r="AA1566" t="s">
        <v>3227</v>
      </c>
    </row>
    <row r="1567" spans="1:27" x14ac:dyDescent="0.25">
      <c r="H1567" t="s">
        <v>3228</v>
      </c>
    </row>
    <row r="1568" spans="1:27" x14ac:dyDescent="0.25">
      <c r="A1568">
        <v>781</v>
      </c>
      <c r="B1568">
        <v>3362</v>
      </c>
      <c r="C1568" t="s">
        <v>3229</v>
      </c>
      <c r="D1568" t="s">
        <v>20</v>
      </c>
      <c r="E1568" t="s">
        <v>1280</v>
      </c>
      <c r="F1568" t="s">
        <v>3230</v>
      </c>
      <c r="G1568" t="str">
        <f>"201304005592"</f>
        <v>201304005592</v>
      </c>
      <c r="H1568">
        <v>737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70</v>
      </c>
      <c r="O1568">
        <v>30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57</v>
      </c>
      <c r="W1568">
        <v>399</v>
      </c>
      <c r="Z1568">
        <v>0</v>
      </c>
      <c r="AA1568">
        <v>1236</v>
      </c>
    </row>
    <row r="1569" spans="1:27" x14ac:dyDescent="0.25">
      <c r="H1569" t="s">
        <v>3231</v>
      </c>
    </row>
    <row r="1570" spans="1:27" x14ac:dyDescent="0.25">
      <c r="A1570">
        <v>782</v>
      </c>
      <c r="B1570">
        <v>121</v>
      </c>
      <c r="C1570" t="s">
        <v>3232</v>
      </c>
      <c r="D1570" t="s">
        <v>1570</v>
      </c>
      <c r="E1570" t="s">
        <v>41</v>
      </c>
      <c r="F1570" t="s">
        <v>3233</v>
      </c>
      <c r="G1570" t="str">
        <f>"00014015"</f>
        <v>00014015</v>
      </c>
      <c r="H1570" t="s">
        <v>3234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201</v>
      </c>
      <c r="W1570">
        <v>588</v>
      </c>
      <c r="Z1570">
        <v>1</v>
      </c>
      <c r="AA1570" t="s">
        <v>3235</v>
      </c>
    </row>
    <row r="1571" spans="1:27" x14ac:dyDescent="0.25">
      <c r="H1571" t="s">
        <v>2787</v>
      </c>
    </row>
    <row r="1572" spans="1:27" x14ac:dyDescent="0.25">
      <c r="A1572">
        <v>783</v>
      </c>
      <c r="B1572">
        <v>207</v>
      </c>
      <c r="C1572" t="s">
        <v>2047</v>
      </c>
      <c r="D1572" t="s">
        <v>136</v>
      </c>
      <c r="E1572" t="s">
        <v>1150</v>
      </c>
      <c r="F1572" t="s">
        <v>3236</v>
      </c>
      <c r="G1572" t="str">
        <f>"00014695"</f>
        <v>00014695</v>
      </c>
      <c r="H1572" t="s">
        <v>1698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70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63</v>
      </c>
      <c r="W1572">
        <v>441</v>
      </c>
      <c r="Z1572">
        <v>0</v>
      </c>
      <c r="AA1572" t="s">
        <v>3237</v>
      </c>
    </row>
    <row r="1573" spans="1:27" x14ac:dyDescent="0.25">
      <c r="H1573" t="s">
        <v>3238</v>
      </c>
    </row>
    <row r="1574" spans="1:27" x14ac:dyDescent="0.25">
      <c r="A1574">
        <v>784</v>
      </c>
      <c r="B1574">
        <v>500</v>
      </c>
      <c r="C1574" t="s">
        <v>3239</v>
      </c>
      <c r="D1574" t="s">
        <v>3240</v>
      </c>
      <c r="E1574" t="s">
        <v>3241</v>
      </c>
      <c r="F1574" t="s">
        <v>3242</v>
      </c>
      <c r="G1574" t="str">
        <f>"201506003747"</f>
        <v>201506003747</v>
      </c>
      <c r="H1574" t="s">
        <v>1204</v>
      </c>
      <c r="I1574">
        <v>0</v>
      </c>
      <c r="J1574">
        <v>0</v>
      </c>
      <c r="K1574">
        <v>0</v>
      </c>
      <c r="L1574">
        <v>0</v>
      </c>
      <c r="M1574">
        <v>100</v>
      </c>
      <c r="N1574">
        <v>70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41</v>
      </c>
      <c r="W1574">
        <v>287</v>
      </c>
      <c r="Z1574">
        <v>0</v>
      </c>
      <c r="AA1574" t="s">
        <v>3243</v>
      </c>
    </row>
    <row r="1575" spans="1:27" x14ac:dyDescent="0.25">
      <c r="H1575" t="s">
        <v>1925</v>
      </c>
    </row>
    <row r="1576" spans="1:27" x14ac:dyDescent="0.25">
      <c r="A1576">
        <v>785</v>
      </c>
      <c r="B1576">
        <v>2117</v>
      </c>
      <c r="C1576" t="s">
        <v>3244</v>
      </c>
      <c r="D1576" t="s">
        <v>3245</v>
      </c>
      <c r="E1576" t="s">
        <v>47</v>
      </c>
      <c r="F1576" t="s">
        <v>3246</v>
      </c>
      <c r="G1576" t="str">
        <f>"00012595"</f>
        <v>00012595</v>
      </c>
      <c r="H1576" t="s">
        <v>597</v>
      </c>
      <c r="I1576">
        <v>0</v>
      </c>
      <c r="J1576">
        <v>0</v>
      </c>
      <c r="K1576">
        <v>0</v>
      </c>
      <c r="L1576">
        <v>0</v>
      </c>
      <c r="M1576">
        <v>100</v>
      </c>
      <c r="N1576">
        <v>70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42</v>
      </c>
      <c r="W1576">
        <v>294</v>
      </c>
      <c r="Z1576">
        <v>0</v>
      </c>
      <c r="AA1576" t="s">
        <v>3247</v>
      </c>
    </row>
    <row r="1577" spans="1:27" x14ac:dyDescent="0.25">
      <c r="H1577" t="s">
        <v>3248</v>
      </c>
    </row>
    <row r="1578" spans="1:27" x14ac:dyDescent="0.25">
      <c r="A1578">
        <v>786</v>
      </c>
      <c r="B1578">
        <v>2928</v>
      </c>
      <c r="C1578" t="s">
        <v>3249</v>
      </c>
      <c r="D1578" t="s">
        <v>1408</v>
      </c>
      <c r="E1578" t="s">
        <v>100</v>
      </c>
      <c r="F1578" t="s">
        <v>3250</v>
      </c>
      <c r="G1578" t="str">
        <f>"200802004607"</f>
        <v>200802004607</v>
      </c>
      <c r="H1578" t="s">
        <v>2986</v>
      </c>
      <c r="I1578">
        <v>0</v>
      </c>
      <c r="J1578">
        <v>0</v>
      </c>
      <c r="K1578">
        <v>0</v>
      </c>
      <c r="L1578">
        <v>0</v>
      </c>
      <c r="M1578">
        <v>100</v>
      </c>
      <c r="N1578">
        <v>70</v>
      </c>
      <c r="O1578">
        <v>50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48</v>
      </c>
      <c r="W1578">
        <v>336</v>
      </c>
      <c r="Z1578">
        <v>0</v>
      </c>
      <c r="AA1578" t="s">
        <v>3251</v>
      </c>
    </row>
    <row r="1579" spans="1:27" x14ac:dyDescent="0.25">
      <c r="H1579">
        <v>211</v>
      </c>
    </row>
    <row r="1580" spans="1:27" x14ac:dyDescent="0.25">
      <c r="A1580">
        <v>787</v>
      </c>
      <c r="B1580">
        <v>375</v>
      </c>
      <c r="C1580" t="s">
        <v>3252</v>
      </c>
      <c r="D1580" t="s">
        <v>87</v>
      </c>
      <c r="E1580" t="s">
        <v>3253</v>
      </c>
      <c r="F1580" t="s">
        <v>3254</v>
      </c>
      <c r="G1580" t="str">
        <f>"201506002985"</f>
        <v>201506002985</v>
      </c>
      <c r="H1580" t="s">
        <v>1275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30</v>
      </c>
      <c r="O1580">
        <v>50</v>
      </c>
      <c r="P1580">
        <v>0</v>
      </c>
      <c r="Q1580">
        <v>30</v>
      </c>
      <c r="R1580">
        <v>0</v>
      </c>
      <c r="S1580">
        <v>0</v>
      </c>
      <c r="T1580">
        <v>0</v>
      </c>
      <c r="U1580">
        <v>0</v>
      </c>
      <c r="V1580">
        <v>60</v>
      </c>
      <c r="W1580">
        <v>420</v>
      </c>
      <c r="Z1580">
        <v>0</v>
      </c>
      <c r="AA1580" t="s">
        <v>3255</v>
      </c>
    </row>
    <row r="1581" spans="1:27" x14ac:dyDescent="0.25">
      <c r="H1581" t="s">
        <v>3256</v>
      </c>
    </row>
    <row r="1582" spans="1:27" x14ac:dyDescent="0.25">
      <c r="A1582">
        <v>788</v>
      </c>
      <c r="B1582">
        <v>1569</v>
      </c>
      <c r="C1582" t="s">
        <v>338</v>
      </c>
      <c r="D1582" t="s">
        <v>3257</v>
      </c>
      <c r="E1582" t="s">
        <v>81</v>
      </c>
      <c r="F1582" t="s">
        <v>3258</v>
      </c>
      <c r="G1582" t="str">
        <f>"00012733"</f>
        <v>00012733</v>
      </c>
      <c r="H1582" t="s">
        <v>3259</v>
      </c>
      <c r="I1582">
        <v>0</v>
      </c>
      <c r="J1582">
        <v>0</v>
      </c>
      <c r="K1582">
        <v>0</v>
      </c>
      <c r="L1582">
        <v>200</v>
      </c>
      <c r="M1582">
        <v>0</v>
      </c>
      <c r="N1582">
        <v>70</v>
      </c>
      <c r="O1582">
        <v>0</v>
      </c>
      <c r="P1582">
        <v>30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12</v>
      </c>
      <c r="W1582">
        <v>84</v>
      </c>
      <c r="Z1582">
        <v>0</v>
      </c>
      <c r="AA1582" t="s">
        <v>3260</v>
      </c>
    </row>
    <row r="1583" spans="1:27" x14ac:dyDescent="0.25">
      <c r="H1583">
        <v>203</v>
      </c>
    </row>
    <row r="1584" spans="1:27" x14ac:dyDescent="0.25">
      <c r="A1584">
        <v>789</v>
      </c>
      <c r="B1584">
        <v>1901</v>
      </c>
      <c r="C1584" t="s">
        <v>2379</v>
      </c>
      <c r="D1584" t="s">
        <v>620</v>
      </c>
      <c r="E1584" t="s">
        <v>100</v>
      </c>
      <c r="F1584" t="s">
        <v>3261</v>
      </c>
      <c r="G1584" t="str">
        <f>"00013549"</f>
        <v>00013549</v>
      </c>
      <c r="H1584" t="s">
        <v>2606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70</v>
      </c>
      <c r="R1584">
        <v>0</v>
      </c>
      <c r="S1584">
        <v>0</v>
      </c>
      <c r="T1584">
        <v>0</v>
      </c>
      <c r="U1584">
        <v>0</v>
      </c>
      <c r="V1584">
        <v>72</v>
      </c>
      <c r="W1584">
        <v>504</v>
      </c>
      <c r="Z1584">
        <v>0</v>
      </c>
      <c r="AA1584" t="s">
        <v>3262</v>
      </c>
    </row>
    <row r="1585" spans="1:27" x14ac:dyDescent="0.25">
      <c r="H1585" t="s">
        <v>1825</v>
      </c>
    </row>
    <row r="1586" spans="1:27" x14ac:dyDescent="0.25">
      <c r="A1586">
        <v>790</v>
      </c>
      <c r="B1586">
        <v>2673</v>
      </c>
      <c r="C1586" t="s">
        <v>3263</v>
      </c>
      <c r="D1586" t="s">
        <v>100</v>
      </c>
      <c r="E1586" t="s">
        <v>47</v>
      </c>
      <c r="F1586" t="s">
        <v>3264</v>
      </c>
      <c r="G1586" t="str">
        <f>"201304002825"</f>
        <v>201304002825</v>
      </c>
      <c r="H1586" t="s">
        <v>438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70</v>
      </c>
      <c r="O1586">
        <v>0</v>
      </c>
      <c r="P1586">
        <v>50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43</v>
      </c>
      <c r="W1586">
        <v>301</v>
      </c>
      <c r="Z1586">
        <v>0</v>
      </c>
      <c r="AA1586" t="s">
        <v>3265</v>
      </c>
    </row>
    <row r="1587" spans="1:27" x14ac:dyDescent="0.25">
      <c r="H1587" t="s">
        <v>3266</v>
      </c>
    </row>
    <row r="1588" spans="1:27" x14ac:dyDescent="0.25">
      <c r="A1588">
        <v>791</v>
      </c>
      <c r="B1588">
        <v>2266</v>
      </c>
      <c r="C1588" t="s">
        <v>3267</v>
      </c>
      <c r="D1588" t="s">
        <v>81</v>
      </c>
      <c r="E1588" t="s">
        <v>143</v>
      </c>
      <c r="F1588" t="s">
        <v>3268</v>
      </c>
      <c r="G1588" t="str">
        <f>"00014832"</f>
        <v>00014832</v>
      </c>
      <c r="H1588">
        <v>682</v>
      </c>
      <c r="I1588">
        <v>150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52</v>
      </c>
      <c r="W1588">
        <v>364</v>
      </c>
      <c r="Z1588">
        <v>0</v>
      </c>
      <c r="AA1588">
        <v>1226</v>
      </c>
    </row>
    <row r="1589" spans="1:27" x14ac:dyDescent="0.25">
      <c r="H1589">
        <v>211</v>
      </c>
    </row>
    <row r="1590" spans="1:27" x14ac:dyDescent="0.25">
      <c r="A1590">
        <v>792</v>
      </c>
      <c r="B1590">
        <v>664</v>
      </c>
      <c r="C1590" t="s">
        <v>1514</v>
      </c>
      <c r="D1590" t="s">
        <v>3269</v>
      </c>
      <c r="E1590" t="s">
        <v>507</v>
      </c>
      <c r="F1590" t="s">
        <v>3270</v>
      </c>
      <c r="G1590" t="str">
        <f>"00014010"</f>
        <v>00014010</v>
      </c>
      <c r="H1590" t="s">
        <v>43</v>
      </c>
      <c r="I1590">
        <v>0</v>
      </c>
      <c r="J1590">
        <v>0</v>
      </c>
      <c r="K1590">
        <v>0</v>
      </c>
      <c r="L1590">
        <v>0</v>
      </c>
      <c r="M1590">
        <v>100</v>
      </c>
      <c r="N1590">
        <v>70</v>
      </c>
      <c r="O1590">
        <v>30</v>
      </c>
      <c r="P1590">
        <v>0</v>
      </c>
      <c r="Q1590">
        <v>0</v>
      </c>
      <c r="R1590">
        <v>30</v>
      </c>
      <c r="S1590">
        <v>0</v>
      </c>
      <c r="T1590">
        <v>0</v>
      </c>
      <c r="U1590">
        <v>0</v>
      </c>
      <c r="V1590">
        <v>35</v>
      </c>
      <c r="W1590">
        <v>245</v>
      </c>
      <c r="Z1590">
        <v>0</v>
      </c>
      <c r="AA1590" t="s">
        <v>3271</v>
      </c>
    </row>
    <row r="1591" spans="1:27" x14ac:dyDescent="0.25">
      <c r="H1591" t="s">
        <v>3272</v>
      </c>
    </row>
    <row r="1592" spans="1:27" x14ac:dyDescent="0.25">
      <c r="A1592">
        <v>793</v>
      </c>
      <c r="B1592">
        <v>845</v>
      </c>
      <c r="C1592" t="s">
        <v>3273</v>
      </c>
      <c r="D1592" t="s">
        <v>323</v>
      </c>
      <c r="E1592" t="s">
        <v>143</v>
      </c>
      <c r="F1592" t="s">
        <v>3274</v>
      </c>
      <c r="G1592" t="str">
        <f>"00013801"</f>
        <v>00013801</v>
      </c>
      <c r="H1592" t="s">
        <v>3275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70</v>
      </c>
      <c r="O1592">
        <v>0</v>
      </c>
      <c r="P1592">
        <v>50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60</v>
      </c>
      <c r="W1592">
        <v>420</v>
      </c>
      <c r="Z1592">
        <v>0</v>
      </c>
      <c r="AA1592" t="s">
        <v>3276</v>
      </c>
    </row>
    <row r="1593" spans="1:27" x14ac:dyDescent="0.25">
      <c r="H1593" t="s">
        <v>98</v>
      </c>
    </row>
    <row r="1594" spans="1:27" x14ac:dyDescent="0.25">
      <c r="A1594">
        <v>794</v>
      </c>
      <c r="B1594">
        <v>1324</v>
      </c>
      <c r="C1594" t="s">
        <v>3277</v>
      </c>
      <c r="D1594" t="s">
        <v>3278</v>
      </c>
      <c r="E1594" t="s">
        <v>3279</v>
      </c>
      <c r="F1594" t="s">
        <v>3280</v>
      </c>
      <c r="G1594" t="str">
        <f>"00014575"</f>
        <v>00014575</v>
      </c>
      <c r="H1594">
        <v>913</v>
      </c>
      <c r="I1594">
        <v>0</v>
      </c>
      <c r="J1594">
        <v>0</v>
      </c>
      <c r="K1594">
        <v>0</v>
      </c>
      <c r="L1594">
        <v>200</v>
      </c>
      <c r="M1594">
        <v>0</v>
      </c>
      <c r="N1594">
        <v>70</v>
      </c>
      <c r="O1594">
        <v>30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0</v>
      </c>
      <c r="Z1594">
        <v>0</v>
      </c>
      <c r="AA1594">
        <v>1213</v>
      </c>
    </row>
    <row r="1595" spans="1:27" x14ac:dyDescent="0.25">
      <c r="H1595" t="s">
        <v>3281</v>
      </c>
    </row>
    <row r="1596" spans="1:27" x14ac:dyDescent="0.25">
      <c r="A1596">
        <v>795</v>
      </c>
      <c r="B1596">
        <v>1382</v>
      </c>
      <c r="C1596" t="s">
        <v>3282</v>
      </c>
      <c r="D1596" t="s">
        <v>54</v>
      </c>
      <c r="E1596" t="s">
        <v>100</v>
      </c>
      <c r="F1596" t="s">
        <v>3283</v>
      </c>
      <c r="G1596" t="str">
        <f>"00012914"</f>
        <v>00012914</v>
      </c>
      <c r="H1596" t="s">
        <v>1662</v>
      </c>
      <c r="I1596">
        <v>0</v>
      </c>
      <c r="J1596">
        <v>0</v>
      </c>
      <c r="K1596">
        <v>0</v>
      </c>
      <c r="L1596">
        <v>200</v>
      </c>
      <c r="M1596">
        <v>0</v>
      </c>
      <c r="N1596">
        <v>70</v>
      </c>
      <c r="O1596">
        <v>0</v>
      </c>
      <c r="P1596">
        <v>70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31</v>
      </c>
      <c r="W1596">
        <v>217</v>
      </c>
      <c r="Z1596">
        <v>1</v>
      </c>
      <c r="AA1596" t="s">
        <v>3284</v>
      </c>
    </row>
    <row r="1597" spans="1:27" x14ac:dyDescent="0.25">
      <c r="H1597" t="s">
        <v>3285</v>
      </c>
    </row>
    <row r="1598" spans="1:27" x14ac:dyDescent="0.25">
      <c r="A1598">
        <v>796</v>
      </c>
      <c r="B1598">
        <v>3363</v>
      </c>
      <c r="C1598" t="s">
        <v>3286</v>
      </c>
      <c r="D1598" t="s">
        <v>652</v>
      </c>
      <c r="E1598" t="s">
        <v>81</v>
      </c>
      <c r="F1598" t="s">
        <v>3287</v>
      </c>
      <c r="G1598" t="str">
        <f>"00013558"</f>
        <v>00013558</v>
      </c>
      <c r="H1598" t="s">
        <v>690</v>
      </c>
      <c r="I1598">
        <v>0</v>
      </c>
      <c r="J1598">
        <v>0</v>
      </c>
      <c r="K1598">
        <v>0</v>
      </c>
      <c r="L1598">
        <v>200</v>
      </c>
      <c r="M1598">
        <v>0</v>
      </c>
      <c r="N1598">
        <v>70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27</v>
      </c>
      <c r="W1598">
        <v>189</v>
      </c>
      <c r="Z1598">
        <v>0</v>
      </c>
      <c r="AA1598" t="s">
        <v>3288</v>
      </c>
    </row>
    <row r="1599" spans="1:27" x14ac:dyDescent="0.25">
      <c r="H1599" t="s">
        <v>3289</v>
      </c>
    </row>
    <row r="1600" spans="1:27" x14ac:dyDescent="0.25">
      <c r="A1600">
        <v>797</v>
      </c>
      <c r="B1600">
        <v>2361</v>
      </c>
      <c r="C1600" t="s">
        <v>3290</v>
      </c>
      <c r="D1600" t="s">
        <v>1149</v>
      </c>
      <c r="E1600" t="s">
        <v>3291</v>
      </c>
      <c r="F1600" t="s">
        <v>3292</v>
      </c>
      <c r="G1600" t="str">
        <f>"201506002812"</f>
        <v>201506002812</v>
      </c>
      <c r="H1600">
        <v>759</v>
      </c>
      <c r="I1600">
        <v>0</v>
      </c>
      <c r="J1600">
        <v>0</v>
      </c>
      <c r="K1600">
        <v>0</v>
      </c>
      <c r="L1600">
        <v>200</v>
      </c>
      <c r="M1600">
        <v>0</v>
      </c>
      <c r="N1600">
        <v>70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26</v>
      </c>
      <c r="W1600">
        <v>182</v>
      </c>
      <c r="Z1600">
        <v>1</v>
      </c>
      <c r="AA1600">
        <v>1211</v>
      </c>
    </row>
    <row r="1601" spans="1:27" x14ac:dyDescent="0.25">
      <c r="H1601" t="s">
        <v>3293</v>
      </c>
    </row>
    <row r="1602" spans="1:27" x14ac:dyDescent="0.25">
      <c r="A1602">
        <v>798</v>
      </c>
      <c r="B1602">
        <v>3064</v>
      </c>
      <c r="C1602" t="s">
        <v>3294</v>
      </c>
      <c r="D1602" t="s">
        <v>100</v>
      </c>
      <c r="E1602" t="s">
        <v>602</v>
      </c>
      <c r="F1602" t="s">
        <v>3295</v>
      </c>
      <c r="G1602" t="str">
        <f>"00013631"</f>
        <v>00013631</v>
      </c>
      <c r="H1602" t="s">
        <v>43</v>
      </c>
      <c r="I1602">
        <v>150</v>
      </c>
      <c r="J1602">
        <v>0</v>
      </c>
      <c r="K1602">
        <v>0</v>
      </c>
      <c r="L1602">
        <v>0</v>
      </c>
      <c r="M1602">
        <v>100</v>
      </c>
      <c r="N1602">
        <v>50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23</v>
      </c>
      <c r="W1602">
        <v>161</v>
      </c>
      <c r="Z1602">
        <v>0</v>
      </c>
      <c r="AA1602" t="s">
        <v>3296</v>
      </c>
    </row>
    <row r="1603" spans="1:27" x14ac:dyDescent="0.25">
      <c r="H1603" t="s">
        <v>3297</v>
      </c>
    </row>
    <row r="1604" spans="1:27" x14ac:dyDescent="0.25">
      <c r="A1604">
        <v>799</v>
      </c>
      <c r="B1604">
        <v>1585</v>
      </c>
      <c r="C1604" t="s">
        <v>3298</v>
      </c>
      <c r="D1604" t="s">
        <v>532</v>
      </c>
      <c r="E1604" t="s">
        <v>3299</v>
      </c>
      <c r="F1604" t="s">
        <v>3300</v>
      </c>
      <c r="G1604" t="str">
        <f>"00014563"</f>
        <v>00014563</v>
      </c>
      <c r="H1604">
        <v>759</v>
      </c>
      <c r="I1604">
        <v>0</v>
      </c>
      <c r="J1604">
        <v>0</v>
      </c>
      <c r="K1604">
        <v>0</v>
      </c>
      <c r="L1604">
        <v>260</v>
      </c>
      <c r="M1604">
        <v>0</v>
      </c>
      <c r="N1604">
        <v>70</v>
      </c>
      <c r="O1604">
        <v>50</v>
      </c>
      <c r="P1604">
        <v>0</v>
      </c>
      <c r="Q1604">
        <v>70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Z1604">
        <v>0</v>
      </c>
      <c r="AA1604">
        <v>1209</v>
      </c>
    </row>
    <row r="1605" spans="1:27" x14ac:dyDescent="0.25">
      <c r="H1605" t="s">
        <v>3301</v>
      </c>
    </row>
    <row r="1606" spans="1:27" x14ac:dyDescent="0.25">
      <c r="A1606">
        <v>800</v>
      </c>
      <c r="B1606">
        <v>2360</v>
      </c>
      <c r="C1606" t="s">
        <v>3302</v>
      </c>
      <c r="D1606" t="s">
        <v>652</v>
      </c>
      <c r="E1606" t="s">
        <v>47</v>
      </c>
      <c r="F1606" t="s">
        <v>3303</v>
      </c>
      <c r="G1606" t="str">
        <f>"201506002379"</f>
        <v>201506002379</v>
      </c>
      <c r="H1606">
        <v>550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70</v>
      </c>
      <c r="R1606">
        <v>0</v>
      </c>
      <c r="S1606">
        <v>0</v>
      </c>
      <c r="T1606">
        <v>0</v>
      </c>
      <c r="U1606">
        <v>0</v>
      </c>
      <c r="V1606">
        <v>120</v>
      </c>
      <c r="W1606">
        <v>588</v>
      </c>
      <c r="Z1606">
        <v>1</v>
      </c>
      <c r="AA1606">
        <v>1208</v>
      </c>
    </row>
    <row r="1607" spans="1:27" x14ac:dyDescent="0.25">
      <c r="H1607" t="s">
        <v>3304</v>
      </c>
    </row>
    <row r="1608" spans="1:27" x14ac:dyDescent="0.25">
      <c r="A1608">
        <v>801</v>
      </c>
      <c r="B1608">
        <v>687</v>
      </c>
      <c r="C1608" t="s">
        <v>3305</v>
      </c>
      <c r="D1608" t="s">
        <v>3306</v>
      </c>
      <c r="E1608" t="s">
        <v>100</v>
      </c>
      <c r="F1608" t="s">
        <v>3307</v>
      </c>
      <c r="G1608" t="str">
        <f>"00015295"</f>
        <v>00015295</v>
      </c>
      <c r="H1608">
        <v>550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70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107</v>
      </c>
      <c r="W1608">
        <v>588</v>
      </c>
      <c r="Z1608">
        <v>0</v>
      </c>
      <c r="AA1608">
        <v>1208</v>
      </c>
    </row>
    <row r="1609" spans="1:27" x14ac:dyDescent="0.25">
      <c r="H1609" t="s">
        <v>3308</v>
      </c>
    </row>
    <row r="1610" spans="1:27" x14ac:dyDescent="0.25">
      <c r="A1610">
        <v>802</v>
      </c>
      <c r="B1610">
        <v>2401</v>
      </c>
      <c r="C1610" t="s">
        <v>3309</v>
      </c>
      <c r="D1610" t="s">
        <v>136</v>
      </c>
      <c r="E1610" t="s">
        <v>81</v>
      </c>
      <c r="F1610" t="s">
        <v>3310</v>
      </c>
      <c r="G1610" t="str">
        <f>"00013253"</f>
        <v>00013253</v>
      </c>
      <c r="H1610" t="s">
        <v>49</v>
      </c>
      <c r="I1610">
        <v>0</v>
      </c>
      <c r="J1610">
        <v>0</v>
      </c>
      <c r="K1610">
        <v>0</v>
      </c>
      <c r="L1610">
        <v>200</v>
      </c>
      <c r="M1610">
        <v>0</v>
      </c>
      <c r="N1610">
        <v>70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29</v>
      </c>
      <c r="W1610">
        <v>203</v>
      </c>
      <c r="Z1610">
        <v>0</v>
      </c>
      <c r="AA1610" t="s">
        <v>3311</v>
      </c>
    </row>
    <row r="1611" spans="1:27" x14ac:dyDescent="0.25">
      <c r="H1611" t="s">
        <v>3312</v>
      </c>
    </row>
    <row r="1612" spans="1:27" x14ac:dyDescent="0.25">
      <c r="A1612">
        <v>803</v>
      </c>
      <c r="B1612">
        <v>232</v>
      </c>
      <c r="C1612" t="s">
        <v>3313</v>
      </c>
      <c r="D1612" t="s">
        <v>3314</v>
      </c>
      <c r="E1612" t="s">
        <v>54</v>
      </c>
      <c r="F1612" t="s">
        <v>3315</v>
      </c>
      <c r="G1612" t="str">
        <f>"00014654"</f>
        <v>00014654</v>
      </c>
      <c r="H1612" t="s">
        <v>879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70</v>
      </c>
      <c r="O1612">
        <v>30</v>
      </c>
      <c r="P1612">
        <v>50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47</v>
      </c>
      <c r="W1612">
        <v>329</v>
      </c>
      <c r="Z1612">
        <v>1</v>
      </c>
      <c r="AA1612" t="s">
        <v>3316</v>
      </c>
    </row>
    <row r="1613" spans="1:27" x14ac:dyDescent="0.25">
      <c r="H1613" t="s">
        <v>2240</v>
      </c>
    </row>
    <row r="1614" spans="1:27" x14ac:dyDescent="0.25">
      <c r="A1614">
        <v>804</v>
      </c>
      <c r="B1614">
        <v>1199</v>
      </c>
      <c r="C1614" t="s">
        <v>2559</v>
      </c>
      <c r="D1614" t="s">
        <v>69</v>
      </c>
      <c r="E1614" t="s">
        <v>21</v>
      </c>
      <c r="F1614" t="s">
        <v>3317</v>
      </c>
      <c r="G1614" t="str">
        <f>"00014731"</f>
        <v>00014731</v>
      </c>
      <c r="H1614" t="s">
        <v>1372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70</v>
      </c>
      <c r="O1614">
        <v>30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59</v>
      </c>
      <c r="W1614">
        <v>413</v>
      </c>
      <c r="Z1614">
        <v>0</v>
      </c>
      <c r="AA1614" t="s">
        <v>3318</v>
      </c>
    </row>
    <row r="1615" spans="1:27" x14ac:dyDescent="0.25">
      <c r="H1615">
        <v>211</v>
      </c>
    </row>
    <row r="1616" spans="1:27" x14ac:dyDescent="0.25">
      <c r="A1616">
        <v>805</v>
      </c>
      <c r="B1616">
        <v>1775</v>
      </c>
      <c r="C1616" t="s">
        <v>2001</v>
      </c>
      <c r="D1616" t="s">
        <v>87</v>
      </c>
      <c r="E1616" t="s">
        <v>3319</v>
      </c>
      <c r="F1616" t="s">
        <v>3320</v>
      </c>
      <c r="G1616" t="str">
        <f>"00014859"</f>
        <v>00014859</v>
      </c>
      <c r="H1616" t="s">
        <v>1005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63</v>
      </c>
      <c r="W1616">
        <v>441</v>
      </c>
      <c r="Z1616">
        <v>0</v>
      </c>
      <c r="AA1616" t="s">
        <v>3321</v>
      </c>
    </row>
    <row r="1617" spans="1:27" x14ac:dyDescent="0.25">
      <c r="H1617" t="s">
        <v>1245</v>
      </c>
    </row>
    <row r="1618" spans="1:27" x14ac:dyDescent="0.25">
      <c r="A1618">
        <v>806</v>
      </c>
      <c r="B1618">
        <v>850</v>
      </c>
      <c r="C1618" t="s">
        <v>1861</v>
      </c>
      <c r="D1618" t="s">
        <v>20</v>
      </c>
      <c r="E1618" t="s">
        <v>100</v>
      </c>
      <c r="F1618" t="s">
        <v>3322</v>
      </c>
      <c r="G1618" t="str">
        <f>"00015097"</f>
        <v>00015097</v>
      </c>
      <c r="H1618" t="s">
        <v>1173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70</v>
      </c>
      <c r="O1618">
        <v>0</v>
      </c>
      <c r="P1618">
        <v>30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51</v>
      </c>
      <c r="W1618">
        <v>357</v>
      </c>
      <c r="Z1618">
        <v>0</v>
      </c>
      <c r="AA1618" t="s">
        <v>3323</v>
      </c>
    </row>
    <row r="1619" spans="1:27" x14ac:dyDescent="0.25">
      <c r="H1619" t="s">
        <v>3324</v>
      </c>
    </row>
    <row r="1620" spans="1:27" x14ac:dyDescent="0.25">
      <c r="A1620">
        <v>807</v>
      </c>
      <c r="B1620">
        <v>1935</v>
      </c>
      <c r="C1620" t="s">
        <v>3325</v>
      </c>
      <c r="D1620" t="s">
        <v>1026</v>
      </c>
      <c r="E1620" t="s">
        <v>121</v>
      </c>
      <c r="F1620" t="s">
        <v>3326</v>
      </c>
      <c r="G1620" t="str">
        <f>"00014513"</f>
        <v>00014513</v>
      </c>
      <c r="H1620" t="s">
        <v>789</v>
      </c>
      <c r="I1620">
        <v>0</v>
      </c>
      <c r="J1620">
        <v>0</v>
      </c>
      <c r="K1620">
        <v>0</v>
      </c>
      <c r="L1620">
        <v>0</v>
      </c>
      <c r="M1620">
        <v>100</v>
      </c>
      <c r="N1620">
        <v>70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43</v>
      </c>
      <c r="W1620">
        <v>301</v>
      </c>
      <c r="Z1620">
        <v>0</v>
      </c>
      <c r="AA1620" t="s">
        <v>3327</v>
      </c>
    </row>
    <row r="1621" spans="1:27" x14ac:dyDescent="0.25">
      <c r="H1621" t="s">
        <v>51</v>
      </c>
    </row>
    <row r="1622" spans="1:27" x14ac:dyDescent="0.25">
      <c r="A1622">
        <v>808</v>
      </c>
      <c r="B1622">
        <v>1099</v>
      </c>
      <c r="C1622" t="s">
        <v>3328</v>
      </c>
      <c r="D1622" t="s">
        <v>3329</v>
      </c>
      <c r="E1622" t="s">
        <v>81</v>
      </c>
      <c r="F1622" t="s">
        <v>3330</v>
      </c>
      <c r="G1622" t="str">
        <f>"201406018032"</f>
        <v>201406018032</v>
      </c>
      <c r="H1622" t="s">
        <v>1275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70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62</v>
      </c>
      <c r="W1622">
        <v>434</v>
      </c>
      <c r="Z1622">
        <v>1</v>
      </c>
      <c r="AA1622" t="s">
        <v>3327</v>
      </c>
    </row>
    <row r="1623" spans="1:27" x14ac:dyDescent="0.25">
      <c r="H1623" t="s">
        <v>3331</v>
      </c>
    </row>
    <row r="1624" spans="1:27" x14ac:dyDescent="0.25">
      <c r="A1624">
        <v>809</v>
      </c>
      <c r="B1624">
        <v>406</v>
      </c>
      <c r="C1624" t="s">
        <v>3332</v>
      </c>
      <c r="D1624" t="s">
        <v>136</v>
      </c>
      <c r="E1624" t="s">
        <v>80</v>
      </c>
      <c r="F1624" t="s">
        <v>3333</v>
      </c>
      <c r="G1624" t="str">
        <f>"201402011959"</f>
        <v>201402011959</v>
      </c>
      <c r="H1624">
        <v>693</v>
      </c>
      <c r="I1624">
        <v>0</v>
      </c>
      <c r="J1624">
        <v>0</v>
      </c>
      <c r="K1624">
        <v>0</v>
      </c>
      <c r="L1624">
        <v>0</v>
      </c>
      <c r="M1624">
        <v>100</v>
      </c>
      <c r="N1624">
        <v>70</v>
      </c>
      <c r="O1624">
        <v>70</v>
      </c>
      <c r="P1624">
        <v>0</v>
      </c>
      <c r="Q1624">
        <v>0</v>
      </c>
      <c r="R1624">
        <v>30</v>
      </c>
      <c r="S1624">
        <v>0</v>
      </c>
      <c r="T1624">
        <v>0</v>
      </c>
      <c r="U1624">
        <v>0</v>
      </c>
      <c r="V1624">
        <v>34</v>
      </c>
      <c r="W1624">
        <v>238</v>
      </c>
      <c r="Z1624">
        <v>0</v>
      </c>
      <c r="AA1624">
        <v>1201</v>
      </c>
    </row>
    <row r="1625" spans="1:27" x14ac:dyDescent="0.25">
      <c r="H1625" t="s">
        <v>3334</v>
      </c>
    </row>
    <row r="1626" spans="1:27" x14ac:dyDescent="0.25">
      <c r="A1626">
        <v>810</v>
      </c>
      <c r="B1626">
        <v>2965</v>
      </c>
      <c r="C1626" t="s">
        <v>3335</v>
      </c>
      <c r="D1626" t="s">
        <v>507</v>
      </c>
      <c r="E1626" t="s">
        <v>54</v>
      </c>
      <c r="F1626" t="s">
        <v>3336</v>
      </c>
      <c r="G1626" t="str">
        <f>"00004835"</f>
        <v>00004835</v>
      </c>
      <c r="H1626" t="s">
        <v>265</v>
      </c>
      <c r="I1626">
        <v>0</v>
      </c>
      <c r="J1626">
        <v>0</v>
      </c>
      <c r="K1626">
        <v>0</v>
      </c>
      <c r="L1626">
        <v>200</v>
      </c>
      <c r="M1626">
        <v>0</v>
      </c>
      <c r="N1626">
        <v>70</v>
      </c>
      <c r="O1626">
        <v>30</v>
      </c>
      <c r="P1626">
        <v>0</v>
      </c>
      <c r="Q1626">
        <v>0</v>
      </c>
      <c r="R1626">
        <v>30</v>
      </c>
      <c r="S1626">
        <v>0</v>
      </c>
      <c r="T1626">
        <v>0</v>
      </c>
      <c r="U1626">
        <v>0</v>
      </c>
      <c r="V1626">
        <v>18</v>
      </c>
      <c r="W1626">
        <v>126</v>
      </c>
      <c r="Z1626">
        <v>0</v>
      </c>
      <c r="AA1626" t="s">
        <v>3337</v>
      </c>
    </row>
    <row r="1627" spans="1:27" x14ac:dyDescent="0.25">
      <c r="H1627" t="s">
        <v>3338</v>
      </c>
    </row>
    <row r="1628" spans="1:27" x14ac:dyDescent="0.25">
      <c r="A1628">
        <v>811</v>
      </c>
      <c r="B1628">
        <v>3180</v>
      </c>
      <c r="C1628" t="s">
        <v>3339</v>
      </c>
      <c r="D1628" t="s">
        <v>3340</v>
      </c>
      <c r="E1628" t="s">
        <v>3341</v>
      </c>
      <c r="F1628" t="s">
        <v>3342</v>
      </c>
      <c r="G1628" t="str">
        <f>"201406000071"</f>
        <v>201406000071</v>
      </c>
      <c r="H1628" t="s">
        <v>1321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70</v>
      </c>
      <c r="O1628">
        <v>50</v>
      </c>
      <c r="P1628">
        <v>0</v>
      </c>
      <c r="Q1628">
        <v>0</v>
      </c>
      <c r="R1628">
        <v>30</v>
      </c>
      <c r="S1628">
        <v>0</v>
      </c>
      <c r="T1628">
        <v>0</v>
      </c>
      <c r="U1628">
        <v>0</v>
      </c>
      <c r="V1628">
        <v>40</v>
      </c>
      <c r="W1628">
        <v>280</v>
      </c>
      <c r="Z1628">
        <v>0</v>
      </c>
      <c r="AA1628" t="s">
        <v>3343</v>
      </c>
    </row>
    <row r="1629" spans="1:27" x14ac:dyDescent="0.25">
      <c r="H1629" t="s">
        <v>3344</v>
      </c>
    </row>
    <row r="1630" spans="1:27" x14ac:dyDescent="0.25">
      <c r="A1630">
        <v>812</v>
      </c>
      <c r="B1630">
        <v>739</v>
      </c>
      <c r="C1630" t="s">
        <v>3345</v>
      </c>
      <c r="D1630" t="s">
        <v>3346</v>
      </c>
      <c r="E1630" t="s">
        <v>80</v>
      </c>
      <c r="F1630" t="s">
        <v>3347</v>
      </c>
      <c r="G1630" t="str">
        <f>"00014934"</f>
        <v>00014934</v>
      </c>
      <c r="H1630" t="s">
        <v>43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50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57</v>
      </c>
      <c r="W1630">
        <v>399</v>
      </c>
      <c r="Z1630">
        <v>0</v>
      </c>
      <c r="AA1630" t="s">
        <v>3348</v>
      </c>
    </row>
    <row r="1631" spans="1:27" x14ac:dyDescent="0.25">
      <c r="H1631" t="s">
        <v>3349</v>
      </c>
    </row>
    <row r="1632" spans="1:27" x14ac:dyDescent="0.25">
      <c r="A1632">
        <v>813</v>
      </c>
      <c r="B1632">
        <v>2178</v>
      </c>
      <c r="C1632" t="s">
        <v>3135</v>
      </c>
      <c r="D1632" t="s">
        <v>112</v>
      </c>
      <c r="E1632" t="s">
        <v>94</v>
      </c>
      <c r="F1632" t="s">
        <v>3350</v>
      </c>
      <c r="G1632" t="str">
        <f>"201304000373"</f>
        <v>201304000373</v>
      </c>
      <c r="H1632" t="s">
        <v>2177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30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65</v>
      </c>
      <c r="W1632">
        <v>455</v>
      </c>
      <c r="Z1632">
        <v>0</v>
      </c>
      <c r="AA1632" t="s">
        <v>3351</v>
      </c>
    </row>
    <row r="1633" spans="1:27" x14ac:dyDescent="0.25">
      <c r="H1633">
        <v>211</v>
      </c>
    </row>
    <row r="1634" spans="1:27" x14ac:dyDescent="0.25">
      <c r="A1634">
        <v>814</v>
      </c>
      <c r="B1634">
        <v>1923</v>
      </c>
      <c r="C1634" t="s">
        <v>3352</v>
      </c>
      <c r="D1634" t="s">
        <v>3353</v>
      </c>
      <c r="E1634" t="s">
        <v>47</v>
      </c>
      <c r="F1634" t="s">
        <v>3354</v>
      </c>
      <c r="G1634" t="str">
        <f>"00014892"</f>
        <v>00014892</v>
      </c>
      <c r="H1634" t="s">
        <v>716</v>
      </c>
      <c r="I1634">
        <v>0</v>
      </c>
      <c r="J1634">
        <v>0</v>
      </c>
      <c r="K1634">
        <v>0</v>
      </c>
      <c r="L1634">
        <v>200</v>
      </c>
      <c r="M1634">
        <v>0</v>
      </c>
      <c r="N1634">
        <v>30</v>
      </c>
      <c r="O1634">
        <v>30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29</v>
      </c>
      <c r="W1634">
        <v>203</v>
      </c>
      <c r="Z1634">
        <v>0</v>
      </c>
      <c r="AA1634" t="s">
        <v>3355</v>
      </c>
    </row>
    <row r="1635" spans="1:27" x14ac:dyDescent="0.25">
      <c r="H1635" t="s">
        <v>3356</v>
      </c>
    </row>
    <row r="1636" spans="1:27" x14ac:dyDescent="0.25">
      <c r="A1636">
        <v>815</v>
      </c>
      <c r="B1636">
        <v>2817</v>
      </c>
      <c r="C1636" t="s">
        <v>1349</v>
      </c>
      <c r="D1636" t="s">
        <v>2529</v>
      </c>
      <c r="E1636" t="s">
        <v>586</v>
      </c>
      <c r="F1636" t="s">
        <v>3357</v>
      </c>
      <c r="G1636" t="str">
        <f>"00014073"</f>
        <v>00014073</v>
      </c>
      <c r="H1636" t="s">
        <v>1178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67</v>
      </c>
      <c r="W1636">
        <v>469</v>
      </c>
      <c r="Z1636">
        <v>0</v>
      </c>
      <c r="AA1636" t="s">
        <v>3358</v>
      </c>
    </row>
    <row r="1637" spans="1:27" x14ac:dyDescent="0.25">
      <c r="H1637" t="s">
        <v>3359</v>
      </c>
    </row>
    <row r="1638" spans="1:27" x14ac:dyDescent="0.25">
      <c r="A1638">
        <v>816</v>
      </c>
      <c r="B1638">
        <v>371</v>
      </c>
      <c r="C1638" t="s">
        <v>3360</v>
      </c>
      <c r="D1638" t="s">
        <v>476</v>
      </c>
      <c r="E1638" t="s">
        <v>94</v>
      </c>
      <c r="F1638" t="s">
        <v>3361</v>
      </c>
      <c r="G1638" t="str">
        <f>"201506001465"</f>
        <v>201506001465</v>
      </c>
      <c r="H1638" t="s">
        <v>978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70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58</v>
      </c>
      <c r="W1638">
        <v>406</v>
      </c>
      <c r="Z1638">
        <v>0</v>
      </c>
      <c r="AA1638" t="s">
        <v>3362</v>
      </c>
    </row>
    <row r="1639" spans="1:27" x14ac:dyDescent="0.25">
      <c r="H1639" t="s">
        <v>3363</v>
      </c>
    </row>
    <row r="1640" spans="1:27" x14ac:dyDescent="0.25">
      <c r="A1640">
        <v>817</v>
      </c>
      <c r="B1640">
        <v>2670</v>
      </c>
      <c r="C1640" t="s">
        <v>3364</v>
      </c>
      <c r="D1640" t="s">
        <v>450</v>
      </c>
      <c r="E1640" t="s">
        <v>81</v>
      </c>
      <c r="F1640" t="s">
        <v>3365</v>
      </c>
      <c r="G1640" t="str">
        <f>"201505000317"</f>
        <v>201505000317</v>
      </c>
      <c r="H1640" t="s">
        <v>2836</v>
      </c>
      <c r="I1640">
        <v>0</v>
      </c>
      <c r="J1640">
        <v>0</v>
      </c>
      <c r="K1640">
        <v>0</v>
      </c>
      <c r="L1640">
        <v>0</v>
      </c>
      <c r="M1640">
        <v>100</v>
      </c>
      <c r="N1640">
        <v>70</v>
      </c>
      <c r="O1640">
        <v>30</v>
      </c>
      <c r="P1640">
        <v>0</v>
      </c>
      <c r="Q1640">
        <v>0</v>
      </c>
      <c r="R1640">
        <v>30</v>
      </c>
      <c r="S1640">
        <v>0</v>
      </c>
      <c r="T1640">
        <v>0</v>
      </c>
      <c r="U1640">
        <v>0</v>
      </c>
      <c r="V1640">
        <v>40</v>
      </c>
      <c r="W1640">
        <v>280</v>
      </c>
      <c r="Z1640">
        <v>0</v>
      </c>
      <c r="AA1640" t="s">
        <v>3366</v>
      </c>
    </row>
    <row r="1641" spans="1:27" x14ac:dyDescent="0.25">
      <c r="H1641" t="s">
        <v>3367</v>
      </c>
    </row>
    <row r="1642" spans="1:27" x14ac:dyDescent="0.25">
      <c r="A1642">
        <v>818</v>
      </c>
      <c r="B1642">
        <v>3154</v>
      </c>
      <c r="C1642" t="s">
        <v>3368</v>
      </c>
      <c r="D1642" t="s">
        <v>3369</v>
      </c>
      <c r="E1642" t="s">
        <v>88</v>
      </c>
      <c r="F1642" t="s">
        <v>3370</v>
      </c>
      <c r="G1642" t="str">
        <f>"00013887"</f>
        <v>00013887</v>
      </c>
      <c r="H1642" t="s">
        <v>544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30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56</v>
      </c>
      <c r="W1642">
        <v>392</v>
      </c>
      <c r="Z1642">
        <v>1</v>
      </c>
      <c r="AA1642" t="s">
        <v>3371</v>
      </c>
    </row>
    <row r="1643" spans="1:27" x14ac:dyDescent="0.25">
      <c r="H1643" t="s">
        <v>3372</v>
      </c>
    </row>
    <row r="1644" spans="1:27" x14ac:dyDescent="0.25">
      <c r="A1644">
        <v>819</v>
      </c>
      <c r="B1644">
        <v>48</v>
      </c>
      <c r="C1644" t="s">
        <v>3373</v>
      </c>
      <c r="D1644" t="s">
        <v>3374</v>
      </c>
      <c r="E1644" t="s">
        <v>276</v>
      </c>
      <c r="F1644" t="s">
        <v>3375</v>
      </c>
      <c r="G1644" t="str">
        <f>"00013272"</f>
        <v>00013272</v>
      </c>
      <c r="H1644">
        <v>957</v>
      </c>
      <c r="I1644">
        <v>150</v>
      </c>
      <c r="J1644">
        <v>0</v>
      </c>
      <c r="K1644">
        <v>0</v>
      </c>
      <c r="L1644">
        <v>0</v>
      </c>
      <c r="M1644">
        <v>0</v>
      </c>
      <c r="N1644">
        <v>70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Z1644">
        <v>0</v>
      </c>
      <c r="AA1644">
        <v>1177</v>
      </c>
    </row>
    <row r="1645" spans="1:27" x14ac:dyDescent="0.25">
      <c r="H1645" t="s">
        <v>3376</v>
      </c>
    </row>
    <row r="1646" spans="1:27" x14ac:dyDescent="0.25">
      <c r="A1646">
        <v>820</v>
      </c>
      <c r="B1646">
        <v>1553</v>
      </c>
      <c r="C1646" t="s">
        <v>3377</v>
      </c>
      <c r="D1646" t="s">
        <v>112</v>
      </c>
      <c r="E1646" t="s">
        <v>281</v>
      </c>
      <c r="F1646" t="s">
        <v>3378</v>
      </c>
      <c r="G1646" t="str">
        <f>"00014743"</f>
        <v>00014743</v>
      </c>
      <c r="H1646">
        <v>693</v>
      </c>
      <c r="I1646">
        <v>0</v>
      </c>
      <c r="J1646">
        <v>0</v>
      </c>
      <c r="K1646">
        <v>0</v>
      </c>
      <c r="L1646">
        <v>0</v>
      </c>
      <c r="M1646">
        <v>100</v>
      </c>
      <c r="N1646">
        <v>70</v>
      </c>
      <c r="O1646">
        <v>0</v>
      </c>
      <c r="P1646">
        <v>30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40</v>
      </c>
      <c r="W1646">
        <v>280</v>
      </c>
      <c r="Z1646">
        <v>0</v>
      </c>
      <c r="AA1646">
        <v>1173</v>
      </c>
    </row>
    <row r="1647" spans="1:27" x14ac:dyDescent="0.25">
      <c r="H1647" t="s">
        <v>3379</v>
      </c>
    </row>
    <row r="1648" spans="1:27" x14ac:dyDescent="0.25">
      <c r="A1648">
        <v>821</v>
      </c>
      <c r="B1648">
        <v>2713</v>
      </c>
      <c r="C1648" t="s">
        <v>3380</v>
      </c>
      <c r="D1648" t="s">
        <v>3381</v>
      </c>
      <c r="E1648" t="s">
        <v>100</v>
      </c>
      <c r="F1648" t="s">
        <v>3382</v>
      </c>
      <c r="G1648" t="str">
        <f>"201304006154"</f>
        <v>201304006154</v>
      </c>
      <c r="H1648" t="s">
        <v>1275</v>
      </c>
      <c r="I1648">
        <v>0</v>
      </c>
      <c r="J1648">
        <v>0</v>
      </c>
      <c r="K1648">
        <v>0</v>
      </c>
      <c r="L1648">
        <v>0</v>
      </c>
      <c r="M1648">
        <v>100</v>
      </c>
      <c r="N1648">
        <v>70</v>
      </c>
      <c r="O1648">
        <v>50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36</v>
      </c>
      <c r="W1648">
        <v>252</v>
      </c>
      <c r="Z1648">
        <v>0</v>
      </c>
      <c r="AA1648" t="s">
        <v>3383</v>
      </c>
    </row>
    <row r="1649" spans="1:27" x14ac:dyDescent="0.25">
      <c r="H1649" t="s">
        <v>3384</v>
      </c>
    </row>
    <row r="1650" spans="1:27" x14ac:dyDescent="0.25">
      <c r="A1650">
        <v>822</v>
      </c>
      <c r="B1650">
        <v>3133</v>
      </c>
      <c r="C1650" t="s">
        <v>3385</v>
      </c>
      <c r="D1650" t="s">
        <v>1683</v>
      </c>
      <c r="E1650" t="s">
        <v>54</v>
      </c>
      <c r="F1650" t="s">
        <v>3386</v>
      </c>
      <c r="G1650" t="str">
        <f>"00002942"</f>
        <v>00002942</v>
      </c>
      <c r="H1650" t="s">
        <v>424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70</v>
      </c>
      <c r="O1650">
        <v>30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26</v>
      </c>
      <c r="W1650">
        <v>182</v>
      </c>
      <c r="Z1650">
        <v>0</v>
      </c>
      <c r="AA1650" t="s">
        <v>3387</v>
      </c>
    </row>
    <row r="1651" spans="1:27" x14ac:dyDescent="0.25">
      <c r="H1651" t="s">
        <v>2370</v>
      </c>
    </row>
    <row r="1652" spans="1:27" x14ac:dyDescent="0.25">
      <c r="A1652">
        <v>823</v>
      </c>
      <c r="B1652">
        <v>2040</v>
      </c>
      <c r="C1652" t="s">
        <v>3388</v>
      </c>
      <c r="D1652" t="s">
        <v>406</v>
      </c>
      <c r="E1652" t="s">
        <v>100</v>
      </c>
      <c r="F1652" t="s">
        <v>3389</v>
      </c>
      <c r="G1652" t="str">
        <f>"00013923"</f>
        <v>00013923</v>
      </c>
      <c r="H1652" t="s">
        <v>3195</v>
      </c>
      <c r="I1652">
        <v>150</v>
      </c>
      <c r="J1652">
        <v>0</v>
      </c>
      <c r="K1652">
        <v>0</v>
      </c>
      <c r="L1652">
        <v>0</v>
      </c>
      <c r="M1652">
        <v>0</v>
      </c>
      <c r="N1652">
        <v>50</v>
      </c>
      <c r="O1652">
        <v>30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0</v>
      </c>
      <c r="Z1652">
        <v>0</v>
      </c>
      <c r="AA1652" t="s">
        <v>3390</v>
      </c>
    </row>
    <row r="1653" spans="1:27" x14ac:dyDescent="0.25">
      <c r="H1653" t="s">
        <v>758</v>
      </c>
    </row>
    <row r="1654" spans="1:27" x14ac:dyDescent="0.25">
      <c r="A1654">
        <v>824</v>
      </c>
      <c r="B1654">
        <v>309</v>
      </c>
      <c r="C1654" t="s">
        <v>3391</v>
      </c>
      <c r="D1654" t="s">
        <v>532</v>
      </c>
      <c r="E1654" t="s">
        <v>507</v>
      </c>
      <c r="F1654" t="s">
        <v>3392</v>
      </c>
      <c r="G1654" t="str">
        <f>"201406000862"</f>
        <v>201406000862</v>
      </c>
      <c r="H1654" t="s">
        <v>3393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50</v>
      </c>
      <c r="O1654">
        <v>30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54</v>
      </c>
      <c r="W1654">
        <v>378</v>
      </c>
      <c r="Z1654">
        <v>0</v>
      </c>
      <c r="AA1654" t="s">
        <v>3394</v>
      </c>
    </row>
    <row r="1655" spans="1:27" x14ac:dyDescent="0.25">
      <c r="H1655" t="s">
        <v>286</v>
      </c>
    </row>
    <row r="1656" spans="1:27" x14ac:dyDescent="0.25">
      <c r="A1656">
        <v>825</v>
      </c>
      <c r="B1656">
        <v>908</v>
      </c>
      <c r="C1656" t="s">
        <v>3395</v>
      </c>
      <c r="D1656" t="s">
        <v>1182</v>
      </c>
      <c r="E1656" t="s">
        <v>41</v>
      </c>
      <c r="F1656" t="s">
        <v>3396</v>
      </c>
      <c r="G1656" t="str">
        <f>"00014437"</f>
        <v>00014437</v>
      </c>
      <c r="H1656" t="s">
        <v>189</v>
      </c>
      <c r="I1656">
        <v>0</v>
      </c>
      <c r="J1656">
        <v>0</v>
      </c>
      <c r="K1656">
        <v>0</v>
      </c>
      <c r="L1656">
        <v>200</v>
      </c>
      <c r="M1656">
        <v>0</v>
      </c>
      <c r="N1656">
        <v>70</v>
      </c>
      <c r="O1656">
        <v>70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50</v>
      </c>
      <c r="V1656">
        <v>0</v>
      </c>
      <c r="W1656">
        <v>0</v>
      </c>
      <c r="Z1656">
        <v>0</v>
      </c>
      <c r="AA1656" t="s">
        <v>3397</v>
      </c>
    </row>
    <row r="1657" spans="1:27" x14ac:dyDescent="0.25">
      <c r="H1657" t="s">
        <v>3398</v>
      </c>
    </row>
    <row r="1658" spans="1:27" x14ac:dyDescent="0.25">
      <c r="A1658">
        <v>826</v>
      </c>
      <c r="B1658">
        <v>471</v>
      </c>
      <c r="C1658" t="s">
        <v>3160</v>
      </c>
      <c r="D1658" t="s">
        <v>216</v>
      </c>
      <c r="E1658" t="s">
        <v>81</v>
      </c>
      <c r="F1658" t="s">
        <v>3161</v>
      </c>
      <c r="G1658" t="str">
        <f>"00014228"</f>
        <v>00014228</v>
      </c>
      <c r="H1658" t="s">
        <v>3162</v>
      </c>
      <c r="I1658">
        <v>0</v>
      </c>
      <c r="J1658">
        <v>0</v>
      </c>
      <c r="K1658">
        <v>0</v>
      </c>
      <c r="L1658">
        <v>0</v>
      </c>
      <c r="M1658">
        <v>100</v>
      </c>
      <c r="N1658">
        <v>70</v>
      </c>
      <c r="O1658">
        <v>30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25</v>
      </c>
      <c r="W1658">
        <v>175</v>
      </c>
      <c r="Z1658">
        <v>0</v>
      </c>
      <c r="AA1658" t="s">
        <v>3399</v>
      </c>
    </row>
    <row r="1659" spans="1:27" x14ac:dyDescent="0.25">
      <c r="H1659" t="s">
        <v>3164</v>
      </c>
    </row>
    <row r="1660" spans="1:27" x14ac:dyDescent="0.25">
      <c r="A1660">
        <v>827</v>
      </c>
      <c r="B1660">
        <v>3222</v>
      </c>
      <c r="C1660" t="s">
        <v>3400</v>
      </c>
      <c r="D1660" t="s">
        <v>3401</v>
      </c>
      <c r="E1660" t="s">
        <v>1238</v>
      </c>
      <c r="F1660" t="s">
        <v>3402</v>
      </c>
      <c r="G1660" t="str">
        <f>"201506000886"</f>
        <v>201506000886</v>
      </c>
      <c r="H1660" t="s">
        <v>524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70</v>
      </c>
      <c r="O1660">
        <v>0</v>
      </c>
      <c r="P1660">
        <v>70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27</v>
      </c>
      <c r="W1660">
        <v>189</v>
      </c>
      <c r="Z1660">
        <v>0</v>
      </c>
      <c r="AA1660" t="s">
        <v>3403</v>
      </c>
    </row>
    <row r="1661" spans="1:27" x14ac:dyDescent="0.25">
      <c r="H1661" t="s">
        <v>3404</v>
      </c>
    </row>
    <row r="1662" spans="1:27" x14ac:dyDescent="0.25">
      <c r="A1662">
        <v>828</v>
      </c>
      <c r="B1662">
        <v>610</v>
      </c>
      <c r="C1662" t="s">
        <v>3405</v>
      </c>
      <c r="D1662" t="s">
        <v>20</v>
      </c>
      <c r="E1662" t="s">
        <v>602</v>
      </c>
      <c r="F1662" t="s">
        <v>3406</v>
      </c>
      <c r="G1662" t="str">
        <f>"201601000569"</f>
        <v>201601000569</v>
      </c>
      <c r="H1662">
        <v>891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70</v>
      </c>
      <c r="O1662">
        <v>70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18</v>
      </c>
      <c r="W1662">
        <v>126</v>
      </c>
      <c r="Z1662">
        <v>0</v>
      </c>
      <c r="AA1662">
        <v>1157</v>
      </c>
    </row>
    <row r="1663" spans="1:27" x14ac:dyDescent="0.25">
      <c r="H1663" t="s">
        <v>98</v>
      </c>
    </row>
    <row r="1664" spans="1:27" x14ac:dyDescent="0.25">
      <c r="A1664">
        <v>829</v>
      </c>
      <c r="B1664">
        <v>467</v>
      </c>
      <c r="C1664" t="s">
        <v>3407</v>
      </c>
      <c r="D1664" t="s">
        <v>532</v>
      </c>
      <c r="E1664" t="s">
        <v>81</v>
      </c>
      <c r="F1664" t="s">
        <v>3408</v>
      </c>
      <c r="G1664" t="str">
        <f>"201304004860"</f>
        <v>201304004860</v>
      </c>
      <c r="H1664" t="s">
        <v>2060</v>
      </c>
      <c r="I1664">
        <v>0</v>
      </c>
      <c r="J1664">
        <v>0</v>
      </c>
      <c r="K1664">
        <v>0</v>
      </c>
      <c r="L1664">
        <v>200</v>
      </c>
      <c r="M1664">
        <v>0</v>
      </c>
      <c r="N1664">
        <v>70</v>
      </c>
      <c r="O1664">
        <v>30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25</v>
      </c>
      <c r="W1664">
        <v>175</v>
      </c>
      <c r="Z1664">
        <v>0</v>
      </c>
      <c r="AA1664" t="s">
        <v>3409</v>
      </c>
    </row>
    <row r="1665" spans="1:27" x14ac:dyDescent="0.25">
      <c r="H1665" t="s">
        <v>369</v>
      </c>
    </row>
    <row r="1666" spans="1:27" x14ac:dyDescent="0.25">
      <c r="A1666">
        <v>830</v>
      </c>
      <c r="B1666">
        <v>686</v>
      </c>
      <c r="C1666" t="s">
        <v>3410</v>
      </c>
      <c r="D1666" t="s">
        <v>3411</v>
      </c>
      <c r="E1666" t="s">
        <v>456</v>
      </c>
      <c r="F1666" t="s">
        <v>3412</v>
      </c>
      <c r="G1666" t="str">
        <f>"00011530"</f>
        <v>00011530</v>
      </c>
      <c r="H1666" t="s">
        <v>2445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64</v>
      </c>
      <c r="W1666">
        <v>448</v>
      </c>
      <c r="Z1666">
        <v>0</v>
      </c>
      <c r="AA1666" t="s">
        <v>3413</v>
      </c>
    </row>
    <row r="1667" spans="1:27" x14ac:dyDescent="0.25">
      <c r="H1667" t="s">
        <v>3414</v>
      </c>
    </row>
    <row r="1668" spans="1:27" x14ac:dyDescent="0.25">
      <c r="A1668">
        <v>831</v>
      </c>
      <c r="B1668">
        <v>2941</v>
      </c>
      <c r="C1668" t="s">
        <v>3415</v>
      </c>
      <c r="D1668" t="s">
        <v>3416</v>
      </c>
      <c r="E1668" t="s">
        <v>155</v>
      </c>
      <c r="F1668" t="s">
        <v>3417</v>
      </c>
      <c r="G1668" t="str">
        <f>"201410002457"</f>
        <v>201410002457</v>
      </c>
      <c r="H1668">
        <v>748</v>
      </c>
      <c r="I1668">
        <v>0</v>
      </c>
      <c r="J1668">
        <v>0</v>
      </c>
      <c r="K1668">
        <v>0</v>
      </c>
      <c r="L1668">
        <v>200</v>
      </c>
      <c r="M1668">
        <v>0</v>
      </c>
      <c r="N1668">
        <v>50</v>
      </c>
      <c r="O1668">
        <v>0</v>
      </c>
      <c r="P1668">
        <v>30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18</v>
      </c>
      <c r="W1668">
        <v>126</v>
      </c>
      <c r="Z1668">
        <v>0</v>
      </c>
      <c r="AA1668">
        <v>1154</v>
      </c>
    </row>
    <row r="1669" spans="1:27" x14ac:dyDescent="0.25">
      <c r="H1669" t="s">
        <v>3418</v>
      </c>
    </row>
    <row r="1670" spans="1:27" x14ac:dyDescent="0.25">
      <c r="A1670">
        <v>832</v>
      </c>
      <c r="B1670">
        <v>2688</v>
      </c>
      <c r="C1670" t="s">
        <v>565</v>
      </c>
      <c r="D1670" t="s">
        <v>3419</v>
      </c>
      <c r="E1670" t="s">
        <v>81</v>
      </c>
      <c r="F1670" t="s">
        <v>3420</v>
      </c>
      <c r="G1670" t="str">
        <f>"201511038507"</f>
        <v>201511038507</v>
      </c>
      <c r="H1670" t="s">
        <v>1667</v>
      </c>
      <c r="I1670">
        <v>0</v>
      </c>
      <c r="J1670">
        <v>0</v>
      </c>
      <c r="K1670">
        <v>0</v>
      </c>
      <c r="L1670">
        <v>200</v>
      </c>
      <c r="M1670">
        <v>0</v>
      </c>
      <c r="N1670">
        <v>70</v>
      </c>
      <c r="O1670">
        <v>30</v>
      </c>
      <c r="P1670">
        <v>0</v>
      </c>
      <c r="Q1670">
        <v>30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Z1670">
        <v>0</v>
      </c>
      <c r="AA1670" t="s">
        <v>3421</v>
      </c>
    </row>
    <row r="1671" spans="1:27" x14ac:dyDescent="0.25">
      <c r="H1671" t="s">
        <v>3422</v>
      </c>
    </row>
    <row r="1672" spans="1:27" x14ac:dyDescent="0.25">
      <c r="A1672">
        <v>833</v>
      </c>
      <c r="B1672">
        <v>2547</v>
      </c>
      <c r="C1672" t="s">
        <v>2661</v>
      </c>
      <c r="D1672" t="s">
        <v>100</v>
      </c>
      <c r="E1672" t="s">
        <v>47</v>
      </c>
      <c r="F1672" t="s">
        <v>2662</v>
      </c>
      <c r="G1672" t="str">
        <f>"00015025"</f>
        <v>00015025</v>
      </c>
      <c r="H1672" t="s">
        <v>2663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70</v>
      </c>
      <c r="O1672">
        <v>30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27</v>
      </c>
      <c r="W1672">
        <v>189</v>
      </c>
      <c r="Z1672">
        <v>0</v>
      </c>
      <c r="AA1672" t="s">
        <v>3423</v>
      </c>
    </row>
    <row r="1673" spans="1:27" x14ac:dyDescent="0.25">
      <c r="H1673" t="s">
        <v>2665</v>
      </c>
    </row>
    <row r="1674" spans="1:27" x14ac:dyDescent="0.25">
      <c r="A1674">
        <v>834</v>
      </c>
      <c r="B1674">
        <v>1682</v>
      </c>
      <c r="C1674" t="s">
        <v>1870</v>
      </c>
      <c r="D1674" t="s">
        <v>54</v>
      </c>
      <c r="E1674" t="s">
        <v>3424</v>
      </c>
      <c r="F1674" t="s">
        <v>3425</v>
      </c>
      <c r="G1674" t="str">
        <f>"201406001152"</f>
        <v>201406001152</v>
      </c>
      <c r="H1674" t="s">
        <v>218</v>
      </c>
      <c r="I1674">
        <v>150</v>
      </c>
      <c r="J1674">
        <v>0</v>
      </c>
      <c r="K1674">
        <v>0</v>
      </c>
      <c r="L1674">
        <v>0</v>
      </c>
      <c r="M1674">
        <v>100</v>
      </c>
      <c r="N1674">
        <v>70</v>
      </c>
      <c r="O1674">
        <v>50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Z1674">
        <v>0</v>
      </c>
      <c r="AA1674" t="s">
        <v>3426</v>
      </c>
    </row>
    <row r="1675" spans="1:27" x14ac:dyDescent="0.25">
      <c r="H1675" t="s">
        <v>3427</v>
      </c>
    </row>
    <row r="1676" spans="1:27" x14ac:dyDescent="0.25">
      <c r="A1676">
        <v>835</v>
      </c>
      <c r="B1676">
        <v>210</v>
      </c>
      <c r="C1676" t="s">
        <v>3428</v>
      </c>
      <c r="D1676" t="s">
        <v>40</v>
      </c>
      <c r="E1676" t="s">
        <v>542</v>
      </c>
      <c r="F1676" t="s">
        <v>3429</v>
      </c>
      <c r="G1676" t="str">
        <f>"00013221"</f>
        <v>00013221</v>
      </c>
      <c r="H1676" t="s">
        <v>665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70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52</v>
      </c>
      <c r="W1676">
        <v>364</v>
      </c>
      <c r="Z1676">
        <v>0</v>
      </c>
      <c r="AA1676" t="s">
        <v>3430</v>
      </c>
    </row>
    <row r="1677" spans="1:27" x14ac:dyDescent="0.25">
      <c r="H1677" t="s">
        <v>3431</v>
      </c>
    </row>
    <row r="1678" spans="1:27" x14ac:dyDescent="0.25">
      <c r="A1678">
        <v>836</v>
      </c>
      <c r="B1678">
        <v>2635</v>
      </c>
      <c r="C1678" t="s">
        <v>3432</v>
      </c>
      <c r="D1678" t="s">
        <v>20</v>
      </c>
      <c r="E1678" t="s">
        <v>81</v>
      </c>
      <c r="F1678" t="s">
        <v>3433</v>
      </c>
      <c r="G1678" t="str">
        <f>"00013570"</f>
        <v>00013570</v>
      </c>
      <c r="H1678" t="s">
        <v>3434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30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27</v>
      </c>
      <c r="W1678">
        <v>189</v>
      </c>
      <c r="Z1678">
        <v>0</v>
      </c>
      <c r="AA1678" t="s">
        <v>3435</v>
      </c>
    </row>
    <row r="1679" spans="1:27" x14ac:dyDescent="0.25">
      <c r="H1679" t="s">
        <v>3436</v>
      </c>
    </row>
    <row r="1680" spans="1:27" x14ac:dyDescent="0.25">
      <c r="A1680">
        <v>837</v>
      </c>
      <c r="B1680">
        <v>695</v>
      </c>
      <c r="C1680" t="s">
        <v>981</v>
      </c>
      <c r="D1680" t="s">
        <v>3437</v>
      </c>
      <c r="E1680" t="s">
        <v>54</v>
      </c>
      <c r="F1680" t="s">
        <v>3438</v>
      </c>
      <c r="G1680" t="str">
        <f>"201505000492"</f>
        <v>201505000492</v>
      </c>
      <c r="H1680" t="s">
        <v>1010</v>
      </c>
      <c r="I1680">
        <v>0</v>
      </c>
      <c r="J1680">
        <v>0</v>
      </c>
      <c r="K1680">
        <v>0</v>
      </c>
      <c r="L1680">
        <v>200</v>
      </c>
      <c r="M1680">
        <v>0</v>
      </c>
      <c r="N1680">
        <v>70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24</v>
      </c>
      <c r="W1680">
        <v>168</v>
      </c>
      <c r="Z1680">
        <v>0</v>
      </c>
      <c r="AA1680" t="s">
        <v>3439</v>
      </c>
    </row>
    <row r="1681" spans="1:27" x14ac:dyDescent="0.25">
      <c r="H1681" t="s">
        <v>3440</v>
      </c>
    </row>
    <row r="1682" spans="1:27" x14ac:dyDescent="0.25">
      <c r="A1682">
        <v>838</v>
      </c>
      <c r="B1682">
        <v>1944</v>
      </c>
      <c r="C1682" t="s">
        <v>3441</v>
      </c>
      <c r="D1682" t="s">
        <v>3442</v>
      </c>
      <c r="E1682" t="s">
        <v>121</v>
      </c>
      <c r="F1682" t="s">
        <v>3443</v>
      </c>
      <c r="G1682" t="str">
        <f>"00014556"</f>
        <v>00014556</v>
      </c>
      <c r="H1682" t="s">
        <v>334</v>
      </c>
      <c r="I1682">
        <v>150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28</v>
      </c>
      <c r="W1682">
        <v>196</v>
      </c>
      <c r="Z1682">
        <v>0</v>
      </c>
      <c r="AA1682" t="s">
        <v>3444</v>
      </c>
    </row>
    <row r="1683" spans="1:27" x14ac:dyDescent="0.25">
      <c r="H1683" t="s">
        <v>3445</v>
      </c>
    </row>
    <row r="1684" spans="1:27" x14ac:dyDescent="0.25">
      <c r="A1684">
        <v>839</v>
      </c>
      <c r="B1684">
        <v>1139</v>
      </c>
      <c r="C1684" t="s">
        <v>3446</v>
      </c>
      <c r="D1684" t="s">
        <v>892</v>
      </c>
      <c r="E1684" t="s">
        <v>94</v>
      </c>
      <c r="F1684" t="s">
        <v>3447</v>
      </c>
      <c r="G1684" t="str">
        <f>"201406017209"</f>
        <v>201406017209</v>
      </c>
      <c r="H1684" t="s">
        <v>458</v>
      </c>
      <c r="I1684">
        <v>0</v>
      </c>
      <c r="J1684">
        <v>0</v>
      </c>
      <c r="K1684">
        <v>0</v>
      </c>
      <c r="L1684">
        <v>200</v>
      </c>
      <c r="M1684">
        <v>0</v>
      </c>
      <c r="N1684">
        <v>70</v>
      </c>
      <c r="O1684">
        <v>70</v>
      </c>
      <c r="P1684">
        <v>0</v>
      </c>
      <c r="Q1684">
        <v>50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Z1684">
        <v>0</v>
      </c>
      <c r="AA1684" t="s">
        <v>3444</v>
      </c>
    </row>
    <row r="1685" spans="1:27" x14ac:dyDescent="0.25">
      <c r="H1685" t="s">
        <v>3448</v>
      </c>
    </row>
    <row r="1686" spans="1:27" x14ac:dyDescent="0.25">
      <c r="A1686">
        <v>840</v>
      </c>
      <c r="B1686">
        <v>2337</v>
      </c>
      <c r="C1686" t="s">
        <v>3449</v>
      </c>
      <c r="D1686" t="s">
        <v>891</v>
      </c>
      <c r="E1686" t="s">
        <v>542</v>
      </c>
      <c r="F1686" t="s">
        <v>3450</v>
      </c>
      <c r="G1686" t="str">
        <f>"00013674"</f>
        <v>00013674</v>
      </c>
      <c r="H1686" t="s">
        <v>1377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70</v>
      </c>
      <c r="O1686">
        <v>30</v>
      </c>
      <c r="P1686">
        <v>0</v>
      </c>
      <c r="Q1686">
        <v>0</v>
      </c>
      <c r="R1686">
        <v>70</v>
      </c>
      <c r="S1686">
        <v>0</v>
      </c>
      <c r="T1686">
        <v>0</v>
      </c>
      <c r="U1686">
        <v>0</v>
      </c>
      <c r="V1686">
        <v>36</v>
      </c>
      <c r="W1686">
        <v>252</v>
      </c>
      <c r="Z1686">
        <v>0</v>
      </c>
      <c r="AA1686" t="s">
        <v>3451</v>
      </c>
    </row>
    <row r="1687" spans="1:27" x14ac:dyDescent="0.25">
      <c r="H1687" t="s">
        <v>56</v>
      </c>
    </row>
    <row r="1688" spans="1:27" x14ac:dyDescent="0.25">
      <c r="A1688">
        <v>841</v>
      </c>
      <c r="B1688">
        <v>2235</v>
      </c>
      <c r="C1688" t="s">
        <v>3452</v>
      </c>
      <c r="D1688" t="s">
        <v>243</v>
      </c>
      <c r="E1688" t="s">
        <v>282</v>
      </c>
      <c r="F1688" t="s">
        <v>3453</v>
      </c>
      <c r="G1688" t="str">
        <f>"201506003900"</f>
        <v>201506003900</v>
      </c>
      <c r="H1688" t="s">
        <v>1767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70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60</v>
      </c>
      <c r="W1688">
        <v>420</v>
      </c>
      <c r="Z1688">
        <v>0</v>
      </c>
      <c r="AA1688" t="s">
        <v>3454</v>
      </c>
    </row>
    <row r="1689" spans="1:27" x14ac:dyDescent="0.25">
      <c r="H1689" t="s">
        <v>3455</v>
      </c>
    </row>
    <row r="1690" spans="1:27" x14ac:dyDescent="0.25">
      <c r="A1690">
        <v>842</v>
      </c>
      <c r="B1690">
        <v>690</v>
      </c>
      <c r="C1690" t="s">
        <v>3456</v>
      </c>
      <c r="D1690" t="s">
        <v>136</v>
      </c>
      <c r="E1690" t="s">
        <v>41</v>
      </c>
      <c r="F1690" t="s">
        <v>3457</v>
      </c>
      <c r="G1690" t="str">
        <f>"201303000090"</f>
        <v>201303000090</v>
      </c>
      <c r="H1690" t="s">
        <v>1104</v>
      </c>
      <c r="I1690">
        <v>0</v>
      </c>
      <c r="J1690">
        <v>0</v>
      </c>
      <c r="K1690">
        <v>0</v>
      </c>
      <c r="L1690">
        <v>200</v>
      </c>
      <c r="M1690">
        <v>0</v>
      </c>
      <c r="N1690">
        <v>70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20</v>
      </c>
      <c r="W1690">
        <v>140</v>
      </c>
      <c r="Z1690">
        <v>0</v>
      </c>
      <c r="AA1690" t="s">
        <v>3458</v>
      </c>
    </row>
    <row r="1691" spans="1:27" x14ac:dyDescent="0.25">
      <c r="H1691" t="s">
        <v>307</v>
      </c>
    </row>
    <row r="1692" spans="1:27" x14ac:dyDescent="0.25">
      <c r="A1692">
        <v>843</v>
      </c>
      <c r="B1692">
        <v>106</v>
      </c>
      <c r="C1692" t="s">
        <v>3459</v>
      </c>
      <c r="D1692" t="s">
        <v>3329</v>
      </c>
      <c r="E1692" t="s">
        <v>3460</v>
      </c>
      <c r="F1692" t="s">
        <v>3461</v>
      </c>
      <c r="G1692" t="str">
        <f>"00014715"</f>
        <v>00014715</v>
      </c>
      <c r="H1692" t="s">
        <v>3462</v>
      </c>
      <c r="I1692">
        <v>150</v>
      </c>
      <c r="J1692">
        <v>0</v>
      </c>
      <c r="K1692">
        <v>0</v>
      </c>
      <c r="L1692">
        <v>0</v>
      </c>
      <c r="M1692">
        <v>0</v>
      </c>
      <c r="N1692">
        <v>70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0</v>
      </c>
      <c r="Z1692">
        <v>0</v>
      </c>
      <c r="AA1692" t="s">
        <v>3463</v>
      </c>
    </row>
    <row r="1693" spans="1:27" x14ac:dyDescent="0.25">
      <c r="H1693" t="s">
        <v>3464</v>
      </c>
    </row>
    <row r="1694" spans="1:27" x14ac:dyDescent="0.25">
      <c r="A1694">
        <v>844</v>
      </c>
      <c r="B1694">
        <v>2015</v>
      </c>
      <c r="C1694" t="s">
        <v>3465</v>
      </c>
      <c r="D1694" t="s">
        <v>813</v>
      </c>
      <c r="E1694" t="s">
        <v>81</v>
      </c>
      <c r="F1694" t="s">
        <v>3466</v>
      </c>
      <c r="G1694" t="str">
        <f>"201406015056"</f>
        <v>201406015056</v>
      </c>
      <c r="H1694" t="s">
        <v>1173</v>
      </c>
      <c r="I1694">
        <v>0</v>
      </c>
      <c r="J1694">
        <v>0</v>
      </c>
      <c r="K1694">
        <v>0</v>
      </c>
      <c r="L1694">
        <v>200</v>
      </c>
      <c r="M1694">
        <v>0</v>
      </c>
      <c r="N1694">
        <v>70</v>
      </c>
      <c r="O1694">
        <v>50</v>
      </c>
      <c r="P1694">
        <v>30</v>
      </c>
      <c r="Q1694">
        <v>0</v>
      </c>
      <c r="R1694">
        <v>30</v>
      </c>
      <c r="S1694">
        <v>0</v>
      </c>
      <c r="T1694">
        <v>0</v>
      </c>
      <c r="U1694">
        <v>0</v>
      </c>
      <c r="V1694">
        <v>0</v>
      </c>
      <c r="W1694">
        <v>0</v>
      </c>
      <c r="Z1694">
        <v>0</v>
      </c>
      <c r="AA1694" t="s">
        <v>3467</v>
      </c>
    </row>
    <row r="1695" spans="1:27" x14ac:dyDescent="0.25">
      <c r="H1695" t="s">
        <v>3468</v>
      </c>
    </row>
    <row r="1696" spans="1:27" x14ac:dyDescent="0.25">
      <c r="A1696">
        <v>845</v>
      </c>
      <c r="B1696">
        <v>2953</v>
      </c>
      <c r="C1696" t="s">
        <v>3469</v>
      </c>
      <c r="D1696" t="s">
        <v>3470</v>
      </c>
      <c r="E1696" t="s">
        <v>293</v>
      </c>
      <c r="F1696" t="s">
        <v>3471</v>
      </c>
      <c r="G1696" t="str">
        <f>"201506002685"</f>
        <v>201506002685</v>
      </c>
      <c r="H1696" t="s">
        <v>138</v>
      </c>
      <c r="I1696">
        <v>0</v>
      </c>
      <c r="J1696">
        <v>0</v>
      </c>
      <c r="K1696">
        <v>0</v>
      </c>
      <c r="L1696">
        <v>200</v>
      </c>
      <c r="M1696">
        <v>0</v>
      </c>
      <c r="N1696">
        <v>70</v>
      </c>
      <c r="O1696">
        <v>0</v>
      </c>
      <c r="P1696">
        <v>50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Z1696">
        <v>0</v>
      </c>
      <c r="AA1696" t="s">
        <v>3472</v>
      </c>
    </row>
    <row r="1697" spans="1:27" x14ac:dyDescent="0.25">
      <c r="H1697" t="s">
        <v>56</v>
      </c>
    </row>
    <row r="1698" spans="1:27" x14ac:dyDescent="0.25">
      <c r="A1698">
        <v>846</v>
      </c>
      <c r="B1698">
        <v>3048</v>
      </c>
      <c r="C1698" t="s">
        <v>2872</v>
      </c>
      <c r="D1698" t="s">
        <v>2873</v>
      </c>
      <c r="E1698" t="s">
        <v>2874</v>
      </c>
      <c r="F1698" t="s">
        <v>2875</v>
      </c>
      <c r="G1698" t="str">
        <f>"201410006660"</f>
        <v>201410006660</v>
      </c>
      <c r="H1698" t="s">
        <v>265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70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44</v>
      </c>
      <c r="W1698">
        <v>308</v>
      </c>
      <c r="Z1698">
        <v>0</v>
      </c>
      <c r="AA1698" t="s">
        <v>3473</v>
      </c>
    </row>
    <row r="1699" spans="1:27" x14ac:dyDescent="0.25">
      <c r="H1699" t="s">
        <v>2877</v>
      </c>
    </row>
    <row r="1700" spans="1:27" x14ac:dyDescent="0.25">
      <c r="A1700">
        <v>847</v>
      </c>
      <c r="B1700">
        <v>1136</v>
      </c>
      <c r="C1700" t="s">
        <v>3474</v>
      </c>
      <c r="D1700" t="s">
        <v>216</v>
      </c>
      <c r="E1700" t="s">
        <v>542</v>
      </c>
      <c r="F1700" t="s">
        <v>3475</v>
      </c>
      <c r="G1700" t="str">
        <f>"201506000062"</f>
        <v>201506000062</v>
      </c>
      <c r="H1700" t="s">
        <v>3393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70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49</v>
      </c>
      <c r="W1700">
        <v>343</v>
      </c>
      <c r="Z1700">
        <v>0</v>
      </c>
      <c r="AA1700" t="s">
        <v>3476</v>
      </c>
    </row>
    <row r="1701" spans="1:27" x14ac:dyDescent="0.25">
      <c r="H1701" t="s">
        <v>3477</v>
      </c>
    </row>
    <row r="1702" spans="1:27" x14ac:dyDescent="0.25">
      <c r="A1702">
        <v>848</v>
      </c>
      <c r="B1702">
        <v>901</v>
      </c>
      <c r="C1702" t="s">
        <v>3214</v>
      </c>
      <c r="D1702" t="s">
        <v>706</v>
      </c>
      <c r="E1702" t="s">
        <v>542</v>
      </c>
      <c r="F1702" t="s">
        <v>3478</v>
      </c>
      <c r="G1702" t="str">
        <f>"00013953"</f>
        <v>00013953</v>
      </c>
      <c r="H1702" t="s">
        <v>1173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70</v>
      </c>
      <c r="O1702">
        <v>30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39</v>
      </c>
      <c r="W1702">
        <v>273</v>
      </c>
      <c r="Z1702">
        <v>0</v>
      </c>
      <c r="AA1702" t="s">
        <v>3479</v>
      </c>
    </row>
    <row r="1703" spans="1:27" x14ac:dyDescent="0.25">
      <c r="H1703" t="s">
        <v>98</v>
      </c>
    </row>
    <row r="1704" spans="1:27" x14ac:dyDescent="0.25">
      <c r="A1704">
        <v>849</v>
      </c>
      <c r="B1704">
        <v>3322</v>
      </c>
      <c r="C1704" t="s">
        <v>3480</v>
      </c>
      <c r="D1704" t="s">
        <v>3329</v>
      </c>
      <c r="E1704" t="s">
        <v>80</v>
      </c>
      <c r="F1704" t="s">
        <v>3481</v>
      </c>
      <c r="G1704" t="str">
        <f>"200802009741"</f>
        <v>200802009741</v>
      </c>
      <c r="H1704" t="s">
        <v>299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70</v>
      </c>
      <c r="O1704">
        <v>0</v>
      </c>
      <c r="P1704">
        <v>0</v>
      </c>
      <c r="Q1704">
        <v>0</v>
      </c>
      <c r="R1704">
        <v>30</v>
      </c>
      <c r="S1704">
        <v>0</v>
      </c>
      <c r="T1704">
        <v>0</v>
      </c>
      <c r="U1704">
        <v>0</v>
      </c>
      <c r="V1704">
        <v>36</v>
      </c>
      <c r="W1704">
        <v>252</v>
      </c>
      <c r="Z1704">
        <v>0</v>
      </c>
      <c r="AA1704" t="s">
        <v>3482</v>
      </c>
    </row>
    <row r="1705" spans="1:27" x14ac:dyDescent="0.25">
      <c r="H1705" t="s">
        <v>3483</v>
      </c>
    </row>
    <row r="1706" spans="1:27" x14ac:dyDescent="0.25">
      <c r="A1706">
        <v>850</v>
      </c>
      <c r="B1706">
        <v>361</v>
      </c>
      <c r="C1706" t="s">
        <v>3484</v>
      </c>
      <c r="D1706" t="s">
        <v>47</v>
      </c>
      <c r="E1706" t="s">
        <v>507</v>
      </c>
      <c r="F1706" t="s">
        <v>3485</v>
      </c>
      <c r="G1706" t="str">
        <f>"201508000085"</f>
        <v>201508000085</v>
      </c>
      <c r="H1706" t="s">
        <v>102</v>
      </c>
      <c r="I1706">
        <v>0</v>
      </c>
      <c r="J1706">
        <v>0</v>
      </c>
      <c r="K1706">
        <v>0</v>
      </c>
      <c r="L1706">
        <v>200</v>
      </c>
      <c r="M1706">
        <v>0</v>
      </c>
      <c r="N1706">
        <v>70</v>
      </c>
      <c r="O1706">
        <v>30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0</v>
      </c>
      <c r="Z1706">
        <v>0</v>
      </c>
      <c r="AA1706" t="s">
        <v>3486</v>
      </c>
    </row>
    <row r="1707" spans="1:27" x14ac:dyDescent="0.25">
      <c r="H1707" t="s">
        <v>250</v>
      </c>
    </row>
    <row r="1708" spans="1:27" x14ac:dyDescent="0.25">
      <c r="A1708">
        <v>851</v>
      </c>
      <c r="B1708">
        <v>3351</v>
      </c>
      <c r="C1708" t="s">
        <v>3487</v>
      </c>
      <c r="D1708" t="s">
        <v>3488</v>
      </c>
      <c r="E1708" t="s">
        <v>143</v>
      </c>
      <c r="F1708" t="s">
        <v>3489</v>
      </c>
      <c r="G1708" t="str">
        <f>"201506000621"</f>
        <v>201506000621</v>
      </c>
      <c r="H1708" t="s">
        <v>96</v>
      </c>
      <c r="I1708">
        <v>0</v>
      </c>
      <c r="J1708">
        <v>0</v>
      </c>
      <c r="K1708">
        <v>0</v>
      </c>
      <c r="L1708">
        <v>200</v>
      </c>
      <c r="M1708">
        <v>30</v>
      </c>
      <c r="N1708">
        <v>70</v>
      </c>
      <c r="O1708">
        <v>30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0</v>
      </c>
      <c r="Z1708">
        <v>0</v>
      </c>
      <c r="AA1708" t="s">
        <v>3490</v>
      </c>
    </row>
    <row r="1709" spans="1:27" x14ac:dyDescent="0.25">
      <c r="H1709" t="s">
        <v>3491</v>
      </c>
    </row>
    <row r="1710" spans="1:27" x14ac:dyDescent="0.25">
      <c r="A1710">
        <v>852</v>
      </c>
      <c r="B1710">
        <v>1134</v>
      </c>
      <c r="C1710" t="s">
        <v>3492</v>
      </c>
      <c r="D1710" t="s">
        <v>27</v>
      </c>
      <c r="E1710" t="s">
        <v>88</v>
      </c>
      <c r="F1710" t="s">
        <v>3493</v>
      </c>
      <c r="G1710" t="str">
        <f>"00015255"</f>
        <v>00015255</v>
      </c>
      <c r="H1710">
        <v>792</v>
      </c>
      <c r="I1710">
        <v>0</v>
      </c>
      <c r="J1710">
        <v>0</v>
      </c>
      <c r="K1710">
        <v>0</v>
      </c>
      <c r="L1710">
        <v>200</v>
      </c>
      <c r="M1710">
        <v>0</v>
      </c>
      <c r="N1710">
        <v>70</v>
      </c>
      <c r="O1710">
        <v>0</v>
      </c>
      <c r="P1710">
        <v>50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Z1710">
        <v>0</v>
      </c>
      <c r="AA1710">
        <v>1112</v>
      </c>
    </row>
    <row r="1711" spans="1:27" x14ac:dyDescent="0.25">
      <c r="H1711" t="s">
        <v>3494</v>
      </c>
    </row>
    <row r="1712" spans="1:27" x14ac:dyDescent="0.25">
      <c r="A1712">
        <v>853</v>
      </c>
      <c r="B1712">
        <v>1073</v>
      </c>
      <c r="C1712" t="s">
        <v>1066</v>
      </c>
      <c r="D1712" t="s">
        <v>243</v>
      </c>
      <c r="E1712" t="s">
        <v>1927</v>
      </c>
      <c r="F1712" t="s">
        <v>3495</v>
      </c>
      <c r="G1712" t="str">
        <f>"00014789"</f>
        <v>00014789</v>
      </c>
      <c r="H1712" t="s">
        <v>766</v>
      </c>
      <c r="I1712">
        <v>0</v>
      </c>
      <c r="J1712">
        <v>0</v>
      </c>
      <c r="K1712">
        <v>0</v>
      </c>
      <c r="L1712">
        <v>0</v>
      </c>
      <c r="M1712">
        <v>100</v>
      </c>
      <c r="N1712">
        <v>70</v>
      </c>
      <c r="O1712">
        <v>50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18</v>
      </c>
      <c r="W1712">
        <v>126</v>
      </c>
      <c r="Z1712">
        <v>0</v>
      </c>
      <c r="AA1712" t="s">
        <v>3496</v>
      </c>
    </row>
    <row r="1713" spans="1:27" x14ac:dyDescent="0.25">
      <c r="H1713" t="s">
        <v>56</v>
      </c>
    </row>
    <row r="1714" spans="1:27" x14ac:dyDescent="0.25">
      <c r="A1714">
        <v>854</v>
      </c>
      <c r="B1714">
        <v>2366</v>
      </c>
      <c r="C1714" t="s">
        <v>3497</v>
      </c>
      <c r="D1714" t="s">
        <v>3498</v>
      </c>
      <c r="E1714" t="s">
        <v>155</v>
      </c>
      <c r="F1714" t="s">
        <v>3499</v>
      </c>
      <c r="G1714" t="str">
        <f>"201506001743"</f>
        <v>201506001743</v>
      </c>
      <c r="H1714" t="s">
        <v>1173</v>
      </c>
      <c r="I1714">
        <v>0</v>
      </c>
      <c r="J1714">
        <v>0</v>
      </c>
      <c r="K1714">
        <v>0</v>
      </c>
      <c r="L1714">
        <v>0</v>
      </c>
      <c r="M1714">
        <v>100</v>
      </c>
      <c r="N1714">
        <v>70</v>
      </c>
      <c r="O1714">
        <v>30</v>
      </c>
      <c r="P1714">
        <v>50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16</v>
      </c>
      <c r="W1714">
        <v>112</v>
      </c>
      <c r="Z1714">
        <v>0</v>
      </c>
      <c r="AA1714" t="s">
        <v>3500</v>
      </c>
    </row>
    <row r="1715" spans="1:27" x14ac:dyDescent="0.25">
      <c r="H1715" t="s">
        <v>3501</v>
      </c>
    </row>
    <row r="1716" spans="1:27" x14ac:dyDescent="0.25">
      <c r="A1716">
        <v>855</v>
      </c>
      <c r="B1716">
        <v>744</v>
      </c>
      <c r="C1716" t="s">
        <v>3502</v>
      </c>
      <c r="D1716" t="s">
        <v>112</v>
      </c>
      <c r="E1716" t="s">
        <v>47</v>
      </c>
      <c r="F1716" t="s">
        <v>3503</v>
      </c>
      <c r="G1716" t="str">
        <f>"00015203"</f>
        <v>00015203</v>
      </c>
      <c r="H1716" t="s">
        <v>1377</v>
      </c>
      <c r="I1716">
        <v>150</v>
      </c>
      <c r="J1716">
        <v>0</v>
      </c>
      <c r="K1716">
        <v>0</v>
      </c>
      <c r="L1716">
        <v>0</v>
      </c>
      <c r="M1716">
        <v>0</v>
      </c>
      <c r="N1716">
        <v>70</v>
      </c>
      <c r="O1716">
        <v>0</v>
      </c>
      <c r="P1716">
        <v>30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21</v>
      </c>
      <c r="W1716">
        <v>147</v>
      </c>
      <c r="Z1716">
        <v>0</v>
      </c>
      <c r="AA1716" t="s">
        <v>3504</v>
      </c>
    </row>
    <row r="1717" spans="1:27" x14ac:dyDescent="0.25">
      <c r="H1717" t="s">
        <v>3505</v>
      </c>
    </row>
    <row r="1718" spans="1:27" x14ac:dyDescent="0.25">
      <c r="A1718">
        <v>856</v>
      </c>
      <c r="B1718">
        <v>3023</v>
      </c>
      <c r="C1718" t="s">
        <v>3506</v>
      </c>
      <c r="D1718" t="s">
        <v>840</v>
      </c>
      <c r="E1718" t="s">
        <v>41</v>
      </c>
      <c r="F1718" t="s">
        <v>3507</v>
      </c>
      <c r="G1718" t="str">
        <f>"201405002270"</f>
        <v>201405002270</v>
      </c>
      <c r="H1718" t="s">
        <v>3508</v>
      </c>
      <c r="I1718">
        <v>0</v>
      </c>
      <c r="J1718">
        <v>0</v>
      </c>
      <c r="K1718">
        <v>0</v>
      </c>
      <c r="L1718">
        <v>0</v>
      </c>
      <c r="M1718">
        <v>100</v>
      </c>
      <c r="N1718">
        <v>70</v>
      </c>
      <c r="O1718">
        <v>50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Z1718">
        <v>0</v>
      </c>
      <c r="AA1718" t="s">
        <v>3509</v>
      </c>
    </row>
    <row r="1719" spans="1:27" x14ac:dyDescent="0.25">
      <c r="H1719" t="s">
        <v>286</v>
      </c>
    </row>
    <row r="1720" spans="1:27" x14ac:dyDescent="0.25">
      <c r="A1720">
        <v>857</v>
      </c>
      <c r="B1720">
        <v>1064</v>
      </c>
      <c r="C1720" t="s">
        <v>3510</v>
      </c>
      <c r="D1720" t="s">
        <v>323</v>
      </c>
      <c r="E1720" t="s">
        <v>94</v>
      </c>
      <c r="F1720" t="s">
        <v>3511</v>
      </c>
      <c r="G1720" t="str">
        <f>"201304005783"</f>
        <v>201304005783</v>
      </c>
      <c r="H1720" t="s">
        <v>1104</v>
      </c>
      <c r="I1720">
        <v>0</v>
      </c>
      <c r="J1720">
        <v>0</v>
      </c>
      <c r="K1720">
        <v>0</v>
      </c>
      <c r="L1720">
        <v>0</v>
      </c>
      <c r="M1720">
        <v>100</v>
      </c>
      <c r="N1720">
        <v>70</v>
      </c>
      <c r="O1720">
        <v>30</v>
      </c>
      <c r="P1720">
        <v>0</v>
      </c>
      <c r="Q1720">
        <v>50</v>
      </c>
      <c r="R1720">
        <v>0</v>
      </c>
      <c r="S1720">
        <v>0</v>
      </c>
      <c r="T1720">
        <v>0</v>
      </c>
      <c r="U1720">
        <v>0</v>
      </c>
      <c r="V1720">
        <v>18</v>
      </c>
      <c r="W1720">
        <v>126</v>
      </c>
      <c r="Z1720">
        <v>0</v>
      </c>
      <c r="AA1720" t="s">
        <v>3512</v>
      </c>
    </row>
    <row r="1721" spans="1:27" x14ac:dyDescent="0.25">
      <c r="H1721" t="s">
        <v>256</v>
      </c>
    </row>
    <row r="1722" spans="1:27" x14ac:dyDescent="0.25">
      <c r="A1722">
        <v>858</v>
      </c>
      <c r="B1722">
        <v>1245</v>
      </c>
      <c r="C1722" t="s">
        <v>3513</v>
      </c>
      <c r="D1722" t="s">
        <v>1408</v>
      </c>
      <c r="E1722" t="s">
        <v>81</v>
      </c>
      <c r="F1722" t="s">
        <v>3514</v>
      </c>
      <c r="G1722" t="str">
        <f>"201406012988"</f>
        <v>201406012988</v>
      </c>
      <c r="H1722" t="s">
        <v>559</v>
      </c>
      <c r="I1722">
        <v>0</v>
      </c>
      <c r="J1722">
        <v>0</v>
      </c>
      <c r="K1722">
        <v>0</v>
      </c>
      <c r="L1722">
        <v>200</v>
      </c>
      <c r="M1722">
        <v>0</v>
      </c>
      <c r="N1722">
        <v>70</v>
      </c>
      <c r="O1722">
        <v>30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W1722">
        <v>0</v>
      </c>
      <c r="Z1722">
        <v>0</v>
      </c>
      <c r="AA1722" t="s">
        <v>3515</v>
      </c>
    </row>
    <row r="1723" spans="1:27" x14ac:dyDescent="0.25">
      <c r="H1723" t="s">
        <v>3516</v>
      </c>
    </row>
    <row r="1724" spans="1:27" x14ac:dyDescent="0.25">
      <c r="A1724">
        <v>859</v>
      </c>
      <c r="B1724">
        <v>419</v>
      </c>
      <c r="C1724" t="s">
        <v>3517</v>
      </c>
      <c r="D1724" t="s">
        <v>40</v>
      </c>
      <c r="E1724" t="s">
        <v>47</v>
      </c>
      <c r="F1724" t="s">
        <v>3518</v>
      </c>
      <c r="G1724" t="str">
        <f>"201504003271"</f>
        <v>201504003271</v>
      </c>
      <c r="H1724" t="s">
        <v>926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70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46</v>
      </c>
      <c r="W1724">
        <v>322</v>
      </c>
      <c r="Z1724">
        <v>0</v>
      </c>
      <c r="AA1724" t="s">
        <v>3519</v>
      </c>
    </row>
    <row r="1725" spans="1:27" x14ac:dyDescent="0.25">
      <c r="H1725" t="s">
        <v>3520</v>
      </c>
    </row>
    <row r="1726" spans="1:27" x14ac:dyDescent="0.25">
      <c r="A1726">
        <v>860</v>
      </c>
      <c r="B1726">
        <v>2112</v>
      </c>
      <c r="C1726" t="s">
        <v>3521</v>
      </c>
      <c r="D1726" t="s">
        <v>581</v>
      </c>
      <c r="E1726" t="s">
        <v>276</v>
      </c>
      <c r="F1726" t="s">
        <v>3522</v>
      </c>
      <c r="G1726" t="str">
        <f>"201511035521"</f>
        <v>201511035521</v>
      </c>
      <c r="H1726" t="s">
        <v>2445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70</v>
      </c>
      <c r="O1726">
        <v>30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45</v>
      </c>
      <c r="W1726">
        <v>315</v>
      </c>
      <c r="Z1726">
        <v>0</v>
      </c>
      <c r="AA1726" t="s">
        <v>3523</v>
      </c>
    </row>
    <row r="1727" spans="1:27" x14ac:dyDescent="0.25">
      <c r="H1727" t="s">
        <v>286</v>
      </c>
    </row>
    <row r="1728" spans="1:27" x14ac:dyDescent="0.25">
      <c r="A1728">
        <v>861</v>
      </c>
      <c r="B1728">
        <v>1416</v>
      </c>
      <c r="C1728" t="s">
        <v>3524</v>
      </c>
      <c r="D1728" t="s">
        <v>58</v>
      </c>
      <c r="E1728" t="s">
        <v>41</v>
      </c>
      <c r="F1728" t="s">
        <v>3525</v>
      </c>
      <c r="G1728" t="str">
        <f>"00014342"</f>
        <v>00014342</v>
      </c>
      <c r="H1728" t="s">
        <v>947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70</v>
      </c>
      <c r="O1728">
        <v>30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39</v>
      </c>
      <c r="W1728">
        <v>273</v>
      </c>
      <c r="Z1728">
        <v>0</v>
      </c>
      <c r="AA1728" t="s">
        <v>3526</v>
      </c>
    </row>
    <row r="1729" spans="1:27" x14ac:dyDescent="0.25">
      <c r="H1729" t="s">
        <v>3527</v>
      </c>
    </row>
    <row r="1730" spans="1:27" x14ac:dyDescent="0.25">
      <c r="A1730">
        <v>862</v>
      </c>
      <c r="B1730">
        <v>1623</v>
      </c>
      <c r="C1730" t="s">
        <v>2258</v>
      </c>
      <c r="D1730" t="s">
        <v>3528</v>
      </c>
      <c r="E1730" t="s">
        <v>863</v>
      </c>
      <c r="F1730" t="s">
        <v>3529</v>
      </c>
      <c r="G1730" t="str">
        <f>"201506003235"</f>
        <v>201506003235</v>
      </c>
      <c r="H1730" t="s">
        <v>2986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30</v>
      </c>
      <c r="O1730">
        <v>30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51</v>
      </c>
      <c r="W1730">
        <v>357</v>
      </c>
      <c r="Z1730">
        <v>0</v>
      </c>
      <c r="AA1730" t="s">
        <v>3530</v>
      </c>
    </row>
    <row r="1731" spans="1:27" x14ac:dyDescent="0.25">
      <c r="H1731" t="s">
        <v>2260</v>
      </c>
    </row>
    <row r="1732" spans="1:27" x14ac:dyDescent="0.25">
      <c r="A1732">
        <v>863</v>
      </c>
      <c r="B1732">
        <v>258</v>
      </c>
      <c r="C1732" t="s">
        <v>955</v>
      </c>
      <c r="D1732" t="s">
        <v>581</v>
      </c>
      <c r="E1732" t="s">
        <v>100</v>
      </c>
      <c r="F1732" t="s">
        <v>3531</v>
      </c>
      <c r="G1732" t="str">
        <f>"200801001336"</f>
        <v>200801001336</v>
      </c>
      <c r="H1732" t="s">
        <v>2986</v>
      </c>
      <c r="I1732">
        <v>0</v>
      </c>
      <c r="J1732">
        <v>0</v>
      </c>
      <c r="K1732">
        <v>0</v>
      </c>
      <c r="L1732">
        <v>0</v>
      </c>
      <c r="M1732">
        <v>100</v>
      </c>
      <c r="N1732">
        <v>50</v>
      </c>
      <c r="O1732">
        <v>70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28</v>
      </c>
      <c r="W1732">
        <v>196</v>
      </c>
      <c r="Z1732">
        <v>0</v>
      </c>
      <c r="AA1732" t="s">
        <v>3532</v>
      </c>
    </row>
    <row r="1733" spans="1:27" x14ac:dyDescent="0.25">
      <c r="H1733" t="s">
        <v>98</v>
      </c>
    </row>
    <row r="1734" spans="1:27" x14ac:dyDescent="0.25">
      <c r="A1734">
        <v>864</v>
      </c>
      <c r="B1734">
        <v>3232</v>
      </c>
      <c r="C1734" t="s">
        <v>3533</v>
      </c>
      <c r="D1734" t="s">
        <v>1408</v>
      </c>
      <c r="E1734" t="s">
        <v>59</v>
      </c>
      <c r="F1734" t="s">
        <v>3534</v>
      </c>
      <c r="G1734" t="str">
        <f>"201506001496"</f>
        <v>201506001496</v>
      </c>
      <c r="H1734" t="s">
        <v>2332</v>
      </c>
      <c r="I1734">
        <v>0</v>
      </c>
      <c r="J1734">
        <v>0</v>
      </c>
      <c r="K1734">
        <v>0</v>
      </c>
      <c r="L1734">
        <v>0</v>
      </c>
      <c r="M1734">
        <v>100</v>
      </c>
      <c r="N1734">
        <v>30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39</v>
      </c>
      <c r="W1734">
        <v>273</v>
      </c>
      <c r="Z1734">
        <v>0</v>
      </c>
      <c r="AA1734" t="s">
        <v>3535</v>
      </c>
    </row>
    <row r="1735" spans="1:27" x14ac:dyDescent="0.25">
      <c r="H1735" t="s">
        <v>2248</v>
      </c>
    </row>
    <row r="1736" spans="1:27" x14ac:dyDescent="0.25">
      <c r="A1736">
        <v>865</v>
      </c>
      <c r="B1736">
        <v>2576</v>
      </c>
      <c r="C1736" t="s">
        <v>3536</v>
      </c>
      <c r="D1736" t="s">
        <v>3010</v>
      </c>
      <c r="E1736" t="s">
        <v>100</v>
      </c>
      <c r="F1736" t="s">
        <v>3537</v>
      </c>
      <c r="G1736" t="str">
        <f>"00014247"</f>
        <v>00014247</v>
      </c>
      <c r="H1736" t="s">
        <v>379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70</v>
      </c>
      <c r="O1736">
        <v>0</v>
      </c>
      <c r="P1736">
        <v>70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24</v>
      </c>
      <c r="W1736">
        <v>168</v>
      </c>
      <c r="Z1736">
        <v>0</v>
      </c>
      <c r="AA1736" t="s">
        <v>3538</v>
      </c>
    </row>
    <row r="1737" spans="1:27" x14ac:dyDescent="0.25">
      <c r="H1737" t="s">
        <v>3539</v>
      </c>
    </row>
    <row r="1738" spans="1:27" x14ac:dyDescent="0.25">
      <c r="A1738">
        <v>866</v>
      </c>
      <c r="B1738">
        <v>2751</v>
      </c>
      <c r="C1738" t="s">
        <v>3540</v>
      </c>
      <c r="D1738" t="s">
        <v>136</v>
      </c>
      <c r="E1738" t="s">
        <v>80</v>
      </c>
      <c r="F1738" t="s">
        <v>3541</v>
      </c>
      <c r="G1738" t="str">
        <f>"201506001567"</f>
        <v>201506001567</v>
      </c>
      <c r="H1738" t="s">
        <v>2531</v>
      </c>
      <c r="I1738">
        <v>150</v>
      </c>
      <c r="J1738">
        <v>0</v>
      </c>
      <c r="K1738">
        <v>0</v>
      </c>
      <c r="L1738">
        <v>200</v>
      </c>
      <c r="M1738">
        <v>0</v>
      </c>
      <c r="N1738">
        <v>70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0</v>
      </c>
      <c r="Z1738">
        <v>0</v>
      </c>
      <c r="AA1738" t="s">
        <v>3542</v>
      </c>
    </row>
    <row r="1739" spans="1:27" x14ac:dyDescent="0.25">
      <c r="H1739" t="s">
        <v>3543</v>
      </c>
    </row>
    <row r="1740" spans="1:27" x14ac:dyDescent="0.25">
      <c r="A1740">
        <v>867</v>
      </c>
      <c r="B1740">
        <v>2343</v>
      </c>
      <c r="C1740" t="s">
        <v>3544</v>
      </c>
      <c r="D1740" t="s">
        <v>532</v>
      </c>
      <c r="E1740" t="s">
        <v>121</v>
      </c>
      <c r="F1740" t="s">
        <v>3545</v>
      </c>
      <c r="G1740" t="str">
        <f>"00012186"</f>
        <v>00012186</v>
      </c>
      <c r="H1740" t="s">
        <v>49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70</v>
      </c>
      <c r="O1740">
        <v>30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36</v>
      </c>
      <c r="W1740">
        <v>252</v>
      </c>
      <c r="Z1740">
        <v>0</v>
      </c>
      <c r="AA1740" t="s">
        <v>3546</v>
      </c>
    </row>
    <row r="1741" spans="1:27" x14ac:dyDescent="0.25">
      <c r="H1741" t="s">
        <v>56</v>
      </c>
    </row>
    <row r="1742" spans="1:27" x14ac:dyDescent="0.25">
      <c r="A1742">
        <v>868</v>
      </c>
      <c r="B1742">
        <v>1439</v>
      </c>
      <c r="C1742" t="s">
        <v>3547</v>
      </c>
      <c r="D1742" t="s">
        <v>20</v>
      </c>
      <c r="E1742" t="s">
        <v>54</v>
      </c>
      <c r="F1742" t="s">
        <v>3548</v>
      </c>
      <c r="G1742" t="str">
        <f>"201304005150"</f>
        <v>201304005150</v>
      </c>
      <c r="H1742" t="s">
        <v>145</v>
      </c>
      <c r="I1742">
        <v>0</v>
      </c>
      <c r="J1742">
        <v>0</v>
      </c>
      <c r="K1742">
        <v>0</v>
      </c>
      <c r="L1742">
        <v>200</v>
      </c>
      <c r="M1742">
        <v>0</v>
      </c>
      <c r="N1742">
        <v>70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W1742">
        <v>0</v>
      </c>
      <c r="Z1742">
        <v>0</v>
      </c>
      <c r="AA1742" t="s">
        <v>3549</v>
      </c>
    </row>
    <row r="1743" spans="1:27" x14ac:dyDescent="0.25">
      <c r="H1743" t="s">
        <v>3550</v>
      </c>
    </row>
    <row r="1744" spans="1:27" x14ac:dyDescent="0.25">
      <c r="A1744">
        <v>869</v>
      </c>
      <c r="B1744">
        <v>1821</v>
      </c>
      <c r="C1744" t="s">
        <v>3551</v>
      </c>
      <c r="D1744" t="s">
        <v>3552</v>
      </c>
      <c r="E1744" t="s">
        <v>41</v>
      </c>
      <c r="F1744" t="s">
        <v>3553</v>
      </c>
      <c r="G1744" t="str">
        <f>"00014475"</f>
        <v>00014475</v>
      </c>
      <c r="H1744" t="s">
        <v>1703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70</v>
      </c>
      <c r="O1744">
        <v>50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23</v>
      </c>
      <c r="W1744">
        <v>161</v>
      </c>
      <c r="Z1744">
        <v>2</v>
      </c>
      <c r="AA1744" t="s">
        <v>3549</v>
      </c>
    </row>
    <row r="1745" spans="1:27" x14ac:dyDescent="0.25">
      <c r="H1745" t="s">
        <v>3554</v>
      </c>
    </row>
    <row r="1746" spans="1:27" x14ac:dyDescent="0.25">
      <c r="A1746">
        <v>870</v>
      </c>
      <c r="B1746">
        <v>527</v>
      </c>
      <c r="C1746" t="s">
        <v>3555</v>
      </c>
      <c r="D1746" t="s">
        <v>40</v>
      </c>
      <c r="E1746" t="s">
        <v>100</v>
      </c>
      <c r="F1746" t="s">
        <v>3556</v>
      </c>
      <c r="G1746" t="str">
        <f>"00014580"</f>
        <v>00014580</v>
      </c>
      <c r="H1746" t="s">
        <v>3557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30</v>
      </c>
      <c r="O1746">
        <v>0</v>
      </c>
      <c r="P1746">
        <v>70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7</v>
      </c>
      <c r="W1746">
        <v>49</v>
      </c>
      <c r="Z1746">
        <v>0</v>
      </c>
      <c r="AA1746" t="s">
        <v>3558</v>
      </c>
    </row>
    <row r="1747" spans="1:27" x14ac:dyDescent="0.25">
      <c r="H1747" t="s">
        <v>3559</v>
      </c>
    </row>
    <row r="1748" spans="1:27" x14ac:dyDescent="0.25">
      <c r="A1748">
        <v>871</v>
      </c>
      <c r="B1748">
        <v>100</v>
      </c>
      <c r="C1748" t="s">
        <v>3560</v>
      </c>
      <c r="D1748" t="s">
        <v>149</v>
      </c>
      <c r="E1748" t="s">
        <v>586</v>
      </c>
      <c r="F1748" t="s">
        <v>3561</v>
      </c>
      <c r="G1748" t="str">
        <f>"201506001678"</f>
        <v>201506001678</v>
      </c>
      <c r="H1748" t="s">
        <v>2060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30</v>
      </c>
      <c r="O1748">
        <v>30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48</v>
      </c>
      <c r="W1748">
        <v>336</v>
      </c>
      <c r="Z1748">
        <v>0</v>
      </c>
      <c r="AA1748" t="s">
        <v>3562</v>
      </c>
    </row>
    <row r="1749" spans="1:27" x14ac:dyDescent="0.25">
      <c r="H1749" t="s">
        <v>56</v>
      </c>
    </row>
    <row r="1750" spans="1:27" x14ac:dyDescent="0.25">
      <c r="A1750">
        <v>872</v>
      </c>
      <c r="B1750">
        <v>515</v>
      </c>
      <c r="C1750" t="s">
        <v>3563</v>
      </c>
      <c r="D1750" t="s">
        <v>332</v>
      </c>
      <c r="E1750" t="s">
        <v>47</v>
      </c>
      <c r="F1750" t="s">
        <v>3564</v>
      </c>
      <c r="G1750" t="str">
        <f>"201304004548"</f>
        <v>201304004548</v>
      </c>
      <c r="H1750" t="s">
        <v>2531</v>
      </c>
      <c r="I1750">
        <v>0</v>
      </c>
      <c r="J1750">
        <v>0</v>
      </c>
      <c r="K1750">
        <v>0</v>
      </c>
      <c r="L1750">
        <v>200</v>
      </c>
      <c r="M1750">
        <v>0</v>
      </c>
      <c r="N1750">
        <v>70</v>
      </c>
      <c r="O1750">
        <v>70</v>
      </c>
      <c r="P1750">
        <v>70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Z1750">
        <v>0</v>
      </c>
      <c r="AA1750" t="s">
        <v>3565</v>
      </c>
    </row>
    <row r="1751" spans="1:27" x14ac:dyDescent="0.25">
      <c r="H1751" t="s">
        <v>3566</v>
      </c>
    </row>
    <row r="1752" spans="1:27" x14ac:dyDescent="0.25">
      <c r="A1752">
        <v>873</v>
      </c>
      <c r="B1752">
        <v>2252</v>
      </c>
      <c r="C1752" t="s">
        <v>557</v>
      </c>
      <c r="D1752" t="s">
        <v>338</v>
      </c>
      <c r="E1752" t="s">
        <v>143</v>
      </c>
      <c r="F1752" t="s">
        <v>3567</v>
      </c>
      <c r="G1752" t="str">
        <f>"00013660"</f>
        <v>00013660</v>
      </c>
      <c r="H1752" t="s">
        <v>1790</v>
      </c>
      <c r="I1752">
        <v>0</v>
      </c>
      <c r="J1752">
        <v>0</v>
      </c>
      <c r="K1752">
        <v>0</v>
      </c>
      <c r="L1752">
        <v>0</v>
      </c>
      <c r="M1752">
        <v>100</v>
      </c>
      <c r="N1752">
        <v>70</v>
      </c>
      <c r="O1752">
        <v>30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30</v>
      </c>
      <c r="W1752">
        <v>210</v>
      </c>
      <c r="Z1752">
        <v>0</v>
      </c>
      <c r="AA1752" t="s">
        <v>3568</v>
      </c>
    </row>
    <row r="1753" spans="1:27" x14ac:dyDescent="0.25">
      <c r="H1753" t="s">
        <v>3569</v>
      </c>
    </row>
    <row r="1754" spans="1:27" x14ac:dyDescent="0.25">
      <c r="A1754">
        <v>874</v>
      </c>
      <c r="B1754">
        <v>108</v>
      </c>
      <c r="C1754" t="s">
        <v>3313</v>
      </c>
      <c r="D1754" t="s">
        <v>3570</v>
      </c>
      <c r="E1754" t="s">
        <v>54</v>
      </c>
      <c r="F1754" t="s">
        <v>3571</v>
      </c>
      <c r="G1754" t="str">
        <f>"00014871"</f>
        <v>00014871</v>
      </c>
      <c r="H1754" t="s">
        <v>2069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70</v>
      </c>
      <c r="O1754">
        <v>0</v>
      </c>
      <c r="P1754">
        <v>50</v>
      </c>
      <c r="Q1754">
        <v>0</v>
      </c>
      <c r="R1754">
        <v>30</v>
      </c>
      <c r="S1754">
        <v>0</v>
      </c>
      <c r="T1754">
        <v>0</v>
      </c>
      <c r="U1754">
        <v>0</v>
      </c>
      <c r="V1754">
        <v>35</v>
      </c>
      <c r="W1754">
        <v>245</v>
      </c>
      <c r="Z1754">
        <v>1</v>
      </c>
      <c r="AA1754" t="s">
        <v>3572</v>
      </c>
    </row>
    <row r="1755" spans="1:27" x14ac:dyDescent="0.25">
      <c r="H1755" t="s">
        <v>3573</v>
      </c>
    </row>
    <row r="1756" spans="1:27" x14ac:dyDescent="0.25">
      <c r="A1756">
        <v>875</v>
      </c>
      <c r="B1756">
        <v>1278</v>
      </c>
      <c r="C1756" t="s">
        <v>3574</v>
      </c>
      <c r="D1756" t="s">
        <v>81</v>
      </c>
      <c r="E1756" t="s">
        <v>1150</v>
      </c>
      <c r="F1756" t="s">
        <v>3575</v>
      </c>
      <c r="G1756" t="str">
        <f>"00003417"</f>
        <v>00003417</v>
      </c>
      <c r="H1756" t="s">
        <v>102</v>
      </c>
      <c r="I1756">
        <v>0</v>
      </c>
      <c r="J1756">
        <v>0</v>
      </c>
      <c r="K1756">
        <v>0</v>
      </c>
      <c r="L1756">
        <v>0</v>
      </c>
      <c r="M1756">
        <v>100</v>
      </c>
      <c r="N1756">
        <v>70</v>
      </c>
      <c r="O1756">
        <v>0</v>
      </c>
      <c r="P1756">
        <v>30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8</v>
      </c>
      <c r="W1756">
        <v>56</v>
      </c>
      <c r="Z1756">
        <v>0</v>
      </c>
      <c r="AA1756" t="s">
        <v>3576</v>
      </c>
    </row>
    <row r="1757" spans="1:27" x14ac:dyDescent="0.25">
      <c r="H1757" t="s">
        <v>3577</v>
      </c>
    </row>
    <row r="1758" spans="1:27" x14ac:dyDescent="0.25">
      <c r="A1758">
        <v>876</v>
      </c>
      <c r="B1758">
        <v>3027</v>
      </c>
      <c r="C1758" t="s">
        <v>3578</v>
      </c>
      <c r="D1758" t="s">
        <v>14</v>
      </c>
      <c r="E1758" t="s">
        <v>59</v>
      </c>
      <c r="F1758" t="s">
        <v>3579</v>
      </c>
      <c r="G1758" t="str">
        <f>"201406001900"</f>
        <v>201406001900</v>
      </c>
      <c r="H1758" t="s">
        <v>1219</v>
      </c>
      <c r="I1758">
        <v>0</v>
      </c>
      <c r="J1758">
        <v>0</v>
      </c>
      <c r="K1758">
        <v>0</v>
      </c>
      <c r="L1758">
        <v>200</v>
      </c>
      <c r="M1758">
        <v>0</v>
      </c>
      <c r="N1758">
        <v>70</v>
      </c>
      <c r="O1758">
        <v>30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12</v>
      </c>
      <c r="W1758">
        <v>84</v>
      </c>
      <c r="Z1758">
        <v>0</v>
      </c>
      <c r="AA1758" t="s">
        <v>3580</v>
      </c>
    </row>
    <row r="1759" spans="1:27" x14ac:dyDescent="0.25">
      <c r="H1759" t="s">
        <v>3248</v>
      </c>
    </row>
    <row r="1760" spans="1:27" x14ac:dyDescent="0.25">
      <c r="A1760">
        <v>877</v>
      </c>
      <c r="B1760">
        <v>2918</v>
      </c>
      <c r="C1760" t="s">
        <v>3581</v>
      </c>
      <c r="D1760" t="s">
        <v>2604</v>
      </c>
      <c r="E1760" t="s">
        <v>100</v>
      </c>
      <c r="F1760" t="s">
        <v>3582</v>
      </c>
      <c r="G1760" t="str">
        <f>"00013350"</f>
        <v>00013350</v>
      </c>
      <c r="H1760" t="s">
        <v>3583</v>
      </c>
      <c r="I1760">
        <v>0</v>
      </c>
      <c r="J1760">
        <v>0</v>
      </c>
      <c r="K1760">
        <v>0</v>
      </c>
      <c r="L1760">
        <v>200</v>
      </c>
      <c r="M1760">
        <v>0</v>
      </c>
      <c r="N1760">
        <v>30</v>
      </c>
      <c r="O1760">
        <v>0</v>
      </c>
      <c r="P1760">
        <v>30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10</v>
      </c>
      <c r="W1760">
        <v>70</v>
      </c>
      <c r="Z1760">
        <v>0</v>
      </c>
      <c r="AA1760" t="s">
        <v>3584</v>
      </c>
    </row>
    <row r="1761" spans="1:27" x14ac:dyDescent="0.25">
      <c r="H1761" t="s">
        <v>3585</v>
      </c>
    </row>
    <row r="1762" spans="1:27" x14ac:dyDescent="0.25">
      <c r="A1762">
        <v>878</v>
      </c>
      <c r="B1762">
        <v>2999</v>
      </c>
      <c r="C1762" t="s">
        <v>3586</v>
      </c>
      <c r="D1762" t="s">
        <v>3587</v>
      </c>
      <c r="E1762" t="s">
        <v>54</v>
      </c>
      <c r="F1762" t="s">
        <v>3588</v>
      </c>
      <c r="G1762" t="str">
        <f>"00013630"</f>
        <v>00013630</v>
      </c>
      <c r="H1762" t="s">
        <v>1010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70</v>
      </c>
      <c r="O1762">
        <v>70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32</v>
      </c>
      <c r="W1762">
        <v>224</v>
      </c>
      <c r="Z1762">
        <v>0</v>
      </c>
      <c r="AA1762" t="s">
        <v>3589</v>
      </c>
    </row>
    <row r="1763" spans="1:27" x14ac:dyDescent="0.25">
      <c r="H1763" t="s">
        <v>3590</v>
      </c>
    </row>
    <row r="1764" spans="1:27" x14ac:dyDescent="0.25">
      <c r="A1764">
        <v>879</v>
      </c>
      <c r="B1764">
        <v>745</v>
      </c>
      <c r="C1764" t="s">
        <v>886</v>
      </c>
      <c r="D1764" t="s">
        <v>112</v>
      </c>
      <c r="E1764" t="s">
        <v>143</v>
      </c>
      <c r="F1764" t="s">
        <v>3591</v>
      </c>
      <c r="G1764" t="str">
        <f>"00012529"</f>
        <v>00012529</v>
      </c>
      <c r="H1764" t="s">
        <v>1005</v>
      </c>
      <c r="I1764">
        <v>150</v>
      </c>
      <c r="J1764">
        <v>0</v>
      </c>
      <c r="K1764">
        <v>0</v>
      </c>
      <c r="L1764">
        <v>0</v>
      </c>
      <c r="M1764">
        <v>0</v>
      </c>
      <c r="N1764">
        <v>70</v>
      </c>
      <c r="O1764">
        <v>0</v>
      </c>
      <c r="P1764">
        <v>50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9</v>
      </c>
      <c r="W1764">
        <v>63</v>
      </c>
      <c r="Z1764">
        <v>1</v>
      </c>
      <c r="AA1764" t="s">
        <v>3592</v>
      </c>
    </row>
    <row r="1765" spans="1:27" x14ac:dyDescent="0.25">
      <c r="H1765" t="s">
        <v>3593</v>
      </c>
    </row>
    <row r="1766" spans="1:27" x14ac:dyDescent="0.25">
      <c r="A1766">
        <v>880</v>
      </c>
      <c r="B1766">
        <v>255</v>
      </c>
      <c r="C1766" t="s">
        <v>818</v>
      </c>
      <c r="D1766" t="s">
        <v>3594</v>
      </c>
      <c r="E1766" t="s">
        <v>602</v>
      </c>
      <c r="F1766" t="s">
        <v>3595</v>
      </c>
      <c r="G1766" t="str">
        <f>"00014924"</f>
        <v>00014924</v>
      </c>
      <c r="H1766" t="s">
        <v>1137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70</v>
      </c>
      <c r="O1766">
        <v>30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38</v>
      </c>
      <c r="W1766">
        <v>266</v>
      </c>
      <c r="Z1766">
        <v>0</v>
      </c>
      <c r="AA1766" t="s">
        <v>3596</v>
      </c>
    </row>
    <row r="1767" spans="1:27" x14ac:dyDescent="0.25">
      <c r="H1767" t="s">
        <v>3597</v>
      </c>
    </row>
    <row r="1768" spans="1:27" x14ac:dyDescent="0.25">
      <c r="A1768">
        <v>881</v>
      </c>
      <c r="B1768">
        <v>2761</v>
      </c>
      <c r="C1768" t="s">
        <v>3598</v>
      </c>
      <c r="D1768" t="s">
        <v>3599</v>
      </c>
      <c r="E1768" t="s">
        <v>3600</v>
      </c>
      <c r="F1768" t="s">
        <v>3601</v>
      </c>
      <c r="G1768" t="str">
        <f>"201511026319"</f>
        <v>201511026319</v>
      </c>
      <c r="H1768" t="s">
        <v>1173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41</v>
      </c>
      <c r="W1768">
        <v>287</v>
      </c>
      <c r="Z1768">
        <v>0</v>
      </c>
      <c r="AA1768" t="s">
        <v>3602</v>
      </c>
    </row>
    <row r="1769" spans="1:27" x14ac:dyDescent="0.25">
      <c r="H1769" t="s">
        <v>3603</v>
      </c>
    </row>
    <row r="1770" spans="1:27" x14ac:dyDescent="0.25">
      <c r="A1770">
        <v>882</v>
      </c>
      <c r="B1770">
        <v>2436</v>
      </c>
      <c r="C1770" t="s">
        <v>3604</v>
      </c>
      <c r="D1770" t="s">
        <v>644</v>
      </c>
      <c r="E1770" t="s">
        <v>47</v>
      </c>
      <c r="F1770" t="s">
        <v>3605</v>
      </c>
      <c r="G1770" t="str">
        <f>"201406007104"</f>
        <v>201406007104</v>
      </c>
      <c r="H1770" t="s">
        <v>3606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30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54</v>
      </c>
      <c r="W1770">
        <v>378</v>
      </c>
      <c r="Z1770">
        <v>0</v>
      </c>
      <c r="AA1770" t="s">
        <v>3607</v>
      </c>
    </row>
    <row r="1771" spans="1:27" x14ac:dyDescent="0.25">
      <c r="H1771" t="s">
        <v>3608</v>
      </c>
    </row>
    <row r="1772" spans="1:27" x14ac:dyDescent="0.25">
      <c r="A1772">
        <v>883</v>
      </c>
      <c r="B1772">
        <v>1657</v>
      </c>
      <c r="C1772" t="s">
        <v>590</v>
      </c>
      <c r="D1772" t="s">
        <v>20</v>
      </c>
      <c r="E1772" t="s">
        <v>47</v>
      </c>
      <c r="F1772" t="s">
        <v>3609</v>
      </c>
      <c r="G1772" t="str">
        <f>"00013883"</f>
        <v>00013883</v>
      </c>
      <c r="H1772" t="s">
        <v>2488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30</v>
      </c>
      <c r="O1772">
        <v>0</v>
      </c>
      <c r="P1772">
        <v>0</v>
      </c>
      <c r="Q1772">
        <v>30</v>
      </c>
      <c r="R1772">
        <v>0</v>
      </c>
      <c r="S1772">
        <v>0</v>
      </c>
      <c r="T1772">
        <v>0</v>
      </c>
      <c r="U1772">
        <v>0</v>
      </c>
      <c r="V1772">
        <v>48</v>
      </c>
      <c r="W1772">
        <v>336</v>
      </c>
      <c r="Z1772">
        <v>0</v>
      </c>
      <c r="AA1772" t="s">
        <v>3610</v>
      </c>
    </row>
    <row r="1773" spans="1:27" x14ac:dyDescent="0.25">
      <c r="H1773" t="s">
        <v>2215</v>
      </c>
    </row>
    <row r="1774" spans="1:27" x14ac:dyDescent="0.25">
      <c r="A1774">
        <v>884</v>
      </c>
      <c r="B1774">
        <v>281</v>
      </c>
      <c r="C1774" t="s">
        <v>1870</v>
      </c>
      <c r="D1774" t="s">
        <v>81</v>
      </c>
      <c r="E1774" t="s">
        <v>1150</v>
      </c>
      <c r="F1774" t="s">
        <v>3611</v>
      </c>
      <c r="G1774" t="str">
        <f>"00014839"</f>
        <v>00014839</v>
      </c>
      <c r="H1774">
        <v>781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70</v>
      </c>
      <c r="O1774">
        <v>30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25</v>
      </c>
      <c r="W1774">
        <v>175</v>
      </c>
      <c r="Z1774">
        <v>0</v>
      </c>
      <c r="AA1774">
        <v>1056</v>
      </c>
    </row>
    <row r="1775" spans="1:27" x14ac:dyDescent="0.25">
      <c r="H1775" t="s">
        <v>3612</v>
      </c>
    </row>
    <row r="1776" spans="1:27" x14ac:dyDescent="0.25">
      <c r="A1776">
        <v>885</v>
      </c>
      <c r="B1776">
        <v>1712</v>
      </c>
      <c r="C1776" t="s">
        <v>3613</v>
      </c>
      <c r="D1776" t="s">
        <v>652</v>
      </c>
      <c r="E1776" t="s">
        <v>47</v>
      </c>
      <c r="F1776" t="s">
        <v>3614</v>
      </c>
      <c r="G1776" t="str">
        <f>"201511030581"</f>
        <v>201511030581</v>
      </c>
      <c r="H1776" t="s">
        <v>3583</v>
      </c>
      <c r="I1776">
        <v>0</v>
      </c>
      <c r="J1776">
        <v>0</v>
      </c>
      <c r="K1776">
        <v>0</v>
      </c>
      <c r="L1776">
        <v>200</v>
      </c>
      <c r="M1776">
        <v>0</v>
      </c>
      <c r="N1776">
        <v>70</v>
      </c>
      <c r="O1776">
        <v>0</v>
      </c>
      <c r="P1776">
        <v>50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Z1776">
        <v>0</v>
      </c>
      <c r="AA1776" t="s">
        <v>3615</v>
      </c>
    </row>
    <row r="1777" spans="1:27" x14ac:dyDescent="0.25">
      <c r="H1777" t="s">
        <v>3616</v>
      </c>
    </row>
    <row r="1778" spans="1:27" x14ac:dyDescent="0.25">
      <c r="A1778">
        <v>886</v>
      </c>
      <c r="B1778">
        <v>2911</v>
      </c>
      <c r="C1778" t="s">
        <v>3617</v>
      </c>
      <c r="D1778" t="s">
        <v>3618</v>
      </c>
      <c r="E1778" t="s">
        <v>799</v>
      </c>
      <c r="F1778" t="s">
        <v>3619</v>
      </c>
      <c r="G1778" t="str">
        <f>"201406011288"</f>
        <v>201406011288</v>
      </c>
      <c r="H1778">
        <v>715</v>
      </c>
      <c r="I1778">
        <v>0</v>
      </c>
      <c r="J1778">
        <v>0</v>
      </c>
      <c r="K1778">
        <v>0</v>
      </c>
      <c r="L1778">
        <v>200</v>
      </c>
      <c r="M1778">
        <v>0</v>
      </c>
      <c r="N1778">
        <v>70</v>
      </c>
      <c r="O1778">
        <v>0</v>
      </c>
      <c r="P1778">
        <v>0</v>
      </c>
      <c r="Q1778">
        <v>0</v>
      </c>
      <c r="R1778">
        <v>70</v>
      </c>
      <c r="S1778">
        <v>0</v>
      </c>
      <c r="T1778">
        <v>0</v>
      </c>
      <c r="U1778">
        <v>0</v>
      </c>
      <c r="V1778">
        <v>0</v>
      </c>
      <c r="W1778">
        <v>0</v>
      </c>
      <c r="Z1778">
        <v>0</v>
      </c>
      <c r="AA1778">
        <v>1055</v>
      </c>
    </row>
    <row r="1779" spans="1:27" x14ac:dyDescent="0.25">
      <c r="H1779" t="s">
        <v>3620</v>
      </c>
    </row>
    <row r="1780" spans="1:27" x14ac:dyDescent="0.25">
      <c r="A1780">
        <v>887</v>
      </c>
      <c r="B1780">
        <v>883</v>
      </c>
      <c r="C1780" t="s">
        <v>3621</v>
      </c>
      <c r="D1780" t="s">
        <v>2295</v>
      </c>
      <c r="E1780" t="s">
        <v>3622</v>
      </c>
      <c r="F1780" t="s">
        <v>3623</v>
      </c>
      <c r="G1780" t="str">
        <f>"00014818"</f>
        <v>00014818</v>
      </c>
      <c r="H1780" t="s">
        <v>206</v>
      </c>
      <c r="I1780">
        <v>0</v>
      </c>
      <c r="J1780">
        <v>0</v>
      </c>
      <c r="K1780">
        <v>0</v>
      </c>
      <c r="L1780">
        <v>200</v>
      </c>
      <c r="M1780">
        <v>0</v>
      </c>
      <c r="N1780">
        <v>70</v>
      </c>
      <c r="O1780">
        <v>0</v>
      </c>
      <c r="P1780">
        <v>50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Z1780">
        <v>0</v>
      </c>
      <c r="AA1780" t="s">
        <v>3624</v>
      </c>
    </row>
    <row r="1781" spans="1:27" x14ac:dyDescent="0.25">
      <c r="H1781" t="s">
        <v>2382</v>
      </c>
    </row>
    <row r="1782" spans="1:27" x14ac:dyDescent="0.25">
      <c r="A1782">
        <v>888</v>
      </c>
      <c r="B1782">
        <v>3192</v>
      </c>
      <c r="C1782" t="s">
        <v>3625</v>
      </c>
      <c r="D1782" t="s">
        <v>87</v>
      </c>
      <c r="E1782" t="s">
        <v>143</v>
      </c>
      <c r="F1782" t="s">
        <v>3626</v>
      </c>
      <c r="G1782" t="str">
        <f>"00013786"</f>
        <v>00013786</v>
      </c>
      <c r="H1782" t="s">
        <v>2332</v>
      </c>
      <c r="I1782">
        <v>0</v>
      </c>
      <c r="J1782">
        <v>0</v>
      </c>
      <c r="K1782">
        <v>0</v>
      </c>
      <c r="L1782">
        <v>200</v>
      </c>
      <c r="M1782">
        <v>0</v>
      </c>
      <c r="N1782">
        <v>70</v>
      </c>
      <c r="O1782">
        <v>70</v>
      </c>
      <c r="P1782">
        <v>30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0</v>
      </c>
      <c r="Z1782">
        <v>0</v>
      </c>
      <c r="AA1782" t="s">
        <v>3627</v>
      </c>
    </row>
    <row r="1783" spans="1:27" x14ac:dyDescent="0.25">
      <c r="H1783" t="s">
        <v>3628</v>
      </c>
    </row>
    <row r="1784" spans="1:27" x14ac:dyDescent="0.25">
      <c r="A1784">
        <v>889</v>
      </c>
      <c r="B1784">
        <v>2514</v>
      </c>
      <c r="C1784" t="s">
        <v>3629</v>
      </c>
      <c r="D1784" t="s">
        <v>20</v>
      </c>
      <c r="E1784" t="s">
        <v>81</v>
      </c>
      <c r="F1784" t="s">
        <v>3630</v>
      </c>
      <c r="G1784" t="str">
        <f>"00013663"</f>
        <v>00013663</v>
      </c>
      <c r="H1784">
        <v>660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70</v>
      </c>
      <c r="O1784">
        <v>70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36</v>
      </c>
      <c r="W1784">
        <v>252</v>
      </c>
      <c r="Z1784">
        <v>0</v>
      </c>
      <c r="AA1784">
        <v>1052</v>
      </c>
    </row>
    <row r="1785" spans="1:27" x14ac:dyDescent="0.25">
      <c r="H1785" t="s">
        <v>3631</v>
      </c>
    </row>
    <row r="1786" spans="1:27" x14ac:dyDescent="0.25">
      <c r="A1786">
        <v>890</v>
      </c>
      <c r="B1786">
        <v>536</v>
      </c>
      <c r="C1786" t="s">
        <v>3632</v>
      </c>
      <c r="D1786" t="s">
        <v>3633</v>
      </c>
      <c r="E1786" t="s">
        <v>3634</v>
      </c>
      <c r="F1786" t="s">
        <v>3635</v>
      </c>
      <c r="G1786" t="str">
        <f>"00015014"</f>
        <v>00015014</v>
      </c>
      <c r="H1786" t="s">
        <v>2632</v>
      </c>
      <c r="I1786">
        <v>150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30</v>
      </c>
      <c r="R1786">
        <v>0</v>
      </c>
      <c r="S1786">
        <v>0</v>
      </c>
      <c r="T1786">
        <v>0</v>
      </c>
      <c r="U1786">
        <v>0</v>
      </c>
      <c r="V1786">
        <v>29</v>
      </c>
      <c r="W1786">
        <v>203</v>
      </c>
      <c r="Z1786">
        <v>0</v>
      </c>
      <c r="AA1786" t="s">
        <v>3636</v>
      </c>
    </row>
    <row r="1787" spans="1:27" x14ac:dyDescent="0.25">
      <c r="H1787" t="s">
        <v>3637</v>
      </c>
    </row>
    <row r="1788" spans="1:27" x14ac:dyDescent="0.25">
      <c r="A1788">
        <v>891</v>
      </c>
      <c r="B1788">
        <v>23</v>
      </c>
      <c r="C1788" t="s">
        <v>3638</v>
      </c>
      <c r="D1788" t="s">
        <v>398</v>
      </c>
      <c r="E1788" t="s">
        <v>41</v>
      </c>
      <c r="F1788" t="s">
        <v>3639</v>
      </c>
      <c r="G1788" t="str">
        <f>"201303000277"</f>
        <v>201303000277</v>
      </c>
      <c r="H1788" t="s">
        <v>1275</v>
      </c>
      <c r="I1788">
        <v>0</v>
      </c>
      <c r="J1788">
        <v>0</v>
      </c>
      <c r="K1788">
        <v>0</v>
      </c>
      <c r="L1788">
        <v>0</v>
      </c>
      <c r="M1788">
        <v>100</v>
      </c>
      <c r="N1788">
        <v>70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26</v>
      </c>
      <c r="W1788">
        <v>182</v>
      </c>
      <c r="Z1788">
        <v>2</v>
      </c>
      <c r="AA1788" t="s">
        <v>3640</v>
      </c>
    </row>
    <row r="1789" spans="1:27" x14ac:dyDescent="0.25">
      <c r="H1789">
        <v>203</v>
      </c>
    </row>
    <row r="1790" spans="1:27" x14ac:dyDescent="0.25">
      <c r="A1790">
        <v>892</v>
      </c>
      <c r="B1790">
        <v>1188</v>
      </c>
      <c r="C1790" t="s">
        <v>3641</v>
      </c>
      <c r="D1790" t="s">
        <v>136</v>
      </c>
      <c r="E1790" t="s">
        <v>143</v>
      </c>
      <c r="F1790" t="s">
        <v>3642</v>
      </c>
      <c r="G1790" t="str">
        <f>"00012946"</f>
        <v>00012946</v>
      </c>
      <c r="H1790" t="s">
        <v>1145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36</v>
      </c>
      <c r="W1790">
        <v>252</v>
      </c>
      <c r="Z1790">
        <v>0</v>
      </c>
      <c r="AA1790" t="s">
        <v>3643</v>
      </c>
    </row>
    <row r="1791" spans="1:27" x14ac:dyDescent="0.25">
      <c r="H1791" t="s">
        <v>3644</v>
      </c>
    </row>
    <row r="1792" spans="1:27" x14ac:dyDescent="0.25">
      <c r="A1792">
        <v>893</v>
      </c>
      <c r="B1792">
        <v>3065</v>
      </c>
      <c r="C1792" t="s">
        <v>3645</v>
      </c>
      <c r="D1792" t="s">
        <v>3646</v>
      </c>
      <c r="E1792" t="s">
        <v>21</v>
      </c>
      <c r="F1792" t="s">
        <v>3647</v>
      </c>
      <c r="G1792" t="str">
        <f>"00012108"</f>
        <v>00012108</v>
      </c>
      <c r="H1792" t="s">
        <v>1372</v>
      </c>
      <c r="I1792">
        <v>0</v>
      </c>
      <c r="J1792">
        <v>0</v>
      </c>
      <c r="K1792">
        <v>0</v>
      </c>
      <c r="L1792">
        <v>200</v>
      </c>
      <c r="M1792">
        <v>0</v>
      </c>
      <c r="N1792">
        <v>70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12</v>
      </c>
      <c r="W1792">
        <v>84</v>
      </c>
      <c r="Z1792">
        <v>0</v>
      </c>
      <c r="AA1792" t="s">
        <v>3648</v>
      </c>
    </row>
    <row r="1793" spans="1:27" x14ac:dyDescent="0.25">
      <c r="H1793" t="s">
        <v>1674</v>
      </c>
    </row>
    <row r="1794" spans="1:27" x14ac:dyDescent="0.25">
      <c r="A1794">
        <v>894</v>
      </c>
      <c r="B1794">
        <v>364</v>
      </c>
      <c r="C1794" t="s">
        <v>3649</v>
      </c>
      <c r="D1794" t="s">
        <v>100</v>
      </c>
      <c r="E1794" t="s">
        <v>41</v>
      </c>
      <c r="F1794" t="s">
        <v>3650</v>
      </c>
      <c r="G1794" t="str">
        <f>"00015224"</f>
        <v>00015224</v>
      </c>
      <c r="H1794" t="s">
        <v>1219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70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41</v>
      </c>
      <c r="W1794">
        <v>287</v>
      </c>
      <c r="Z1794">
        <v>0</v>
      </c>
      <c r="AA1794" t="s">
        <v>3651</v>
      </c>
    </row>
    <row r="1795" spans="1:27" x14ac:dyDescent="0.25">
      <c r="H1795" t="s">
        <v>3652</v>
      </c>
    </row>
    <row r="1796" spans="1:27" x14ac:dyDescent="0.25">
      <c r="A1796">
        <v>895</v>
      </c>
      <c r="B1796">
        <v>2026</v>
      </c>
      <c r="C1796" t="s">
        <v>3653</v>
      </c>
      <c r="D1796" t="s">
        <v>149</v>
      </c>
      <c r="E1796" t="s">
        <v>263</v>
      </c>
      <c r="F1796" t="s">
        <v>3654</v>
      </c>
      <c r="G1796" t="str">
        <f>"201506001818"</f>
        <v>201506001818</v>
      </c>
      <c r="H1796" t="s">
        <v>49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70</v>
      </c>
      <c r="O1796">
        <v>30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30</v>
      </c>
      <c r="W1796">
        <v>210</v>
      </c>
      <c r="Z1796">
        <v>0</v>
      </c>
      <c r="AA1796" t="s">
        <v>3655</v>
      </c>
    </row>
    <row r="1797" spans="1:27" x14ac:dyDescent="0.25">
      <c r="H1797" t="s">
        <v>3656</v>
      </c>
    </row>
    <row r="1798" spans="1:27" x14ac:dyDescent="0.25">
      <c r="A1798">
        <v>896</v>
      </c>
      <c r="B1798">
        <v>3059</v>
      </c>
      <c r="C1798" t="s">
        <v>3657</v>
      </c>
      <c r="D1798" t="s">
        <v>3658</v>
      </c>
      <c r="E1798" t="s">
        <v>1927</v>
      </c>
      <c r="F1798" t="s">
        <v>3659</v>
      </c>
      <c r="G1798" t="str">
        <f>"00013380"</f>
        <v>00013380</v>
      </c>
      <c r="H1798" t="s">
        <v>108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70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14</v>
      </c>
      <c r="W1798">
        <v>98</v>
      </c>
      <c r="Z1798">
        <v>2</v>
      </c>
      <c r="AA1798" t="s">
        <v>3660</v>
      </c>
    </row>
    <row r="1799" spans="1:27" x14ac:dyDescent="0.25">
      <c r="H1799" t="s">
        <v>3661</v>
      </c>
    </row>
    <row r="1800" spans="1:27" x14ac:dyDescent="0.25">
      <c r="A1800">
        <v>897</v>
      </c>
      <c r="B1800">
        <v>821</v>
      </c>
      <c r="C1800" t="s">
        <v>3662</v>
      </c>
      <c r="D1800" t="s">
        <v>3663</v>
      </c>
      <c r="E1800" t="s">
        <v>88</v>
      </c>
      <c r="F1800" t="s">
        <v>3664</v>
      </c>
      <c r="G1800" t="str">
        <f>"00013812"</f>
        <v>00013812</v>
      </c>
      <c r="H1800" t="s">
        <v>3665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70</v>
      </c>
      <c r="O1800">
        <v>30</v>
      </c>
      <c r="P1800">
        <v>70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Z1800">
        <v>0</v>
      </c>
      <c r="AA1800" t="s">
        <v>3666</v>
      </c>
    </row>
    <row r="1801" spans="1:27" x14ac:dyDescent="0.25">
      <c r="H1801" t="s">
        <v>1825</v>
      </c>
    </row>
    <row r="1802" spans="1:27" x14ac:dyDescent="0.25">
      <c r="A1802">
        <v>898</v>
      </c>
      <c r="B1802">
        <v>1567</v>
      </c>
      <c r="C1802" t="s">
        <v>355</v>
      </c>
      <c r="D1802" t="s">
        <v>410</v>
      </c>
      <c r="E1802" t="s">
        <v>624</v>
      </c>
      <c r="F1802" t="s">
        <v>3667</v>
      </c>
      <c r="G1802" t="str">
        <f>"00015089"</f>
        <v>00015089</v>
      </c>
      <c r="H1802">
        <v>671</v>
      </c>
      <c r="I1802">
        <v>0</v>
      </c>
      <c r="J1802">
        <v>0</v>
      </c>
      <c r="K1802">
        <v>0</v>
      </c>
      <c r="L1802">
        <v>200</v>
      </c>
      <c r="M1802">
        <v>0</v>
      </c>
      <c r="N1802">
        <v>70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14</v>
      </c>
      <c r="W1802">
        <v>98</v>
      </c>
      <c r="Z1802">
        <v>0</v>
      </c>
      <c r="AA1802">
        <v>1039</v>
      </c>
    </row>
    <row r="1803" spans="1:27" x14ac:dyDescent="0.25">
      <c r="H1803" t="s">
        <v>3668</v>
      </c>
    </row>
    <row r="1804" spans="1:27" x14ac:dyDescent="0.25">
      <c r="A1804">
        <v>899</v>
      </c>
      <c r="B1804">
        <v>2576</v>
      </c>
      <c r="C1804" t="s">
        <v>3536</v>
      </c>
      <c r="D1804" t="s">
        <v>3010</v>
      </c>
      <c r="E1804" t="s">
        <v>100</v>
      </c>
      <c r="F1804" t="s">
        <v>3537</v>
      </c>
      <c r="G1804" t="str">
        <f>"00014247"</f>
        <v>00014247</v>
      </c>
      <c r="H1804" t="s">
        <v>379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70</v>
      </c>
      <c r="O1804">
        <v>0</v>
      </c>
      <c r="P1804">
        <v>70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17</v>
      </c>
      <c r="W1804">
        <v>119</v>
      </c>
      <c r="Z1804">
        <v>0</v>
      </c>
      <c r="AA1804" t="s">
        <v>3669</v>
      </c>
    </row>
    <row r="1805" spans="1:27" x14ac:dyDescent="0.25">
      <c r="H1805" t="s">
        <v>3539</v>
      </c>
    </row>
    <row r="1806" spans="1:27" x14ac:dyDescent="0.25">
      <c r="A1806">
        <v>900</v>
      </c>
      <c r="B1806">
        <v>1186</v>
      </c>
      <c r="C1806" t="s">
        <v>3670</v>
      </c>
      <c r="D1806" t="s">
        <v>739</v>
      </c>
      <c r="E1806" t="s">
        <v>81</v>
      </c>
      <c r="F1806" t="s">
        <v>3671</v>
      </c>
      <c r="G1806" t="str">
        <f>"00014656"</f>
        <v>00014656</v>
      </c>
      <c r="H1806">
        <v>715</v>
      </c>
      <c r="I1806">
        <v>0</v>
      </c>
      <c r="J1806">
        <v>0</v>
      </c>
      <c r="K1806">
        <v>0</v>
      </c>
      <c r="L1806">
        <v>0</v>
      </c>
      <c r="M1806">
        <v>130</v>
      </c>
      <c r="N1806">
        <v>70</v>
      </c>
      <c r="O1806">
        <v>70</v>
      </c>
      <c r="P1806">
        <v>0</v>
      </c>
      <c r="Q1806">
        <v>0</v>
      </c>
      <c r="R1806">
        <v>50</v>
      </c>
      <c r="S1806">
        <v>0</v>
      </c>
      <c r="T1806">
        <v>0</v>
      </c>
      <c r="U1806">
        <v>0</v>
      </c>
      <c r="V1806">
        <v>0</v>
      </c>
      <c r="W1806">
        <v>0</v>
      </c>
      <c r="Z1806">
        <v>0</v>
      </c>
      <c r="AA1806">
        <v>1035</v>
      </c>
    </row>
    <row r="1807" spans="1:27" x14ac:dyDescent="0.25">
      <c r="H1807" t="s">
        <v>3281</v>
      </c>
    </row>
    <row r="1808" spans="1:27" x14ac:dyDescent="0.25">
      <c r="A1808">
        <v>901</v>
      </c>
      <c r="B1808">
        <v>43</v>
      </c>
      <c r="C1808" t="s">
        <v>3672</v>
      </c>
      <c r="D1808" t="s">
        <v>3673</v>
      </c>
      <c r="E1808" t="s">
        <v>1439</v>
      </c>
      <c r="F1808" t="s">
        <v>3674</v>
      </c>
      <c r="G1808" t="str">
        <f>"201511036125"</f>
        <v>201511036125</v>
      </c>
      <c r="H1808" t="s">
        <v>3583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70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32</v>
      </c>
      <c r="W1808">
        <v>224</v>
      </c>
      <c r="Z1808">
        <v>1</v>
      </c>
      <c r="AA1808" t="s">
        <v>3675</v>
      </c>
    </row>
    <row r="1809" spans="1:27" x14ac:dyDescent="0.25">
      <c r="H1809" t="s">
        <v>3676</v>
      </c>
    </row>
    <row r="1810" spans="1:27" x14ac:dyDescent="0.25">
      <c r="A1810">
        <v>902</v>
      </c>
      <c r="B1810">
        <v>276</v>
      </c>
      <c r="C1810" t="s">
        <v>3677</v>
      </c>
      <c r="D1810" t="s">
        <v>1026</v>
      </c>
      <c r="E1810" t="s">
        <v>602</v>
      </c>
      <c r="F1810" t="s">
        <v>3678</v>
      </c>
      <c r="G1810" t="str">
        <f>"201406013601"</f>
        <v>201406013601</v>
      </c>
      <c r="H1810" t="s">
        <v>1178</v>
      </c>
      <c r="I1810">
        <v>0</v>
      </c>
      <c r="J1810">
        <v>0</v>
      </c>
      <c r="K1810">
        <v>0</v>
      </c>
      <c r="L1810">
        <v>0</v>
      </c>
      <c r="M1810">
        <v>100</v>
      </c>
      <c r="N1810">
        <v>70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20</v>
      </c>
      <c r="W1810">
        <v>140</v>
      </c>
      <c r="Z1810">
        <v>0</v>
      </c>
      <c r="AA1810" t="s">
        <v>3679</v>
      </c>
    </row>
    <row r="1811" spans="1:27" x14ac:dyDescent="0.25">
      <c r="H1811" t="s">
        <v>3680</v>
      </c>
    </row>
    <row r="1812" spans="1:27" x14ac:dyDescent="0.25">
      <c r="A1812">
        <v>903</v>
      </c>
      <c r="B1812">
        <v>1458</v>
      </c>
      <c r="C1812" t="s">
        <v>3681</v>
      </c>
      <c r="D1812" t="s">
        <v>3682</v>
      </c>
      <c r="E1812" t="s">
        <v>121</v>
      </c>
      <c r="F1812" t="s">
        <v>3683</v>
      </c>
      <c r="G1812" t="str">
        <f>"00014547"</f>
        <v>00014547</v>
      </c>
      <c r="H1812" t="s">
        <v>1045</v>
      </c>
      <c r="I1812">
        <v>0</v>
      </c>
      <c r="J1812">
        <v>0</v>
      </c>
      <c r="K1812">
        <v>0</v>
      </c>
      <c r="L1812">
        <v>200</v>
      </c>
      <c r="M1812">
        <v>0</v>
      </c>
      <c r="N1812">
        <v>70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0</v>
      </c>
      <c r="Z1812">
        <v>0</v>
      </c>
      <c r="AA1812" t="s">
        <v>3684</v>
      </c>
    </row>
    <row r="1813" spans="1:27" x14ac:dyDescent="0.25">
      <c r="H1813" t="s">
        <v>3685</v>
      </c>
    </row>
    <row r="1814" spans="1:27" x14ac:dyDescent="0.25">
      <c r="A1814">
        <v>904</v>
      </c>
      <c r="B1814">
        <v>1597</v>
      </c>
      <c r="C1814" t="s">
        <v>3686</v>
      </c>
      <c r="D1814" t="s">
        <v>581</v>
      </c>
      <c r="E1814" t="s">
        <v>41</v>
      </c>
      <c r="F1814" t="s">
        <v>3687</v>
      </c>
      <c r="G1814" t="str">
        <f>"00014443"</f>
        <v>00014443</v>
      </c>
      <c r="H1814" t="s">
        <v>3208</v>
      </c>
      <c r="I1814">
        <v>150</v>
      </c>
      <c r="J1814">
        <v>0</v>
      </c>
      <c r="K1814">
        <v>0</v>
      </c>
      <c r="L1814">
        <v>0</v>
      </c>
      <c r="M1814">
        <v>0</v>
      </c>
      <c r="N1814">
        <v>70</v>
      </c>
      <c r="O1814">
        <v>70</v>
      </c>
      <c r="P1814">
        <v>0</v>
      </c>
      <c r="Q1814">
        <v>50</v>
      </c>
      <c r="R1814">
        <v>0</v>
      </c>
      <c r="S1814">
        <v>0</v>
      </c>
      <c r="T1814">
        <v>0</v>
      </c>
      <c r="U1814">
        <v>0</v>
      </c>
      <c r="V1814">
        <v>8</v>
      </c>
      <c r="W1814">
        <v>56</v>
      </c>
      <c r="Z1814">
        <v>0</v>
      </c>
      <c r="AA1814" t="s">
        <v>3688</v>
      </c>
    </row>
    <row r="1815" spans="1:27" x14ac:dyDescent="0.25">
      <c r="H1815" t="s">
        <v>3689</v>
      </c>
    </row>
    <row r="1816" spans="1:27" x14ac:dyDescent="0.25">
      <c r="A1816">
        <v>905</v>
      </c>
      <c r="B1816">
        <v>3271</v>
      </c>
      <c r="C1816" t="s">
        <v>3690</v>
      </c>
      <c r="D1816" t="s">
        <v>210</v>
      </c>
      <c r="E1816" t="s">
        <v>94</v>
      </c>
      <c r="F1816" t="s">
        <v>3691</v>
      </c>
      <c r="G1816" t="str">
        <f>"00011553"</f>
        <v>00011553</v>
      </c>
      <c r="H1816">
        <v>704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30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41</v>
      </c>
      <c r="W1816">
        <v>287</v>
      </c>
      <c r="Z1816">
        <v>0</v>
      </c>
      <c r="AA1816">
        <v>1021</v>
      </c>
    </row>
    <row r="1817" spans="1:27" x14ac:dyDescent="0.25">
      <c r="H1817" t="s">
        <v>3692</v>
      </c>
    </row>
    <row r="1818" spans="1:27" x14ac:dyDescent="0.25">
      <c r="A1818">
        <v>906</v>
      </c>
      <c r="B1818">
        <v>3161</v>
      </c>
      <c r="C1818" t="s">
        <v>3693</v>
      </c>
      <c r="D1818" t="s">
        <v>652</v>
      </c>
      <c r="E1818" t="s">
        <v>88</v>
      </c>
      <c r="F1818" t="s">
        <v>3694</v>
      </c>
      <c r="G1818" t="str">
        <f>"201406005260"</f>
        <v>201406005260</v>
      </c>
      <c r="H1818" t="s">
        <v>384</v>
      </c>
      <c r="I1818">
        <v>0</v>
      </c>
      <c r="J1818">
        <v>0</v>
      </c>
      <c r="K1818">
        <v>0</v>
      </c>
      <c r="L1818">
        <v>200</v>
      </c>
      <c r="M1818">
        <v>0</v>
      </c>
      <c r="N1818">
        <v>70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0</v>
      </c>
      <c r="Z1818">
        <v>0</v>
      </c>
      <c r="AA1818" t="s">
        <v>3695</v>
      </c>
    </row>
    <row r="1819" spans="1:27" x14ac:dyDescent="0.25">
      <c r="H1819" t="s">
        <v>3696</v>
      </c>
    </row>
    <row r="1820" spans="1:27" x14ac:dyDescent="0.25">
      <c r="A1820">
        <v>907</v>
      </c>
      <c r="B1820">
        <v>1974</v>
      </c>
      <c r="C1820" t="s">
        <v>3697</v>
      </c>
      <c r="D1820" t="s">
        <v>3698</v>
      </c>
      <c r="E1820" t="s">
        <v>222</v>
      </c>
      <c r="F1820" t="s">
        <v>3699</v>
      </c>
      <c r="G1820" t="str">
        <f>"201304000875"</f>
        <v>201304000875</v>
      </c>
      <c r="H1820" t="s">
        <v>947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70</v>
      </c>
      <c r="O1820">
        <v>30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29</v>
      </c>
      <c r="W1820">
        <v>203</v>
      </c>
      <c r="Z1820">
        <v>0</v>
      </c>
      <c r="AA1820" t="s">
        <v>3695</v>
      </c>
    </row>
    <row r="1821" spans="1:27" x14ac:dyDescent="0.25">
      <c r="H1821" t="s">
        <v>3700</v>
      </c>
    </row>
    <row r="1822" spans="1:27" x14ac:dyDescent="0.25">
      <c r="A1822">
        <v>908</v>
      </c>
      <c r="B1822">
        <v>858</v>
      </c>
      <c r="C1822" t="s">
        <v>1405</v>
      </c>
      <c r="D1822" t="s">
        <v>112</v>
      </c>
      <c r="E1822" t="s">
        <v>143</v>
      </c>
      <c r="F1822" t="s">
        <v>3701</v>
      </c>
      <c r="G1822" t="str">
        <f>"00014803"</f>
        <v>00014803</v>
      </c>
      <c r="H1822" t="s">
        <v>61</v>
      </c>
      <c r="I1822">
        <v>0</v>
      </c>
      <c r="J1822">
        <v>0</v>
      </c>
      <c r="K1822">
        <v>0</v>
      </c>
      <c r="L1822">
        <v>0</v>
      </c>
      <c r="M1822">
        <v>100</v>
      </c>
      <c r="N1822">
        <v>70</v>
      </c>
      <c r="O1822">
        <v>30</v>
      </c>
      <c r="P1822">
        <v>0</v>
      </c>
      <c r="Q1822">
        <v>0</v>
      </c>
      <c r="R1822">
        <v>30</v>
      </c>
      <c r="S1822">
        <v>0</v>
      </c>
      <c r="T1822">
        <v>0</v>
      </c>
      <c r="U1822">
        <v>0</v>
      </c>
      <c r="V1822">
        <v>0</v>
      </c>
      <c r="W1822">
        <v>0</v>
      </c>
      <c r="Z1822">
        <v>0</v>
      </c>
      <c r="AA1822" t="s">
        <v>3702</v>
      </c>
    </row>
    <row r="1823" spans="1:27" x14ac:dyDescent="0.25">
      <c r="H1823" t="s">
        <v>564</v>
      </c>
    </row>
    <row r="1824" spans="1:27" x14ac:dyDescent="0.25">
      <c r="A1824">
        <v>909</v>
      </c>
      <c r="B1824">
        <v>3206</v>
      </c>
      <c r="C1824" t="s">
        <v>3703</v>
      </c>
      <c r="D1824" t="s">
        <v>3704</v>
      </c>
      <c r="E1824" t="s">
        <v>586</v>
      </c>
      <c r="F1824" t="s">
        <v>3705</v>
      </c>
      <c r="G1824" t="str">
        <f>"00012119"</f>
        <v>00012119</v>
      </c>
      <c r="H1824" t="s">
        <v>1104</v>
      </c>
      <c r="I1824">
        <v>0</v>
      </c>
      <c r="J1824">
        <v>0</v>
      </c>
      <c r="K1824">
        <v>0</v>
      </c>
      <c r="L1824">
        <v>200</v>
      </c>
      <c r="M1824">
        <v>0</v>
      </c>
      <c r="N1824">
        <v>70</v>
      </c>
      <c r="O1824">
        <v>30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0</v>
      </c>
      <c r="Z1824">
        <v>0</v>
      </c>
      <c r="AA1824" t="s">
        <v>3706</v>
      </c>
    </row>
    <row r="1825" spans="1:27" x14ac:dyDescent="0.25">
      <c r="H1825">
        <v>203</v>
      </c>
    </row>
    <row r="1826" spans="1:27" x14ac:dyDescent="0.25">
      <c r="A1826">
        <v>910</v>
      </c>
      <c r="B1826">
        <v>1909</v>
      </c>
      <c r="C1826" t="s">
        <v>3707</v>
      </c>
      <c r="D1826" t="s">
        <v>1408</v>
      </c>
      <c r="E1826" t="s">
        <v>41</v>
      </c>
      <c r="F1826" t="s">
        <v>3708</v>
      </c>
      <c r="G1826" t="str">
        <f>"00014099"</f>
        <v>00014099</v>
      </c>
      <c r="H1826" t="s">
        <v>1155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30</v>
      </c>
      <c r="O1826">
        <v>30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39</v>
      </c>
      <c r="W1826">
        <v>273</v>
      </c>
      <c r="Z1826">
        <v>0</v>
      </c>
      <c r="AA1826" t="s">
        <v>3706</v>
      </c>
    </row>
    <row r="1827" spans="1:27" x14ac:dyDescent="0.25">
      <c r="H1827" t="s">
        <v>3709</v>
      </c>
    </row>
    <row r="1828" spans="1:27" x14ac:dyDescent="0.25">
      <c r="A1828">
        <v>911</v>
      </c>
      <c r="B1828">
        <v>861</v>
      </c>
      <c r="C1828" t="s">
        <v>3710</v>
      </c>
      <c r="D1828" t="s">
        <v>3306</v>
      </c>
      <c r="E1828" t="s">
        <v>41</v>
      </c>
      <c r="F1828" t="s">
        <v>3711</v>
      </c>
      <c r="G1828" t="str">
        <f>"00013912"</f>
        <v>00013912</v>
      </c>
      <c r="H1828" t="s">
        <v>697</v>
      </c>
      <c r="I1828">
        <v>150</v>
      </c>
      <c r="J1828">
        <v>0</v>
      </c>
      <c r="K1828">
        <v>0</v>
      </c>
      <c r="L1828">
        <v>0</v>
      </c>
      <c r="M1828">
        <v>0</v>
      </c>
      <c r="N1828">
        <v>30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18</v>
      </c>
      <c r="W1828">
        <v>126</v>
      </c>
      <c r="Z1828">
        <v>0</v>
      </c>
      <c r="AA1828" t="s">
        <v>3712</v>
      </c>
    </row>
    <row r="1829" spans="1:27" x14ac:dyDescent="0.25">
      <c r="H1829" t="s">
        <v>3713</v>
      </c>
    </row>
    <row r="1830" spans="1:27" x14ac:dyDescent="0.25">
      <c r="A1830">
        <v>912</v>
      </c>
      <c r="B1830">
        <v>3202</v>
      </c>
      <c r="C1830" t="s">
        <v>3714</v>
      </c>
      <c r="D1830" t="s">
        <v>14</v>
      </c>
      <c r="E1830" t="s">
        <v>81</v>
      </c>
      <c r="F1830" t="s">
        <v>3715</v>
      </c>
      <c r="G1830" t="str">
        <f>"00013301"</f>
        <v>00013301</v>
      </c>
      <c r="H1830" t="s">
        <v>3716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30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51</v>
      </c>
      <c r="W1830">
        <v>357</v>
      </c>
      <c r="Z1830">
        <v>0</v>
      </c>
      <c r="AA1830" t="s">
        <v>3717</v>
      </c>
    </row>
    <row r="1831" spans="1:27" x14ac:dyDescent="0.25">
      <c r="H1831">
        <v>211</v>
      </c>
    </row>
    <row r="1832" spans="1:27" x14ac:dyDescent="0.25">
      <c r="A1832">
        <v>913</v>
      </c>
      <c r="B1832">
        <v>356</v>
      </c>
      <c r="C1832" t="s">
        <v>3718</v>
      </c>
      <c r="D1832" t="s">
        <v>332</v>
      </c>
      <c r="E1832" t="s">
        <v>15</v>
      </c>
      <c r="F1832" t="s">
        <v>3719</v>
      </c>
      <c r="G1832" t="str">
        <f>"00002480"</f>
        <v>00002480</v>
      </c>
      <c r="H1832" t="s">
        <v>433</v>
      </c>
      <c r="I1832">
        <v>0</v>
      </c>
      <c r="J1832">
        <v>0</v>
      </c>
      <c r="K1832">
        <v>0</v>
      </c>
      <c r="L1832">
        <v>200</v>
      </c>
      <c r="M1832">
        <v>0</v>
      </c>
      <c r="N1832">
        <v>70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0</v>
      </c>
      <c r="Z1832">
        <v>0</v>
      </c>
      <c r="AA1832" t="s">
        <v>3720</v>
      </c>
    </row>
    <row r="1833" spans="1:27" x14ac:dyDescent="0.25">
      <c r="H1833" t="s">
        <v>3721</v>
      </c>
    </row>
    <row r="1834" spans="1:27" x14ac:dyDescent="0.25">
      <c r="A1834">
        <v>914</v>
      </c>
      <c r="B1834">
        <v>2432</v>
      </c>
      <c r="C1834" t="s">
        <v>3722</v>
      </c>
      <c r="D1834" t="s">
        <v>3723</v>
      </c>
      <c r="E1834" t="s">
        <v>155</v>
      </c>
      <c r="F1834" t="s">
        <v>3724</v>
      </c>
      <c r="G1834" t="str">
        <f>"201402012564"</f>
        <v>201402012564</v>
      </c>
      <c r="H1834" t="s">
        <v>1296</v>
      </c>
      <c r="I1834">
        <v>0</v>
      </c>
      <c r="J1834">
        <v>0</v>
      </c>
      <c r="K1834">
        <v>0</v>
      </c>
      <c r="L1834">
        <v>0</v>
      </c>
      <c r="M1834">
        <v>100</v>
      </c>
      <c r="N1834">
        <v>70</v>
      </c>
      <c r="O1834">
        <v>30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0</v>
      </c>
      <c r="Z1834">
        <v>0</v>
      </c>
      <c r="AA1834" t="s">
        <v>3725</v>
      </c>
    </row>
    <row r="1835" spans="1:27" x14ac:dyDescent="0.25">
      <c r="H1835" t="s">
        <v>3427</v>
      </c>
    </row>
    <row r="1836" spans="1:27" x14ac:dyDescent="0.25">
      <c r="A1836">
        <v>915</v>
      </c>
      <c r="B1836">
        <v>450</v>
      </c>
      <c r="C1836" t="s">
        <v>3726</v>
      </c>
      <c r="D1836" t="s">
        <v>2175</v>
      </c>
      <c r="E1836" t="s">
        <v>3727</v>
      </c>
      <c r="F1836" t="s">
        <v>3728</v>
      </c>
      <c r="G1836" t="str">
        <f>"201304003482"</f>
        <v>201304003482</v>
      </c>
      <c r="H1836" t="s">
        <v>1155</v>
      </c>
      <c r="I1836">
        <v>150</v>
      </c>
      <c r="J1836">
        <v>0</v>
      </c>
      <c r="K1836">
        <v>0</v>
      </c>
      <c r="L1836">
        <v>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30</v>
      </c>
      <c r="V1836">
        <v>17</v>
      </c>
      <c r="W1836">
        <v>119</v>
      </c>
      <c r="Z1836">
        <v>1</v>
      </c>
      <c r="AA1836" t="s">
        <v>3729</v>
      </c>
    </row>
    <row r="1837" spans="1:27" x14ac:dyDescent="0.25">
      <c r="H1837" t="s">
        <v>3730</v>
      </c>
    </row>
    <row r="1838" spans="1:27" x14ac:dyDescent="0.25">
      <c r="A1838">
        <v>916</v>
      </c>
      <c r="B1838">
        <v>2933</v>
      </c>
      <c r="C1838" t="s">
        <v>3731</v>
      </c>
      <c r="D1838" t="s">
        <v>532</v>
      </c>
      <c r="E1838" t="s">
        <v>2604</v>
      </c>
      <c r="F1838" t="s">
        <v>3732</v>
      </c>
      <c r="G1838" t="str">
        <f>"00015192"</f>
        <v>00015192</v>
      </c>
      <c r="H1838" t="s">
        <v>374</v>
      </c>
      <c r="I1838">
        <v>0</v>
      </c>
      <c r="J1838">
        <v>0</v>
      </c>
      <c r="K1838">
        <v>0</v>
      </c>
      <c r="L1838">
        <v>0</v>
      </c>
      <c r="M1838">
        <v>100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25</v>
      </c>
      <c r="W1838">
        <v>175</v>
      </c>
      <c r="Z1838">
        <v>0</v>
      </c>
      <c r="AA1838" t="s">
        <v>3733</v>
      </c>
    </row>
    <row r="1839" spans="1:27" x14ac:dyDescent="0.25">
      <c r="H1839" t="s">
        <v>98</v>
      </c>
    </row>
    <row r="1840" spans="1:27" x14ac:dyDescent="0.25">
      <c r="A1840">
        <v>917</v>
      </c>
      <c r="B1840">
        <v>708</v>
      </c>
      <c r="C1840" t="s">
        <v>3734</v>
      </c>
      <c r="D1840" t="s">
        <v>332</v>
      </c>
      <c r="E1840" t="s">
        <v>59</v>
      </c>
      <c r="F1840" t="s">
        <v>3735</v>
      </c>
      <c r="G1840" t="str">
        <f>"00014795"</f>
        <v>00014795</v>
      </c>
      <c r="H1840" t="s">
        <v>108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70</v>
      </c>
      <c r="O1840">
        <v>70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Z1840">
        <v>0</v>
      </c>
      <c r="AA1840" t="s">
        <v>3736</v>
      </c>
    </row>
    <row r="1841" spans="1:27" x14ac:dyDescent="0.25">
      <c r="H1841">
        <v>211</v>
      </c>
    </row>
    <row r="1842" spans="1:27" x14ac:dyDescent="0.25">
      <c r="A1842">
        <v>918</v>
      </c>
      <c r="B1842">
        <v>3218</v>
      </c>
      <c r="C1842" t="s">
        <v>3737</v>
      </c>
      <c r="D1842" t="s">
        <v>915</v>
      </c>
      <c r="E1842" t="s">
        <v>143</v>
      </c>
      <c r="F1842" t="s">
        <v>3738</v>
      </c>
      <c r="G1842" t="str">
        <f>"00008112"</f>
        <v>00008112</v>
      </c>
      <c r="H1842" t="s">
        <v>2466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70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40</v>
      </c>
      <c r="W1842">
        <v>280</v>
      </c>
      <c r="Z1842">
        <v>0</v>
      </c>
      <c r="AA1842" t="s">
        <v>3739</v>
      </c>
    </row>
    <row r="1843" spans="1:27" x14ac:dyDescent="0.25">
      <c r="H1843" t="s">
        <v>286</v>
      </c>
    </row>
    <row r="1844" spans="1:27" x14ac:dyDescent="0.25">
      <c r="A1844">
        <v>919</v>
      </c>
      <c r="B1844">
        <v>1315</v>
      </c>
      <c r="C1844" t="s">
        <v>1324</v>
      </c>
      <c r="D1844" t="s">
        <v>176</v>
      </c>
      <c r="E1844" t="s">
        <v>155</v>
      </c>
      <c r="F1844" t="s">
        <v>3740</v>
      </c>
      <c r="G1844" t="str">
        <f>"201406005726"</f>
        <v>201406005726</v>
      </c>
      <c r="H1844" t="s">
        <v>3208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55</v>
      </c>
      <c r="W1844">
        <v>385</v>
      </c>
      <c r="Z1844">
        <v>0</v>
      </c>
      <c r="AA1844" t="s">
        <v>3741</v>
      </c>
    </row>
    <row r="1845" spans="1:27" x14ac:dyDescent="0.25">
      <c r="H1845" t="s">
        <v>3742</v>
      </c>
    </row>
    <row r="1846" spans="1:27" x14ac:dyDescent="0.25">
      <c r="A1846">
        <v>920</v>
      </c>
      <c r="B1846">
        <v>3020</v>
      </c>
      <c r="C1846" t="s">
        <v>3743</v>
      </c>
      <c r="D1846" t="s">
        <v>3744</v>
      </c>
      <c r="E1846" t="s">
        <v>1150</v>
      </c>
      <c r="F1846" t="s">
        <v>3745</v>
      </c>
      <c r="G1846" t="str">
        <f>"201304000414"</f>
        <v>201304000414</v>
      </c>
      <c r="H1846" t="s">
        <v>3746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70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46</v>
      </c>
      <c r="W1846">
        <v>322</v>
      </c>
      <c r="Z1846">
        <v>1</v>
      </c>
      <c r="AA1846" t="s">
        <v>3747</v>
      </c>
    </row>
    <row r="1847" spans="1:27" x14ac:dyDescent="0.25">
      <c r="H1847" t="s">
        <v>3748</v>
      </c>
    </row>
    <row r="1848" spans="1:27" x14ac:dyDescent="0.25">
      <c r="A1848">
        <v>921</v>
      </c>
      <c r="B1848">
        <v>2697</v>
      </c>
      <c r="C1848" t="s">
        <v>3749</v>
      </c>
      <c r="D1848" t="s">
        <v>3750</v>
      </c>
      <c r="E1848" t="s">
        <v>121</v>
      </c>
      <c r="F1848" t="s">
        <v>3751</v>
      </c>
      <c r="G1848" t="str">
        <f>"00014217"</f>
        <v>00014217</v>
      </c>
      <c r="H1848" t="s">
        <v>746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30</v>
      </c>
      <c r="P1848">
        <v>0</v>
      </c>
      <c r="Q1848">
        <v>0</v>
      </c>
      <c r="R1848">
        <v>30</v>
      </c>
      <c r="S1848">
        <v>0</v>
      </c>
      <c r="T1848">
        <v>0</v>
      </c>
      <c r="U1848">
        <v>0</v>
      </c>
      <c r="V1848">
        <v>42</v>
      </c>
      <c r="W1848">
        <v>294</v>
      </c>
      <c r="Z1848">
        <v>0</v>
      </c>
      <c r="AA1848" t="s">
        <v>3752</v>
      </c>
    </row>
    <row r="1849" spans="1:27" x14ac:dyDescent="0.25">
      <c r="H1849" t="s">
        <v>2382</v>
      </c>
    </row>
    <row r="1850" spans="1:27" x14ac:dyDescent="0.25">
      <c r="A1850">
        <v>922</v>
      </c>
      <c r="B1850">
        <v>3021</v>
      </c>
      <c r="C1850" t="s">
        <v>3753</v>
      </c>
      <c r="D1850" t="s">
        <v>581</v>
      </c>
      <c r="E1850" t="s">
        <v>644</v>
      </c>
      <c r="F1850" t="s">
        <v>3754</v>
      </c>
      <c r="G1850" t="str">
        <f>"00014893"</f>
        <v>00014893</v>
      </c>
      <c r="H1850" t="s">
        <v>741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70</v>
      </c>
      <c r="O1850">
        <v>0</v>
      </c>
      <c r="P1850">
        <v>30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26</v>
      </c>
      <c r="W1850">
        <v>182</v>
      </c>
      <c r="Z1850">
        <v>0</v>
      </c>
      <c r="AA1850" t="s">
        <v>3755</v>
      </c>
    </row>
    <row r="1851" spans="1:27" x14ac:dyDescent="0.25">
      <c r="H1851" t="s">
        <v>98</v>
      </c>
    </row>
    <row r="1852" spans="1:27" x14ac:dyDescent="0.25">
      <c r="A1852">
        <v>923</v>
      </c>
      <c r="B1852">
        <v>355</v>
      </c>
      <c r="C1852" t="s">
        <v>3756</v>
      </c>
      <c r="D1852" t="s">
        <v>818</v>
      </c>
      <c r="E1852" t="s">
        <v>143</v>
      </c>
      <c r="F1852" t="s">
        <v>3757</v>
      </c>
      <c r="G1852" t="str">
        <f>"00015036"</f>
        <v>00015036</v>
      </c>
      <c r="H1852" t="s">
        <v>3758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30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44</v>
      </c>
      <c r="W1852">
        <v>308</v>
      </c>
      <c r="Z1852">
        <v>0</v>
      </c>
      <c r="AA1852" t="s">
        <v>3759</v>
      </c>
    </row>
    <row r="1853" spans="1:27" x14ac:dyDescent="0.25">
      <c r="H1853" t="s">
        <v>3760</v>
      </c>
    </row>
    <row r="1854" spans="1:27" x14ac:dyDescent="0.25">
      <c r="A1854">
        <v>924</v>
      </c>
      <c r="B1854">
        <v>2247</v>
      </c>
      <c r="C1854" t="s">
        <v>461</v>
      </c>
      <c r="D1854" t="s">
        <v>644</v>
      </c>
      <c r="E1854" t="s">
        <v>143</v>
      </c>
      <c r="F1854" t="s">
        <v>3761</v>
      </c>
      <c r="G1854" t="str">
        <f>"00011129"</f>
        <v>00011129</v>
      </c>
      <c r="H1854" t="s">
        <v>30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70</v>
      </c>
      <c r="O1854">
        <v>30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24</v>
      </c>
      <c r="W1854">
        <v>168</v>
      </c>
      <c r="Z1854">
        <v>0</v>
      </c>
      <c r="AA1854" t="s">
        <v>3762</v>
      </c>
    </row>
    <row r="1855" spans="1:27" x14ac:dyDescent="0.25">
      <c r="H1855" t="s">
        <v>286</v>
      </c>
    </row>
    <row r="1856" spans="1:27" x14ac:dyDescent="0.25">
      <c r="A1856">
        <v>925</v>
      </c>
      <c r="B1856">
        <v>1781</v>
      </c>
      <c r="C1856" t="s">
        <v>3763</v>
      </c>
      <c r="D1856" t="s">
        <v>176</v>
      </c>
      <c r="E1856" t="s">
        <v>54</v>
      </c>
      <c r="F1856" t="s">
        <v>3764</v>
      </c>
      <c r="G1856" t="str">
        <f>"00012779"</f>
        <v>00012779</v>
      </c>
      <c r="H1856" t="s">
        <v>1372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70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35</v>
      </c>
      <c r="W1856">
        <v>245</v>
      </c>
      <c r="Z1856">
        <v>2</v>
      </c>
      <c r="AA1856" t="s">
        <v>3765</v>
      </c>
    </row>
    <row r="1857" spans="1:27" x14ac:dyDescent="0.25">
      <c r="H1857" t="s">
        <v>391</v>
      </c>
    </row>
    <row r="1858" spans="1:27" x14ac:dyDescent="0.25">
      <c r="A1858">
        <v>926</v>
      </c>
      <c r="B1858">
        <v>1765</v>
      </c>
      <c r="C1858" t="s">
        <v>3766</v>
      </c>
      <c r="D1858" t="s">
        <v>142</v>
      </c>
      <c r="E1858" t="s">
        <v>41</v>
      </c>
      <c r="F1858" t="s">
        <v>3767</v>
      </c>
      <c r="G1858" t="str">
        <f>"201406004011"</f>
        <v>201406004011</v>
      </c>
      <c r="H1858" t="s">
        <v>1906</v>
      </c>
      <c r="I1858">
        <v>0</v>
      </c>
      <c r="J1858">
        <v>0</v>
      </c>
      <c r="K1858">
        <v>0</v>
      </c>
      <c r="L1858">
        <v>0</v>
      </c>
      <c r="M1858">
        <v>100</v>
      </c>
      <c r="N1858">
        <v>30</v>
      </c>
      <c r="O1858">
        <v>0</v>
      </c>
      <c r="P1858">
        <v>70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24</v>
      </c>
      <c r="W1858">
        <v>168</v>
      </c>
      <c r="Z1858">
        <v>0</v>
      </c>
      <c r="AA1858" t="s">
        <v>3768</v>
      </c>
    </row>
    <row r="1859" spans="1:27" x14ac:dyDescent="0.25">
      <c r="H1859" t="s">
        <v>3769</v>
      </c>
    </row>
    <row r="1860" spans="1:27" x14ac:dyDescent="0.25">
      <c r="A1860">
        <v>927</v>
      </c>
      <c r="B1860">
        <v>1340</v>
      </c>
      <c r="C1860" t="s">
        <v>3770</v>
      </c>
      <c r="D1860" t="s">
        <v>3771</v>
      </c>
      <c r="E1860" t="s">
        <v>799</v>
      </c>
      <c r="F1860" t="s">
        <v>3772</v>
      </c>
      <c r="G1860" t="str">
        <f>"00010567"</f>
        <v>00010567</v>
      </c>
      <c r="H1860" t="s">
        <v>2184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70</v>
      </c>
      <c r="O1860">
        <v>70</v>
      </c>
      <c r="P1860">
        <v>50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21</v>
      </c>
      <c r="W1860">
        <v>147</v>
      </c>
      <c r="Z1860">
        <v>0</v>
      </c>
      <c r="AA1860" t="s">
        <v>3773</v>
      </c>
    </row>
    <row r="1861" spans="1:27" x14ac:dyDescent="0.25">
      <c r="H1861" t="s">
        <v>98</v>
      </c>
    </row>
    <row r="1862" spans="1:27" x14ac:dyDescent="0.25">
      <c r="A1862">
        <v>928</v>
      </c>
      <c r="B1862">
        <v>2649</v>
      </c>
      <c r="C1862" t="s">
        <v>3774</v>
      </c>
      <c r="D1862" t="s">
        <v>112</v>
      </c>
      <c r="E1862" t="s">
        <v>2604</v>
      </c>
      <c r="F1862" t="s">
        <v>3775</v>
      </c>
      <c r="G1862" t="str">
        <f>"201406006806"</f>
        <v>201406006806</v>
      </c>
      <c r="H1862" t="s">
        <v>3606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70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40</v>
      </c>
      <c r="W1862">
        <v>280</v>
      </c>
      <c r="Z1862">
        <v>0</v>
      </c>
      <c r="AA1862" t="s">
        <v>3776</v>
      </c>
    </row>
    <row r="1863" spans="1:27" x14ac:dyDescent="0.25">
      <c r="H1863" t="s">
        <v>3777</v>
      </c>
    </row>
    <row r="1864" spans="1:27" x14ac:dyDescent="0.25">
      <c r="A1864">
        <v>929</v>
      </c>
      <c r="B1864">
        <v>820</v>
      </c>
      <c r="C1864" t="s">
        <v>3778</v>
      </c>
      <c r="D1864" t="s">
        <v>40</v>
      </c>
      <c r="E1864" t="s">
        <v>393</v>
      </c>
      <c r="F1864" t="s">
        <v>3779</v>
      </c>
      <c r="G1864" t="str">
        <f>"201512004489"</f>
        <v>201512004489</v>
      </c>
      <c r="H1864" t="s">
        <v>947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70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30</v>
      </c>
      <c r="W1864">
        <v>210</v>
      </c>
      <c r="Z1864">
        <v>0</v>
      </c>
      <c r="AA1864" t="s">
        <v>3780</v>
      </c>
    </row>
    <row r="1865" spans="1:27" x14ac:dyDescent="0.25">
      <c r="H1865" t="s">
        <v>3781</v>
      </c>
    </row>
    <row r="1866" spans="1:27" x14ac:dyDescent="0.25">
      <c r="A1866">
        <v>930</v>
      </c>
      <c r="B1866">
        <v>2918</v>
      </c>
      <c r="C1866" t="s">
        <v>3581</v>
      </c>
      <c r="D1866" t="s">
        <v>2604</v>
      </c>
      <c r="E1866" t="s">
        <v>100</v>
      </c>
      <c r="F1866" t="s">
        <v>3582</v>
      </c>
      <c r="G1866" t="str">
        <f>"00013350"</f>
        <v>00013350</v>
      </c>
      <c r="H1866" t="s">
        <v>3583</v>
      </c>
      <c r="I1866">
        <v>0</v>
      </c>
      <c r="J1866">
        <v>0</v>
      </c>
      <c r="K1866">
        <v>0</v>
      </c>
      <c r="L1866">
        <v>200</v>
      </c>
      <c r="M1866">
        <v>0</v>
      </c>
      <c r="N1866">
        <v>30</v>
      </c>
      <c r="O1866">
        <v>0</v>
      </c>
      <c r="P1866">
        <v>30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Z1866">
        <v>0</v>
      </c>
      <c r="AA1866" t="s">
        <v>3782</v>
      </c>
    </row>
    <row r="1867" spans="1:27" x14ac:dyDescent="0.25">
      <c r="H1867" t="s">
        <v>3585</v>
      </c>
    </row>
    <row r="1868" spans="1:27" x14ac:dyDescent="0.25">
      <c r="A1868">
        <v>931</v>
      </c>
      <c r="B1868">
        <v>2156</v>
      </c>
      <c r="C1868" t="s">
        <v>3783</v>
      </c>
      <c r="D1868" t="s">
        <v>87</v>
      </c>
      <c r="E1868" t="s">
        <v>54</v>
      </c>
      <c r="F1868" t="s">
        <v>3784</v>
      </c>
      <c r="G1868" t="str">
        <f>"00014361"</f>
        <v>00014361</v>
      </c>
      <c r="H1868" t="s">
        <v>894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30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39</v>
      </c>
      <c r="W1868">
        <v>273</v>
      </c>
      <c r="Z1868">
        <v>0</v>
      </c>
      <c r="AA1868" t="s">
        <v>3785</v>
      </c>
    </row>
    <row r="1869" spans="1:27" x14ac:dyDescent="0.25">
      <c r="H1869">
        <v>201</v>
      </c>
    </row>
    <row r="1870" spans="1:27" x14ac:dyDescent="0.25">
      <c r="A1870">
        <v>932</v>
      </c>
      <c r="B1870">
        <v>1604</v>
      </c>
      <c r="C1870" t="s">
        <v>3786</v>
      </c>
      <c r="D1870" t="s">
        <v>581</v>
      </c>
      <c r="E1870" t="s">
        <v>1238</v>
      </c>
      <c r="F1870" t="s">
        <v>3787</v>
      </c>
      <c r="G1870" t="str">
        <f>"00014363"</f>
        <v>00014363</v>
      </c>
      <c r="H1870" t="s">
        <v>2445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70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35</v>
      </c>
      <c r="W1870">
        <v>245</v>
      </c>
      <c r="Z1870">
        <v>0</v>
      </c>
      <c r="AA1870" t="s">
        <v>3788</v>
      </c>
    </row>
    <row r="1871" spans="1:27" x14ac:dyDescent="0.25">
      <c r="H1871" t="s">
        <v>3789</v>
      </c>
    </row>
    <row r="1872" spans="1:27" x14ac:dyDescent="0.25">
      <c r="A1872">
        <v>933</v>
      </c>
      <c r="B1872">
        <v>357</v>
      </c>
      <c r="C1872" t="s">
        <v>3790</v>
      </c>
      <c r="D1872" t="s">
        <v>142</v>
      </c>
      <c r="E1872" t="s">
        <v>3791</v>
      </c>
      <c r="F1872" t="s">
        <v>3792</v>
      </c>
      <c r="G1872" t="str">
        <f>"00014449"</f>
        <v>00014449</v>
      </c>
      <c r="H1872" t="s">
        <v>2778</v>
      </c>
      <c r="I1872">
        <v>0</v>
      </c>
      <c r="J1872">
        <v>0</v>
      </c>
      <c r="K1872">
        <v>0</v>
      </c>
      <c r="L1872">
        <v>200</v>
      </c>
      <c r="M1872">
        <v>0</v>
      </c>
      <c r="N1872">
        <v>70</v>
      </c>
      <c r="O1872">
        <v>0</v>
      </c>
      <c r="P1872">
        <v>30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Z1872">
        <v>0</v>
      </c>
      <c r="AA1872" t="s">
        <v>3793</v>
      </c>
    </row>
    <row r="1873" spans="1:27" x14ac:dyDescent="0.25">
      <c r="H1873" t="s">
        <v>3794</v>
      </c>
    </row>
    <row r="1874" spans="1:27" x14ac:dyDescent="0.25">
      <c r="A1874">
        <v>934</v>
      </c>
      <c r="B1874">
        <v>2610</v>
      </c>
      <c r="C1874" t="s">
        <v>3795</v>
      </c>
      <c r="D1874" t="s">
        <v>332</v>
      </c>
      <c r="E1874" t="s">
        <v>94</v>
      </c>
      <c r="F1874" t="s">
        <v>3796</v>
      </c>
      <c r="G1874" t="str">
        <f>"00014311"</f>
        <v>00014311</v>
      </c>
      <c r="H1874" t="s">
        <v>3797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70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0</v>
      </c>
      <c r="Z1874">
        <v>0</v>
      </c>
      <c r="AA1874" t="s">
        <v>3798</v>
      </c>
    </row>
    <row r="1875" spans="1:27" x14ac:dyDescent="0.25">
      <c r="H1875" t="s">
        <v>3799</v>
      </c>
    </row>
    <row r="1876" spans="1:27" x14ac:dyDescent="0.25">
      <c r="A1876">
        <v>935</v>
      </c>
      <c r="B1876">
        <v>1531</v>
      </c>
      <c r="C1876" t="s">
        <v>3800</v>
      </c>
      <c r="D1876" t="s">
        <v>581</v>
      </c>
      <c r="E1876" t="s">
        <v>507</v>
      </c>
      <c r="F1876" t="s">
        <v>3801</v>
      </c>
      <c r="G1876" t="str">
        <f>"201406011827"</f>
        <v>201406011827</v>
      </c>
      <c r="H1876" t="s">
        <v>544</v>
      </c>
      <c r="I1876">
        <v>0</v>
      </c>
      <c r="J1876">
        <v>0</v>
      </c>
      <c r="K1876">
        <v>0</v>
      </c>
      <c r="L1876">
        <v>200</v>
      </c>
      <c r="M1876">
        <v>0</v>
      </c>
      <c r="N1876">
        <v>30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W1876">
        <v>0</v>
      </c>
      <c r="Z1876">
        <v>0</v>
      </c>
      <c r="AA1876" t="s">
        <v>3802</v>
      </c>
    </row>
    <row r="1877" spans="1:27" x14ac:dyDescent="0.25">
      <c r="H1877" t="s">
        <v>3803</v>
      </c>
    </row>
    <row r="1878" spans="1:27" x14ac:dyDescent="0.25">
      <c r="A1878">
        <v>936</v>
      </c>
      <c r="B1878">
        <v>337</v>
      </c>
      <c r="C1878" t="s">
        <v>3804</v>
      </c>
      <c r="D1878" t="s">
        <v>112</v>
      </c>
      <c r="E1878" t="s">
        <v>47</v>
      </c>
      <c r="F1878" t="s">
        <v>3805</v>
      </c>
      <c r="G1878" t="str">
        <f>"201410010418"</f>
        <v>201410010418</v>
      </c>
      <c r="H1878" t="s">
        <v>2184</v>
      </c>
      <c r="I1878">
        <v>150</v>
      </c>
      <c r="J1878">
        <v>0</v>
      </c>
      <c r="K1878">
        <v>0</v>
      </c>
      <c r="L1878">
        <v>0</v>
      </c>
      <c r="M1878">
        <v>100</v>
      </c>
      <c r="N1878">
        <v>70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Z1878">
        <v>0</v>
      </c>
      <c r="AA1878" t="s">
        <v>3806</v>
      </c>
    </row>
    <row r="1879" spans="1:27" x14ac:dyDescent="0.25">
      <c r="H1879" t="s">
        <v>419</v>
      </c>
    </row>
    <row r="1880" spans="1:27" x14ac:dyDescent="0.25">
      <c r="A1880">
        <v>937</v>
      </c>
      <c r="B1880">
        <v>3098</v>
      </c>
      <c r="C1880" t="s">
        <v>3807</v>
      </c>
      <c r="D1880" t="s">
        <v>143</v>
      </c>
      <c r="E1880" t="s">
        <v>3021</v>
      </c>
      <c r="F1880" t="s">
        <v>3808</v>
      </c>
      <c r="G1880" t="str">
        <f>"00014023"</f>
        <v>00014023</v>
      </c>
      <c r="H1880" t="s">
        <v>2332</v>
      </c>
      <c r="I1880">
        <v>0</v>
      </c>
      <c r="J1880">
        <v>0</v>
      </c>
      <c r="K1880">
        <v>0</v>
      </c>
      <c r="L1880">
        <v>200</v>
      </c>
      <c r="M1880">
        <v>0</v>
      </c>
      <c r="N1880">
        <v>50</v>
      </c>
      <c r="O1880">
        <v>50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0</v>
      </c>
      <c r="Z1880">
        <v>2</v>
      </c>
      <c r="AA1880" t="s">
        <v>3809</v>
      </c>
    </row>
    <row r="1881" spans="1:27" x14ac:dyDescent="0.25">
      <c r="H1881">
        <v>204</v>
      </c>
    </row>
    <row r="1882" spans="1:27" x14ac:dyDescent="0.25">
      <c r="A1882">
        <v>938</v>
      </c>
      <c r="B1882">
        <v>2435</v>
      </c>
      <c r="C1882" t="s">
        <v>3810</v>
      </c>
      <c r="D1882" t="s">
        <v>47</v>
      </c>
      <c r="E1882" t="s">
        <v>293</v>
      </c>
      <c r="F1882" t="s">
        <v>3811</v>
      </c>
      <c r="G1882" t="str">
        <f>"201604003021"</f>
        <v>201604003021</v>
      </c>
      <c r="H1882" t="s">
        <v>519</v>
      </c>
      <c r="I1882">
        <v>0</v>
      </c>
      <c r="J1882">
        <v>0</v>
      </c>
      <c r="K1882">
        <v>0</v>
      </c>
      <c r="L1882">
        <v>0</v>
      </c>
      <c r="M1882">
        <v>100</v>
      </c>
      <c r="N1882">
        <v>30</v>
      </c>
      <c r="O1882">
        <v>30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0</v>
      </c>
      <c r="Z1882">
        <v>0</v>
      </c>
      <c r="AA1882" t="s">
        <v>3812</v>
      </c>
    </row>
    <row r="1883" spans="1:27" x14ac:dyDescent="0.25">
      <c r="H1883" t="s">
        <v>3813</v>
      </c>
    </row>
    <row r="1884" spans="1:27" x14ac:dyDescent="0.25">
      <c r="A1884">
        <v>939</v>
      </c>
      <c r="B1884">
        <v>1026</v>
      </c>
      <c r="C1884" t="s">
        <v>3814</v>
      </c>
      <c r="D1884" t="s">
        <v>94</v>
      </c>
      <c r="E1884" t="s">
        <v>47</v>
      </c>
      <c r="F1884" t="s">
        <v>3815</v>
      </c>
      <c r="G1884" t="str">
        <f>"201304004397"</f>
        <v>201304004397</v>
      </c>
      <c r="H1884" t="s">
        <v>71</v>
      </c>
      <c r="I1884">
        <v>0</v>
      </c>
      <c r="J1884">
        <v>0</v>
      </c>
      <c r="K1884">
        <v>0</v>
      </c>
      <c r="L1884">
        <v>200</v>
      </c>
      <c r="M1884">
        <v>30</v>
      </c>
      <c r="N1884">
        <v>70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0</v>
      </c>
      <c r="W1884">
        <v>0</v>
      </c>
      <c r="Z1884">
        <v>0</v>
      </c>
      <c r="AA1884" t="s">
        <v>3816</v>
      </c>
    </row>
    <row r="1885" spans="1:27" x14ac:dyDescent="0.25">
      <c r="H1885" t="s">
        <v>3427</v>
      </c>
    </row>
    <row r="1886" spans="1:27" x14ac:dyDescent="0.25">
      <c r="A1886">
        <v>940</v>
      </c>
      <c r="B1886">
        <v>1933</v>
      </c>
      <c r="C1886" t="s">
        <v>3817</v>
      </c>
      <c r="D1886" t="s">
        <v>406</v>
      </c>
      <c r="E1886" t="s">
        <v>293</v>
      </c>
      <c r="F1886" t="s">
        <v>3818</v>
      </c>
      <c r="G1886" t="str">
        <f>"201406001397"</f>
        <v>201406001397</v>
      </c>
      <c r="H1886" t="s">
        <v>1772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30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20</v>
      </c>
      <c r="W1886">
        <v>140</v>
      </c>
      <c r="Z1886">
        <v>0</v>
      </c>
      <c r="AA1886" t="s">
        <v>3819</v>
      </c>
    </row>
    <row r="1887" spans="1:27" x14ac:dyDescent="0.25">
      <c r="H1887" t="s">
        <v>3820</v>
      </c>
    </row>
    <row r="1888" spans="1:27" x14ac:dyDescent="0.25">
      <c r="A1888">
        <v>941</v>
      </c>
      <c r="B1888">
        <v>481</v>
      </c>
      <c r="C1888" t="s">
        <v>3821</v>
      </c>
      <c r="D1888" t="s">
        <v>149</v>
      </c>
      <c r="E1888" t="s">
        <v>54</v>
      </c>
      <c r="F1888" t="s">
        <v>3822</v>
      </c>
      <c r="G1888" t="str">
        <f>"201101000002"</f>
        <v>201101000002</v>
      </c>
      <c r="H1888" t="s">
        <v>947</v>
      </c>
      <c r="I1888">
        <v>150</v>
      </c>
      <c r="J1888">
        <v>0</v>
      </c>
      <c r="K1888">
        <v>0</v>
      </c>
      <c r="L1888">
        <v>0</v>
      </c>
      <c r="M1888">
        <v>0</v>
      </c>
      <c r="N1888">
        <v>70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6</v>
      </c>
      <c r="W1888">
        <v>42</v>
      </c>
      <c r="Z1888">
        <v>1</v>
      </c>
      <c r="AA1888" t="s">
        <v>3823</v>
      </c>
    </row>
    <row r="1889" spans="1:27" x14ac:dyDescent="0.25">
      <c r="H1889" t="s">
        <v>3824</v>
      </c>
    </row>
    <row r="1890" spans="1:27" x14ac:dyDescent="0.25">
      <c r="A1890">
        <v>942</v>
      </c>
      <c r="B1890">
        <v>380</v>
      </c>
      <c r="C1890" t="s">
        <v>3825</v>
      </c>
      <c r="D1890" t="s">
        <v>136</v>
      </c>
      <c r="E1890" t="s">
        <v>47</v>
      </c>
      <c r="F1890" t="s">
        <v>3826</v>
      </c>
      <c r="G1890" t="str">
        <f>"00014945"</f>
        <v>00014945</v>
      </c>
      <c r="H1890" t="s">
        <v>690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70</v>
      </c>
      <c r="O1890">
        <v>70</v>
      </c>
      <c r="P1890">
        <v>50</v>
      </c>
      <c r="Q1890">
        <v>0</v>
      </c>
      <c r="R1890">
        <v>30</v>
      </c>
      <c r="S1890">
        <v>0</v>
      </c>
      <c r="T1890">
        <v>0</v>
      </c>
      <c r="U1890">
        <v>0</v>
      </c>
      <c r="V1890">
        <v>0</v>
      </c>
      <c r="W1890">
        <v>0</v>
      </c>
      <c r="Z1890">
        <v>0</v>
      </c>
      <c r="AA1890" t="s">
        <v>3827</v>
      </c>
    </row>
    <row r="1891" spans="1:27" x14ac:dyDescent="0.25">
      <c r="H1891" t="s">
        <v>3828</v>
      </c>
    </row>
    <row r="1892" spans="1:27" x14ac:dyDescent="0.25">
      <c r="A1892">
        <v>943</v>
      </c>
      <c r="B1892">
        <v>893</v>
      </c>
      <c r="C1892" t="s">
        <v>3829</v>
      </c>
      <c r="D1892" t="s">
        <v>20</v>
      </c>
      <c r="E1892" t="s">
        <v>47</v>
      </c>
      <c r="F1892" t="s">
        <v>3830</v>
      </c>
      <c r="G1892" t="str">
        <f>"00015141"</f>
        <v>00015141</v>
      </c>
      <c r="H1892" t="s">
        <v>1184</v>
      </c>
      <c r="I1892">
        <v>150</v>
      </c>
      <c r="J1892">
        <v>0</v>
      </c>
      <c r="K1892">
        <v>0</v>
      </c>
      <c r="L1892">
        <v>0</v>
      </c>
      <c r="M1892">
        <v>100</v>
      </c>
      <c r="N1892">
        <v>30</v>
      </c>
      <c r="O1892">
        <v>0</v>
      </c>
      <c r="P1892">
        <v>0</v>
      </c>
      <c r="Q1892">
        <v>0</v>
      </c>
      <c r="R1892">
        <v>0</v>
      </c>
      <c r="S1892">
        <v>30</v>
      </c>
      <c r="T1892">
        <v>0</v>
      </c>
      <c r="U1892">
        <v>0</v>
      </c>
      <c r="V1892">
        <v>0</v>
      </c>
      <c r="W1892">
        <v>0</v>
      </c>
      <c r="Z1892">
        <v>0</v>
      </c>
      <c r="AA1892" t="s">
        <v>3831</v>
      </c>
    </row>
    <row r="1893" spans="1:27" x14ac:dyDescent="0.25">
      <c r="H1893" t="s">
        <v>3832</v>
      </c>
    </row>
    <row r="1894" spans="1:27" x14ac:dyDescent="0.25">
      <c r="A1894">
        <v>944</v>
      </c>
      <c r="B1894">
        <v>1089</v>
      </c>
      <c r="C1894" t="s">
        <v>3833</v>
      </c>
      <c r="D1894" t="s">
        <v>216</v>
      </c>
      <c r="E1894" t="s">
        <v>143</v>
      </c>
      <c r="F1894" t="s">
        <v>3834</v>
      </c>
      <c r="G1894" t="str">
        <f>"00014880"</f>
        <v>00014880</v>
      </c>
      <c r="H1894" t="s">
        <v>1410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30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34</v>
      </c>
      <c r="W1894">
        <v>238</v>
      </c>
      <c r="Z1894">
        <v>0</v>
      </c>
      <c r="AA1894" t="s">
        <v>3835</v>
      </c>
    </row>
    <row r="1895" spans="1:27" x14ac:dyDescent="0.25">
      <c r="H1895" t="s">
        <v>3836</v>
      </c>
    </row>
    <row r="1896" spans="1:27" x14ac:dyDescent="0.25">
      <c r="A1896">
        <v>945</v>
      </c>
      <c r="B1896">
        <v>3151</v>
      </c>
      <c r="C1896" t="s">
        <v>3837</v>
      </c>
      <c r="D1896" t="s">
        <v>20</v>
      </c>
      <c r="E1896" t="s">
        <v>143</v>
      </c>
      <c r="F1896" t="s">
        <v>3838</v>
      </c>
      <c r="G1896" t="str">
        <f>"201411003508"</f>
        <v>201411003508</v>
      </c>
      <c r="H1896" t="s">
        <v>224</v>
      </c>
      <c r="I1896">
        <v>0</v>
      </c>
      <c r="J1896">
        <v>0</v>
      </c>
      <c r="K1896">
        <v>0</v>
      </c>
      <c r="L1896">
        <v>0</v>
      </c>
      <c r="M1896">
        <v>100</v>
      </c>
      <c r="N1896">
        <v>50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Z1896">
        <v>0</v>
      </c>
      <c r="AA1896" t="s">
        <v>3839</v>
      </c>
    </row>
    <row r="1897" spans="1:27" x14ac:dyDescent="0.25">
      <c r="H1897" t="s">
        <v>369</v>
      </c>
    </row>
    <row r="1898" spans="1:27" x14ac:dyDescent="0.25">
      <c r="A1898">
        <v>946</v>
      </c>
      <c r="B1898">
        <v>2027</v>
      </c>
      <c r="C1898" t="s">
        <v>3840</v>
      </c>
      <c r="D1898" t="s">
        <v>20</v>
      </c>
      <c r="E1898" t="s">
        <v>422</v>
      </c>
      <c r="F1898" t="s">
        <v>3841</v>
      </c>
      <c r="G1898" t="str">
        <f>"201304000900"</f>
        <v>201304000900</v>
      </c>
      <c r="H1898" t="s">
        <v>1104</v>
      </c>
      <c r="I1898">
        <v>0</v>
      </c>
      <c r="J1898">
        <v>0</v>
      </c>
      <c r="K1898">
        <v>0</v>
      </c>
      <c r="L1898">
        <v>0</v>
      </c>
      <c r="M1898">
        <v>100</v>
      </c>
      <c r="N1898">
        <v>70</v>
      </c>
      <c r="O1898">
        <v>30</v>
      </c>
      <c r="P1898">
        <v>50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0</v>
      </c>
      <c r="W1898">
        <v>0</v>
      </c>
      <c r="Z1898">
        <v>0</v>
      </c>
      <c r="AA1898" t="s">
        <v>3842</v>
      </c>
    </row>
    <row r="1899" spans="1:27" x14ac:dyDescent="0.25">
      <c r="H1899" t="s">
        <v>3843</v>
      </c>
    </row>
    <row r="1900" spans="1:27" x14ac:dyDescent="0.25">
      <c r="A1900">
        <v>947</v>
      </c>
      <c r="B1900">
        <v>946</v>
      </c>
      <c r="C1900" t="s">
        <v>3844</v>
      </c>
      <c r="D1900" t="s">
        <v>2009</v>
      </c>
      <c r="E1900" t="s">
        <v>602</v>
      </c>
      <c r="F1900" t="s">
        <v>3845</v>
      </c>
      <c r="G1900" t="str">
        <f>"201506002569"</f>
        <v>201506002569</v>
      </c>
      <c r="H1900" t="s">
        <v>2069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70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30</v>
      </c>
      <c r="W1900">
        <v>210</v>
      </c>
      <c r="Z1900">
        <v>1</v>
      </c>
      <c r="AA1900" t="s">
        <v>3846</v>
      </c>
    </row>
    <row r="1901" spans="1:27" x14ac:dyDescent="0.25">
      <c r="H1901" t="s">
        <v>3847</v>
      </c>
    </row>
    <row r="1902" spans="1:27" x14ac:dyDescent="0.25">
      <c r="A1902">
        <v>948</v>
      </c>
      <c r="B1902">
        <v>744</v>
      </c>
      <c r="C1902" t="s">
        <v>3502</v>
      </c>
      <c r="D1902" t="s">
        <v>112</v>
      </c>
      <c r="E1902" t="s">
        <v>47</v>
      </c>
      <c r="F1902" t="s">
        <v>3503</v>
      </c>
      <c r="G1902" t="str">
        <f>"00015203"</f>
        <v>00015203</v>
      </c>
      <c r="H1902" t="s">
        <v>1377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70</v>
      </c>
      <c r="O1902">
        <v>0</v>
      </c>
      <c r="P1902">
        <v>30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21</v>
      </c>
      <c r="W1902">
        <v>147</v>
      </c>
      <c r="Z1902">
        <v>0</v>
      </c>
      <c r="AA1902" t="s">
        <v>3848</v>
      </c>
    </row>
    <row r="1903" spans="1:27" x14ac:dyDescent="0.25">
      <c r="H1903" t="s">
        <v>3505</v>
      </c>
    </row>
    <row r="1904" spans="1:27" x14ac:dyDescent="0.25">
      <c r="A1904">
        <v>949</v>
      </c>
      <c r="B1904">
        <v>1149</v>
      </c>
      <c r="C1904" t="s">
        <v>3849</v>
      </c>
      <c r="D1904" t="s">
        <v>20</v>
      </c>
      <c r="E1904" t="s">
        <v>143</v>
      </c>
      <c r="F1904" t="s">
        <v>3850</v>
      </c>
      <c r="G1904" t="str">
        <f>"201506001335"</f>
        <v>201506001335</v>
      </c>
      <c r="H1904">
        <v>715</v>
      </c>
      <c r="I1904">
        <v>0</v>
      </c>
      <c r="J1904">
        <v>0</v>
      </c>
      <c r="K1904">
        <v>0</v>
      </c>
      <c r="L1904">
        <v>0</v>
      </c>
      <c r="M1904">
        <v>100</v>
      </c>
      <c r="N1904">
        <v>70</v>
      </c>
      <c r="O1904">
        <v>0</v>
      </c>
      <c r="P1904">
        <v>70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0</v>
      </c>
      <c r="Z1904">
        <v>0</v>
      </c>
      <c r="AA1904">
        <v>955</v>
      </c>
    </row>
    <row r="1905" spans="1:27" x14ac:dyDescent="0.25">
      <c r="H1905" t="s">
        <v>3851</v>
      </c>
    </row>
    <row r="1906" spans="1:27" x14ac:dyDescent="0.25">
      <c r="A1906">
        <v>950</v>
      </c>
      <c r="B1906">
        <v>685</v>
      </c>
      <c r="C1906" t="s">
        <v>3852</v>
      </c>
      <c r="D1906" t="s">
        <v>652</v>
      </c>
      <c r="E1906" t="s">
        <v>88</v>
      </c>
      <c r="F1906" t="s">
        <v>3853</v>
      </c>
      <c r="G1906" t="str">
        <f>"201304006460"</f>
        <v>201304006460</v>
      </c>
      <c r="H1906" t="s">
        <v>1562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70</v>
      </c>
      <c r="O1906">
        <v>30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30</v>
      </c>
      <c r="W1906">
        <v>210</v>
      </c>
      <c r="Z1906">
        <v>0</v>
      </c>
      <c r="AA1906" t="s">
        <v>3854</v>
      </c>
    </row>
    <row r="1907" spans="1:27" x14ac:dyDescent="0.25">
      <c r="H1907" t="s">
        <v>3855</v>
      </c>
    </row>
    <row r="1908" spans="1:27" x14ac:dyDescent="0.25">
      <c r="A1908">
        <v>951</v>
      </c>
      <c r="B1908">
        <v>1372</v>
      </c>
      <c r="C1908" t="s">
        <v>13</v>
      </c>
      <c r="D1908" t="s">
        <v>532</v>
      </c>
      <c r="E1908" t="s">
        <v>276</v>
      </c>
      <c r="F1908" t="s">
        <v>3856</v>
      </c>
      <c r="G1908" t="str">
        <f>"00015119"</f>
        <v>00015119</v>
      </c>
      <c r="H1908" t="s">
        <v>167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70</v>
      </c>
      <c r="O1908">
        <v>0</v>
      </c>
      <c r="P1908">
        <v>70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Z1908">
        <v>0</v>
      </c>
      <c r="AA1908" t="s">
        <v>3857</v>
      </c>
    </row>
    <row r="1909" spans="1:27" x14ac:dyDescent="0.25">
      <c r="H1909" t="s">
        <v>3367</v>
      </c>
    </row>
    <row r="1910" spans="1:27" x14ac:dyDescent="0.25">
      <c r="A1910">
        <v>952</v>
      </c>
      <c r="B1910">
        <v>2171</v>
      </c>
      <c r="C1910" t="s">
        <v>3858</v>
      </c>
      <c r="D1910" t="s">
        <v>3859</v>
      </c>
      <c r="E1910" t="s">
        <v>497</v>
      </c>
      <c r="F1910" t="s">
        <v>3860</v>
      </c>
      <c r="G1910" t="str">
        <f>"201511034379"</f>
        <v>201511034379</v>
      </c>
      <c r="H1910" t="s">
        <v>789</v>
      </c>
      <c r="I1910">
        <v>0</v>
      </c>
      <c r="J1910">
        <v>0</v>
      </c>
      <c r="K1910">
        <v>0</v>
      </c>
      <c r="L1910">
        <v>0</v>
      </c>
      <c r="M1910">
        <v>100</v>
      </c>
      <c r="N1910">
        <v>70</v>
      </c>
      <c r="O1910">
        <v>50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Z1910">
        <v>0</v>
      </c>
      <c r="AA1910" t="s">
        <v>3861</v>
      </c>
    </row>
    <row r="1911" spans="1:27" x14ac:dyDescent="0.25">
      <c r="H1911" t="s">
        <v>1842</v>
      </c>
    </row>
    <row r="1912" spans="1:27" x14ac:dyDescent="0.25">
      <c r="A1912">
        <v>953</v>
      </c>
      <c r="B1912">
        <v>1124</v>
      </c>
      <c r="C1912" t="s">
        <v>1749</v>
      </c>
      <c r="D1912" t="s">
        <v>112</v>
      </c>
      <c r="E1912" t="s">
        <v>100</v>
      </c>
      <c r="F1912" t="s">
        <v>3862</v>
      </c>
      <c r="G1912" t="str">
        <f>"00014836"</f>
        <v>00014836</v>
      </c>
      <c r="H1912" t="s">
        <v>920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70</v>
      </c>
      <c r="O1912">
        <v>50</v>
      </c>
      <c r="P1912">
        <v>30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W1912">
        <v>0</v>
      </c>
      <c r="Z1912">
        <v>1</v>
      </c>
      <c r="AA1912" t="s">
        <v>3863</v>
      </c>
    </row>
    <row r="1913" spans="1:27" x14ac:dyDescent="0.25">
      <c r="H1913" t="s">
        <v>3864</v>
      </c>
    </row>
    <row r="1914" spans="1:27" x14ac:dyDescent="0.25">
      <c r="A1914">
        <v>954</v>
      </c>
      <c r="B1914">
        <v>2129</v>
      </c>
      <c r="C1914" t="s">
        <v>3865</v>
      </c>
      <c r="D1914" t="s">
        <v>112</v>
      </c>
      <c r="E1914" t="s">
        <v>422</v>
      </c>
      <c r="F1914" t="s">
        <v>3866</v>
      </c>
      <c r="G1914" t="str">
        <f>"00011998"</f>
        <v>00011998</v>
      </c>
      <c r="H1914" t="s">
        <v>83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70</v>
      </c>
      <c r="O1914">
        <v>70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0</v>
      </c>
      <c r="Z1914">
        <v>0</v>
      </c>
      <c r="AA1914" t="s">
        <v>3867</v>
      </c>
    </row>
    <row r="1915" spans="1:27" x14ac:dyDescent="0.25">
      <c r="H1915" t="s">
        <v>3868</v>
      </c>
    </row>
    <row r="1916" spans="1:27" x14ac:dyDescent="0.25">
      <c r="A1916">
        <v>955</v>
      </c>
      <c r="B1916">
        <v>3047</v>
      </c>
      <c r="C1916" t="s">
        <v>3869</v>
      </c>
      <c r="D1916" t="s">
        <v>410</v>
      </c>
      <c r="E1916" t="s">
        <v>121</v>
      </c>
      <c r="F1916" t="s">
        <v>3870</v>
      </c>
      <c r="G1916" t="str">
        <f>"201512004308"</f>
        <v>201512004308</v>
      </c>
      <c r="H1916" t="s">
        <v>1397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70</v>
      </c>
      <c r="O1916">
        <v>70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18</v>
      </c>
      <c r="W1916">
        <v>126</v>
      </c>
      <c r="Z1916">
        <v>0</v>
      </c>
      <c r="AA1916" t="s">
        <v>3871</v>
      </c>
    </row>
    <row r="1917" spans="1:27" x14ac:dyDescent="0.25">
      <c r="H1917" t="s">
        <v>3872</v>
      </c>
    </row>
    <row r="1918" spans="1:27" x14ac:dyDescent="0.25">
      <c r="A1918">
        <v>956</v>
      </c>
      <c r="B1918">
        <v>2877</v>
      </c>
      <c r="C1918" t="s">
        <v>3873</v>
      </c>
      <c r="D1918" t="s">
        <v>3874</v>
      </c>
      <c r="E1918" t="s">
        <v>94</v>
      </c>
      <c r="F1918" t="s">
        <v>3875</v>
      </c>
      <c r="G1918" t="str">
        <f>"201406014595"</f>
        <v>201406014595</v>
      </c>
      <c r="H1918">
        <v>660</v>
      </c>
      <c r="I1918">
        <v>0</v>
      </c>
      <c r="J1918">
        <v>0</v>
      </c>
      <c r="K1918">
        <v>0</v>
      </c>
      <c r="L1918">
        <v>200</v>
      </c>
      <c r="M1918">
        <v>30</v>
      </c>
      <c r="N1918">
        <v>50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0</v>
      </c>
      <c r="Z1918">
        <v>0</v>
      </c>
      <c r="AA1918">
        <v>940</v>
      </c>
    </row>
    <row r="1919" spans="1:27" x14ac:dyDescent="0.25">
      <c r="H1919" t="s">
        <v>286</v>
      </c>
    </row>
    <row r="1920" spans="1:27" x14ac:dyDescent="0.25">
      <c r="A1920">
        <v>957</v>
      </c>
      <c r="B1920">
        <v>2751</v>
      </c>
      <c r="C1920" t="s">
        <v>3540</v>
      </c>
      <c r="D1920" t="s">
        <v>136</v>
      </c>
      <c r="E1920" t="s">
        <v>80</v>
      </c>
      <c r="F1920" t="s">
        <v>3541</v>
      </c>
      <c r="G1920" t="str">
        <f>"201506001567"</f>
        <v>201506001567</v>
      </c>
      <c r="H1920" t="s">
        <v>2531</v>
      </c>
      <c r="I1920">
        <v>0</v>
      </c>
      <c r="J1920">
        <v>0</v>
      </c>
      <c r="K1920">
        <v>0</v>
      </c>
      <c r="L1920">
        <v>200</v>
      </c>
      <c r="M1920">
        <v>0</v>
      </c>
      <c r="N1920">
        <v>70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W1920">
        <v>0</v>
      </c>
      <c r="Z1920">
        <v>0</v>
      </c>
      <c r="AA1920" t="s">
        <v>3876</v>
      </c>
    </row>
    <row r="1921" spans="1:27" x14ac:dyDescent="0.25">
      <c r="H1921" t="s">
        <v>3543</v>
      </c>
    </row>
    <row r="1922" spans="1:27" x14ac:dyDescent="0.25">
      <c r="A1922">
        <v>958</v>
      </c>
      <c r="B1922">
        <v>3194</v>
      </c>
      <c r="C1922" t="s">
        <v>3877</v>
      </c>
      <c r="D1922" t="s">
        <v>1149</v>
      </c>
      <c r="E1922" t="s">
        <v>80</v>
      </c>
      <c r="F1922" t="s">
        <v>3878</v>
      </c>
      <c r="G1922" t="str">
        <f>"00013657"</f>
        <v>00013657</v>
      </c>
      <c r="H1922" t="s">
        <v>108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30</v>
      </c>
      <c r="O1922">
        <v>30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0</v>
      </c>
      <c r="Z1922">
        <v>0</v>
      </c>
      <c r="AA1922" t="s">
        <v>3879</v>
      </c>
    </row>
    <row r="1923" spans="1:27" x14ac:dyDescent="0.25">
      <c r="H1923" t="s">
        <v>3799</v>
      </c>
    </row>
    <row r="1924" spans="1:27" x14ac:dyDescent="0.25">
      <c r="A1924">
        <v>959</v>
      </c>
      <c r="B1924">
        <v>972</v>
      </c>
      <c r="C1924" t="s">
        <v>3880</v>
      </c>
      <c r="D1924" t="s">
        <v>3881</v>
      </c>
      <c r="E1924" t="s">
        <v>47</v>
      </c>
      <c r="F1924" t="s">
        <v>3882</v>
      </c>
      <c r="G1924" t="str">
        <f>"201406011040"</f>
        <v>201406011040</v>
      </c>
      <c r="H1924" t="s">
        <v>978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70</v>
      </c>
      <c r="O1924">
        <v>30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18</v>
      </c>
      <c r="W1924">
        <v>126</v>
      </c>
      <c r="Z1924">
        <v>1</v>
      </c>
      <c r="AA1924" t="s">
        <v>3883</v>
      </c>
    </row>
    <row r="1925" spans="1:27" x14ac:dyDescent="0.25">
      <c r="H1925" t="s">
        <v>3884</v>
      </c>
    </row>
    <row r="1926" spans="1:27" x14ac:dyDescent="0.25">
      <c r="A1926">
        <v>960</v>
      </c>
      <c r="B1926">
        <v>3182</v>
      </c>
      <c r="C1926" t="s">
        <v>3885</v>
      </c>
      <c r="D1926" t="s">
        <v>1202</v>
      </c>
      <c r="E1926" t="s">
        <v>94</v>
      </c>
      <c r="F1926" t="s">
        <v>3886</v>
      </c>
      <c r="G1926" t="str">
        <f>"00014640"</f>
        <v>00014640</v>
      </c>
      <c r="H1926" t="s">
        <v>367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70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1</v>
      </c>
      <c r="W1926">
        <v>7</v>
      </c>
      <c r="Z1926">
        <v>0</v>
      </c>
      <c r="AA1926" t="s">
        <v>3887</v>
      </c>
    </row>
    <row r="1927" spans="1:27" x14ac:dyDescent="0.25">
      <c r="H1927" t="s">
        <v>3888</v>
      </c>
    </row>
    <row r="1928" spans="1:27" x14ac:dyDescent="0.25">
      <c r="A1928">
        <v>961</v>
      </c>
      <c r="B1928">
        <v>2089</v>
      </c>
      <c r="C1928" t="s">
        <v>3889</v>
      </c>
      <c r="D1928" t="s">
        <v>100</v>
      </c>
      <c r="E1928" t="s">
        <v>644</v>
      </c>
      <c r="F1928" t="s">
        <v>3890</v>
      </c>
      <c r="G1928" t="str">
        <f>"201511040729"</f>
        <v>201511040729</v>
      </c>
      <c r="H1928" t="s">
        <v>2836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70</v>
      </c>
      <c r="O1928">
        <v>0</v>
      </c>
      <c r="P1928">
        <v>30</v>
      </c>
      <c r="Q1928">
        <v>0</v>
      </c>
      <c r="R1928">
        <v>30</v>
      </c>
      <c r="S1928">
        <v>0</v>
      </c>
      <c r="T1928">
        <v>0</v>
      </c>
      <c r="U1928">
        <v>0</v>
      </c>
      <c r="V1928">
        <v>18</v>
      </c>
      <c r="W1928">
        <v>126</v>
      </c>
      <c r="Z1928">
        <v>0</v>
      </c>
      <c r="AA1928" t="s">
        <v>3891</v>
      </c>
    </row>
    <row r="1929" spans="1:27" x14ac:dyDescent="0.25">
      <c r="H1929" t="s">
        <v>3892</v>
      </c>
    </row>
    <row r="1930" spans="1:27" x14ac:dyDescent="0.25">
      <c r="A1930">
        <v>962</v>
      </c>
      <c r="B1930">
        <v>871</v>
      </c>
      <c r="C1930" t="s">
        <v>3893</v>
      </c>
      <c r="D1930" t="s">
        <v>3894</v>
      </c>
      <c r="E1930" t="s">
        <v>276</v>
      </c>
      <c r="F1930" t="s">
        <v>3895</v>
      </c>
      <c r="G1930" t="str">
        <f>"00014120"</f>
        <v>00014120</v>
      </c>
      <c r="H1930" t="s">
        <v>2184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70</v>
      </c>
      <c r="O1930">
        <v>30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23</v>
      </c>
      <c r="W1930">
        <v>161</v>
      </c>
      <c r="Z1930">
        <v>0</v>
      </c>
      <c r="AA1930" t="s">
        <v>3896</v>
      </c>
    </row>
    <row r="1931" spans="1:27" x14ac:dyDescent="0.25">
      <c r="H1931" t="s">
        <v>98</v>
      </c>
    </row>
    <row r="1932" spans="1:27" x14ac:dyDescent="0.25">
      <c r="A1932">
        <v>963</v>
      </c>
      <c r="B1932">
        <v>627</v>
      </c>
      <c r="C1932" t="s">
        <v>3897</v>
      </c>
      <c r="D1932" t="s">
        <v>620</v>
      </c>
      <c r="E1932" t="s">
        <v>100</v>
      </c>
      <c r="F1932">
        <v>84277</v>
      </c>
      <c r="G1932" t="str">
        <f>"201402001589"</f>
        <v>201402001589</v>
      </c>
      <c r="H1932" t="s">
        <v>3234</v>
      </c>
      <c r="I1932">
        <v>150</v>
      </c>
      <c r="J1932">
        <v>0</v>
      </c>
      <c r="K1932">
        <v>0</v>
      </c>
      <c r="L1932">
        <v>0</v>
      </c>
      <c r="M1932">
        <v>100</v>
      </c>
      <c r="N1932">
        <v>30</v>
      </c>
      <c r="O1932">
        <v>30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Z1932">
        <v>0</v>
      </c>
      <c r="AA1932" t="s">
        <v>3898</v>
      </c>
    </row>
    <row r="1933" spans="1:27" x14ac:dyDescent="0.25">
      <c r="H1933" t="s">
        <v>3892</v>
      </c>
    </row>
    <row r="1934" spans="1:27" x14ac:dyDescent="0.25">
      <c r="A1934">
        <v>964</v>
      </c>
      <c r="B1934">
        <v>1743</v>
      </c>
      <c r="C1934" t="s">
        <v>1635</v>
      </c>
      <c r="D1934" t="s">
        <v>210</v>
      </c>
      <c r="E1934" t="s">
        <v>1182</v>
      </c>
      <c r="F1934" t="s">
        <v>3899</v>
      </c>
      <c r="G1934" t="str">
        <f>"00009761"</f>
        <v>00009761</v>
      </c>
      <c r="H1934" t="s">
        <v>1204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70</v>
      </c>
      <c r="O1934">
        <v>0</v>
      </c>
      <c r="P1934">
        <v>50</v>
      </c>
      <c r="Q1934">
        <v>0</v>
      </c>
      <c r="R1934">
        <v>30</v>
      </c>
      <c r="S1934">
        <v>0</v>
      </c>
      <c r="T1934">
        <v>0</v>
      </c>
      <c r="U1934">
        <v>0</v>
      </c>
      <c r="V1934">
        <v>0</v>
      </c>
      <c r="W1934">
        <v>0</v>
      </c>
      <c r="Z1934">
        <v>0</v>
      </c>
      <c r="AA1934" t="s">
        <v>3900</v>
      </c>
    </row>
    <row r="1935" spans="1:27" x14ac:dyDescent="0.25">
      <c r="H1935" t="s">
        <v>3901</v>
      </c>
    </row>
    <row r="1936" spans="1:27" x14ac:dyDescent="0.25">
      <c r="A1936">
        <v>965</v>
      </c>
      <c r="B1936">
        <v>2039</v>
      </c>
      <c r="C1936" t="s">
        <v>3902</v>
      </c>
      <c r="D1936" t="s">
        <v>3903</v>
      </c>
      <c r="E1936" t="s">
        <v>3904</v>
      </c>
      <c r="F1936" t="s">
        <v>3905</v>
      </c>
      <c r="G1936" t="str">
        <f>"00012833"</f>
        <v>00012833</v>
      </c>
      <c r="H1936" t="s">
        <v>1137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70</v>
      </c>
      <c r="O1936">
        <v>70</v>
      </c>
      <c r="P1936">
        <v>0</v>
      </c>
      <c r="Q1936">
        <v>0</v>
      </c>
      <c r="R1936">
        <v>50</v>
      </c>
      <c r="S1936">
        <v>0</v>
      </c>
      <c r="T1936">
        <v>0</v>
      </c>
      <c r="U1936">
        <v>0</v>
      </c>
      <c r="V1936">
        <v>5</v>
      </c>
      <c r="W1936">
        <v>35</v>
      </c>
      <c r="Z1936">
        <v>0</v>
      </c>
      <c r="AA1936" t="s">
        <v>3906</v>
      </c>
    </row>
    <row r="1937" spans="1:27" x14ac:dyDescent="0.25">
      <c r="H1937" t="s">
        <v>56</v>
      </c>
    </row>
    <row r="1938" spans="1:27" x14ac:dyDescent="0.25">
      <c r="A1938">
        <v>966</v>
      </c>
      <c r="B1938">
        <v>3037</v>
      </c>
      <c r="C1938" t="s">
        <v>3907</v>
      </c>
      <c r="D1938" t="s">
        <v>40</v>
      </c>
      <c r="E1938" t="s">
        <v>143</v>
      </c>
      <c r="F1938" t="s">
        <v>3908</v>
      </c>
      <c r="G1938" t="str">
        <f>"00013618"</f>
        <v>00013618</v>
      </c>
      <c r="H1938">
        <v>748</v>
      </c>
      <c r="I1938">
        <v>0</v>
      </c>
      <c r="J1938">
        <v>0</v>
      </c>
      <c r="K1938">
        <v>0</v>
      </c>
      <c r="L1938">
        <v>0</v>
      </c>
      <c r="M1938">
        <v>100</v>
      </c>
      <c r="N1938">
        <v>70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0</v>
      </c>
      <c r="Z1938">
        <v>0</v>
      </c>
      <c r="AA1938">
        <v>918</v>
      </c>
    </row>
    <row r="1939" spans="1:27" x14ac:dyDescent="0.25">
      <c r="H1939" t="s">
        <v>2817</v>
      </c>
    </row>
    <row r="1940" spans="1:27" x14ac:dyDescent="0.25">
      <c r="A1940">
        <v>967</v>
      </c>
      <c r="B1940">
        <v>1365</v>
      </c>
      <c r="C1940" t="s">
        <v>3909</v>
      </c>
      <c r="D1940" t="s">
        <v>332</v>
      </c>
      <c r="E1940" t="s">
        <v>644</v>
      </c>
      <c r="F1940" t="s">
        <v>3910</v>
      </c>
      <c r="G1940" t="str">
        <f>"00014576"</f>
        <v>00014576</v>
      </c>
      <c r="H1940" t="s">
        <v>428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70</v>
      </c>
      <c r="O1940">
        <v>0</v>
      </c>
      <c r="P1940">
        <v>50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W1940">
        <v>0</v>
      </c>
      <c r="Z1940">
        <v>0</v>
      </c>
      <c r="AA1940" t="s">
        <v>3911</v>
      </c>
    </row>
    <row r="1941" spans="1:27" x14ac:dyDescent="0.25">
      <c r="H1941">
        <v>207</v>
      </c>
    </row>
    <row r="1942" spans="1:27" x14ac:dyDescent="0.25">
      <c r="A1942">
        <v>968</v>
      </c>
      <c r="B1942">
        <v>1948</v>
      </c>
      <c r="C1942" t="s">
        <v>3456</v>
      </c>
      <c r="D1942" t="s">
        <v>40</v>
      </c>
      <c r="E1942" t="s">
        <v>41</v>
      </c>
      <c r="F1942" t="s">
        <v>3912</v>
      </c>
      <c r="G1942" t="str">
        <f>"201506002010"</f>
        <v>201506002010</v>
      </c>
      <c r="H1942" t="s">
        <v>1397</v>
      </c>
      <c r="I1942">
        <v>0</v>
      </c>
      <c r="J1942">
        <v>0</v>
      </c>
      <c r="K1942">
        <v>0</v>
      </c>
      <c r="L1942">
        <v>0</v>
      </c>
      <c r="M1942">
        <v>100</v>
      </c>
      <c r="N1942">
        <v>70</v>
      </c>
      <c r="O1942">
        <v>0</v>
      </c>
      <c r="P1942">
        <v>70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Z1942">
        <v>0</v>
      </c>
      <c r="AA1942" t="s">
        <v>3913</v>
      </c>
    </row>
    <row r="1943" spans="1:27" x14ac:dyDescent="0.25">
      <c r="H1943" t="s">
        <v>3914</v>
      </c>
    </row>
    <row r="1944" spans="1:27" x14ac:dyDescent="0.25">
      <c r="A1944">
        <v>969</v>
      </c>
      <c r="B1944">
        <v>1134</v>
      </c>
      <c r="C1944" t="s">
        <v>3492</v>
      </c>
      <c r="D1944" t="s">
        <v>27</v>
      </c>
      <c r="E1944" t="s">
        <v>88</v>
      </c>
      <c r="F1944" t="s">
        <v>3493</v>
      </c>
      <c r="G1944" t="str">
        <f>"00015255"</f>
        <v>00015255</v>
      </c>
      <c r="H1944">
        <v>792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70</v>
      </c>
      <c r="O1944">
        <v>0</v>
      </c>
      <c r="P1944">
        <v>50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Z1944">
        <v>0</v>
      </c>
      <c r="AA1944">
        <v>912</v>
      </c>
    </row>
    <row r="1945" spans="1:27" x14ac:dyDescent="0.25">
      <c r="H1945" t="s">
        <v>3494</v>
      </c>
    </row>
    <row r="1946" spans="1:27" x14ac:dyDescent="0.25">
      <c r="A1946">
        <v>970</v>
      </c>
      <c r="B1946">
        <v>74</v>
      </c>
      <c r="C1946" t="s">
        <v>3915</v>
      </c>
      <c r="D1946" t="s">
        <v>243</v>
      </c>
      <c r="E1946" t="s">
        <v>155</v>
      </c>
      <c r="F1946" t="s">
        <v>3916</v>
      </c>
      <c r="G1946" t="str">
        <f>"201406015808"</f>
        <v>201406015808</v>
      </c>
      <c r="H1946">
        <v>693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70</v>
      </c>
      <c r="O1946">
        <v>30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17</v>
      </c>
      <c r="W1946">
        <v>119</v>
      </c>
      <c r="Z1946">
        <v>1</v>
      </c>
      <c r="AA1946">
        <v>912</v>
      </c>
    </row>
    <row r="1947" spans="1:27" x14ac:dyDescent="0.25">
      <c r="H1947" t="s">
        <v>3917</v>
      </c>
    </row>
    <row r="1948" spans="1:27" x14ac:dyDescent="0.25">
      <c r="A1948">
        <v>971</v>
      </c>
      <c r="B1948">
        <v>715</v>
      </c>
      <c r="C1948" t="s">
        <v>2194</v>
      </c>
      <c r="D1948" t="s">
        <v>309</v>
      </c>
      <c r="E1948" t="s">
        <v>41</v>
      </c>
      <c r="F1948" t="s">
        <v>3918</v>
      </c>
      <c r="G1948" t="str">
        <f>"00013737"</f>
        <v>00013737</v>
      </c>
      <c r="H1948" t="s">
        <v>697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70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18</v>
      </c>
      <c r="W1948">
        <v>126</v>
      </c>
      <c r="Z1948">
        <v>0</v>
      </c>
      <c r="AA1948" t="s">
        <v>3919</v>
      </c>
    </row>
    <row r="1949" spans="1:27" x14ac:dyDescent="0.25">
      <c r="H1949" t="s">
        <v>3920</v>
      </c>
    </row>
    <row r="1950" spans="1:27" x14ac:dyDescent="0.25">
      <c r="A1950">
        <v>972</v>
      </c>
      <c r="B1950">
        <v>925</v>
      </c>
      <c r="C1950" t="s">
        <v>3921</v>
      </c>
      <c r="D1950" t="s">
        <v>3922</v>
      </c>
      <c r="E1950" t="s">
        <v>47</v>
      </c>
      <c r="F1950" t="s">
        <v>3923</v>
      </c>
      <c r="G1950" t="str">
        <f>"201405001426"</f>
        <v>201405001426</v>
      </c>
      <c r="H1950" t="s">
        <v>1123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70</v>
      </c>
      <c r="O1950">
        <v>0</v>
      </c>
      <c r="P1950">
        <v>50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0</v>
      </c>
      <c r="Z1950">
        <v>0</v>
      </c>
      <c r="AA1950" t="s">
        <v>3924</v>
      </c>
    </row>
    <row r="1951" spans="1:27" x14ac:dyDescent="0.25">
      <c r="H1951">
        <v>203</v>
      </c>
    </row>
    <row r="1952" spans="1:27" x14ac:dyDescent="0.25">
      <c r="A1952">
        <v>973</v>
      </c>
      <c r="B1952">
        <v>1375</v>
      </c>
      <c r="C1952" t="s">
        <v>3925</v>
      </c>
      <c r="D1952" t="s">
        <v>136</v>
      </c>
      <c r="E1952" t="s">
        <v>47</v>
      </c>
      <c r="F1952" t="s">
        <v>3926</v>
      </c>
      <c r="G1952" t="str">
        <f>"00014804"</f>
        <v>00014804</v>
      </c>
      <c r="H1952" t="s">
        <v>1762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70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18</v>
      </c>
      <c r="W1952">
        <v>126</v>
      </c>
      <c r="Z1952">
        <v>0</v>
      </c>
      <c r="AA1952" t="s">
        <v>3927</v>
      </c>
    </row>
    <row r="1953" spans="1:27" x14ac:dyDescent="0.25">
      <c r="H1953">
        <v>203</v>
      </c>
    </row>
    <row r="1954" spans="1:27" x14ac:dyDescent="0.25">
      <c r="A1954">
        <v>974</v>
      </c>
      <c r="B1954">
        <v>632</v>
      </c>
      <c r="C1954" t="s">
        <v>1066</v>
      </c>
      <c r="D1954" t="s">
        <v>20</v>
      </c>
      <c r="E1954" t="s">
        <v>100</v>
      </c>
      <c r="F1954" t="s">
        <v>3928</v>
      </c>
      <c r="G1954" t="str">
        <f>"00010942"</f>
        <v>00010942</v>
      </c>
      <c r="H1954">
        <v>737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50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17</v>
      </c>
      <c r="W1954">
        <v>119</v>
      </c>
      <c r="Z1954">
        <v>0</v>
      </c>
      <c r="AA1954">
        <v>906</v>
      </c>
    </row>
    <row r="1955" spans="1:27" x14ac:dyDescent="0.25">
      <c r="H1955">
        <v>202</v>
      </c>
    </row>
    <row r="1956" spans="1:27" x14ac:dyDescent="0.25">
      <c r="A1956">
        <v>975</v>
      </c>
      <c r="B1956">
        <v>1739</v>
      </c>
      <c r="C1956" t="s">
        <v>3929</v>
      </c>
      <c r="D1956" t="s">
        <v>3930</v>
      </c>
      <c r="E1956" t="s">
        <v>719</v>
      </c>
      <c r="F1956" t="s">
        <v>3931</v>
      </c>
      <c r="G1956" t="str">
        <f>"200712003963"</f>
        <v>200712003963</v>
      </c>
      <c r="H1956" t="s">
        <v>1449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70</v>
      </c>
      <c r="O1956">
        <v>50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11</v>
      </c>
      <c r="W1956">
        <v>77</v>
      </c>
      <c r="Z1956">
        <v>0</v>
      </c>
      <c r="AA1956" t="s">
        <v>3932</v>
      </c>
    </row>
    <row r="1957" spans="1:27" x14ac:dyDescent="0.25">
      <c r="H1957">
        <v>202</v>
      </c>
    </row>
    <row r="1958" spans="1:27" x14ac:dyDescent="0.25">
      <c r="A1958">
        <v>976</v>
      </c>
      <c r="B1958">
        <v>2441</v>
      </c>
      <c r="C1958" t="s">
        <v>3933</v>
      </c>
      <c r="D1958" t="s">
        <v>3934</v>
      </c>
      <c r="E1958" t="s">
        <v>54</v>
      </c>
      <c r="F1958" t="s">
        <v>3935</v>
      </c>
      <c r="G1958" t="str">
        <f>"201406003772"</f>
        <v>201406003772</v>
      </c>
      <c r="H1958" t="s">
        <v>1397</v>
      </c>
      <c r="I1958">
        <v>0</v>
      </c>
      <c r="J1958">
        <v>0</v>
      </c>
      <c r="K1958">
        <v>0</v>
      </c>
      <c r="L1958">
        <v>200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Z1958">
        <v>0</v>
      </c>
      <c r="AA1958" t="s">
        <v>3932</v>
      </c>
    </row>
    <row r="1959" spans="1:27" x14ac:dyDescent="0.25">
      <c r="H1959" t="s">
        <v>3936</v>
      </c>
    </row>
    <row r="1960" spans="1:27" x14ac:dyDescent="0.25">
      <c r="A1960">
        <v>977</v>
      </c>
      <c r="B1960">
        <v>1296</v>
      </c>
      <c r="C1960" t="s">
        <v>3937</v>
      </c>
      <c r="D1960" t="s">
        <v>176</v>
      </c>
      <c r="E1960" t="s">
        <v>47</v>
      </c>
      <c r="F1960" t="s">
        <v>3938</v>
      </c>
      <c r="G1960" t="str">
        <f>"00012510"</f>
        <v>00012510</v>
      </c>
      <c r="H1960">
        <v>803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70</v>
      </c>
      <c r="O1960">
        <v>0</v>
      </c>
      <c r="P1960">
        <v>30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Z1960">
        <v>0</v>
      </c>
      <c r="AA1960">
        <v>903</v>
      </c>
    </row>
    <row r="1961" spans="1:27" x14ac:dyDescent="0.25">
      <c r="H1961" t="s">
        <v>98</v>
      </c>
    </row>
    <row r="1962" spans="1:27" x14ac:dyDescent="0.25">
      <c r="A1962">
        <v>978</v>
      </c>
      <c r="B1962">
        <v>42</v>
      </c>
      <c r="C1962" t="s">
        <v>2689</v>
      </c>
      <c r="D1962" t="s">
        <v>377</v>
      </c>
      <c r="E1962" t="s">
        <v>155</v>
      </c>
      <c r="F1962" t="s">
        <v>3939</v>
      </c>
      <c r="G1962" t="str">
        <f>"00014090"</f>
        <v>00014090</v>
      </c>
      <c r="H1962" t="s">
        <v>708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70</v>
      </c>
      <c r="O1962">
        <v>0</v>
      </c>
      <c r="P1962">
        <v>0</v>
      </c>
      <c r="Q1962">
        <v>50</v>
      </c>
      <c r="R1962">
        <v>0</v>
      </c>
      <c r="S1962">
        <v>0</v>
      </c>
      <c r="T1962">
        <v>0</v>
      </c>
      <c r="U1962">
        <v>0</v>
      </c>
      <c r="V1962">
        <v>6</v>
      </c>
      <c r="W1962">
        <v>42</v>
      </c>
      <c r="Z1962">
        <v>0</v>
      </c>
      <c r="AA1962" t="s">
        <v>3940</v>
      </c>
    </row>
    <row r="1963" spans="1:27" x14ac:dyDescent="0.25">
      <c r="H1963" t="s">
        <v>3941</v>
      </c>
    </row>
    <row r="1964" spans="1:27" x14ac:dyDescent="0.25">
      <c r="A1964">
        <v>979</v>
      </c>
      <c r="B1964">
        <v>157</v>
      </c>
      <c r="C1964" t="s">
        <v>989</v>
      </c>
      <c r="D1964" t="s">
        <v>3147</v>
      </c>
      <c r="E1964" t="s">
        <v>54</v>
      </c>
      <c r="F1964" t="s">
        <v>3942</v>
      </c>
      <c r="G1964" t="str">
        <f>"00013360"</f>
        <v>00013360</v>
      </c>
      <c r="H1964" t="s">
        <v>926</v>
      </c>
      <c r="I1964">
        <v>0</v>
      </c>
      <c r="J1964">
        <v>0</v>
      </c>
      <c r="K1964">
        <v>0</v>
      </c>
      <c r="L1964">
        <v>0</v>
      </c>
      <c r="M1964">
        <v>100</v>
      </c>
      <c r="N1964">
        <v>30</v>
      </c>
      <c r="O1964">
        <v>70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0</v>
      </c>
      <c r="Z1964">
        <v>0</v>
      </c>
      <c r="AA1964" t="s">
        <v>3943</v>
      </c>
    </row>
    <row r="1965" spans="1:27" x14ac:dyDescent="0.25">
      <c r="H1965" t="s">
        <v>3944</v>
      </c>
    </row>
    <row r="1966" spans="1:27" x14ac:dyDescent="0.25">
      <c r="A1966">
        <v>980</v>
      </c>
      <c r="B1966">
        <v>1137</v>
      </c>
      <c r="C1966" t="s">
        <v>3945</v>
      </c>
      <c r="D1966" t="s">
        <v>20</v>
      </c>
      <c r="E1966" t="s">
        <v>81</v>
      </c>
      <c r="F1966" t="s">
        <v>3946</v>
      </c>
      <c r="G1966" t="str">
        <f>"00014942"</f>
        <v>00014942</v>
      </c>
      <c r="H1966" t="s">
        <v>1219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70</v>
      </c>
      <c r="O1966">
        <v>50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13</v>
      </c>
      <c r="W1966">
        <v>91</v>
      </c>
      <c r="Z1966">
        <v>0</v>
      </c>
      <c r="AA1966" t="s">
        <v>3947</v>
      </c>
    </row>
    <row r="1967" spans="1:27" x14ac:dyDescent="0.25">
      <c r="H1967" t="s">
        <v>2951</v>
      </c>
    </row>
    <row r="1968" spans="1:27" x14ac:dyDescent="0.25">
      <c r="A1968">
        <v>981</v>
      </c>
      <c r="B1968">
        <v>2317</v>
      </c>
      <c r="C1968" t="s">
        <v>3948</v>
      </c>
      <c r="D1968" t="s">
        <v>176</v>
      </c>
      <c r="E1968" t="s">
        <v>3949</v>
      </c>
      <c r="F1968" t="s">
        <v>3950</v>
      </c>
      <c r="G1968" t="str">
        <f>"00015094"</f>
        <v>00015094</v>
      </c>
      <c r="H1968" t="s">
        <v>1145</v>
      </c>
      <c r="I1968">
        <v>0</v>
      </c>
      <c r="J1968">
        <v>0</v>
      </c>
      <c r="K1968">
        <v>0</v>
      </c>
      <c r="L1968">
        <v>0</v>
      </c>
      <c r="M1968">
        <v>100</v>
      </c>
      <c r="N1968">
        <v>30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0</v>
      </c>
      <c r="Z1968">
        <v>0</v>
      </c>
      <c r="AA1968" t="s">
        <v>3951</v>
      </c>
    </row>
    <row r="1969" spans="1:27" x14ac:dyDescent="0.25">
      <c r="H1969">
        <v>207</v>
      </c>
    </row>
    <row r="1970" spans="1:27" x14ac:dyDescent="0.25">
      <c r="A1970">
        <v>982</v>
      </c>
      <c r="B1970">
        <v>719</v>
      </c>
      <c r="C1970" t="s">
        <v>3952</v>
      </c>
      <c r="D1970" t="s">
        <v>1552</v>
      </c>
      <c r="E1970" t="s">
        <v>81</v>
      </c>
      <c r="F1970" t="s">
        <v>3953</v>
      </c>
      <c r="G1970" t="str">
        <f>"00014427"</f>
        <v>00014427</v>
      </c>
      <c r="H1970" t="s">
        <v>1346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70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28</v>
      </c>
      <c r="W1970">
        <v>196</v>
      </c>
      <c r="Z1970">
        <v>1</v>
      </c>
      <c r="AA1970" t="s">
        <v>3954</v>
      </c>
    </row>
    <row r="1971" spans="1:27" x14ac:dyDescent="0.25">
      <c r="H1971" t="s">
        <v>3955</v>
      </c>
    </row>
    <row r="1972" spans="1:27" x14ac:dyDescent="0.25">
      <c r="A1972">
        <v>983</v>
      </c>
      <c r="B1972">
        <v>294</v>
      </c>
      <c r="C1972" t="s">
        <v>3956</v>
      </c>
      <c r="D1972" t="s">
        <v>136</v>
      </c>
      <c r="E1972" t="s">
        <v>143</v>
      </c>
      <c r="F1972" t="s">
        <v>3957</v>
      </c>
      <c r="G1972" t="str">
        <f>"00015026"</f>
        <v>00015026</v>
      </c>
      <c r="H1972" t="s">
        <v>3212</v>
      </c>
      <c r="I1972">
        <v>0</v>
      </c>
      <c r="J1972">
        <v>0</v>
      </c>
      <c r="K1972">
        <v>0</v>
      </c>
      <c r="L1972">
        <v>200</v>
      </c>
      <c r="M1972">
        <v>0</v>
      </c>
      <c r="N1972">
        <v>0</v>
      </c>
      <c r="O1972">
        <v>70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0</v>
      </c>
      <c r="Z1972">
        <v>0</v>
      </c>
      <c r="AA1972" t="s">
        <v>3958</v>
      </c>
    </row>
    <row r="1973" spans="1:27" x14ac:dyDescent="0.25">
      <c r="H1973">
        <v>201</v>
      </c>
    </row>
    <row r="1974" spans="1:27" x14ac:dyDescent="0.25">
      <c r="A1974">
        <v>984</v>
      </c>
      <c r="B1974">
        <v>2135</v>
      </c>
      <c r="C1974" t="s">
        <v>3959</v>
      </c>
      <c r="D1974" t="s">
        <v>20</v>
      </c>
      <c r="E1974" t="s">
        <v>81</v>
      </c>
      <c r="F1974" t="s">
        <v>3960</v>
      </c>
      <c r="G1974" t="str">
        <f>"00015071"</f>
        <v>00015071</v>
      </c>
      <c r="H1974" t="s">
        <v>789</v>
      </c>
      <c r="I1974">
        <v>0</v>
      </c>
      <c r="J1974">
        <v>0</v>
      </c>
      <c r="K1974">
        <v>0</v>
      </c>
      <c r="L1974">
        <v>0</v>
      </c>
      <c r="M1974">
        <v>100</v>
      </c>
      <c r="N1974">
        <v>30</v>
      </c>
      <c r="O1974">
        <v>0</v>
      </c>
      <c r="P1974">
        <v>30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Z1974">
        <v>0</v>
      </c>
      <c r="AA1974" t="s">
        <v>3961</v>
      </c>
    </row>
    <row r="1975" spans="1:27" x14ac:dyDescent="0.25">
      <c r="H1975" t="s">
        <v>3962</v>
      </c>
    </row>
    <row r="1976" spans="1:27" x14ac:dyDescent="0.25">
      <c r="A1976">
        <v>985</v>
      </c>
      <c r="B1976">
        <v>1074</v>
      </c>
      <c r="C1976" t="s">
        <v>3963</v>
      </c>
      <c r="D1976" t="s">
        <v>3964</v>
      </c>
      <c r="E1976" t="s">
        <v>155</v>
      </c>
      <c r="F1976" t="s">
        <v>3965</v>
      </c>
      <c r="G1976" t="str">
        <f>"00014985"</f>
        <v>00014985</v>
      </c>
      <c r="H1976" t="s">
        <v>708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70</v>
      </c>
      <c r="O1976">
        <v>0</v>
      </c>
      <c r="P1976">
        <v>50</v>
      </c>
      <c r="Q1976">
        <v>30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0</v>
      </c>
      <c r="Z1976">
        <v>0</v>
      </c>
      <c r="AA1976" t="s">
        <v>3966</v>
      </c>
    </row>
    <row r="1977" spans="1:27" x14ac:dyDescent="0.25">
      <c r="H1977" t="s">
        <v>3967</v>
      </c>
    </row>
    <row r="1978" spans="1:27" x14ac:dyDescent="0.25">
      <c r="A1978">
        <v>986</v>
      </c>
      <c r="B1978">
        <v>3282</v>
      </c>
      <c r="C1978" t="s">
        <v>415</v>
      </c>
      <c r="D1978" t="s">
        <v>416</v>
      </c>
      <c r="E1978" t="s">
        <v>100</v>
      </c>
      <c r="F1978" t="s">
        <v>417</v>
      </c>
      <c r="G1978" t="str">
        <f>"201505000343"</f>
        <v>201505000343</v>
      </c>
      <c r="H1978" t="s">
        <v>43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70</v>
      </c>
      <c r="O1978">
        <v>0</v>
      </c>
      <c r="P1978">
        <v>70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0</v>
      </c>
      <c r="Z1978">
        <v>0</v>
      </c>
      <c r="AA1978" t="s">
        <v>3968</v>
      </c>
    </row>
    <row r="1979" spans="1:27" x14ac:dyDescent="0.25">
      <c r="H1979" t="s">
        <v>419</v>
      </c>
    </row>
    <row r="1980" spans="1:27" x14ac:dyDescent="0.25">
      <c r="A1980">
        <v>987</v>
      </c>
      <c r="B1980">
        <v>2039</v>
      </c>
      <c r="C1980" t="s">
        <v>3902</v>
      </c>
      <c r="D1980" t="s">
        <v>3903</v>
      </c>
      <c r="E1980" t="s">
        <v>3904</v>
      </c>
      <c r="F1980" t="s">
        <v>3905</v>
      </c>
      <c r="G1980" t="str">
        <f>"00012833"</f>
        <v>00012833</v>
      </c>
      <c r="H1980" t="s">
        <v>1137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70</v>
      </c>
      <c r="O1980">
        <v>70</v>
      </c>
      <c r="P1980">
        <v>0</v>
      </c>
      <c r="Q1980">
        <v>0</v>
      </c>
      <c r="R1980">
        <v>50</v>
      </c>
      <c r="S1980">
        <v>0</v>
      </c>
      <c r="T1980">
        <v>0</v>
      </c>
      <c r="U1980">
        <v>0</v>
      </c>
      <c r="V1980">
        <v>0</v>
      </c>
      <c r="W1980">
        <v>0</v>
      </c>
      <c r="Z1980">
        <v>0</v>
      </c>
      <c r="AA1980" t="s">
        <v>3969</v>
      </c>
    </row>
    <row r="1981" spans="1:27" x14ac:dyDescent="0.25">
      <c r="H1981" t="s">
        <v>56</v>
      </c>
    </row>
    <row r="1982" spans="1:27" x14ac:dyDescent="0.25">
      <c r="A1982">
        <v>988</v>
      </c>
      <c r="B1982">
        <v>1531</v>
      </c>
      <c r="C1982" t="s">
        <v>3800</v>
      </c>
      <c r="D1982" t="s">
        <v>581</v>
      </c>
      <c r="E1982" t="s">
        <v>507</v>
      </c>
      <c r="F1982" t="s">
        <v>3801</v>
      </c>
      <c r="G1982" t="str">
        <f>"201406011827"</f>
        <v>201406011827</v>
      </c>
      <c r="H1982" t="s">
        <v>544</v>
      </c>
      <c r="I1982">
        <v>0</v>
      </c>
      <c r="J1982">
        <v>0</v>
      </c>
      <c r="K1982">
        <v>0</v>
      </c>
      <c r="L1982">
        <v>0</v>
      </c>
      <c r="M1982">
        <v>100</v>
      </c>
      <c r="N1982">
        <v>30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0</v>
      </c>
      <c r="Z1982">
        <v>0</v>
      </c>
      <c r="AA1982" t="s">
        <v>3970</v>
      </c>
    </row>
    <row r="1983" spans="1:27" x14ac:dyDescent="0.25">
      <c r="H1983" t="s">
        <v>3803</v>
      </c>
    </row>
    <row r="1984" spans="1:27" x14ac:dyDescent="0.25">
      <c r="A1984">
        <v>989</v>
      </c>
      <c r="B1984">
        <v>297</v>
      </c>
      <c r="C1984" t="s">
        <v>3971</v>
      </c>
      <c r="D1984" t="s">
        <v>20</v>
      </c>
      <c r="E1984" t="s">
        <v>81</v>
      </c>
      <c r="F1984" t="s">
        <v>3972</v>
      </c>
      <c r="G1984" t="str">
        <f>"201304001213"</f>
        <v>201304001213</v>
      </c>
      <c r="H1984" t="s">
        <v>2466</v>
      </c>
      <c r="I1984">
        <v>0</v>
      </c>
      <c r="J1984">
        <v>0</v>
      </c>
      <c r="K1984">
        <v>0</v>
      </c>
      <c r="L1984">
        <v>0</v>
      </c>
      <c r="M1984">
        <v>100</v>
      </c>
      <c r="N1984">
        <v>70</v>
      </c>
      <c r="O1984">
        <v>50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0</v>
      </c>
      <c r="Z1984">
        <v>0</v>
      </c>
      <c r="AA1984" t="s">
        <v>3973</v>
      </c>
    </row>
    <row r="1985" spans="1:27" x14ac:dyDescent="0.25">
      <c r="H1985" t="s">
        <v>3974</v>
      </c>
    </row>
    <row r="1986" spans="1:27" x14ac:dyDescent="0.25">
      <c r="A1986">
        <v>990</v>
      </c>
      <c r="B1986">
        <v>392</v>
      </c>
      <c r="C1986" t="s">
        <v>3975</v>
      </c>
      <c r="D1986" t="s">
        <v>638</v>
      </c>
      <c r="E1986" t="s">
        <v>47</v>
      </c>
      <c r="F1986" t="s">
        <v>3976</v>
      </c>
      <c r="G1986" t="str">
        <f>"00013045"</f>
        <v>00013045</v>
      </c>
      <c r="H1986" t="s">
        <v>367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W1986">
        <v>0</v>
      </c>
      <c r="Z1986">
        <v>0</v>
      </c>
      <c r="AA1986" t="s">
        <v>3977</v>
      </c>
    </row>
    <row r="1987" spans="1:27" x14ac:dyDescent="0.25">
      <c r="H1987" t="s">
        <v>98</v>
      </c>
    </row>
    <row r="1988" spans="1:27" x14ac:dyDescent="0.25">
      <c r="A1988">
        <v>991</v>
      </c>
      <c r="B1988">
        <v>1061</v>
      </c>
      <c r="C1988" t="s">
        <v>3978</v>
      </c>
      <c r="D1988" t="s">
        <v>532</v>
      </c>
      <c r="E1988" t="s">
        <v>94</v>
      </c>
      <c r="F1988" t="s">
        <v>3979</v>
      </c>
      <c r="G1988" t="str">
        <f>"00013755"</f>
        <v>00013755</v>
      </c>
      <c r="H1988">
        <v>682</v>
      </c>
      <c r="I1988">
        <v>150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50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Z1988">
        <v>0</v>
      </c>
      <c r="AA1988">
        <v>882</v>
      </c>
    </row>
    <row r="1989" spans="1:27" x14ac:dyDescent="0.25">
      <c r="H1989" t="s">
        <v>369</v>
      </c>
    </row>
    <row r="1990" spans="1:27" x14ac:dyDescent="0.25">
      <c r="A1990">
        <v>992</v>
      </c>
      <c r="B1990">
        <v>1555</v>
      </c>
      <c r="C1990" t="s">
        <v>3980</v>
      </c>
      <c r="D1990" t="s">
        <v>346</v>
      </c>
      <c r="E1990" t="s">
        <v>88</v>
      </c>
      <c r="F1990" t="s">
        <v>3981</v>
      </c>
      <c r="G1990" t="str">
        <f>"00014930"</f>
        <v>00014930</v>
      </c>
      <c r="H1990" t="s">
        <v>384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30</v>
      </c>
      <c r="O1990">
        <v>0</v>
      </c>
      <c r="P1990">
        <v>30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10</v>
      </c>
      <c r="W1990">
        <v>70</v>
      </c>
      <c r="Z1990">
        <v>0</v>
      </c>
      <c r="AA1990" t="s">
        <v>3982</v>
      </c>
    </row>
    <row r="1991" spans="1:27" x14ac:dyDescent="0.25">
      <c r="H1991" t="s">
        <v>130</v>
      </c>
    </row>
    <row r="1992" spans="1:27" x14ac:dyDescent="0.25">
      <c r="A1992">
        <v>993</v>
      </c>
      <c r="B1992">
        <v>2795</v>
      </c>
      <c r="C1992" t="s">
        <v>3983</v>
      </c>
      <c r="D1992" t="s">
        <v>112</v>
      </c>
      <c r="E1992" t="s">
        <v>143</v>
      </c>
      <c r="F1992" t="s">
        <v>3984</v>
      </c>
      <c r="G1992" t="str">
        <f>"00014032"</f>
        <v>00014032</v>
      </c>
      <c r="H1992" t="s">
        <v>1045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70</v>
      </c>
      <c r="O1992">
        <v>50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0</v>
      </c>
      <c r="Z1992">
        <v>0</v>
      </c>
      <c r="AA1992" t="s">
        <v>3985</v>
      </c>
    </row>
    <row r="1993" spans="1:27" x14ac:dyDescent="0.25">
      <c r="H1993" t="s">
        <v>3986</v>
      </c>
    </row>
    <row r="1994" spans="1:27" x14ac:dyDescent="0.25">
      <c r="A1994">
        <v>994</v>
      </c>
      <c r="B1994">
        <v>2431</v>
      </c>
      <c r="C1994" t="s">
        <v>3987</v>
      </c>
      <c r="D1994" t="s">
        <v>243</v>
      </c>
      <c r="E1994" t="s">
        <v>143</v>
      </c>
      <c r="F1994" t="s">
        <v>3988</v>
      </c>
      <c r="G1994" t="str">
        <f>"00014525"</f>
        <v>00014525</v>
      </c>
      <c r="H1994">
        <v>847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30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0</v>
      </c>
      <c r="W1994">
        <v>0</v>
      </c>
      <c r="Z1994">
        <v>0</v>
      </c>
      <c r="AA1994">
        <v>877</v>
      </c>
    </row>
    <row r="1995" spans="1:27" x14ac:dyDescent="0.25">
      <c r="H1995" t="s">
        <v>3989</v>
      </c>
    </row>
    <row r="1996" spans="1:27" x14ac:dyDescent="0.25">
      <c r="A1996">
        <v>995</v>
      </c>
      <c r="B1996">
        <v>2267</v>
      </c>
      <c r="C1996" t="s">
        <v>3990</v>
      </c>
      <c r="D1996" t="s">
        <v>3991</v>
      </c>
      <c r="E1996" t="s">
        <v>121</v>
      </c>
      <c r="F1996" t="s">
        <v>3992</v>
      </c>
      <c r="G1996" t="str">
        <f>"00012664"</f>
        <v>00012664</v>
      </c>
      <c r="H1996" t="s">
        <v>766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70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6</v>
      </c>
      <c r="W1996">
        <v>42</v>
      </c>
      <c r="Z1996">
        <v>0</v>
      </c>
      <c r="AA1996" t="s">
        <v>3993</v>
      </c>
    </row>
    <row r="1997" spans="1:27" x14ac:dyDescent="0.25">
      <c r="H1997" t="s">
        <v>1245</v>
      </c>
    </row>
    <row r="1998" spans="1:27" x14ac:dyDescent="0.25">
      <c r="A1998">
        <v>996</v>
      </c>
      <c r="B1998">
        <v>1554</v>
      </c>
      <c r="C1998" t="s">
        <v>3994</v>
      </c>
      <c r="D1998" t="s">
        <v>20</v>
      </c>
      <c r="E1998" t="s">
        <v>47</v>
      </c>
      <c r="F1998" t="s">
        <v>3995</v>
      </c>
      <c r="G1998" t="str">
        <f>"201506002022"</f>
        <v>201506002022</v>
      </c>
      <c r="H1998" t="s">
        <v>1160</v>
      </c>
      <c r="I1998">
        <v>150</v>
      </c>
      <c r="J1998">
        <v>0</v>
      </c>
      <c r="K1998">
        <v>0</v>
      </c>
      <c r="L1998">
        <v>0</v>
      </c>
      <c r="M1998">
        <v>0</v>
      </c>
      <c r="N1998">
        <v>30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0</v>
      </c>
      <c r="Z1998">
        <v>0</v>
      </c>
      <c r="AA1998" t="s">
        <v>3996</v>
      </c>
    </row>
    <row r="1999" spans="1:27" x14ac:dyDescent="0.25">
      <c r="H1999" t="s">
        <v>3997</v>
      </c>
    </row>
    <row r="2000" spans="1:27" x14ac:dyDescent="0.25">
      <c r="A2000">
        <v>997</v>
      </c>
      <c r="B2000">
        <v>2332</v>
      </c>
      <c r="C2000" t="s">
        <v>3998</v>
      </c>
      <c r="D2000" t="s">
        <v>40</v>
      </c>
      <c r="E2000" t="s">
        <v>100</v>
      </c>
      <c r="F2000" t="s">
        <v>3999</v>
      </c>
      <c r="G2000" t="str">
        <f>"201406009872"</f>
        <v>201406009872</v>
      </c>
      <c r="H2000" t="s">
        <v>626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70</v>
      </c>
      <c r="O2000">
        <v>50</v>
      </c>
      <c r="P2000">
        <v>30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W2000">
        <v>0</v>
      </c>
      <c r="Z2000">
        <v>0</v>
      </c>
      <c r="AA2000" t="s">
        <v>4000</v>
      </c>
    </row>
    <row r="2001" spans="1:27" x14ac:dyDescent="0.25">
      <c r="H2001" t="s">
        <v>4001</v>
      </c>
    </row>
    <row r="2002" spans="1:27" x14ac:dyDescent="0.25">
      <c r="A2002">
        <v>998</v>
      </c>
      <c r="B2002">
        <v>674</v>
      </c>
      <c r="C2002" t="s">
        <v>4002</v>
      </c>
      <c r="D2002" t="s">
        <v>100</v>
      </c>
      <c r="E2002" t="s">
        <v>143</v>
      </c>
      <c r="F2002" t="s">
        <v>4003</v>
      </c>
      <c r="G2002" t="str">
        <f>"201304001538"</f>
        <v>201304001538</v>
      </c>
      <c r="H2002" t="s">
        <v>1372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70</v>
      </c>
      <c r="O2002">
        <v>50</v>
      </c>
      <c r="P2002">
        <v>0</v>
      </c>
      <c r="Q2002">
        <v>0</v>
      </c>
      <c r="R2002">
        <v>30</v>
      </c>
      <c r="S2002">
        <v>0</v>
      </c>
      <c r="T2002">
        <v>0</v>
      </c>
      <c r="U2002">
        <v>0</v>
      </c>
      <c r="V2002">
        <v>5</v>
      </c>
      <c r="W2002">
        <v>35</v>
      </c>
      <c r="Z2002">
        <v>0</v>
      </c>
      <c r="AA2002" t="s">
        <v>4004</v>
      </c>
    </row>
    <row r="2003" spans="1:27" x14ac:dyDescent="0.25">
      <c r="H2003">
        <v>206</v>
      </c>
    </row>
    <row r="2004" spans="1:27" x14ac:dyDescent="0.25">
      <c r="A2004">
        <v>999</v>
      </c>
      <c r="B2004">
        <v>2149</v>
      </c>
      <c r="C2004" t="s">
        <v>4005</v>
      </c>
      <c r="D2004" t="s">
        <v>4006</v>
      </c>
      <c r="E2004" t="s">
        <v>143</v>
      </c>
      <c r="F2004" t="s">
        <v>4007</v>
      </c>
      <c r="G2004" t="str">
        <f>"00014828"</f>
        <v>00014828</v>
      </c>
      <c r="H2004" t="s">
        <v>1204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30</v>
      </c>
      <c r="O2004">
        <v>70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Z2004">
        <v>0</v>
      </c>
      <c r="AA2004" t="s">
        <v>4008</v>
      </c>
    </row>
    <row r="2005" spans="1:27" x14ac:dyDescent="0.25">
      <c r="H2005" t="s">
        <v>4009</v>
      </c>
    </row>
    <row r="2006" spans="1:27" x14ac:dyDescent="0.25">
      <c r="A2006">
        <v>1000</v>
      </c>
      <c r="B2006">
        <v>17</v>
      </c>
      <c r="C2006" t="s">
        <v>4010</v>
      </c>
      <c r="D2006" t="s">
        <v>4011</v>
      </c>
      <c r="E2006" t="s">
        <v>282</v>
      </c>
      <c r="F2006" t="s">
        <v>4012</v>
      </c>
      <c r="G2006" t="str">
        <f>"00013662"</f>
        <v>00013662</v>
      </c>
      <c r="H2006" t="s">
        <v>683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70</v>
      </c>
      <c r="O2006">
        <v>0</v>
      </c>
      <c r="P2006">
        <v>50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W2006">
        <v>0</v>
      </c>
      <c r="Z2006">
        <v>0</v>
      </c>
      <c r="AA2006" t="s">
        <v>4013</v>
      </c>
    </row>
    <row r="2007" spans="1:27" x14ac:dyDescent="0.25">
      <c r="H2007" t="s">
        <v>3445</v>
      </c>
    </row>
    <row r="2008" spans="1:27" x14ac:dyDescent="0.25">
      <c r="A2008">
        <v>1001</v>
      </c>
      <c r="B2008">
        <v>2241</v>
      </c>
      <c r="C2008" t="s">
        <v>4014</v>
      </c>
      <c r="D2008" t="s">
        <v>1280</v>
      </c>
      <c r="E2008" t="s">
        <v>586</v>
      </c>
      <c r="F2008" t="s">
        <v>4015</v>
      </c>
      <c r="G2008" t="str">
        <f>"201405001009"</f>
        <v>201405001009</v>
      </c>
      <c r="H2008" t="s">
        <v>138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70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0</v>
      </c>
      <c r="W2008">
        <v>0</v>
      </c>
      <c r="Z2008">
        <v>0</v>
      </c>
      <c r="AA2008" t="s">
        <v>4016</v>
      </c>
    </row>
    <row r="2009" spans="1:27" x14ac:dyDescent="0.25">
      <c r="H2009" t="s">
        <v>4017</v>
      </c>
    </row>
    <row r="2010" spans="1:27" x14ac:dyDescent="0.25">
      <c r="A2010">
        <v>1002</v>
      </c>
      <c r="B2010">
        <v>2471</v>
      </c>
      <c r="C2010" t="s">
        <v>4018</v>
      </c>
      <c r="D2010" t="s">
        <v>813</v>
      </c>
      <c r="E2010" t="s">
        <v>100</v>
      </c>
      <c r="F2010" t="s">
        <v>4019</v>
      </c>
      <c r="G2010" t="str">
        <f>"00013692"</f>
        <v>00013692</v>
      </c>
      <c r="H2010" t="s">
        <v>1638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30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26</v>
      </c>
      <c r="W2010">
        <v>182</v>
      </c>
      <c r="Z2010">
        <v>0</v>
      </c>
      <c r="AA2010" t="s">
        <v>4020</v>
      </c>
    </row>
    <row r="2011" spans="1:27" x14ac:dyDescent="0.25">
      <c r="H2011" t="s">
        <v>98</v>
      </c>
    </row>
    <row r="2012" spans="1:27" x14ac:dyDescent="0.25">
      <c r="A2012">
        <v>1003</v>
      </c>
      <c r="B2012">
        <v>2137</v>
      </c>
      <c r="C2012" t="s">
        <v>4021</v>
      </c>
      <c r="D2012" t="s">
        <v>532</v>
      </c>
      <c r="E2012" t="s">
        <v>1150</v>
      </c>
      <c r="F2012" t="s">
        <v>4022</v>
      </c>
      <c r="G2012" t="str">
        <f>"201406019011"</f>
        <v>201406019011</v>
      </c>
      <c r="H2012">
        <v>737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70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9</v>
      </c>
      <c r="W2012">
        <v>63</v>
      </c>
      <c r="Z2012">
        <v>0</v>
      </c>
      <c r="AA2012">
        <v>870</v>
      </c>
    </row>
    <row r="2013" spans="1:27" x14ac:dyDescent="0.25">
      <c r="H2013" t="s">
        <v>4023</v>
      </c>
    </row>
    <row r="2014" spans="1:27" x14ac:dyDescent="0.25">
      <c r="A2014">
        <v>1004</v>
      </c>
      <c r="B2014">
        <v>3280</v>
      </c>
      <c r="C2014" t="s">
        <v>4024</v>
      </c>
      <c r="D2014" t="s">
        <v>551</v>
      </c>
      <c r="E2014" t="s">
        <v>15</v>
      </c>
      <c r="F2014" t="s">
        <v>4025</v>
      </c>
      <c r="G2014" t="str">
        <f>"201405000374"</f>
        <v>201405000374</v>
      </c>
      <c r="H2014" t="s">
        <v>908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70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0</v>
      </c>
      <c r="W2014">
        <v>0</v>
      </c>
      <c r="Z2014">
        <v>0</v>
      </c>
      <c r="AA2014" t="s">
        <v>4026</v>
      </c>
    </row>
    <row r="2015" spans="1:27" x14ac:dyDescent="0.25">
      <c r="H2015" t="s">
        <v>4027</v>
      </c>
    </row>
    <row r="2016" spans="1:27" x14ac:dyDescent="0.25">
      <c r="A2016">
        <v>1005</v>
      </c>
      <c r="B2016">
        <v>2078</v>
      </c>
      <c r="C2016" t="s">
        <v>1814</v>
      </c>
      <c r="D2016" t="s">
        <v>892</v>
      </c>
      <c r="E2016" t="s">
        <v>4028</v>
      </c>
      <c r="F2016" t="s">
        <v>4029</v>
      </c>
      <c r="G2016" t="str">
        <f>"00012646"</f>
        <v>00012646</v>
      </c>
      <c r="H2016" t="s">
        <v>473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70</v>
      </c>
      <c r="O2016">
        <v>30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W2016">
        <v>0</v>
      </c>
      <c r="Z2016">
        <v>0</v>
      </c>
      <c r="AA2016" t="s">
        <v>4030</v>
      </c>
    </row>
    <row r="2017" spans="1:27" x14ac:dyDescent="0.25">
      <c r="H2017" t="s">
        <v>4031</v>
      </c>
    </row>
    <row r="2018" spans="1:27" x14ac:dyDescent="0.25">
      <c r="A2018">
        <v>1006</v>
      </c>
      <c r="B2018">
        <v>399</v>
      </c>
      <c r="C2018" t="s">
        <v>4032</v>
      </c>
      <c r="D2018" t="s">
        <v>1862</v>
      </c>
      <c r="E2018" t="s">
        <v>155</v>
      </c>
      <c r="F2018" t="s">
        <v>4033</v>
      </c>
      <c r="G2018" t="str">
        <f>"00015180"</f>
        <v>00015180</v>
      </c>
      <c r="H2018" t="s">
        <v>4034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70</v>
      </c>
      <c r="O2018">
        <v>70</v>
      </c>
      <c r="P2018">
        <v>70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</v>
      </c>
      <c r="W2018">
        <v>0</v>
      </c>
      <c r="Z2018">
        <v>0</v>
      </c>
      <c r="AA2018" t="s">
        <v>4030</v>
      </c>
    </row>
    <row r="2019" spans="1:27" x14ac:dyDescent="0.25">
      <c r="H2019" t="s">
        <v>3427</v>
      </c>
    </row>
    <row r="2020" spans="1:27" x14ac:dyDescent="0.25">
      <c r="A2020">
        <v>1007</v>
      </c>
      <c r="B2020">
        <v>1888</v>
      </c>
      <c r="C2020" t="s">
        <v>4035</v>
      </c>
      <c r="D2020" t="s">
        <v>149</v>
      </c>
      <c r="E2020" t="s">
        <v>81</v>
      </c>
      <c r="F2020" t="s">
        <v>4036</v>
      </c>
      <c r="G2020" t="str">
        <f>"00012109"</f>
        <v>00012109</v>
      </c>
      <c r="H2020" t="s">
        <v>4037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70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24</v>
      </c>
      <c r="W2020">
        <v>168</v>
      </c>
      <c r="Z2020">
        <v>0</v>
      </c>
      <c r="AA2020" t="s">
        <v>4038</v>
      </c>
    </row>
    <row r="2021" spans="1:27" x14ac:dyDescent="0.25">
      <c r="H2021" t="s">
        <v>4039</v>
      </c>
    </row>
    <row r="2022" spans="1:27" x14ac:dyDescent="0.25">
      <c r="A2022">
        <v>1008</v>
      </c>
      <c r="B2022">
        <v>3122</v>
      </c>
      <c r="C2022" t="s">
        <v>4040</v>
      </c>
      <c r="D2022" t="s">
        <v>314</v>
      </c>
      <c r="E2022" t="s">
        <v>586</v>
      </c>
      <c r="F2022" t="s">
        <v>4041</v>
      </c>
      <c r="G2022" t="str">
        <f>"201406005067"</f>
        <v>201406005067</v>
      </c>
      <c r="H2022" t="s">
        <v>1123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70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0</v>
      </c>
      <c r="W2022">
        <v>0</v>
      </c>
      <c r="Z2022">
        <v>0</v>
      </c>
      <c r="AA2022" t="s">
        <v>4042</v>
      </c>
    </row>
    <row r="2023" spans="1:27" x14ac:dyDescent="0.25">
      <c r="H2023" t="s">
        <v>2138</v>
      </c>
    </row>
    <row r="2024" spans="1:27" x14ac:dyDescent="0.25">
      <c r="A2024">
        <v>1009</v>
      </c>
      <c r="B2024">
        <v>3200</v>
      </c>
      <c r="C2024" t="s">
        <v>4043</v>
      </c>
      <c r="D2024" t="s">
        <v>243</v>
      </c>
      <c r="E2024" t="s">
        <v>47</v>
      </c>
      <c r="F2024" t="s">
        <v>4044</v>
      </c>
      <c r="G2024" t="str">
        <f>"201506002092"</f>
        <v>201506002092</v>
      </c>
      <c r="H2024" t="s">
        <v>665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70</v>
      </c>
      <c r="O2024">
        <v>70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W2024">
        <v>0</v>
      </c>
      <c r="Z2024">
        <v>0</v>
      </c>
      <c r="AA2024" t="s">
        <v>4045</v>
      </c>
    </row>
    <row r="2025" spans="1:27" x14ac:dyDescent="0.25">
      <c r="H2025" t="s">
        <v>56</v>
      </c>
    </row>
    <row r="2026" spans="1:27" x14ac:dyDescent="0.25">
      <c r="A2026">
        <v>1010</v>
      </c>
      <c r="B2026">
        <v>2911</v>
      </c>
      <c r="C2026" t="s">
        <v>3617</v>
      </c>
      <c r="D2026" t="s">
        <v>3618</v>
      </c>
      <c r="E2026" t="s">
        <v>799</v>
      </c>
      <c r="F2026" t="s">
        <v>3619</v>
      </c>
      <c r="G2026" t="str">
        <f>"201406011288"</f>
        <v>201406011288</v>
      </c>
      <c r="H2026">
        <v>715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70</v>
      </c>
      <c r="O2026">
        <v>0</v>
      </c>
      <c r="P2026">
        <v>0</v>
      </c>
      <c r="Q2026">
        <v>0</v>
      </c>
      <c r="R2026">
        <v>70</v>
      </c>
      <c r="S2026">
        <v>0</v>
      </c>
      <c r="T2026">
        <v>0</v>
      </c>
      <c r="U2026">
        <v>0</v>
      </c>
      <c r="V2026">
        <v>0</v>
      </c>
      <c r="W2026">
        <v>0</v>
      </c>
      <c r="Z2026">
        <v>0</v>
      </c>
      <c r="AA2026">
        <v>855</v>
      </c>
    </row>
    <row r="2027" spans="1:27" x14ac:dyDescent="0.25">
      <c r="H2027" t="s">
        <v>3620</v>
      </c>
    </row>
    <row r="2028" spans="1:27" x14ac:dyDescent="0.25">
      <c r="A2028">
        <v>1011</v>
      </c>
      <c r="B2028">
        <v>2552</v>
      </c>
      <c r="C2028" t="s">
        <v>4046</v>
      </c>
      <c r="D2028" t="s">
        <v>47</v>
      </c>
      <c r="E2028" t="s">
        <v>1150</v>
      </c>
      <c r="F2028" t="s">
        <v>4047</v>
      </c>
      <c r="G2028" t="str">
        <f>"201406008268"</f>
        <v>201406008268</v>
      </c>
      <c r="H2028" t="s">
        <v>1160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70</v>
      </c>
      <c r="O2028">
        <v>30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8</v>
      </c>
      <c r="W2028">
        <v>56</v>
      </c>
      <c r="Z2028">
        <v>0</v>
      </c>
      <c r="AA2028" t="s">
        <v>4048</v>
      </c>
    </row>
    <row r="2029" spans="1:27" x14ac:dyDescent="0.25">
      <c r="H2029" t="s">
        <v>4049</v>
      </c>
    </row>
    <row r="2030" spans="1:27" x14ac:dyDescent="0.25">
      <c r="A2030">
        <v>1012</v>
      </c>
      <c r="B2030">
        <v>362</v>
      </c>
      <c r="C2030" t="s">
        <v>2371</v>
      </c>
      <c r="D2030" t="s">
        <v>581</v>
      </c>
      <c r="E2030" t="s">
        <v>143</v>
      </c>
      <c r="F2030" t="s">
        <v>4050</v>
      </c>
      <c r="G2030" t="str">
        <f>"201405000933"</f>
        <v>201405000933</v>
      </c>
      <c r="H2030" t="s">
        <v>2060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70</v>
      </c>
      <c r="O2030">
        <v>50</v>
      </c>
      <c r="P2030">
        <v>0</v>
      </c>
      <c r="Q2030">
        <v>0</v>
      </c>
      <c r="R2030">
        <v>50</v>
      </c>
      <c r="S2030">
        <v>0</v>
      </c>
      <c r="T2030">
        <v>0</v>
      </c>
      <c r="U2030">
        <v>0</v>
      </c>
      <c r="V2030">
        <v>0</v>
      </c>
      <c r="W2030">
        <v>0</v>
      </c>
      <c r="Z2030">
        <v>0</v>
      </c>
      <c r="AA2030" t="s">
        <v>4051</v>
      </c>
    </row>
    <row r="2031" spans="1:27" x14ac:dyDescent="0.25">
      <c r="H2031" t="s">
        <v>4052</v>
      </c>
    </row>
    <row r="2032" spans="1:27" x14ac:dyDescent="0.25">
      <c r="A2032">
        <v>1013</v>
      </c>
      <c r="B2032">
        <v>1447</v>
      </c>
      <c r="C2032" t="s">
        <v>1814</v>
      </c>
      <c r="D2032" t="s">
        <v>532</v>
      </c>
      <c r="E2032" t="s">
        <v>81</v>
      </c>
      <c r="F2032" t="s">
        <v>4053</v>
      </c>
      <c r="G2032" t="str">
        <f>"00013159"</f>
        <v>00013159</v>
      </c>
      <c r="H2032" t="s">
        <v>789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70</v>
      </c>
      <c r="O2032">
        <v>0</v>
      </c>
      <c r="P2032">
        <v>50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0</v>
      </c>
      <c r="W2032">
        <v>0</v>
      </c>
      <c r="Z2032">
        <v>0</v>
      </c>
      <c r="AA2032" t="s">
        <v>4054</v>
      </c>
    </row>
    <row r="2033" spans="1:27" x14ac:dyDescent="0.25">
      <c r="H2033" t="s">
        <v>4055</v>
      </c>
    </row>
    <row r="2034" spans="1:27" x14ac:dyDescent="0.25">
      <c r="A2034">
        <v>1014</v>
      </c>
      <c r="B2034">
        <v>1916</v>
      </c>
      <c r="C2034" t="s">
        <v>4056</v>
      </c>
      <c r="D2034" t="s">
        <v>2077</v>
      </c>
      <c r="E2034" t="s">
        <v>54</v>
      </c>
      <c r="F2034" t="s">
        <v>4057</v>
      </c>
      <c r="G2034" t="str">
        <f>"00012705"</f>
        <v>00012705</v>
      </c>
      <c r="H2034">
        <v>704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70</v>
      </c>
      <c r="O2034">
        <v>0</v>
      </c>
      <c r="P2034">
        <v>30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6</v>
      </c>
      <c r="W2034">
        <v>42</v>
      </c>
      <c r="Z2034">
        <v>0</v>
      </c>
      <c r="AA2034">
        <v>846</v>
      </c>
    </row>
    <row r="2035" spans="1:27" x14ac:dyDescent="0.25">
      <c r="H2035" t="s">
        <v>3238</v>
      </c>
    </row>
    <row r="2036" spans="1:27" x14ac:dyDescent="0.25">
      <c r="A2036">
        <v>1015</v>
      </c>
      <c r="B2036">
        <v>2362</v>
      </c>
      <c r="C2036" t="s">
        <v>4058</v>
      </c>
      <c r="D2036" t="s">
        <v>4059</v>
      </c>
      <c r="E2036" t="s">
        <v>100</v>
      </c>
      <c r="F2036" t="s">
        <v>4060</v>
      </c>
      <c r="G2036" t="str">
        <f>"201506002891"</f>
        <v>201506002891</v>
      </c>
      <c r="H2036" t="s">
        <v>400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70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Z2036">
        <v>0</v>
      </c>
      <c r="AA2036" t="s">
        <v>4061</v>
      </c>
    </row>
    <row r="2037" spans="1:27" x14ac:dyDescent="0.25">
      <c r="H2037" t="s">
        <v>1542</v>
      </c>
    </row>
    <row r="2038" spans="1:27" x14ac:dyDescent="0.25">
      <c r="A2038">
        <v>1016</v>
      </c>
      <c r="B2038">
        <v>47</v>
      </c>
      <c r="C2038" t="s">
        <v>4062</v>
      </c>
      <c r="D2038" t="s">
        <v>143</v>
      </c>
      <c r="E2038" t="s">
        <v>54</v>
      </c>
      <c r="F2038" t="s">
        <v>4063</v>
      </c>
      <c r="G2038" t="str">
        <f>"200802008574"</f>
        <v>200802008574</v>
      </c>
      <c r="H2038" t="s">
        <v>400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70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W2038">
        <v>0</v>
      </c>
      <c r="Z2038">
        <v>0</v>
      </c>
      <c r="AA2038" t="s">
        <v>4061</v>
      </c>
    </row>
    <row r="2039" spans="1:27" x14ac:dyDescent="0.25">
      <c r="H2039" t="s">
        <v>933</v>
      </c>
    </row>
    <row r="2040" spans="1:27" x14ac:dyDescent="0.25">
      <c r="A2040">
        <v>1017</v>
      </c>
      <c r="B2040">
        <v>2844</v>
      </c>
      <c r="C2040" t="s">
        <v>4064</v>
      </c>
      <c r="D2040" t="s">
        <v>149</v>
      </c>
      <c r="E2040" t="s">
        <v>891</v>
      </c>
      <c r="F2040" t="s">
        <v>4065</v>
      </c>
      <c r="G2040" t="str">
        <f>"00014220"</f>
        <v>00014220</v>
      </c>
      <c r="H2040" t="s">
        <v>1173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70</v>
      </c>
      <c r="V2040">
        <v>0</v>
      </c>
      <c r="W2040">
        <v>0</v>
      </c>
      <c r="Z2040">
        <v>0</v>
      </c>
      <c r="AA2040" t="s">
        <v>4066</v>
      </c>
    </row>
    <row r="2041" spans="1:27" x14ac:dyDescent="0.25">
      <c r="H2041">
        <v>203</v>
      </c>
    </row>
    <row r="2042" spans="1:27" x14ac:dyDescent="0.25">
      <c r="A2042">
        <v>1018</v>
      </c>
      <c r="B2042">
        <v>1768</v>
      </c>
      <c r="C2042" t="s">
        <v>4067</v>
      </c>
      <c r="D2042" t="s">
        <v>658</v>
      </c>
      <c r="E2042" t="s">
        <v>143</v>
      </c>
      <c r="F2042" t="s">
        <v>4068</v>
      </c>
      <c r="G2042" t="str">
        <f>"201406002876"</f>
        <v>201406002876</v>
      </c>
      <c r="H2042" t="s">
        <v>1572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30</v>
      </c>
      <c r="O2042">
        <v>70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0</v>
      </c>
      <c r="W2042">
        <v>0</v>
      </c>
      <c r="Z2042">
        <v>1</v>
      </c>
      <c r="AA2042" t="s">
        <v>4069</v>
      </c>
    </row>
    <row r="2043" spans="1:27" x14ac:dyDescent="0.25">
      <c r="H2043" t="s">
        <v>4070</v>
      </c>
    </row>
    <row r="2044" spans="1:27" x14ac:dyDescent="0.25">
      <c r="A2044">
        <v>1019</v>
      </c>
      <c r="B2044">
        <v>2586</v>
      </c>
      <c r="C2044" t="s">
        <v>4071</v>
      </c>
      <c r="D2044" t="s">
        <v>706</v>
      </c>
      <c r="E2044" t="s">
        <v>644</v>
      </c>
      <c r="F2044" t="s">
        <v>4072</v>
      </c>
      <c r="G2044" t="str">
        <f>"201406013757"</f>
        <v>201406013757</v>
      </c>
      <c r="H2044" t="s">
        <v>1772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30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0</v>
      </c>
      <c r="Z2044">
        <v>0</v>
      </c>
      <c r="AA2044" t="s">
        <v>4073</v>
      </c>
    </row>
    <row r="2045" spans="1:27" x14ac:dyDescent="0.25">
      <c r="H2045" t="s">
        <v>4074</v>
      </c>
    </row>
    <row r="2046" spans="1:27" x14ac:dyDescent="0.25">
      <c r="A2046">
        <v>1020</v>
      </c>
      <c r="B2046">
        <v>1196</v>
      </c>
      <c r="C2046" t="s">
        <v>4075</v>
      </c>
      <c r="D2046" t="s">
        <v>87</v>
      </c>
      <c r="E2046" t="s">
        <v>81</v>
      </c>
      <c r="F2046" t="s">
        <v>4076</v>
      </c>
      <c r="G2046" t="str">
        <f>"201406009070"</f>
        <v>201406009070</v>
      </c>
      <c r="H2046" t="s">
        <v>1160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70</v>
      </c>
      <c r="O2046">
        <v>70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W2046">
        <v>0</v>
      </c>
      <c r="Z2046">
        <v>0</v>
      </c>
      <c r="AA2046" t="s">
        <v>4077</v>
      </c>
    </row>
    <row r="2047" spans="1:27" x14ac:dyDescent="0.25">
      <c r="H2047" t="s">
        <v>4078</v>
      </c>
    </row>
    <row r="2048" spans="1:27" x14ac:dyDescent="0.25">
      <c r="A2048">
        <v>1021</v>
      </c>
      <c r="B2048">
        <v>1508</v>
      </c>
      <c r="C2048" t="s">
        <v>4079</v>
      </c>
      <c r="D2048" t="s">
        <v>332</v>
      </c>
      <c r="E2048" t="s">
        <v>159</v>
      </c>
      <c r="F2048" t="s">
        <v>4080</v>
      </c>
      <c r="G2048" t="str">
        <f>"201406013867"</f>
        <v>201406013867</v>
      </c>
      <c r="H2048" t="s">
        <v>1352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70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0</v>
      </c>
      <c r="W2048">
        <v>0</v>
      </c>
      <c r="Z2048">
        <v>2</v>
      </c>
      <c r="AA2048" t="s">
        <v>4081</v>
      </c>
    </row>
    <row r="2049" spans="1:27" x14ac:dyDescent="0.25">
      <c r="H2049">
        <v>203</v>
      </c>
    </row>
    <row r="2050" spans="1:27" x14ac:dyDescent="0.25">
      <c r="A2050">
        <v>1022</v>
      </c>
      <c r="B2050">
        <v>1328</v>
      </c>
      <c r="C2050" t="s">
        <v>4082</v>
      </c>
      <c r="D2050" t="s">
        <v>20</v>
      </c>
      <c r="E2050" t="s">
        <v>507</v>
      </c>
      <c r="F2050" t="s">
        <v>4083</v>
      </c>
      <c r="G2050" t="str">
        <f>"201506000966"</f>
        <v>201506000966</v>
      </c>
      <c r="H2050" t="s">
        <v>1321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30</v>
      </c>
      <c r="O2050">
        <v>30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Z2050">
        <v>0</v>
      </c>
      <c r="AA2050" t="s">
        <v>4084</v>
      </c>
    </row>
    <row r="2051" spans="1:27" x14ac:dyDescent="0.25">
      <c r="H2051">
        <v>201</v>
      </c>
    </row>
    <row r="2052" spans="1:27" x14ac:dyDescent="0.25">
      <c r="A2052">
        <v>1023</v>
      </c>
      <c r="B2052">
        <v>3235</v>
      </c>
      <c r="C2052" t="s">
        <v>4085</v>
      </c>
      <c r="D2052" t="s">
        <v>1927</v>
      </c>
      <c r="E2052" t="s">
        <v>2226</v>
      </c>
      <c r="F2052" t="s">
        <v>4086</v>
      </c>
      <c r="G2052" t="str">
        <f>"00011540"</f>
        <v>00011540</v>
      </c>
      <c r="H2052" t="s">
        <v>458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8</v>
      </c>
      <c r="W2052">
        <v>56</v>
      </c>
      <c r="Z2052">
        <v>0</v>
      </c>
      <c r="AA2052" t="s">
        <v>4087</v>
      </c>
    </row>
    <row r="2053" spans="1:27" x14ac:dyDescent="0.25">
      <c r="H2053" t="s">
        <v>4088</v>
      </c>
    </row>
    <row r="2054" spans="1:27" x14ac:dyDescent="0.25">
      <c r="A2054">
        <v>1024</v>
      </c>
      <c r="B2054">
        <v>551</v>
      </c>
      <c r="C2054" t="s">
        <v>4089</v>
      </c>
      <c r="D2054" t="s">
        <v>40</v>
      </c>
      <c r="E2054" t="s">
        <v>644</v>
      </c>
      <c r="F2054" t="s">
        <v>4090</v>
      </c>
      <c r="G2054" t="str">
        <f>"00013189"</f>
        <v>00013189</v>
      </c>
      <c r="H2054" t="s">
        <v>4091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50</v>
      </c>
      <c r="O2054">
        <v>30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18</v>
      </c>
      <c r="W2054">
        <v>126</v>
      </c>
      <c r="Z2054">
        <v>0</v>
      </c>
      <c r="AA2054" t="s">
        <v>4092</v>
      </c>
    </row>
    <row r="2055" spans="1:27" x14ac:dyDescent="0.25">
      <c r="H2055" t="s">
        <v>4093</v>
      </c>
    </row>
    <row r="2056" spans="1:27" x14ac:dyDescent="0.25">
      <c r="A2056">
        <v>1025</v>
      </c>
      <c r="B2056">
        <v>576</v>
      </c>
      <c r="C2056" t="s">
        <v>13</v>
      </c>
      <c r="D2056" t="s">
        <v>1026</v>
      </c>
      <c r="E2056" t="s">
        <v>94</v>
      </c>
      <c r="F2056" t="s">
        <v>4094</v>
      </c>
      <c r="G2056" t="str">
        <f>"00011822"</f>
        <v>00011822</v>
      </c>
      <c r="H2056" t="s">
        <v>1010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70</v>
      </c>
      <c r="O2056">
        <v>50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0</v>
      </c>
      <c r="W2056">
        <v>0</v>
      </c>
      <c r="Z2056">
        <v>0</v>
      </c>
      <c r="AA2056" t="s">
        <v>4095</v>
      </c>
    </row>
    <row r="2057" spans="1:27" x14ac:dyDescent="0.25">
      <c r="H2057" t="s">
        <v>3301</v>
      </c>
    </row>
    <row r="2058" spans="1:27" x14ac:dyDescent="0.25">
      <c r="A2058">
        <v>1026</v>
      </c>
      <c r="B2058">
        <v>237</v>
      </c>
      <c r="C2058" t="s">
        <v>4096</v>
      </c>
      <c r="D2058" t="s">
        <v>620</v>
      </c>
      <c r="E2058" t="s">
        <v>54</v>
      </c>
      <c r="F2058" t="s">
        <v>4097</v>
      </c>
      <c r="G2058" t="str">
        <f>"201304005898"</f>
        <v>201304005898</v>
      </c>
      <c r="H2058" t="s">
        <v>1104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70</v>
      </c>
      <c r="O2058">
        <v>30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Z2058">
        <v>0</v>
      </c>
      <c r="AA2058" t="s">
        <v>4098</v>
      </c>
    </row>
    <row r="2059" spans="1:27" x14ac:dyDescent="0.25">
      <c r="H2059" t="s">
        <v>1925</v>
      </c>
    </row>
    <row r="2060" spans="1:27" x14ac:dyDescent="0.25">
      <c r="A2060">
        <v>1027</v>
      </c>
      <c r="B2060">
        <v>3047</v>
      </c>
      <c r="C2060" t="s">
        <v>3869</v>
      </c>
      <c r="D2060" t="s">
        <v>410</v>
      </c>
      <c r="E2060" t="s">
        <v>121</v>
      </c>
      <c r="F2060" t="s">
        <v>3870</v>
      </c>
      <c r="G2060" t="str">
        <f>"201512004308"</f>
        <v>201512004308</v>
      </c>
      <c r="H2060" t="s">
        <v>1397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70</v>
      </c>
      <c r="O2060">
        <v>70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Z2060">
        <v>0</v>
      </c>
      <c r="AA2060" t="s">
        <v>4099</v>
      </c>
    </row>
    <row r="2061" spans="1:27" x14ac:dyDescent="0.25">
      <c r="H2061" t="s">
        <v>3872</v>
      </c>
    </row>
    <row r="2062" spans="1:27" x14ac:dyDescent="0.25">
      <c r="A2062">
        <v>1028</v>
      </c>
      <c r="B2062">
        <v>580</v>
      </c>
      <c r="C2062" t="s">
        <v>4100</v>
      </c>
      <c r="D2062" t="s">
        <v>634</v>
      </c>
      <c r="E2062" t="s">
        <v>121</v>
      </c>
      <c r="F2062" t="s">
        <v>4101</v>
      </c>
      <c r="G2062" t="str">
        <f>"201405002260"</f>
        <v>201405002260</v>
      </c>
      <c r="H2062" t="s">
        <v>49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50</v>
      </c>
      <c r="O2062">
        <v>30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0</v>
      </c>
      <c r="W2062">
        <v>0</v>
      </c>
      <c r="Z2062">
        <v>2</v>
      </c>
      <c r="AA2062" t="s">
        <v>4102</v>
      </c>
    </row>
    <row r="2063" spans="1:27" x14ac:dyDescent="0.25">
      <c r="H2063">
        <v>203</v>
      </c>
    </row>
    <row r="2064" spans="1:27" x14ac:dyDescent="0.25">
      <c r="A2064">
        <v>1029</v>
      </c>
      <c r="B2064">
        <v>2839</v>
      </c>
      <c r="C2064" t="s">
        <v>4103</v>
      </c>
      <c r="D2064" t="s">
        <v>210</v>
      </c>
      <c r="E2064" t="s">
        <v>47</v>
      </c>
      <c r="F2064" t="s">
        <v>4104</v>
      </c>
      <c r="G2064" t="str">
        <f>"00013323"</f>
        <v>00013323</v>
      </c>
      <c r="H2064" t="s">
        <v>1620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70</v>
      </c>
      <c r="O2064">
        <v>0</v>
      </c>
      <c r="P2064">
        <v>50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W2064">
        <v>0</v>
      </c>
      <c r="Z2064">
        <v>0</v>
      </c>
      <c r="AA2064" t="s">
        <v>4105</v>
      </c>
    </row>
    <row r="2065" spans="1:27" x14ac:dyDescent="0.25">
      <c r="H2065" t="s">
        <v>147</v>
      </c>
    </row>
    <row r="2066" spans="1:27" x14ac:dyDescent="0.25">
      <c r="A2066">
        <v>1030</v>
      </c>
      <c r="B2066">
        <v>1946</v>
      </c>
      <c r="C2066" t="s">
        <v>4106</v>
      </c>
      <c r="D2066" t="s">
        <v>3903</v>
      </c>
      <c r="E2066" t="s">
        <v>47</v>
      </c>
      <c r="F2066" t="s">
        <v>4107</v>
      </c>
      <c r="G2066" t="str">
        <f>"201304003417"</f>
        <v>201304003417</v>
      </c>
      <c r="H2066">
        <v>737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70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W2066">
        <v>0</v>
      </c>
      <c r="Z2066">
        <v>0</v>
      </c>
      <c r="AA2066">
        <v>807</v>
      </c>
    </row>
    <row r="2067" spans="1:27" x14ac:dyDescent="0.25">
      <c r="H2067" t="s">
        <v>564</v>
      </c>
    </row>
    <row r="2068" spans="1:27" x14ac:dyDescent="0.25">
      <c r="A2068">
        <v>1031</v>
      </c>
      <c r="B2068">
        <v>802</v>
      </c>
      <c r="C2068" t="s">
        <v>4108</v>
      </c>
      <c r="D2068" t="s">
        <v>2481</v>
      </c>
      <c r="E2068" t="s">
        <v>81</v>
      </c>
      <c r="F2068" t="s">
        <v>4109</v>
      </c>
      <c r="G2068" t="str">
        <f>"00012478"</f>
        <v>00012478</v>
      </c>
      <c r="H2068">
        <v>737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70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0</v>
      </c>
      <c r="W2068">
        <v>0</v>
      </c>
      <c r="Z2068">
        <v>1</v>
      </c>
      <c r="AA2068">
        <v>807</v>
      </c>
    </row>
    <row r="2069" spans="1:27" x14ac:dyDescent="0.25">
      <c r="H2069">
        <v>211</v>
      </c>
    </row>
    <row r="2070" spans="1:27" x14ac:dyDescent="0.25">
      <c r="A2070">
        <v>1032</v>
      </c>
      <c r="B2070">
        <v>2382</v>
      </c>
      <c r="C2070" t="s">
        <v>4110</v>
      </c>
      <c r="D2070" t="s">
        <v>4111</v>
      </c>
      <c r="E2070" t="s">
        <v>155</v>
      </c>
      <c r="F2070" t="s">
        <v>4112</v>
      </c>
      <c r="G2070" t="str">
        <f>"201406007441"</f>
        <v>201406007441</v>
      </c>
      <c r="H2070" t="s">
        <v>1155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70</v>
      </c>
      <c r="O2070">
        <v>0</v>
      </c>
      <c r="P2070">
        <v>0</v>
      </c>
      <c r="Q2070">
        <v>0</v>
      </c>
      <c r="R2070">
        <v>50</v>
      </c>
      <c r="S2070">
        <v>0</v>
      </c>
      <c r="T2070">
        <v>0</v>
      </c>
      <c r="U2070">
        <v>0</v>
      </c>
      <c r="V2070">
        <v>0</v>
      </c>
      <c r="W2070">
        <v>0</v>
      </c>
      <c r="Z2070">
        <v>0</v>
      </c>
      <c r="AA2070" t="s">
        <v>4113</v>
      </c>
    </row>
    <row r="2071" spans="1:27" x14ac:dyDescent="0.25">
      <c r="H2071" t="s">
        <v>4114</v>
      </c>
    </row>
    <row r="2072" spans="1:27" x14ac:dyDescent="0.25">
      <c r="A2072">
        <v>1033</v>
      </c>
      <c r="B2072">
        <v>1562</v>
      </c>
      <c r="C2072" t="s">
        <v>4115</v>
      </c>
      <c r="D2072" t="s">
        <v>892</v>
      </c>
      <c r="E2072" t="s">
        <v>4116</v>
      </c>
      <c r="F2072" t="s">
        <v>4117</v>
      </c>
      <c r="G2072" t="str">
        <f>"201405001188"</f>
        <v>201405001188</v>
      </c>
      <c r="H2072">
        <v>704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30</v>
      </c>
      <c r="R2072">
        <v>0</v>
      </c>
      <c r="S2072">
        <v>0</v>
      </c>
      <c r="T2072">
        <v>70</v>
      </c>
      <c r="U2072">
        <v>0</v>
      </c>
      <c r="V2072">
        <v>0</v>
      </c>
      <c r="W2072">
        <v>0</v>
      </c>
      <c r="Z2072">
        <v>0</v>
      </c>
      <c r="AA2072">
        <v>804</v>
      </c>
    </row>
    <row r="2073" spans="1:27" x14ac:dyDescent="0.25">
      <c r="H2073" t="s">
        <v>4118</v>
      </c>
    </row>
    <row r="2074" spans="1:27" x14ac:dyDescent="0.25">
      <c r="A2074">
        <v>1034</v>
      </c>
      <c r="B2074">
        <v>3335</v>
      </c>
      <c r="C2074" t="s">
        <v>4119</v>
      </c>
      <c r="D2074" t="s">
        <v>532</v>
      </c>
      <c r="E2074" t="s">
        <v>2538</v>
      </c>
      <c r="F2074" t="s">
        <v>4120</v>
      </c>
      <c r="G2074" t="str">
        <f>"201406002586"</f>
        <v>201406002586</v>
      </c>
      <c r="H2074" t="s">
        <v>1478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70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Z2074">
        <v>1</v>
      </c>
      <c r="AA2074" t="s">
        <v>4121</v>
      </c>
    </row>
    <row r="2075" spans="1:27" x14ac:dyDescent="0.25">
      <c r="H2075">
        <v>203</v>
      </c>
    </row>
    <row r="2076" spans="1:27" x14ac:dyDescent="0.25">
      <c r="A2076">
        <v>1035</v>
      </c>
      <c r="B2076">
        <v>1024</v>
      </c>
      <c r="C2076" t="s">
        <v>2033</v>
      </c>
      <c r="D2076" t="s">
        <v>323</v>
      </c>
      <c r="E2076" t="s">
        <v>47</v>
      </c>
      <c r="F2076" t="s">
        <v>4122</v>
      </c>
      <c r="G2076" t="str">
        <f>"201406008973"</f>
        <v>201406008973</v>
      </c>
      <c r="H2076" t="s">
        <v>4123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30</v>
      </c>
      <c r="O2076">
        <v>30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19</v>
      </c>
      <c r="W2076">
        <v>133</v>
      </c>
      <c r="Z2076">
        <v>0</v>
      </c>
      <c r="AA2076" t="s">
        <v>4124</v>
      </c>
    </row>
    <row r="2077" spans="1:27" x14ac:dyDescent="0.25">
      <c r="H2077" t="s">
        <v>4125</v>
      </c>
    </row>
    <row r="2078" spans="1:27" x14ac:dyDescent="0.25">
      <c r="A2078">
        <v>1036</v>
      </c>
      <c r="B2078">
        <v>2016</v>
      </c>
      <c r="C2078" t="s">
        <v>4126</v>
      </c>
      <c r="D2078" t="s">
        <v>2529</v>
      </c>
      <c r="E2078" t="s">
        <v>80</v>
      </c>
      <c r="F2078" t="s">
        <v>4127</v>
      </c>
      <c r="G2078" t="str">
        <f>"201304004450"</f>
        <v>201304004450</v>
      </c>
      <c r="H2078" t="s">
        <v>1005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70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W2078">
        <v>0</v>
      </c>
      <c r="Z2078">
        <v>0</v>
      </c>
      <c r="AA2078" t="s">
        <v>4128</v>
      </c>
    </row>
    <row r="2079" spans="1:27" x14ac:dyDescent="0.25">
      <c r="H2079" t="s">
        <v>3076</v>
      </c>
    </row>
    <row r="2080" spans="1:27" x14ac:dyDescent="0.25">
      <c r="A2080">
        <v>1037</v>
      </c>
      <c r="B2080">
        <v>1833</v>
      </c>
      <c r="C2080" t="s">
        <v>4129</v>
      </c>
      <c r="D2080" t="s">
        <v>87</v>
      </c>
      <c r="E2080" t="s">
        <v>41</v>
      </c>
      <c r="F2080" t="s">
        <v>4130</v>
      </c>
      <c r="G2080" t="str">
        <f>"200901000453"</f>
        <v>200901000453</v>
      </c>
      <c r="H2080" t="s">
        <v>1261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70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0</v>
      </c>
      <c r="W2080">
        <v>0</v>
      </c>
      <c r="Z2080">
        <v>0</v>
      </c>
      <c r="AA2080" t="s">
        <v>4131</v>
      </c>
    </row>
    <row r="2081" spans="1:27" x14ac:dyDescent="0.25">
      <c r="H2081" t="s">
        <v>3427</v>
      </c>
    </row>
    <row r="2082" spans="1:27" x14ac:dyDescent="0.25">
      <c r="A2082">
        <v>1038</v>
      </c>
      <c r="B2082">
        <v>2450</v>
      </c>
      <c r="C2082" t="s">
        <v>4132</v>
      </c>
      <c r="D2082" t="s">
        <v>47</v>
      </c>
      <c r="E2082" t="s">
        <v>155</v>
      </c>
      <c r="F2082" t="s">
        <v>4133</v>
      </c>
      <c r="G2082" t="str">
        <f>"00014180"</f>
        <v>00014180</v>
      </c>
      <c r="H2082" t="s">
        <v>1261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70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0</v>
      </c>
      <c r="W2082">
        <v>0</v>
      </c>
      <c r="Z2082">
        <v>0</v>
      </c>
      <c r="AA2082" t="s">
        <v>4131</v>
      </c>
    </row>
    <row r="2083" spans="1:27" x14ac:dyDescent="0.25">
      <c r="H2083" t="s">
        <v>1925</v>
      </c>
    </row>
    <row r="2084" spans="1:27" x14ac:dyDescent="0.25">
      <c r="A2084">
        <v>1039</v>
      </c>
      <c r="B2084">
        <v>791</v>
      </c>
      <c r="C2084" t="s">
        <v>4134</v>
      </c>
      <c r="D2084" t="s">
        <v>136</v>
      </c>
      <c r="E2084" t="s">
        <v>121</v>
      </c>
      <c r="F2084" t="s">
        <v>4135</v>
      </c>
      <c r="G2084" t="str">
        <f>"00014497"</f>
        <v>00014497</v>
      </c>
      <c r="H2084" t="s">
        <v>1270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70</v>
      </c>
      <c r="O2084">
        <v>50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W2084">
        <v>0</v>
      </c>
      <c r="Z2084">
        <v>1</v>
      </c>
      <c r="AA2084" t="s">
        <v>4136</v>
      </c>
    </row>
    <row r="2085" spans="1:27" x14ac:dyDescent="0.25">
      <c r="H2085" t="s">
        <v>4137</v>
      </c>
    </row>
    <row r="2086" spans="1:27" x14ac:dyDescent="0.25">
      <c r="A2086">
        <v>1040</v>
      </c>
      <c r="B2086">
        <v>2279</v>
      </c>
      <c r="C2086" t="s">
        <v>4138</v>
      </c>
      <c r="D2086" t="s">
        <v>4139</v>
      </c>
      <c r="E2086" t="s">
        <v>47</v>
      </c>
      <c r="F2086" t="s">
        <v>4140</v>
      </c>
      <c r="G2086" t="str">
        <f>"00014336"</f>
        <v>00014336</v>
      </c>
      <c r="H2086" t="s">
        <v>1160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70</v>
      </c>
      <c r="O2086">
        <v>30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Z2086">
        <v>0</v>
      </c>
      <c r="AA2086" t="s">
        <v>4141</v>
      </c>
    </row>
    <row r="2087" spans="1:27" x14ac:dyDescent="0.25">
      <c r="H2087" t="s">
        <v>3445</v>
      </c>
    </row>
    <row r="2088" spans="1:27" x14ac:dyDescent="0.25">
      <c r="A2088">
        <v>1041</v>
      </c>
      <c r="B2088">
        <v>2127</v>
      </c>
      <c r="C2088" t="s">
        <v>4142</v>
      </c>
      <c r="D2088" t="s">
        <v>40</v>
      </c>
      <c r="E2088" t="s">
        <v>100</v>
      </c>
      <c r="F2088" t="s">
        <v>4143</v>
      </c>
      <c r="G2088" t="str">
        <f>"00013892"</f>
        <v>00013892</v>
      </c>
      <c r="H2088" t="s">
        <v>626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70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W2088">
        <v>0</v>
      </c>
      <c r="Z2088">
        <v>0</v>
      </c>
      <c r="AA2088" t="s">
        <v>4144</v>
      </c>
    </row>
    <row r="2089" spans="1:27" x14ac:dyDescent="0.25">
      <c r="H2089" t="s">
        <v>4145</v>
      </c>
    </row>
    <row r="2090" spans="1:27" x14ac:dyDescent="0.25">
      <c r="A2090">
        <v>1042</v>
      </c>
      <c r="B2090">
        <v>3085</v>
      </c>
      <c r="C2090" t="s">
        <v>4146</v>
      </c>
      <c r="D2090" t="s">
        <v>112</v>
      </c>
      <c r="E2090" t="s">
        <v>607</v>
      </c>
      <c r="F2090" t="s">
        <v>4147</v>
      </c>
      <c r="G2090" t="str">
        <f>"00013825"</f>
        <v>00013825</v>
      </c>
      <c r="H2090" t="s">
        <v>2457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70</v>
      </c>
      <c r="O2090">
        <v>0</v>
      </c>
      <c r="P2090">
        <v>30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W2090">
        <v>0</v>
      </c>
      <c r="Z2090">
        <v>0</v>
      </c>
      <c r="AA2090" t="s">
        <v>4148</v>
      </c>
    </row>
    <row r="2091" spans="1:27" x14ac:dyDescent="0.25">
      <c r="H2091" t="s">
        <v>1417</v>
      </c>
    </row>
    <row r="2092" spans="1:27" x14ac:dyDescent="0.25">
      <c r="A2092">
        <v>1043</v>
      </c>
      <c r="B2092">
        <v>339</v>
      </c>
      <c r="C2092" t="s">
        <v>4149</v>
      </c>
      <c r="D2092" t="s">
        <v>20</v>
      </c>
      <c r="E2092" t="s">
        <v>155</v>
      </c>
      <c r="F2092" t="s">
        <v>4150</v>
      </c>
      <c r="G2092" t="str">
        <f>"00014971"</f>
        <v>00014971</v>
      </c>
      <c r="H2092" t="s">
        <v>1698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70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Z2092">
        <v>0</v>
      </c>
      <c r="AA2092" t="s">
        <v>4151</v>
      </c>
    </row>
    <row r="2093" spans="1:27" x14ac:dyDescent="0.25">
      <c r="H2093" t="s">
        <v>4152</v>
      </c>
    </row>
    <row r="2094" spans="1:27" x14ac:dyDescent="0.25">
      <c r="A2094">
        <v>1044</v>
      </c>
      <c r="B2094">
        <v>1690</v>
      </c>
      <c r="C2094" t="s">
        <v>4153</v>
      </c>
      <c r="D2094" t="s">
        <v>143</v>
      </c>
      <c r="E2094" t="s">
        <v>4154</v>
      </c>
      <c r="F2094" t="s">
        <v>4155</v>
      </c>
      <c r="G2094" t="str">
        <f>"201411003171"</f>
        <v>201411003171</v>
      </c>
      <c r="H2094">
        <v>649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70</v>
      </c>
      <c r="O2094">
        <v>70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Z2094">
        <v>0</v>
      </c>
      <c r="AA2094">
        <v>789</v>
      </c>
    </row>
    <row r="2095" spans="1:27" x14ac:dyDescent="0.25">
      <c r="H2095" t="s">
        <v>4156</v>
      </c>
    </row>
    <row r="2096" spans="1:27" x14ac:dyDescent="0.25">
      <c r="A2096">
        <v>1045</v>
      </c>
      <c r="B2096">
        <v>1468</v>
      </c>
      <c r="C2096" t="s">
        <v>4157</v>
      </c>
      <c r="D2096" t="s">
        <v>41</v>
      </c>
      <c r="E2096" t="s">
        <v>94</v>
      </c>
      <c r="F2096" t="s">
        <v>4158</v>
      </c>
      <c r="G2096" t="str">
        <f>"00013040"</f>
        <v>00013040</v>
      </c>
      <c r="H2096" t="s">
        <v>1104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70</v>
      </c>
      <c r="R2096">
        <v>0</v>
      </c>
      <c r="S2096">
        <v>0</v>
      </c>
      <c r="T2096">
        <v>0</v>
      </c>
      <c r="U2096">
        <v>0</v>
      </c>
      <c r="V2096">
        <v>0</v>
      </c>
      <c r="W2096">
        <v>0</v>
      </c>
      <c r="Z2096">
        <v>0</v>
      </c>
      <c r="AA2096" t="s">
        <v>4159</v>
      </c>
    </row>
    <row r="2097" spans="1:27" x14ac:dyDescent="0.25">
      <c r="H2097" t="s">
        <v>4160</v>
      </c>
    </row>
    <row r="2098" spans="1:27" x14ac:dyDescent="0.25">
      <c r="A2098">
        <v>1046</v>
      </c>
      <c r="B2098">
        <v>3275</v>
      </c>
      <c r="C2098" t="s">
        <v>4161</v>
      </c>
      <c r="D2098" t="s">
        <v>40</v>
      </c>
      <c r="E2098" t="s">
        <v>1439</v>
      </c>
      <c r="F2098" t="s">
        <v>4162</v>
      </c>
      <c r="G2098" t="str">
        <f>"201512003109"</f>
        <v>201512003109</v>
      </c>
      <c r="H2098" t="s">
        <v>947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70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Z2098">
        <v>0</v>
      </c>
      <c r="AA2098" t="s">
        <v>4163</v>
      </c>
    </row>
    <row r="2099" spans="1:27" x14ac:dyDescent="0.25">
      <c r="H2099" t="s">
        <v>4164</v>
      </c>
    </row>
    <row r="2100" spans="1:27" x14ac:dyDescent="0.25">
      <c r="A2100">
        <v>1047</v>
      </c>
      <c r="B2100">
        <v>1734</v>
      </c>
      <c r="C2100" t="s">
        <v>4165</v>
      </c>
      <c r="D2100" t="s">
        <v>165</v>
      </c>
      <c r="E2100" t="s">
        <v>586</v>
      </c>
      <c r="F2100" t="s">
        <v>4166</v>
      </c>
      <c r="G2100" t="str">
        <f>"200802005530"</f>
        <v>200802005530</v>
      </c>
      <c r="H2100">
        <v>737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50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0</v>
      </c>
      <c r="Z2100">
        <v>0</v>
      </c>
      <c r="AA2100">
        <v>787</v>
      </c>
    </row>
    <row r="2101" spans="1:27" x14ac:dyDescent="0.25">
      <c r="H2101" t="s">
        <v>4167</v>
      </c>
    </row>
    <row r="2102" spans="1:27" x14ac:dyDescent="0.25">
      <c r="A2102">
        <v>1048</v>
      </c>
      <c r="B2102">
        <v>2746</v>
      </c>
      <c r="C2102" t="s">
        <v>4168</v>
      </c>
      <c r="D2102" t="s">
        <v>87</v>
      </c>
      <c r="E2102" t="s">
        <v>2372</v>
      </c>
      <c r="F2102" t="s">
        <v>4169</v>
      </c>
      <c r="G2102" t="str">
        <f>"201406006782"</f>
        <v>201406006782</v>
      </c>
      <c r="H2102">
        <v>715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70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0</v>
      </c>
      <c r="W2102">
        <v>0</v>
      </c>
      <c r="Z2102">
        <v>0</v>
      </c>
      <c r="AA2102">
        <v>785</v>
      </c>
    </row>
    <row r="2103" spans="1:27" x14ac:dyDescent="0.25">
      <c r="H2103">
        <v>203</v>
      </c>
    </row>
    <row r="2104" spans="1:27" x14ac:dyDescent="0.25">
      <c r="A2104">
        <v>1049</v>
      </c>
      <c r="B2104">
        <v>2469</v>
      </c>
      <c r="C2104" t="s">
        <v>4170</v>
      </c>
      <c r="D2104" t="s">
        <v>40</v>
      </c>
      <c r="E2104" t="s">
        <v>4171</v>
      </c>
      <c r="F2104" t="s">
        <v>4172</v>
      </c>
      <c r="G2104" t="str">
        <f>"00011552"</f>
        <v>00011552</v>
      </c>
      <c r="H2104" t="s">
        <v>1410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30</v>
      </c>
      <c r="O2104">
        <v>50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W2104">
        <v>0</v>
      </c>
      <c r="Z2104">
        <v>0</v>
      </c>
      <c r="AA2104" t="s">
        <v>4173</v>
      </c>
    </row>
    <row r="2105" spans="1:27" x14ac:dyDescent="0.25">
      <c r="H2105" t="s">
        <v>2427</v>
      </c>
    </row>
    <row r="2106" spans="1:27" x14ac:dyDescent="0.25">
      <c r="A2106">
        <v>1050</v>
      </c>
      <c r="B2106">
        <v>1348</v>
      </c>
      <c r="C2106" t="s">
        <v>4174</v>
      </c>
      <c r="D2106" t="s">
        <v>4175</v>
      </c>
      <c r="E2106" t="s">
        <v>624</v>
      </c>
      <c r="F2106">
        <v>707558</v>
      </c>
      <c r="G2106" t="str">
        <f>"00015102"</f>
        <v>00015102</v>
      </c>
      <c r="H2106" t="s">
        <v>1906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21</v>
      </c>
      <c r="W2106">
        <v>147</v>
      </c>
      <c r="Z2106">
        <v>0</v>
      </c>
      <c r="AA2106" t="s">
        <v>4176</v>
      </c>
    </row>
    <row r="2107" spans="1:27" x14ac:dyDescent="0.25">
      <c r="H2107" t="s">
        <v>4177</v>
      </c>
    </row>
    <row r="2108" spans="1:27" x14ac:dyDescent="0.25">
      <c r="A2108">
        <v>1051</v>
      </c>
      <c r="B2108">
        <v>29</v>
      </c>
      <c r="C2108" t="s">
        <v>4178</v>
      </c>
      <c r="D2108" t="s">
        <v>243</v>
      </c>
      <c r="E2108" t="s">
        <v>155</v>
      </c>
      <c r="F2108" t="s">
        <v>4179</v>
      </c>
      <c r="G2108" t="str">
        <f>"00003571"</f>
        <v>00003571</v>
      </c>
      <c r="H2108" t="s">
        <v>716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50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W2108">
        <v>0</v>
      </c>
      <c r="Z2108">
        <v>1</v>
      </c>
      <c r="AA2108" t="s">
        <v>4180</v>
      </c>
    </row>
    <row r="2109" spans="1:27" x14ac:dyDescent="0.25">
      <c r="H2109" t="s">
        <v>4181</v>
      </c>
    </row>
    <row r="2110" spans="1:27" x14ac:dyDescent="0.25">
      <c r="A2110">
        <v>1052</v>
      </c>
      <c r="B2110">
        <v>3287</v>
      </c>
      <c r="C2110" t="s">
        <v>4182</v>
      </c>
      <c r="D2110" t="s">
        <v>20</v>
      </c>
      <c r="E2110" t="s">
        <v>80</v>
      </c>
      <c r="F2110" t="s">
        <v>4183</v>
      </c>
      <c r="G2110" t="str">
        <f>"00013798"</f>
        <v>00013798</v>
      </c>
      <c r="H2110" t="s">
        <v>464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Z2110">
        <v>0</v>
      </c>
      <c r="AA2110" t="s">
        <v>464</v>
      </c>
    </row>
    <row r="2111" spans="1:27" x14ac:dyDescent="0.25">
      <c r="H2111" t="s">
        <v>4184</v>
      </c>
    </row>
    <row r="2112" spans="1:27" x14ac:dyDescent="0.25">
      <c r="A2112">
        <v>1053</v>
      </c>
      <c r="B2112">
        <v>2115</v>
      </c>
      <c r="C2112" t="s">
        <v>4185</v>
      </c>
      <c r="D2112" t="s">
        <v>4186</v>
      </c>
      <c r="E2112" t="s">
        <v>143</v>
      </c>
      <c r="F2112" t="s">
        <v>4187</v>
      </c>
      <c r="G2112" t="str">
        <f>"00014739"</f>
        <v>00014739</v>
      </c>
      <c r="H2112" t="s">
        <v>978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70</v>
      </c>
      <c r="R2112">
        <v>0</v>
      </c>
      <c r="S2112">
        <v>0</v>
      </c>
      <c r="T2112">
        <v>0</v>
      </c>
      <c r="U2112">
        <v>0</v>
      </c>
      <c r="V2112">
        <v>0</v>
      </c>
      <c r="W2112">
        <v>0</v>
      </c>
      <c r="Z2112">
        <v>0</v>
      </c>
      <c r="AA2112" t="s">
        <v>4188</v>
      </c>
    </row>
    <row r="2113" spans="1:27" x14ac:dyDescent="0.25">
      <c r="H2113" t="s">
        <v>4189</v>
      </c>
    </row>
    <row r="2114" spans="1:27" x14ac:dyDescent="0.25">
      <c r="A2114">
        <v>1054</v>
      </c>
      <c r="B2114">
        <v>51</v>
      </c>
      <c r="C2114" t="s">
        <v>4190</v>
      </c>
      <c r="D2114" t="s">
        <v>346</v>
      </c>
      <c r="E2114" t="s">
        <v>100</v>
      </c>
      <c r="F2114" t="s">
        <v>4191</v>
      </c>
      <c r="G2114" t="str">
        <f>"00013080"</f>
        <v>00013080</v>
      </c>
      <c r="H2114" t="s">
        <v>926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70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W2114">
        <v>0</v>
      </c>
      <c r="Z2114">
        <v>0</v>
      </c>
      <c r="AA2114" t="s">
        <v>4192</v>
      </c>
    </row>
    <row r="2115" spans="1:27" x14ac:dyDescent="0.25">
      <c r="H2115">
        <v>204</v>
      </c>
    </row>
    <row r="2116" spans="1:27" x14ac:dyDescent="0.25">
      <c r="A2116">
        <v>1055</v>
      </c>
      <c r="B2116">
        <v>779</v>
      </c>
      <c r="C2116" t="s">
        <v>4193</v>
      </c>
      <c r="D2116" t="s">
        <v>4194</v>
      </c>
      <c r="E2116" t="s">
        <v>4195</v>
      </c>
      <c r="F2116" t="s">
        <v>4196</v>
      </c>
      <c r="G2116" t="str">
        <f>"00015202"</f>
        <v>00015202</v>
      </c>
      <c r="H2116" t="s">
        <v>947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50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0</v>
      </c>
      <c r="W2116">
        <v>0</v>
      </c>
      <c r="Z2116">
        <v>0</v>
      </c>
      <c r="AA2116" t="s">
        <v>4197</v>
      </c>
    </row>
    <row r="2117" spans="1:27" x14ac:dyDescent="0.25">
      <c r="H2117" t="s">
        <v>1825</v>
      </c>
    </row>
    <row r="2118" spans="1:27" x14ac:dyDescent="0.25">
      <c r="A2118">
        <v>1056</v>
      </c>
      <c r="B2118">
        <v>3086</v>
      </c>
      <c r="C2118" t="s">
        <v>4198</v>
      </c>
      <c r="D2118" t="s">
        <v>176</v>
      </c>
      <c r="E2118" t="s">
        <v>100</v>
      </c>
      <c r="F2118" t="s">
        <v>4199</v>
      </c>
      <c r="G2118" t="str">
        <f>"00011855"</f>
        <v>00011855</v>
      </c>
      <c r="H2118" t="s">
        <v>1790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50</v>
      </c>
      <c r="O2118">
        <v>30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3</v>
      </c>
      <c r="W2118">
        <v>21</v>
      </c>
      <c r="Z2118">
        <v>0</v>
      </c>
      <c r="AA2118" t="s">
        <v>4200</v>
      </c>
    </row>
    <row r="2119" spans="1:27" x14ac:dyDescent="0.25">
      <c r="H2119" t="s">
        <v>1417</v>
      </c>
    </row>
    <row r="2120" spans="1:27" x14ac:dyDescent="0.25">
      <c r="A2120">
        <v>1057</v>
      </c>
      <c r="B2120">
        <v>2956</v>
      </c>
      <c r="C2120" t="s">
        <v>4201</v>
      </c>
      <c r="D2120" t="s">
        <v>4202</v>
      </c>
      <c r="E2120" t="s">
        <v>4203</v>
      </c>
      <c r="F2120" t="s">
        <v>4204</v>
      </c>
      <c r="G2120" t="str">
        <f>"00006182"</f>
        <v>00006182</v>
      </c>
      <c r="H2120" t="s">
        <v>1160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70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W2120">
        <v>0</v>
      </c>
      <c r="Z2120">
        <v>0</v>
      </c>
      <c r="AA2120" t="s">
        <v>4205</v>
      </c>
    </row>
    <row r="2121" spans="1:27" x14ac:dyDescent="0.25">
      <c r="H2121" t="s">
        <v>3445</v>
      </c>
    </row>
    <row r="2122" spans="1:27" x14ac:dyDescent="0.25">
      <c r="A2122">
        <v>1058</v>
      </c>
      <c r="B2122">
        <v>2750</v>
      </c>
      <c r="C2122" t="s">
        <v>4206</v>
      </c>
      <c r="D2122" t="s">
        <v>100</v>
      </c>
      <c r="E2122" t="s">
        <v>54</v>
      </c>
      <c r="F2122" t="s">
        <v>4207</v>
      </c>
      <c r="G2122" t="str">
        <f>"00012203"</f>
        <v>00012203</v>
      </c>
      <c r="H2122" t="s">
        <v>2778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70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0</v>
      </c>
      <c r="W2122">
        <v>0</v>
      </c>
      <c r="Z2122">
        <v>0</v>
      </c>
      <c r="AA2122" t="s">
        <v>4208</v>
      </c>
    </row>
    <row r="2123" spans="1:27" x14ac:dyDescent="0.25">
      <c r="H2123" t="s">
        <v>369</v>
      </c>
    </row>
    <row r="2124" spans="1:27" x14ac:dyDescent="0.25">
      <c r="A2124">
        <v>1059</v>
      </c>
      <c r="B2124">
        <v>2111</v>
      </c>
      <c r="C2124" t="s">
        <v>4209</v>
      </c>
      <c r="D2124" t="s">
        <v>818</v>
      </c>
      <c r="E2124" t="s">
        <v>143</v>
      </c>
      <c r="F2124" t="s">
        <v>4210</v>
      </c>
      <c r="G2124" t="str">
        <f>"201405001580"</f>
        <v>201405001580</v>
      </c>
      <c r="H2124" t="s">
        <v>4211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70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10</v>
      </c>
      <c r="W2124">
        <v>70</v>
      </c>
      <c r="Z2124">
        <v>0</v>
      </c>
      <c r="AA2124" t="s">
        <v>4212</v>
      </c>
    </row>
    <row r="2125" spans="1:27" x14ac:dyDescent="0.25">
      <c r="H2125" t="s">
        <v>2957</v>
      </c>
    </row>
    <row r="2126" spans="1:27" x14ac:dyDescent="0.25">
      <c r="A2126">
        <v>1060</v>
      </c>
      <c r="B2126">
        <v>910</v>
      </c>
      <c r="C2126" t="s">
        <v>4213</v>
      </c>
      <c r="D2126" t="s">
        <v>1268</v>
      </c>
      <c r="E2126" t="s">
        <v>143</v>
      </c>
      <c r="F2126" t="s">
        <v>4214</v>
      </c>
      <c r="G2126" t="str">
        <f>"201406002252"</f>
        <v>201406002252</v>
      </c>
      <c r="H2126" t="s">
        <v>1155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70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W2126">
        <v>0</v>
      </c>
      <c r="Z2126">
        <v>0</v>
      </c>
      <c r="AA2126" t="s">
        <v>4215</v>
      </c>
    </row>
    <row r="2127" spans="1:27" x14ac:dyDescent="0.25">
      <c r="H2127">
        <v>203</v>
      </c>
    </row>
    <row r="2128" spans="1:27" x14ac:dyDescent="0.25">
      <c r="A2128">
        <v>1061</v>
      </c>
      <c r="B2128">
        <v>224</v>
      </c>
      <c r="C2128" t="s">
        <v>4216</v>
      </c>
      <c r="D2128" t="s">
        <v>210</v>
      </c>
      <c r="E2128" t="s">
        <v>542</v>
      </c>
      <c r="F2128" t="s">
        <v>4217</v>
      </c>
      <c r="G2128" t="str">
        <f>"00015272"</f>
        <v>00015272</v>
      </c>
      <c r="H2128" t="s">
        <v>683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Z2128">
        <v>0</v>
      </c>
      <c r="AA2128" t="s">
        <v>683</v>
      </c>
    </row>
    <row r="2129" spans="1:27" x14ac:dyDescent="0.25">
      <c r="H2129" t="s">
        <v>98</v>
      </c>
    </row>
    <row r="2130" spans="1:27" x14ac:dyDescent="0.25">
      <c r="A2130">
        <v>1062</v>
      </c>
      <c r="B2130">
        <v>2186</v>
      </c>
      <c r="C2130" t="s">
        <v>4218</v>
      </c>
      <c r="D2130" t="s">
        <v>176</v>
      </c>
      <c r="E2130" t="s">
        <v>94</v>
      </c>
      <c r="F2130" t="s">
        <v>4219</v>
      </c>
      <c r="G2130" t="str">
        <f>"200801010628"</f>
        <v>200801010628</v>
      </c>
      <c r="H2130">
        <v>682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70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W2130">
        <v>0</v>
      </c>
      <c r="Z2130">
        <v>1</v>
      </c>
      <c r="AA2130">
        <v>752</v>
      </c>
    </row>
    <row r="2131" spans="1:27" x14ac:dyDescent="0.25">
      <c r="H2131" t="s">
        <v>4220</v>
      </c>
    </row>
    <row r="2132" spans="1:27" x14ac:dyDescent="0.25">
      <c r="A2132">
        <v>1063</v>
      </c>
      <c r="B2132">
        <v>1127</v>
      </c>
      <c r="C2132" t="s">
        <v>4221</v>
      </c>
      <c r="D2132" t="s">
        <v>216</v>
      </c>
      <c r="E2132" t="s">
        <v>54</v>
      </c>
      <c r="F2132" t="s">
        <v>4222</v>
      </c>
      <c r="G2132" t="str">
        <f>"00015186"</f>
        <v>00015186</v>
      </c>
      <c r="H2132">
        <v>682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70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0</v>
      </c>
      <c r="W2132">
        <v>0</v>
      </c>
      <c r="Z2132">
        <v>0</v>
      </c>
      <c r="AA2132">
        <v>752</v>
      </c>
    </row>
    <row r="2133" spans="1:27" x14ac:dyDescent="0.25">
      <c r="H2133" t="s">
        <v>4223</v>
      </c>
    </row>
    <row r="2134" spans="1:27" x14ac:dyDescent="0.25">
      <c r="A2134">
        <v>1064</v>
      </c>
      <c r="B2134">
        <v>1143</v>
      </c>
      <c r="C2134" t="s">
        <v>4224</v>
      </c>
      <c r="D2134" t="s">
        <v>4225</v>
      </c>
      <c r="E2134" t="s">
        <v>54</v>
      </c>
      <c r="F2134" t="s">
        <v>4226</v>
      </c>
      <c r="G2134" t="str">
        <f>"00011840"</f>
        <v>00011840</v>
      </c>
      <c r="H2134" t="s">
        <v>3716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70</v>
      </c>
      <c r="O2134">
        <v>50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0</v>
      </c>
      <c r="W2134">
        <v>0</v>
      </c>
      <c r="Z2134">
        <v>0</v>
      </c>
      <c r="AA2134" t="s">
        <v>4227</v>
      </c>
    </row>
    <row r="2135" spans="1:27" x14ac:dyDescent="0.25">
      <c r="H2135" t="s">
        <v>56</v>
      </c>
    </row>
    <row r="2136" spans="1:27" x14ac:dyDescent="0.25">
      <c r="A2136">
        <v>1065</v>
      </c>
      <c r="B2136">
        <v>1583</v>
      </c>
      <c r="C2136" t="s">
        <v>4228</v>
      </c>
      <c r="D2136" t="s">
        <v>4229</v>
      </c>
      <c r="E2136" t="s">
        <v>310</v>
      </c>
      <c r="F2136" t="s">
        <v>4230</v>
      </c>
      <c r="G2136" t="str">
        <f>"201412001965"</f>
        <v>201412001965</v>
      </c>
      <c r="H2136">
        <v>550</v>
      </c>
      <c r="I2136">
        <v>0</v>
      </c>
      <c r="J2136">
        <v>0</v>
      </c>
      <c r="K2136">
        <v>0</v>
      </c>
      <c r="L2136">
        <v>0</v>
      </c>
      <c r="M2136">
        <v>100</v>
      </c>
      <c r="N2136">
        <v>30</v>
      </c>
      <c r="O2136">
        <v>0</v>
      </c>
      <c r="P2136">
        <v>0</v>
      </c>
      <c r="Q2136">
        <v>70</v>
      </c>
      <c r="R2136">
        <v>0</v>
      </c>
      <c r="S2136">
        <v>0</v>
      </c>
      <c r="T2136">
        <v>0</v>
      </c>
      <c r="U2136">
        <v>0</v>
      </c>
      <c r="V2136">
        <v>0</v>
      </c>
      <c r="W2136">
        <v>0</v>
      </c>
      <c r="Z2136">
        <v>0</v>
      </c>
      <c r="AA2136">
        <v>750</v>
      </c>
    </row>
    <row r="2137" spans="1:27" x14ac:dyDescent="0.25">
      <c r="H2137">
        <v>203</v>
      </c>
    </row>
    <row r="2138" spans="1:27" x14ac:dyDescent="0.25">
      <c r="A2138">
        <v>1066</v>
      </c>
      <c r="B2138">
        <v>1008</v>
      </c>
      <c r="C2138" t="s">
        <v>4231</v>
      </c>
      <c r="D2138" t="s">
        <v>20</v>
      </c>
      <c r="E2138" t="s">
        <v>81</v>
      </c>
      <c r="F2138" t="s">
        <v>4232</v>
      </c>
      <c r="G2138" t="str">
        <f>"00015306"</f>
        <v>00015306</v>
      </c>
      <c r="H2138" t="s">
        <v>71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70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0</v>
      </c>
      <c r="W2138">
        <v>0</v>
      </c>
      <c r="Z2138">
        <v>2</v>
      </c>
      <c r="AA2138" t="s">
        <v>4233</v>
      </c>
    </row>
    <row r="2139" spans="1:27" x14ac:dyDescent="0.25">
      <c r="H2139" t="s">
        <v>3301</v>
      </c>
    </row>
    <row r="2140" spans="1:27" x14ac:dyDescent="0.25">
      <c r="A2140">
        <v>1067</v>
      </c>
      <c r="B2140">
        <v>366</v>
      </c>
      <c r="C2140" t="s">
        <v>4234</v>
      </c>
      <c r="D2140" t="s">
        <v>142</v>
      </c>
      <c r="E2140" t="s">
        <v>54</v>
      </c>
      <c r="F2140" t="s">
        <v>4235</v>
      </c>
      <c r="G2140" t="str">
        <f>"00010653"</f>
        <v>00010653</v>
      </c>
      <c r="H2140" t="s">
        <v>1219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30</v>
      </c>
      <c r="O2140">
        <v>0</v>
      </c>
      <c r="P2140">
        <v>0</v>
      </c>
      <c r="Q2140">
        <v>30</v>
      </c>
      <c r="R2140">
        <v>0</v>
      </c>
      <c r="S2140">
        <v>0</v>
      </c>
      <c r="T2140">
        <v>0</v>
      </c>
      <c r="U2140">
        <v>0</v>
      </c>
      <c r="V2140">
        <v>0</v>
      </c>
      <c r="W2140">
        <v>0</v>
      </c>
      <c r="Z2140">
        <v>0</v>
      </c>
      <c r="AA2140" t="s">
        <v>4236</v>
      </c>
    </row>
    <row r="2141" spans="1:27" x14ac:dyDescent="0.25">
      <c r="H2141" t="s">
        <v>4237</v>
      </c>
    </row>
    <row r="2142" spans="1:27" x14ac:dyDescent="0.25">
      <c r="A2142">
        <v>1068</v>
      </c>
      <c r="B2142">
        <v>2030</v>
      </c>
      <c r="C2142" t="s">
        <v>4238</v>
      </c>
      <c r="D2142" t="s">
        <v>80</v>
      </c>
      <c r="E2142" t="s">
        <v>143</v>
      </c>
      <c r="F2142" t="s">
        <v>4239</v>
      </c>
      <c r="G2142" t="str">
        <f>"00013264"</f>
        <v>00013264</v>
      </c>
      <c r="H2142">
        <v>715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30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W2142">
        <v>0</v>
      </c>
      <c r="Z2142">
        <v>0</v>
      </c>
      <c r="AA2142">
        <v>745</v>
      </c>
    </row>
    <row r="2143" spans="1:27" x14ac:dyDescent="0.25">
      <c r="H2143">
        <v>205</v>
      </c>
    </row>
    <row r="2144" spans="1:27" x14ac:dyDescent="0.25">
      <c r="A2144">
        <v>1069</v>
      </c>
      <c r="B2144">
        <v>227</v>
      </c>
      <c r="C2144" t="s">
        <v>2791</v>
      </c>
      <c r="D2144" t="s">
        <v>581</v>
      </c>
      <c r="E2144" t="s">
        <v>422</v>
      </c>
      <c r="F2144" t="s">
        <v>4240</v>
      </c>
      <c r="G2144" t="str">
        <f>"00012043"</f>
        <v>00012043</v>
      </c>
      <c r="H2144">
        <v>693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50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W2144">
        <v>0</v>
      </c>
      <c r="Z2144">
        <v>0</v>
      </c>
      <c r="AA2144">
        <v>743</v>
      </c>
    </row>
    <row r="2145" spans="1:27" x14ac:dyDescent="0.25">
      <c r="H2145" t="s">
        <v>369</v>
      </c>
    </row>
    <row r="2146" spans="1:27" x14ac:dyDescent="0.25">
      <c r="A2146">
        <v>1070</v>
      </c>
      <c r="B2146">
        <v>968</v>
      </c>
      <c r="C2146" t="s">
        <v>4241</v>
      </c>
      <c r="D2146" t="s">
        <v>100</v>
      </c>
      <c r="E2146" t="s">
        <v>80</v>
      </c>
      <c r="F2146" t="s">
        <v>4242</v>
      </c>
      <c r="G2146" t="str">
        <f>"00013930"</f>
        <v>00013930</v>
      </c>
      <c r="H2146">
        <v>693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50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W2146">
        <v>0</v>
      </c>
      <c r="Z2146">
        <v>0</v>
      </c>
      <c r="AA2146">
        <v>743</v>
      </c>
    </row>
    <row r="2147" spans="1:27" x14ac:dyDescent="0.25">
      <c r="H2147" t="s">
        <v>4243</v>
      </c>
    </row>
    <row r="2148" spans="1:27" x14ac:dyDescent="0.25">
      <c r="A2148">
        <v>1071</v>
      </c>
      <c r="B2148">
        <v>3278</v>
      </c>
      <c r="C2148" t="s">
        <v>4244</v>
      </c>
      <c r="D2148" t="s">
        <v>4245</v>
      </c>
      <c r="E2148" t="s">
        <v>41</v>
      </c>
      <c r="F2148" t="s">
        <v>4246</v>
      </c>
      <c r="G2148" t="str">
        <f>"201603000544"</f>
        <v>201603000544</v>
      </c>
      <c r="H2148" t="s">
        <v>2445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30</v>
      </c>
      <c r="O2148">
        <v>30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W2148">
        <v>0</v>
      </c>
      <c r="Z2148">
        <v>0</v>
      </c>
      <c r="AA2148" t="s">
        <v>4247</v>
      </c>
    </row>
    <row r="2149" spans="1:27" x14ac:dyDescent="0.25">
      <c r="H2149" t="s">
        <v>4248</v>
      </c>
    </row>
    <row r="2150" spans="1:27" x14ac:dyDescent="0.25">
      <c r="A2150">
        <v>1072</v>
      </c>
      <c r="B2150">
        <v>1314</v>
      </c>
      <c r="C2150" t="s">
        <v>4249</v>
      </c>
      <c r="D2150" t="s">
        <v>507</v>
      </c>
      <c r="E2150" t="s">
        <v>882</v>
      </c>
      <c r="F2150" t="s">
        <v>4250</v>
      </c>
      <c r="G2150" t="str">
        <f>"00012824"</f>
        <v>00012824</v>
      </c>
      <c r="H2150" t="s">
        <v>789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0</v>
      </c>
      <c r="W2150">
        <v>0</v>
      </c>
      <c r="Z2150">
        <v>0</v>
      </c>
      <c r="AA2150" t="s">
        <v>789</v>
      </c>
    </row>
    <row r="2151" spans="1:27" x14ac:dyDescent="0.25">
      <c r="H2151" t="s">
        <v>4251</v>
      </c>
    </row>
    <row r="2152" spans="1:27" x14ac:dyDescent="0.25">
      <c r="A2152">
        <v>1073</v>
      </c>
      <c r="B2152">
        <v>2555</v>
      </c>
      <c r="C2152" t="s">
        <v>4252</v>
      </c>
      <c r="D2152" t="s">
        <v>87</v>
      </c>
      <c r="E2152" t="s">
        <v>47</v>
      </c>
      <c r="F2152" t="s">
        <v>4253</v>
      </c>
      <c r="G2152" t="str">
        <f>"00014564"</f>
        <v>00014564</v>
      </c>
      <c r="H2152" t="s">
        <v>90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70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W2152">
        <v>0</v>
      </c>
      <c r="Z2152">
        <v>0</v>
      </c>
      <c r="AA2152" t="s">
        <v>4254</v>
      </c>
    </row>
    <row r="2153" spans="1:27" x14ac:dyDescent="0.25">
      <c r="H2153" t="s">
        <v>4255</v>
      </c>
    </row>
    <row r="2154" spans="1:27" x14ac:dyDescent="0.25">
      <c r="A2154">
        <v>1074</v>
      </c>
      <c r="B2154">
        <v>3083</v>
      </c>
      <c r="C2154" t="s">
        <v>4256</v>
      </c>
      <c r="D2154" t="s">
        <v>204</v>
      </c>
      <c r="E2154" t="s">
        <v>2503</v>
      </c>
      <c r="F2154" t="s">
        <v>4257</v>
      </c>
      <c r="G2154" t="str">
        <f>"201406005609"</f>
        <v>201406005609</v>
      </c>
      <c r="H2154">
        <v>638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30</v>
      </c>
      <c r="O2154">
        <v>50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0</v>
      </c>
      <c r="W2154">
        <v>0</v>
      </c>
      <c r="Z2154">
        <v>0</v>
      </c>
      <c r="AA2154">
        <v>718</v>
      </c>
    </row>
    <row r="2155" spans="1:27" x14ac:dyDescent="0.25">
      <c r="H2155" t="s">
        <v>4258</v>
      </c>
    </row>
    <row r="2156" spans="1:27" x14ac:dyDescent="0.25">
      <c r="A2156">
        <v>1075</v>
      </c>
      <c r="B2156">
        <v>1117</v>
      </c>
      <c r="C2156" t="s">
        <v>3885</v>
      </c>
      <c r="D2156" t="s">
        <v>40</v>
      </c>
      <c r="E2156" t="s">
        <v>1289</v>
      </c>
      <c r="F2156" t="s">
        <v>4259</v>
      </c>
      <c r="G2156" t="str">
        <f>"201506000777"</f>
        <v>201506000777</v>
      </c>
      <c r="H2156" t="s">
        <v>1620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30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0</v>
      </c>
      <c r="W2156">
        <v>0</v>
      </c>
      <c r="Z2156">
        <v>0</v>
      </c>
      <c r="AA2156" t="s">
        <v>4260</v>
      </c>
    </row>
    <row r="2157" spans="1:27" x14ac:dyDescent="0.25">
      <c r="H2157" t="s">
        <v>430</v>
      </c>
    </row>
    <row r="2158" spans="1:27" x14ac:dyDescent="0.25">
      <c r="A2158">
        <v>1076</v>
      </c>
      <c r="B2158">
        <v>141</v>
      </c>
      <c r="C2158" t="s">
        <v>3726</v>
      </c>
      <c r="D2158" t="s">
        <v>40</v>
      </c>
      <c r="E2158" t="s">
        <v>21</v>
      </c>
      <c r="F2158" t="s">
        <v>4261</v>
      </c>
      <c r="G2158" t="str">
        <f>"00007415"</f>
        <v>00007415</v>
      </c>
      <c r="H2158" t="s">
        <v>3212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30</v>
      </c>
      <c r="O2158">
        <v>30</v>
      </c>
      <c r="P2158">
        <v>30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0</v>
      </c>
      <c r="W2158">
        <v>0</v>
      </c>
      <c r="Z2158">
        <v>0</v>
      </c>
      <c r="AA2158" t="s">
        <v>4262</v>
      </c>
    </row>
    <row r="2159" spans="1:27" x14ac:dyDescent="0.25">
      <c r="H2159" t="s">
        <v>2382</v>
      </c>
    </row>
    <row r="2160" spans="1:27" x14ac:dyDescent="0.25">
      <c r="A2160">
        <v>1077</v>
      </c>
      <c r="B2160">
        <v>750</v>
      </c>
      <c r="C2160" t="s">
        <v>4263</v>
      </c>
      <c r="D2160" t="s">
        <v>216</v>
      </c>
      <c r="E2160" t="s">
        <v>88</v>
      </c>
      <c r="F2160" t="s">
        <v>4264</v>
      </c>
      <c r="G2160" t="str">
        <f>"201406015749"</f>
        <v>201406015749</v>
      </c>
      <c r="H2160" t="s">
        <v>1397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30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0</v>
      </c>
      <c r="W2160">
        <v>0</v>
      </c>
      <c r="Z2160">
        <v>0</v>
      </c>
      <c r="AA2160" t="s">
        <v>4265</v>
      </c>
    </row>
    <row r="2161" spans="1:27" x14ac:dyDescent="0.25">
      <c r="H2161">
        <v>210</v>
      </c>
    </row>
    <row r="2162" spans="1:27" x14ac:dyDescent="0.25">
      <c r="A2162">
        <v>1078</v>
      </c>
      <c r="B2162">
        <v>1270</v>
      </c>
      <c r="C2162" t="s">
        <v>4266</v>
      </c>
      <c r="D2162" t="s">
        <v>40</v>
      </c>
      <c r="E2162" t="s">
        <v>81</v>
      </c>
      <c r="F2162" t="s">
        <v>4267</v>
      </c>
      <c r="G2162" t="str">
        <f>"00015150"</f>
        <v>00015150</v>
      </c>
      <c r="H2162" t="s">
        <v>1397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30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0</v>
      </c>
      <c r="W2162">
        <v>0</v>
      </c>
      <c r="Z2162">
        <v>0</v>
      </c>
      <c r="AA2162" t="s">
        <v>4265</v>
      </c>
    </row>
    <row r="2163" spans="1:27" x14ac:dyDescent="0.25">
      <c r="H2163" t="s">
        <v>1825</v>
      </c>
    </row>
    <row r="2164" spans="1:27" x14ac:dyDescent="0.25">
      <c r="A2164">
        <v>1079</v>
      </c>
      <c r="B2164">
        <v>1321</v>
      </c>
      <c r="C2164" t="s">
        <v>1929</v>
      </c>
      <c r="D2164" t="s">
        <v>210</v>
      </c>
      <c r="E2164" t="s">
        <v>41</v>
      </c>
      <c r="F2164" t="s">
        <v>3025</v>
      </c>
      <c r="G2164" t="str">
        <f>"201406019287"</f>
        <v>201406019287</v>
      </c>
      <c r="H2164" t="s">
        <v>2104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0</v>
      </c>
      <c r="W2164">
        <v>0</v>
      </c>
      <c r="Z2164">
        <v>0</v>
      </c>
      <c r="AA2164" t="s">
        <v>2104</v>
      </c>
    </row>
    <row r="2165" spans="1:27" x14ac:dyDescent="0.25">
      <c r="H2165" t="s">
        <v>3027</v>
      </c>
    </row>
    <row r="2166" spans="1:27" x14ac:dyDescent="0.25">
      <c r="A2166">
        <v>1080</v>
      </c>
      <c r="B2166">
        <v>138</v>
      </c>
      <c r="C2166" t="s">
        <v>3521</v>
      </c>
      <c r="D2166" t="s">
        <v>136</v>
      </c>
      <c r="E2166" t="s">
        <v>47</v>
      </c>
      <c r="F2166" t="s">
        <v>4268</v>
      </c>
      <c r="G2166" t="str">
        <f>"00015303"</f>
        <v>00015303</v>
      </c>
      <c r="H2166">
        <v>671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30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0</v>
      </c>
      <c r="W2166">
        <v>0</v>
      </c>
      <c r="Z2166">
        <v>0</v>
      </c>
      <c r="AA2166">
        <v>701</v>
      </c>
    </row>
    <row r="2167" spans="1:27" x14ac:dyDescent="0.25">
      <c r="H2167" t="s">
        <v>3427</v>
      </c>
    </row>
    <row r="2168" spans="1:27" x14ac:dyDescent="0.25">
      <c r="A2168">
        <v>1081</v>
      </c>
      <c r="B2168">
        <v>2721</v>
      </c>
      <c r="C2168" t="s">
        <v>4269</v>
      </c>
      <c r="D2168" t="s">
        <v>1989</v>
      </c>
      <c r="E2168" t="s">
        <v>3341</v>
      </c>
      <c r="F2168" t="s">
        <v>4270</v>
      </c>
      <c r="G2168" t="str">
        <f>"00015122"</f>
        <v>00015122</v>
      </c>
      <c r="H2168" t="s">
        <v>3212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30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6</v>
      </c>
      <c r="W2168">
        <v>42</v>
      </c>
      <c r="Z2168">
        <v>1</v>
      </c>
      <c r="AA2168" t="s">
        <v>4271</v>
      </c>
    </row>
    <row r="2169" spans="1:27" x14ac:dyDescent="0.25">
      <c r="H2169" t="s">
        <v>4272</v>
      </c>
    </row>
    <row r="2170" spans="1:27" x14ac:dyDescent="0.25">
      <c r="A2170">
        <v>1082</v>
      </c>
      <c r="B2170">
        <v>1605</v>
      </c>
      <c r="C2170" t="s">
        <v>4273</v>
      </c>
      <c r="D2170" t="s">
        <v>309</v>
      </c>
      <c r="E2170" t="s">
        <v>121</v>
      </c>
      <c r="F2170" t="s">
        <v>4274</v>
      </c>
      <c r="G2170" t="str">
        <f>"00013071"</f>
        <v>00013071</v>
      </c>
      <c r="H2170" t="s">
        <v>2531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30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0</v>
      </c>
      <c r="W2170">
        <v>0</v>
      </c>
      <c r="Z2170">
        <v>0</v>
      </c>
      <c r="AA2170" t="s">
        <v>4275</v>
      </c>
    </row>
    <row r="2171" spans="1:27" x14ac:dyDescent="0.25">
      <c r="H2171" t="s">
        <v>4276</v>
      </c>
    </row>
    <row r="2172" spans="1:27" x14ac:dyDescent="0.25">
      <c r="A2172">
        <v>1083</v>
      </c>
      <c r="B2172">
        <v>608</v>
      </c>
      <c r="C2172" t="s">
        <v>4277</v>
      </c>
      <c r="D2172" t="s">
        <v>602</v>
      </c>
      <c r="E2172" t="s">
        <v>94</v>
      </c>
      <c r="F2172" t="s">
        <v>4278</v>
      </c>
      <c r="G2172" t="str">
        <f>"201406010573"</f>
        <v>201406010573</v>
      </c>
      <c r="H2172" t="s">
        <v>2457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0</v>
      </c>
      <c r="W2172">
        <v>0</v>
      </c>
      <c r="Z2172">
        <v>0</v>
      </c>
      <c r="AA2172" t="s">
        <v>2457</v>
      </c>
    </row>
    <row r="2173" spans="1:27" x14ac:dyDescent="0.25">
      <c r="H2173" t="s">
        <v>4279</v>
      </c>
    </row>
    <row r="2174" spans="1:27" x14ac:dyDescent="0.25">
      <c r="A2174">
        <v>1084</v>
      </c>
      <c r="B2174">
        <v>673</v>
      </c>
      <c r="C2174" t="s">
        <v>1349</v>
      </c>
      <c r="D2174" t="s">
        <v>20</v>
      </c>
      <c r="E2174" t="s">
        <v>100</v>
      </c>
      <c r="F2174" t="s">
        <v>4280</v>
      </c>
      <c r="G2174" t="str">
        <f>"00011136"</f>
        <v>00011136</v>
      </c>
      <c r="H2174" t="s">
        <v>4281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50</v>
      </c>
      <c r="O2174">
        <v>0</v>
      </c>
      <c r="P2174">
        <v>30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0</v>
      </c>
      <c r="W2174">
        <v>0</v>
      </c>
      <c r="Z2174">
        <v>1</v>
      </c>
      <c r="AA2174" t="s">
        <v>4282</v>
      </c>
    </row>
    <row r="2175" spans="1:27" x14ac:dyDescent="0.25">
      <c r="H2175" t="s">
        <v>1769</v>
      </c>
    </row>
    <row r="2176" spans="1:27" x14ac:dyDescent="0.25">
      <c r="A2176">
        <v>1085</v>
      </c>
      <c r="B2176">
        <v>716</v>
      </c>
      <c r="C2176" t="s">
        <v>4283</v>
      </c>
      <c r="D2176" t="s">
        <v>216</v>
      </c>
      <c r="E2176" t="s">
        <v>54</v>
      </c>
      <c r="F2176" t="s">
        <v>4284</v>
      </c>
      <c r="G2176" t="str">
        <f>"00015128"</f>
        <v>00015128</v>
      </c>
      <c r="H2176" t="s">
        <v>4285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70</v>
      </c>
      <c r="R2176">
        <v>0</v>
      </c>
      <c r="S2176">
        <v>0</v>
      </c>
      <c r="T2176">
        <v>0</v>
      </c>
      <c r="U2176">
        <v>0</v>
      </c>
      <c r="V2176">
        <v>0</v>
      </c>
      <c r="W2176">
        <v>0</v>
      </c>
      <c r="Z2176">
        <v>1</v>
      </c>
      <c r="AA2176" t="s">
        <v>4286</v>
      </c>
    </row>
    <row r="2177" spans="1:27" x14ac:dyDescent="0.25">
      <c r="H2177" t="s">
        <v>98</v>
      </c>
    </row>
    <row r="2178" spans="1:27" x14ac:dyDescent="0.25">
      <c r="A2178">
        <v>1086</v>
      </c>
      <c r="B2178">
        <v>249</v>
      </c>
      <c r="C2178" t="s">
        <v>4287</v>
      </c>
      <c r="D2178" t="s">
        <v>210</v>
      </c>
      <c r="E2178" t="s">
        <v>143</v>
      </c>
      <c r="F2178" t="s">
        <v>4288</v>
      </c>
      <c r="G2178" t="str">
        <f>"201411003590"</f>
        <v>201411003590</v>
      </c>
      <c r="H2178" t="s">
        <v>746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30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0</v>
      </c>
      <c r="W2178">
        <v>0</v>
      </c>
      <c r="Z2178">
        <v>0</v>
      </c>
      <c r="AA2178" t="s">
        <v>4289</v>
      </c>
    </row>
    <row r="2179" spans="1:27" x14ac:dyDescent="0.25">
      <c r="H2179">
        <v>203</v>
      </c>
    </row>
    <row r="2180" spans="1:27" x14ac:dyDescent="0.25">
      <c r="A2180">
        <v>1087</v>
      </c>
      <c r="B2180">
        <v>1715</v>
      </c>
      <c r="C2180" t="s">
        <v>4290</v>
      </c>
      <c r="D2180" t="s">
        <v>293</v>
      </c>
      <c r="E2180" t="s">
        <v>586</v>
      </c>
      <c r="F2180" t="s">
        <v>4291</v>
      </c>
      <c r="G2180" t="str">
        <f>"00013169"</f>
        <v>00013169</v>
      </c>
      <c r="H2180" t="s">
        <v>2060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0</v>
      </c>
      <c r="W2180">
        <v>0</v>
      </c>
      <c r="Z2180">
        <v>0</v>
      </c>
      <c r="AA2180" t="s">
        <v>2060</v>
      </c>
    </row>
    <row r="2181" spans="1:27" x14ac:dyDescent="0.25">
      <c r="H2181">
        <v>205</v>
      </c>
    </row>
    <row r="2182" spans="1:27" x14ac:dyDescent="0.25">
      <c r="A2182">
        <v>1088</v>
      </c>
      <c r="B2182">
        <v>2290</v>
      </c>
      <c r="C2182" t="s">
        <v>4292</v>
      </c>
      <c r="D2182" t="s">
        <v>143</v>
      </c>
      <c r="E2182" t="s">
        <v>81</v>
      </c>
      <c r="F2182" t="s">
        <v>4293</v>
      </c>
      <c r="G2182" t="str">
        <f>"201506002005"</f>
        <v>201506002005</v>
      </c>
      <c r="H2182" t="s">
        <v>3746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30</v>
      </c>
      <c r="O2182">
        <v>30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Z2182">
        <v>0</v>
      </c>
      <c r="AA2182" t="s">
        <v>4294</v>
      </c>
    </row>
    <row r="2183" spans="1:27" x14ac:dyDescent="0.25">
      <c r="H2183" t="s">
        <v>396</v>
      </c>
    </row>
    <row r="2184" spans="1:27" x14ac:dyDescent="0.25">
      <c r="A2184">
        <v>1089</v>
      </c>
      <c r="B2184">
        <v>489</v>
      </c>
      <c r="C2184" t="s">
        <v>4295</v>
      </c>
      <c r="D2184" t="s">
        <v>21</v>
      </c>
      <c r="E2184" t="s">
        <v>81</v>
      </c>
      <c r="F2184" t="s">
        <v>4296</v>
      </c>
      <c r="G2184" t="str">
        <f>"201506002765"</f>
        <v>201506002765</v>
      </c>
      <c r="H2184" t="s">
        <v>3716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50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0</v>
      </c>
      <c r="W2184">
        <v>0</v>
      </c>
      <c r="Z2184">
        <v>0</v>
      </c>
      <c r="AA2184" t="s">
        <v>4297</v>
      </c>
    </row>
    <row r="2185" spans="1:27" x14ac:dyDescent="0.25">
      <c r="H2185" t="s">
        <v>98</v>
      </c>
    </row>
    <row r="2186" spans="1:27" x14ac:dyDescent="0.25">
      <c r="A2186">
        <v>1090</v>
      </c>
      <c r="B2186">
        <v>2108</v>
      </c>
      <c r="C2186" t="s">
        <v>4298</v>
      </c>
      <c r="D2186" t="s">
        <v>2538</v>
      </c>
      <c r="E2186" t="s">
        <v>4299</v>
      </c>
      <c r="F2186" t="s">
        <v>4300</v>
      </c>
      <c r="G2186" t="str">
        <f>"00014844"</f>
        <v>00014844</v>
      </c>
      <c r="H2186">
        <v>649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30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0</v>
      </c>
      <c r="W2186">
        <v>0</v>
      </c>
      <c r="Z2186">
        <v>0</v>
      </c>
      <c r="AA2186">
        <v>679</v>
      </c>
    </row>
    <row r="2187" spans="1:27" x14ac:dyDescent="0.25">
      <c r="H2187">
        <v>207</v>
      </c>
    </row>
    <row r="2188" spans="1:27" x14ac:dyDescent="0.25">
      <c r="A2188">
        <v>1091</v>
      </c>
      <c r="B2188">
        <v>2155</v>
      </c>
      <c r="C2188" t="s">
        <v>4301</v>
      </c>
      <c r="D2188" t="s">
        <v>4302</v>
      </c>
      <c r="E2188" t="s">
        <v>47</v>
      </c>
      <c r="F2188" t="s">
        <v>4303</v>
      </c>
      <c r="G2188" t="str">
        <f>"00012231"</f>
        <v>00012231</v>
      </c>
      <c r="H2188" t="s">
        <v>4304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30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0</v>
      </c>
      <c r="W2188">
        <v>0</v>
      </c>
      <c r="Z2188">
        <v>0</v>
      </c>
      <c r="AA2188" t="s">
        <v>4305</v>
      </c>
    </row>
    <row r="2189" spans="1:27" x14ac:dyDescent="0.25">
      <c r="H2189" t="s">
        <v>4306</v>
      </c>
    </row>
    <row r="2190" spans="1:27" x14ac:dyDescent="0.25">
      <c r="A2190">
        <v>1092</v>
      </c>
      <c r="B2190">
        <v>1939</v>
      </c>
      <c r="C2190" t="s">
        <v>4307</v>
      </c>
      <c r="D2190" t="s">
        <v>20</v>
      </c>
      <c r="E2190" t="s">
        <v>47</v>
      </c>
      <c r="F2190" t="s">
        <v>4308</v>
      </c>
      <c r="G2190" t="str">
        <f>"00013299"</f>
        <v>00013299</v>
      </c>
      <c r="H2190" t="s">
        <v>2836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0</v>
      </c>
      <c r="W2190">
        <v>0</v>
      </c>
      <c r="Z2190">
        <v>0</v>
      </c>
      <c r="AA2190" t="s">
        <v>2836</v>
      </c>
    </row>
    <row r="2191" spans="1:27" x14ac:dyDescent="0.25">
      <c r="H2191" t="s">
        <v>4309</v>
      </c>
    </row>
    <row r="2192" spans="1:27" x14ac:dyDescent="0.25">
      <c r="A2192">
        <v>1093</v>
      </c>
      <c r="B2192">
        <v>676</v>
      </c>
      <c r="C2192" t="s">
        <v>4310</v>
      </c>
      <c r="D2192" t="s">
        <v>142</v>
      </c>
      <c r="E2192" t="s">
        <v>143</v>
      </c>
      <c r="F2192" t="s">
        <v>4311</v>
      </c>
      <c r="G2192" t="str">
        <f>"200810000593"</f>
        <v>200810000593</v>
      </c>
      <c r="H2192" t="s">
        <v>2184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0</v>
      </c>
      <c r="W2192">
        <v>0</v>
      </c>
      <c r="Z2192">
        <v>0</v>
      </c>
      <c r="AA2192" t="s">
        <v>2184</v>
      </c>
    </row>
    <row r="2193" spans="1:27" x14ac:dyDescent="0.25">
      <c r="H2193" t="s">
        <v>4312</v>
      </c>
    </row>
    <row r="2194" spans="1:27" x14ac:dyDescent="0.25">
      <c r="A2194">
        <v>1094</v>
      </c>
      <c r="B2194">
        <v>568</v>
      </c>
      <c r="C2194" t="s">
        <v>4313</v>
      </c>
      <c r="D2194" t="s">
        <v>149</v>
      </c>
      <c r="E2194" t="s">
        <v>47</v>
      </c>
      <c r="F2194" t="s">
        <v>4314</v>
      </c>
      <c r="G2194" t="str">
        <f>"201506002523"</f>
        <v>201506002523</v>
      </c>
      <c r="H2194" t="s">
        <v>4034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0</v>
      </c>
      <c r="W2194">
        <v>0</v>
      </c>
      <c r="Z2194">
        <v>0</v>
      </c>
      <c r="AA2194" t="s">
        <v>4034</v>
      </c>
    </row>
    <row r="2195" spans="1:27" x14ac:dyDescent="0.25">
      <c r="H2195">
        <v>205</v>
      </c>
    </row>
    <row r="2196" spans="1:27" x14ac:dyDescent="0.25">
      <c r="A2196">
        <v>1095</v>
      </c>
      <c r="B2196">
        <v>1291</v>
      </c>
      <c r="C2196" t="s">
        <v>853</v>
      </c>
      <c r="D2196" t="s">
        <v>532</v>
      </c>
      <c r="E2196" t="s">
        <v>507</v>
      </c>
      <c r="F2196" t="s">
        <v>4315</v>
      </c>
      <c r="G2196" t="str">
        <f>"201406012761"</f>
        <v>201406012761</v>
      </c>
      <c r="H2196" t="s">
        <v>965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W2196">
        <v>0</v>
      </c>
      <c r="Z2196">
        <v>0</v>
      </c>
      <c r="AA2196" t="s">
        <v>965</v>
      </c>
    </row>
    <row r="2197" spans="1:27" x14ac:dyDescent="0.25">
      <c r="H2197" t="s">
        <v>4316</v>
      </c>
    </row>
    <row r="2198" spans="1:27" x14ac:dyDescent="0.25">
      <c r="A2198">
        <v>1096</v>
      </c>
      <c r="B2198">
        <v>245</v>
      </c>
      <c r="C2198" t="s">
        <v>4317</v>
      </c>
      <c r="D2198" t="s">
        <v>346</v>
      </c>
      <c r="E2198" t="s">
        <v>4318</v>
      </c>
      <c r="F2198" t="s">
        <v>4319</v>
      </c>
      <c r="G2198" t="str">
        <f>"00015280"</f>
        <v>00015280</v>
      </c>
      <c r="H2198">
        <v>550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70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0</v>
      </c>
      <c r="W2198">
        <v>0</v>
      </c>
      <c r="Z2198">
        <v>0</v>
      </c>
      <c r="AA2198">
        <v>620</v>
      </c>
    </row>
    <row r="2199" spans="1:27" x14ac:dyDescent="0.25">
      <c r="H2199" t="s">
        <v>773</v>
      </c>
    </row>
    <row r="2200" spans="1:27" x14ac:dyDescent="0.25">
      <c r="A2200">
        <v>1097</v>
      </c>
      <c r="B2200">
        <v>1760</v>
      </c>
      <c r="C2200" t="s">
        <v>4320</v>
      </c>
      <c r="D2200" t="s">
        <v>532</v>
      </c>
      <c r="E2200" t="s">
        <v>100</v>
      </c>
      <c r="F2200" t="s">
        <v>4321</v>
      </c>
      <c r="G2200" t="str">
        <f>"00004490"</f>
        <v>00004490</v>
      </c>
      <c r="H2200">
        <v>594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0</v>
      </c>
      <c r="W2200">
        <v>0</v>
      </c>
      <c r="Z2200">
        <v>0</v>
      </c>
      <c r="AA2200">
        <v>594</v>
      </c>
    </row>
    <row r="2201" spans="1:27" x14ac:dyDescent="0.25">
      <c r="H2201" t="s">
        <v>4322</v>
      </c>
    </row>
    <row r="2203" spans="1:27" x14ac:dyDescent="0.25">
      <c r="A2203" t="s">
        <v>4323</v>
      </c>
    </row>
    <row r="2204" spans="1:27" x14ac:dyDescent="0.25">
      <c r="A2204" t="s">
        <v>4324</v>
      </c>
    </row>
    <row r="2205" spans="1:27" x14ac:dyDescent="0.25">
      <c r="A2205" t="s">
        <v>4325</v>
      </c>
    </row>
    <row r="2206" spans="1:27" x14ac:dyDescent="0.25">
      <c r="A2206" t="s">
        <v>4326</v>
      </c>
    </row>
    <row r="2207" spans="1:27" x14ac:dyDescent="0.25">
      <c r="A2207" t="s">
        <v>4327</v>
      </c>
    </row>
    <row r="2208" spans="1:27" x14ac:dyDescent="0.25">
      <c r="A2208" t="s">
        <v>4328</v>
      </c>
    </row>
    <row r="2209" spans="1:1" x14ac:dyDescent="0.25">
      <c r="A2209" t="s">
        <v>4329</v>
      </c>
    </row>
    <row r="2210" spans="1:1" x14ac:dyDescent="0.25">
      <c r="A2210" t="s">
        <v>4330</v>
      </c>
    </row>
    <row r="2211" spans="1:1" x14ac:dyDescent="0.25">
      <c r="A2211" t="s">
        <v>4331</v>
      </c>
    </row>
    <row r="2212" spans="1:1" x14ac:dyDescent="0.25">
      <c r="A2212" t="s">
        <v>4332</v>
      </c>
    </row>
    <row r="2213" spans="1:1" x14ac:dyDescent="0.25">
      <c r="A2213" t="s">
        <v>4333</v>
      </c>
    </row>
    <row r="2214" spans="1:1" x14ac:dyDescent="0.25">
      <c r="A2214" t="s">
        <v>4334</v>
      </c>
    </row>
    <row r="2215" spans="1:1" x14ac:dyDescent="0.25">
      <c r="A2215" t="s">
        <v>4335</v>
      </c>
    </row>
    <row r="2216" spans="1:1" x14ac:dyDescent="0.25">
      <c r="A2216" t="s">
        <v>4336</v>
      </c>
    </row>
    <row r="2217" spans="1:1" x14ac:dyDescent="0.25">
      <c r="A2217" t="s">
        <v>4337</v>
      </c>
    </row>
    <row r="2218" spans="1:1" x14ac:dyDescent="0.25">
      <c r="A2218" t="s">
        <v>4338</v>
      </c>
    </row>
    <row r="2219" spans="1:1" x14ac:dyDescent="0.25">
      <c r="A2219" t="s">
        <v>4339</v>
      </c>
    </row>
    <row r="2220" spans="1:1" x14ac:dyDescent="0.25">
      <c r="A2220" t="s">
        <v>4340</v>
      </c>
    </row>
    <row r="2221" spans="1:1" x14ac:dyDescent="0.25">
      <c r="A2221" t="s">
        <v>4341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2017-07-11T10:08:02Z</dcterms:created>
  <dcterms:modified xsi:type="dcterms:W3CDTF">2017-07-11T10:08:09Z</dcterms:modified>
</cp:coreProperties>
</file>