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208" i="1" l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<sst xmlns="http://schemas.openxmlformats.org/spreadsheetml/2006/main" count="6550" uniqueCount="3928">
  <si>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</si>
  <si>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</si>
  <si>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</si>
  <si>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ΠΟΛΥΤΕΚΝΟΙ ΜΕ ΕΜΠΕΙΡΙΑ</t>
  </si>
  <si>
    <t>ΔΕ ΒΟΗΘΩΝ ΝΟΣΗΛΕΥΤΙΚΗΣ (ΘΕΣΕΙΣ 815-879) ΚΑΙ ΔΕ ΕΠΙΜΕΛΗΤΩΝ ΑΣΘΕΝΩΝ (ΘΕΣΗ 897)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</si>
  <si>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</si>
  <si>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</si>
  <si>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</si>
  <si>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</si>
  <si>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</si>
  <si>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</si>
  <si>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</si>
  <si>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</si>
  <si>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ΤΣΕΝΕΚΙΔΟΥ</t>
  </si>
  <si>
    <t>ΗΣΑΙΑ</t>
  </si>
  <si>
    <t>ΜΙΧΑΗΛ</t>
  </si>
  <si>
    <t>Ξ591531</t>
  </si>
  <si>
    <t>835-836-837-840-841-838-842-839</t>
  </si>
  <si>
    <t>ΚΙΟΥΡΤΣΗ</t>
  </si>
  <si>
    <t>ΚΩΝΣΤΑΝΤΙΑ</t>
  </si>
  <si>
    <t>ΙΩΑΝΝΗΣ</t>
  </si>
  <si>
    <t>Τ350344</t>
  </si>
  <si>
    <t>844-862-875-840</t>
  </si>
  <si>
    <t>ΛΑΜΠΡΙΝΗ</t>
  </si>
  <si>
    <t>ΛΙΑΣΚΟΥ</t>
  </si>
  <si>
    <t>ΞΕΝΟΦΩΝ</t>
  </si>
  <si>
    <t>Π963996</t>
  </si>
  <si>
    <t>846-851-862</t>
  </si>
  <si>
    <t>ΠΑΝΑΓΙΩΤΟΥ</t>
  </si>
  <si>
    <t>ΑΛΕΞΑΝΔΡΑ</t>
  </si>
  <si>
    <t>ΑΝΑΣΤΑΣΙΟΣ</t>
  </si>
  <si>
    <t>ΑΚ539474</t>
  </si>
  <si>
    <t>ΞΕΝΟΔΗΜΗΤΡΟΠΟΥΛΟΥ</t>
  </si>
  <si>
    <t>ΓΑΡΥΦ</t>
  </si>
  <si>
    <t>ΚΩΝ</t>
  </si>
  <si>
    <t>Ν450364</t>
  </si>
  <si>
    <t>ΚΩΝΣΤΑΝΤΙΝΙΔΗΣ</t>
  </si>
  <si>
    <t>ΓΕΩΡΓΙΟΣ</t>
  </si>
  <si>
    <t>ΘΕΜΗΣ</t>
  </si>
  <si>
    <t>ΑΚ446948</t>
  </si>
  <si>
    <t>1083,5</t>
  </si>
  <si>
    <t>1821,5</t>
  </si>
  <si>
    <t>841-840-838-837-836-842-869</t>
  </si>
  <si>
    <t>ΚΑΡΑΤΟΛΙΟΥ</t>
  </si>
  <si>
    <t>ΑΠΟΣΤΟΛΙΑ</t>
  </si>
  <si>
    <t>ΕΛΕΥΘΕΡΙΟΣ</t>
  </si>
  <si>
    <t>ΑΜ816411</t>
  </si>
  <si>
    <t>1072,5</t>
  </si>
  <si>
    <t>1810,5</t>
  </si>
  <si>
    <t>862-844</t>
  </si>
  <si>
    <t>ΤΡΙΑΝΤΑΦΥΛΛΟΠΟΥΛΟΥ</t>
  </si>
  <si>
    <t>ΕΛΕΝΗ</t>
  </si>
  <si>
    <t>ΘΩΜΑΣ</t>
  </si>
  <si>
    <t>Π881823</t>
  </si>
  <si>
    <t>840-837-842-836-835-841-838-862</t>
  </si>
  <si>
    <t>ΠΑΠΑΔΗΜΗΤΡΙΟΥ</t>
  </si>
  <si>
    <t>ΒΑΣΙΛΕΙΟΣ</t>
  </si>
  <si>
    <t>ΠΑΝΑΓΙΩΤΗΣ</t>
  </si>
  <si>
    <t>ΑΝ404259</t>
  </si>
  <si>
    <t>839-836-842-837-835-841-840</t>
  </si>
  <si>
    <t>ΜΟΥΡΑΤΙΔΟΥ</t>
  </si>
  <si>
    <t>ΔΕΣΠΟΙΝΑ</t>
  </si>
  <si>
    <t>ΘΕΟΔΩΡΟΣ</t>
  </si>
  <si>
    <t>ΑΗ792872</t>
  </si>
  <si>
    <t>841-840-836-837-838-842-839-835-843-876-877-862-868-869-815-816-817-818-819-821-822-823-824-825-826-827-828-829-830-833-844-845-846-847-848-849-850-852-854-855-856-857-858-859</t>
  </si>
  <si>
    <t>ΟΒΑΛΙΔΟΥ</t>
  </si>
  <si>
    <t>ΜΑΓΔΑΛΗΝΗ</t>
  </si>
  <si>
    <t>ΑΙ384396</t>
  </si>
  <si>
    <t>868-869-840-835-836-837-841-842</t>
  </si>
  <si>
    <t>ΜΑΛΛΙΩΤΑΚΗΣ</t>
  </si>
  <si>
    <t>ΕΥΣΤΡΑΤΙΟΣ</t>
  </si>
  <si>
    <t>ΕΜΜΑΝΟΥΗΛ</t>
  </si>
  <si>
    <t>ΑΙ456446</t>
  </si>
  <si>
    <t>842-836-837-840-839-835-841-838</t>
  </si>
  <si>
    <t>ΤΖΟΡΑ</t>
  </si>
  <si>
    <t>ΑΝΔΡΙΑΝΑ</t>
  </si>
  <si>
    <t>Χ807327</t>
  </si>
  <si>
    <t>818-816</t>
  </si>
  <si>
    <t>ΠΟΛΥΓΕΝΗ</t>
  </si>
  <si>
    <t>ΑΝΘΗ</t>
  </si>
  <si>
    <t>ΝΙΚΟΛΑΟΣ</t>
  </si>
  <si>
    <t>Χ413676</t>
  </si>
  <si>
    <t>862-844-835-836-837-838-839-840-841-842-875</t>
  </si>
  <si>
    <t>ΑΣΑΡΙΔΟΥ</t>
  </si>
  <si>
    <t>ΓΙΑΝΝΟΥΛΑ</t>
  </si>
  <si>
    <t>ΓΑΒΡΙΗΛ</t>
  </si>
  <si>
    <t>ΑΗ813947</t>
  </si>
  <si>
    <t>836-837-842-841-835-839-840-838</t>
  </si>
  <si>
    <t>ΠΑΤΡΑ</t>
  </si>
  <si>
    <t>ΣΤΑΥΡΟΥΛΑ</t>
  </si>
  <si>
    <t>ΕΥΡΙΠΙΔΗΣ</t>
  </si>
  <si>
    <t>Χ376695</t>
  </si>
  <si>
    <t>1054,9</t>
  </si>
  <si>
    <t>1722,9</t>
  </si>
  <si>
    <t>844-862</t>
  </si>
  <si>
    <t>ΚΟΥΤΡΗ</t>
  </si>
  <si>
    <t>ΣΟΦΙΑ</t>
  </si>
  <si>
    <t>ΑΠΟΣΤΟΛΟΣ</t>
  </si>
  <si>
    <t>ΑΗ343703</t>
  </si>
  <si>
    <t>951,5</t>
  </si>
  <si>
    <t>1719,5</t>
  </si>
  <si>
    <t>836-837-842-840</t>
  </si>
  <si>
    <t>ΠΑΠΠΑ</t>
  </si>
  <si>
    <t>ΑΝΝΑ</t>
  </si>
  <si>
    <t>ΑΘΑΝΑΣΙΟΣ</t>
  </si>
  <si>
    <t>Χ795760</t>
  </si>
  <si>
    <t>843-823-834</t>
  </si>
  <si>
    <t>ΣΑΚΚΑ</t>
  </si>
  <si>
    <t>ΣΤΥΛΙΑΝΗ</t>
  </si>
  <si>
    <t>ΠΑΥΛΟΣ</t>
  </si>
  <si>
    <t>Χ875166</t>
  </si>
  <si>
    <t>1062,6</t>
  </si>
  <si>
    <t>1709,6</t>
  </si>
  <si>
    <t>815-820-821-822-823-824-825-826-827-828-829-845-846-847-848-850-851-852-853-854-856-857-858-859-870-871-872</t>
  </si>
  <si>
    <t>ΣΥΜΕΩΝΙΔΟΥ</t>
  </si>
  <si>
    <t>ΖΩΗ</t>
  </si>
  <si>
    <t>ΣΥΜΕΩΝ</t>
  </si>
  <si>
    <t>ΑΙ711959</t>
  </si>
  <si>
    <t>960,3</t>
  </si>
  <si>
    <t>1698,3</t>
  </si>
  <si>
    <t>838-839-842-837-836-835-840-841</t>
  </si>
  <si>
    <t>ΣΙΕΡΡΑ</t>
  </si>
  <si>
    <t>ΕΥΑΓΓΕΛΙΑ</t>
  </si>
  <si>
    <t>ΑΙ495396</t>
  </si>
  <si>
    <t>976,8</t>
  </si>
  <si>
    <t>1693,8</t>
  </si>
  <si>
    <t>819-830-875-832-860-863-864-866-874-876-877-878-879-833-865-867-841-842-873-843-828-816</t>
  </si>
  <si>
    <t>ΚΟΥΤΣΙΑΝΑ</t>
  </si>
  <si>
    <t>ΠΑΝΑΓΙΩΤΑ</t>
  </si>
  <si>
    <t>ΦΩΤΙΟΣ</t>
  </si>
  <si>
    <t>ΑΒ432905</t>
  </si>
  <si>
    <t>1094,5</t>
  </si>
  <si>
    <t>1692,5</t>
  </si>
  <si>
    <t>844-862-875-819-837-836-840-841-823-816</t>
  </si>
  <si>
    <t>ΣΤΑΥΡΑΤΗ</t>
  </si>
  <si>
    <t>ΣΤΑΜΑΤΙΑ</t>
  </si>
  <si>
    <t>Τ335628</t>
  </si>
  <si>
    <t>834-843-841-839-840-835-837-838-823-829-859-858-857-856-822-821-853-848-852-849-851-855-817-816-818-819-820-861-862-863-824-825-827-830-846-844-845-875-876-877-833</t>
  </si>
  <si>
    <t>ΜΑΛΙΣΙΟΒΑΣ</t>
  </si>
  <si>
    <t>ΑΖ744604</t>
  </si>
  <si>
    <t>1682,5</t>
  </si>
  <si>
    <t>ΤΣΙΡΑΝΙΔΗΣ</t>
  </si>
  <si>
    <t>Χ848335</t>
  </si>
  <si>
    <t>995,5</t>
  </si>
  <si>
    <t>1670,5</t>
  </si>
  <si>
    <t>841-838-840-839-835-842</t>
  </si>
  <si>
    <t>ΠΟΛΙΤΙΔΗ</t>
  </si>
  <si>
    <t>ΒΛΑΔΙΜΗΡΟΣ</t>
  </si>
  <si>
    <t>ΑΖ559429</t>
  </si>
  <si>
    <t>1079,1</t>
  </si>
  <si>
    <t>1667,1</t>
  </si>
  <si>
    <t>828-826-858-859-852-850-847-857-846-822-848-821-871-870-872-854-856-829-815-823-820-825-827-845-849-851-855</t>
  </si>
  <si>
    <t>ΚΟΛΙΟΥ</t>
  </si>
  <si>
    <t>ΦΩΤΕΙΝΗ</t>
  </si>
  <si>
    <t>ΔΗΜΗΤΡΙΟΣ</t>
  </si>
  <si>
    <t>ΑΑ393939</t>
  </si>
  <si>
    <t>ΑΘΑΝΑΣΙΟΥ</t>
  </si>
  <si>
    <t>ΙΩΑΝΝΑ</t>
  </si>
  <si>
    <t>ΧΡΗΣΤΟΣ</t>
  </si>
  <si>
    <t>Χ478418</t>
  </si>
  <si>
    <t>828-858-859-850-854-822-821-847-846-848-853-852-856-826-872-871-862-875-843-829-815-816-817-818-861-830-841-842-838-836-835-837-839-840-857-870-876</t>
  </si>
  <si>
    <t>ΜΙΧΑΛΑ</t>
  </si>
  <si>
    <t>Χ308603</t>
  </si>
  <si>
    <t>917,4</t>
  </si>
  <si>
    <t>1655,4</t>
  </si>
  <si>
    <t>822-821-828-854-847-846-853-858-859-826-815-848-872-820-850-871-852-857-856-845-827-823-824-851-876-877-833</t>
  </si>
  <si>
    <t>ΡΑΠΤΟΥ</t>
  </si>
  <si>
    <t>ΚΩΣΤΟΥΛΑ</t>
  </si>
  <si>
    <t>ΦΙΛΙΠΠΟΣ</t>
  </si>
  <si>
    <t>ΑΕ059842</t>
  </si>
  <si>
    <t>858-859-847-846-854-848-872-852-853-870-850-857-815-828-845-871-856-851-823-826</t>
  </si>
  <si>
    <t>ΒΛΑΧΟΥ</t>
  </si>
  <si>
    <t>ΓΕΩΡΓΙΑ</t>
  </si>
  <si>
    <t>ΑΖ494212</t>
  </si>
  <si>
    <t>830-819-828-847-846-829-854-855-871-853</t>
  </si>
  <si>
    <t>ΚΑΤΣΙΚΑΝΔΑΡΑΚΗ</t>
  </si>
  <si>
    <t>ΑΡΕΤΗ</t>
  </si>
  <si>
    <t>ΜΥΡΩΝ</t>
  </si>
  <si>
    <t>ΑΗ972967</t>
  </si>
  <si>
    <t>900,9</t>
  </si>
  <si>
    <t>1638,9</t>
  </si>
  <si>
    <t>876-877-878-870-871-854-850-826-828-815-835-838-839-840-841-842</t>
  </si>
  <si>
    <t>ΘΑΝΟΥ</t>
  </si>
  <si>
    <t>ΔΗΜΗΤΡΑ</t>
  </si>
  <si>
    <t>ΗΛΙΑΣ</t>
  </si>
  <si>
    <t>Σ980276</t>
  </si>
  <si>
    <t>1076,9</t>
  </si>
  <si>
    <t>1636,9</t>
  </si>
  <si>
    <t>844-843-862-875-835-837-838-840-841-842-825-826</t>
  </si>
  <si>
    <t>ΑΘΑΝΑΣΟΠΟΥΛΟΥ</t>
  </si>
  <si>
    <t>ΕΥΑΝΘΙΑ</t>
  </si>
  <si>
    <t>ΣΩΤΗΡΙΟΣ</t>
  </si>
  <si>
    <t>Π184892</t>
  </si>
  <si>
    <t>895,4</t>
  </si>
  <si>
    <t>1633,4</t>
  </si>
  <si>
    <t>820-859-858-821-822-851-854-847-845-848-850-849-852-855-846-853-856-857</t>
  </si>
  <si>
    <t>ΤΟΠΑΛΙΔΟΥ</t>
  </si>
  <si>
    <t>ΒΕΡΑ</t>
  </si>
  <si>
    <t>ΕΥΘΥΜΙΟΣ</t>
  </si>
  <si>
    <t>ΑΚ249544</t>
  </si>
  <si>
    <t>815-820-821-822-823-824-825-826-827-828-829-845-846-847-848-849-850-851-852-853-854-855-856-857-858-859-870-871-872</t>
  </si>
  <si>
    <t>ΤΣΙΠΕΛΗ</t>
  </si>
  <si>
    <t>ΘΕΟΔΩΡΑ</t>
  </si>
  <si>
    <t>ΑΜ298979</t>
  </si>
  <si>
    <t>1064,8</t>
  </si>
  <si>
    <t>1627,8</t>
  </si>
  <si>
    <t>876-877-878-863-864-833-873-874-816-862-844-818-860-869-819-865-834-861-875-831-830-879-866-867-841-837-836-835-840-842-838-854-847-846-852-853-850-848-858-859-845-851-857-822-856-824-821-820-815-872-870-871-828-827-823-826</t>
  </si>
  <si>
    <t>ΡΟΜΠΟΛΑ</t>
  </si>
  <si>
    <t>ΒΑΣΙΛΙΚΗ</t>
  </si>
  <si>
    <t>ΣΤΑΙΚΟΣ</t>
  </si>
  <si>
    <t>Χ271711</t>
  </si>
  <si>
    <t>815-820-821-822-823-824-825-826-827-828-829-845-846-847-848-849-850-851-852-853-854-855-856-857-858-859-871-872-838</t>
  </si>
  <si>
    <t>ΚΑΚΑΔΙΑΡΗ</t>
  </si>
  <si>
    <t>ΑΛΕΞΑΝΔΡΟΣ</t>
  </si>
  <si>
    <t>Σ978492</t>
  </si>
  <si>
    <t>1619,5</t>
  </si>
  <si>
    <t>862-844-875-843-819-841-838-840-839-842-835-837-836-830-823-846-847-848-849-850-853-854-858-871-872-815-824-828-845-851-852-855-856-857-859-870</t>
  </si>
  <si>
    <t>ΧΡΙΣΤΑΚΙΔΟΥ</t>
  </si>
  <si>
    <t>ΑΡΙΣΤΕΙΔΗΣ</t>
  </si>
  <si>
    <t>Σ790394</t>
  </si>
  <si>
    <t>1026,3</t>
  </si>
  <si>
    <t>1614,3</t>
  </si>
  <si>
    <t>840-841-838</t>
  </si>
  <si>
    <t>ΑΝΑΓΝΩΣΤΟΠΟΥΛΟΥ</t>
  </si>
  <si>
    <t>ΒΑΙΑ</t>
  </si>
  <si>
    <t>Π934821</t>
  </si>
  <si>
    <t>1017,5</t>
  </si>
  <si>
    <t>1605,5</t>
  </si>
  <si>
    <t>ΝΙΚΟΛΑΙΟΥ</t>
  </si>
  <si>
    <t>ΕΥΑΓΓΕΛΟΣ</t>
  </si>
  <si>
    <t>ΑΙ228698</t>
  </si>
  <si>
    <t>866,8</t>
  </si>
  <si>
    <t>1604,8</t>
  </si>
  <si>
    <t>818-831-843-875-834-819-844-860-815-816-820-821-822-823-824-826-827-828-830-832-833-835-836-837-838-839-840-841-842-845-846-847-848-849-850-851-852-853-854-855-856-857-858-859-861-862-863-864-865-866-867-868-869-870-871-872-873-874-876-877-878-879-817-825-829</t>
  </si>
  <si>
    <t>ΣΟΙΛΕΜΕΖΙΔΟΥ</t>
  </si>
  <si>
    <t>ΑΘΑΝΑΣΙΑ</t>
  </si>
  <si>
    <t>ΑΚ200874</t>
  </si>
  <si>
    <t>845-851-847-854-846-829-828-852-871-870-872-856-848</t>
  </si>
  <si>
    <t>ΚΑΡΑΣΙΜΟΥ</t>
  </si>
  <si>
    <t>ΒΑΛΕΝΤΙΝΑ</t>
  </si>
  <si>
    <t>ΑΙ832631</t>
  </si>
  <si>
    <t>850,3</t>
  </si>
  <si>
    <t>1588,3</t>
  </si>
  <si>
    <t>862-875-841-838-840-835-839-842-837-836-830-844-843-819</t>
  </si>
  <si>
    <t>Σ168853</t>
  </si>
  <si>
    <t>994,4</t>
  </si>
  <si>
    <t>1582,4</t>
  </si>
  <si>
    <t>828-847-859-858-846</t>
  </si>
  <si>
    <t>ΔΗΜΠΕΤΡΟΥ</t>
  </si>
  <si>
    <t>Π513648</t>
  </si>
  <si>
    <t>840,4</t>
  </si>
  <si>
    <t>1578,4</t>
  </si>
  <si>
    <t>ΛΑΜΠΡΟΠΟΥΛΟΥ</t>
  </si>
  <si>
    <t xml:space="preserve">ΑΘΑΝΑΣΙΑ </t>
  </si>
  <si>
    <t>Ν052671</t>
  </si>
  <si>
    <t>815-821-822-823-824-825-826-828-829-846-847-848-849-850-851-852-853-854-855-857-856-870-871-872-818-845</t>
  </si>
  <si>
    <t>ΓΚΑΓΚΑΛΗ</t>
  </si>
  <si>
    <t>ΔΗΜΗΤΡΟΥΛΑ</t>
  </si>
  <si>
    <t>ΚΩΣΤΑΣ</t>
  </si>
  <si>
    <t>ΑΖ523172</t>
  </si>
  <si>
    <t>858-859-850-857-822-821-828-846-847-854</t>
  </si>
  <si>
    <t>ΛΟΓΑΡΙΑΣΤΑΚΗ</t>
  </si>
  <si>
    <t>ΖΑΧΑΡΙΑΣ</t>
  </si>
  <si>
    <t>ΑΜ464949</t>
  </si>
  <si>
    <t>808,5</t>
  </si>
  <si>
    <t>1576,5</t>
  </si>
  <si>
    <t>833-876-877-841-838-840-842-835-837-836</t>
  </si>
  <si>
    <t>ΑΡΓΥΡΟΠΟΥΛΟΣ</t>
  </si>
  <si>
    <t>ΔΗΜΗΤΡΗΣ</t>
  </si>
  <si>
    <t>ΒΑΣΙΛΗΣ</t>
  </si>
  <si>
    <t>ΑΑ359537</t>
  </si>
  <si>
    <t>942,7</t>
  </si>
  <si>
    <t>1575,7</t>
  </si>
  <si>
    <t>825-826-827-828-829-845-846-847-848-849-850-851-852-853-854-855-856-857-858-859-815-820-821-822-823-824</t>
  </si>
  <si>
    <t>ΝΤΟΥΡΝΤΑ</t>
  </si>
  <si>
    <t>ΕΙΡΗΝΗ</t>
  </si>
  <si>
    <t>ΚΩΝΣΤΑΝΤΙΝΟΣ</t>
  </si>
  <si>
    <t>ΑΜ797639</t>
  </si>
  <si>
    <t>834-843-860-844-835-836-837-838-845-846-856-857-858-859-861-862-847-848-849-850-851-852-853-854-855-839-840-841-842-817-818-819-820-821-822-816-875-865-870-871-872-823-824-825-826-828-829-830-831-868-869</t>
  </si>
  <si>
    <t>ΓΚΑΝΗ</t>
  </si>
  <si>
    <t>Φ161121</t>
  </si>
  <si>
    <t>835-841-842-840-838-837-836-853-854-862-828</t>
  </si>
  <si>
    <t>ΝΑΤΣΙΑΡΙΔΟΥ</t>
  </si>
  <si>
    <t>ΞΑΝΘΙΠΗ</t>
  </si>
  <si>
    <t>ΧΑΡΑΛΑΜΠΟΣ</t>
  </si>
  <si>
    <t>ΑΜ663221</t>
  </si>
  <si>
    <t>973,5</t>
  </si>
  <si>
    <t>1561,5</t>
  </si>
  <si>
    <t>841-835-837-840-836-842-838-839</t>
  </si>
  <si>
    <t>ΚΟΥΡΑΜΑ</t>
  </si>
  <si>
    <t>ΑΗ767390</t>
  </si>
  <si>
    <t>969,1</t>
  </si>
  <si>
    <t>1557,1</t>
  </si>
  <si>
    <t>862-844-841-840-838-842-839-835-836-837</t>
  </si>
  <si>
    <t>ΖΑΧΟΥ</t>
  </si>
  <si>
    <t>ΑΜ535277</t>
  </si>
  <si>
    <t>854-855-858-859-850-849-848-857-853-852-851-856-847-846-845-822-823-824-825-826-827-828-829-830-831-832-833-834-835-836-837-838-839-840-841-842-843-844-860-861-862-863-864-865-866-867-868-869-874-873-875-876-877-878-879-817-818-819</t>
  </si>
  <si>
    <t>ΚΑΛΑΡΥΤΗΣ</t>
  </si>
  <si>
    <t>ΑΝΤΩΝΙΟΣ</t>
  </si>
  <si>
    <t>ΑΓΓΕΛΟΣ</t>
  </si>
  <si>
    <t>Φ203441</t>
  </si>
  <si>
    <t>810,7</t>
  </si>
  <si>
    <t>1548,7</t>
  </si>
  <si>
    <t>850-858-859-853-854-846-847-848-857-856-828-829-870-871-872-815-821-822-826-838-839-840-841-842-837-836-835-818-843-852</t>
  </si>
  <si>
    <t>ΜΠΟΡΟΥ</t>
  </si>
  <si>
    <t>ΜΑΡΚΟΣ</t>
  </si>
  <si>
    <t>ΑΙ100377</t>
  </si>
  <si>
    <t>823-824-822-820-821-856-858-859-849-850-857-851-846-847-852-854-845-848-855-853-828-827-829-825-826-870-871-872-815-834-843-862-819-818-875-816-830-832-860-839-840-841-842-844-837-836-838-835-831-817-861-865-833-866-863-864-876-877-878-873-874-868-869-879-867-897</t>
  </si>
  <si>
    <t>ΦΩΤΙΑΔΟΥ</t>
  </si>
  <si>
    <t>ΑΚ312550</t>
  </si>
  <si>
    <t>835-836-837-838-839-840-841-842</t>
  </si>
  <si>
    <t>ΠΑΠΑΔΟΠΟΥΛΟΣ</t>
  </si>
  <si>
    <t>Ξ890106</t>
  </si>
  <si>
    <t>1539,5</t>
  </si>
  <si>
    <t>839-829-837-836-828-815-826-842-841-840-853-854-850-871-847</t>
  </si>
  <si>
    <t>ΚΑΡΑΤΑΣΟΥ</t>
  </si>
  <si>
    <t>ΣΑΛΩΜΗ</t>
  </si>
  <si>
    <t>Ρ241079</t>
  </si>
  <si>
    <t>950,4</t>
  </si>
  <si>
    <t>1538,4</t>
  </si>
  <si>
    <t>856-828-857-858-859-846-847-853-852-850-848-829-854-871-870-872-822-815-826</t>
  </si>
  <si>
    <t>ΓΙΑΝΝΟΥΛΑΚΗ</t>
  </si>
  <si>
    <t>ΚΑΛΛΙΟΠΗ</t>
  </si>
  <si>
    <t>ΑΒ189946</t>
  </si>
  <si>
    <t>876-877-878-833</t>
  </si>
  <si>
    <t>ΛΙΒΑΝΗ</t>
  </si>
  <si>
    <t>ΜΑΡΙΑ ΕΙΡΗΝΗ</t>
  </si>
  <si>
    <t>ΣΤΥΛΙΑΝΟΣ</t>
  </si>
  <si>
    <t>Ρ963045</t>
  </si>
  <si>
    <t>826-828-871</t>
  </si>
  <si>
    <t>ΚΟΥΤΛΟΥΜΠΑΣΗ</t>
  </si>
  <si>
    <t>ΑΒ877961</t>
  </si>
  <si>
    <t>1028,5</t>
  </si>
  <si>
    <t>1525,5</t>
  </si>
  <si>
    <t>841-838-840-839-835-842-837-862-836-844</t>
  </si>
  <si>
    <t>ΝΤΕΡΤΖΗ</t>
  </si>
  <si>
    <t>Χ860442</t>
  </si>
  <si>
    <t>1524,5</t>
  </si>
  <si>
    <t>828-841-838-840-815-826-847-850-853-854-870-871-835-837-839-842-821-822-829-846-848-852-856-857-858</t>
  </si>
  <si>
    <t>ΦΩΤΕΙΝΟΠΟΥΛΟΥ</t>
  </si>
  <si>
    <t>ΣΩΤΗΡΙΑ</t>
  </si>
  <si>
    <t>ΑΗ233193</t>
  </si>
  <si>
    <t>816-828-870-871-872-815-857-854-853-852-850-848-847-846-826-822-856-858-829</t>
  </si>
  <si>
    <t>ΚΑΝΕΛΛΟΠΟΥΛΟΥ</t>
  </si>
  <si>
    <t>ΑΝΔΡΕΑΣ</t>
  </si>
  <si>
    <t>ΑΒ293514</t>
  </si>
  <si>
    <t>871-870-828-872-854-850-847-846-853-848-858-857-829-856-859-852-855-815-822-826</t>
  </si>
  <si>
    <t>ΚΑΟΥΚΗ</t>
  </si>
  <si>
    <t>ΑΚ600788</t>
  </si>
  <si>
    <t>815-821-822-826-829-828-846-847-856-848-850-852-853-854-857-820-824-823-825-845-849-851-855</t>
  </si>
  <si>
    <t>ΚΑΡΓΑΚΗ</t>
  </si>
  <si>
    <t>ΜΑΡΙΑ</t>
  </si>
  <si>
    <t>ΕΥΣΤΑΘΙΟΣ</t>
  </si>
  <si>
    <t>ΑΙ948876</t>
  </si>
  <si>
    <t>998,8</t>
  </si>
  <si>
    <t>1512,8</t>
  </si>
  <si>
    <t>873-874-877-833-864-863-876-878-866-867-843-832-839-825-849-854-879-860-829-830-846-847-858-859-815-822-821-820-823-824-826-828-827-856-857-853-852-850-851-848-868-870-871-872-875-862-861-865-844-842-841-840-838-837-836-835-834-819-818-817-816-869-845</t>
  </si>
  <si>
    <t>ΓΙΑΝΝΑΚΟΠΟΥΛΟΥ</t>
  </si>
  <si>
    <t>ΑΖ205499</t>
  </si>
  <si>
    <t>774,4</t>
  </si>
  <si>
    <t>1512,4</t>
  </si>
  <si>
    <t>818-816-828-817-826-815-829-843-847-846-845-848-850-853-854-857-858-871-870-872-865-861-859-856-852-849-855-841-840-839-842-838-835-837-836-830-822-823</t>
  </si>
  <si>
    <t>ΛΑΓΟΥ</t>
  </si>
  <si>
    <t>ΑΖ725113</t>
  </si>
  <si>
    <t>816-825-826-817-828-845-847-848-849-850-851-853-854-855-856-857-858-859-852-870-871-872-829-821-822-823</t>
  </si>
  <si>
    <t>ΔΑΣΚΑΛΟΥ</t>
  </si>
  <si>
    <t>Φ437918</t>
  </si>
  <si>
    <t>ΠΑΠΑΝΙΚΟΛΟΠΟΥΛΟΥ</t>
  </si>
  <si>
    <t>ΚΩΝΣΤΑΝΤΙΝΑ</t>
  </si>
  <si>
    <t>Ξ620875</t>
  </si>
  <si>
    <t>918,5</t>
  </si>
  <si>
    <t>1506,5</t>
  </si>
  <si>
    <t>847-846-852-858-859-845-848-850-853-854-856-818</t>
  </si>
  <si>
    <t>ΤΣΑΜΠΑΛΑ</t>
  </si>
  <si>
    <t>ΔΙΟΝΥΣΙΟΣ</t>
  </si>
  <si>
    <t>ΑΙ256047</t>
  </si>
  <si>
    <t>1506,1</t>
  </si>
  <si>
    <t>ΣΟΥΛΑ</t>
  </si>
  <si>
    <t>ΑΙΜΙΛΙΑΝΟΣ</t>
  </si>
  <si>
    <t>ΑΙ196475</t>
  </si>
  <si>
    <t>836-837-838-839-840-841-842</t>
  </si>
  <si>
    <t>ΑΝΤΩΝΟΠΟΥΛΟΥ</t>
  </si>
  <si>
    <t>ΑΓΓΕΛΙΚΗ</t>
  </si>
  <si>
    <t>ΑΕ706391</t>
  </si>
  <si>
    <t>911,9</t>
  </si>
  <si>
    <t>1499,9</t>
  </si>
  <si>
    <t>818-816-817-825-828-846-853-826-854-850-870-857-847-848-871-872-858-815-820-821-822-823-824-827-829-845-849-851-852-855-856-859-843</t>
  </si>
  <si>
    <t>ΓΕΩΡΓΟΥΛΑ</t>
  </si>
  <si>
    <t>ΕΥΘΥΜΙΑ</t>
  </si>
  <si>
    <t>ΑΒ844496</t>
  </si>
  <si>
    <t>862-844-875-843-830-835-836-837-838-839-840-841-842-815-821-822-826-828-829-846-847-848-850-852-853-854-856-857-858-859-870-871-872-816-817-818-861-876-819-820-823-824-827-845-851-831-825-849-855-869-868-860-866-832-834-833-863-864-865-867-873-874-877-878-879</t>
  </si>
  <si>
    <t>ΠΡΑΣΟΔΑ</t>
  </si>
  <si>
    <t>ΧΡΙΣΤΙΝΑ</t>
  </si>
  <si>
    <t>ΗΡΑΚΛΗΣ</t>
  </si>
  <si>
    <t>ΑΜ145672</t>
  </si>
  <si>
    <t>828-871-826-847-848-870-854-872-846-850-857-856-821-822-852-853-815-823-824-845-851-855</t>
  </si>
  <si>
    <t>ΦΟΥΚΑ</t>
  </si>
  <si>
    <t>Ρ299018</t>
  </si>
  <si>
    <t>908,6</t>
  </si>
  <si>
    <t>1496,6</t>
  </si>
  <si>
    <t>831-875-844-862</t>
  </si>
  <si>
    <t>ΨΩΡΑΚΗ</t>
  </si>
  <si>
    <t>Π124854</t>
  </si>
  <si>
    <t>1492,5</t>
  </si>
  <si>
    <t>843-841-828-838-840-839-842-835-871-870-854-850-837-826-815-847-853-846-822-858-829-848-862-872-817-857-836-859-875-876-861-856-852-830-821-818-816-823-824-825-827-834-844-855-877-865-863-851-849-845-833-820-819-897-831-860-864-866-867-868-869-873-874-878-879-832</t>
  </si>
  <si>
    <t>ΣΠΑΝΟΥ</t>
  </si>
  <si>
    <t>Χ865177</t>
  </si>
  <si>
    <t>874,5</t>
  </si>
  <si>
    <t>843-834</t>
  </si>
  <si>
    <t>ΝΟΥΣΙΑ</t>
  </si>
  <si>
    <t>ΒΑΡΒΑΡΑ</t>
  </si>
  <si>
    <t>Χ961723</t>
  </si>
  <si>
    <t>929,5</t>
  </si>
  <si>
    <t>1491,5</t>
  </si>
  <si>
    <t>847-846-853-850-852-848-854-858-859-857-856-872-871-870-828-829-826-822-821-835-838-837-839-840</t>
  </si>
  <si>
    <t>ΔΙΑΜΑΝΤΟΠΟΥΛΟΥ</t>
  </si>
  <si>
    <t>ΣΩΤΗΡΟΥΛΑ</t>
  </si>
  <si>
    <t>ΑΜ165848</t>
  </si>
  <si>
    <t>897,6</t>
  </si>
  <si>
    <t>1485,6</t>
  </si>
  <si>
    <t>854-846-847-856-848-857-858-859-853-852-850-815-828-870-872-871</t>
  </si>
  <si>
    <t>ΤΣΟΒΟΛΟΥ</t>
  </si>
  <si>
    <t>ΑΖ624652</t>
  </si>
  <si>
    <t>893,2</t>
  </si>
  <si>
    <t>1481,2</t>
  </si>
  <si>
    <t>828-826-870-871-853-864-850-872-857-846-858-859-848-815-821-822-829-847-856</t>
  </si>
  <si>
    <t>ΣΠΥΡΟΠΟΥΛΟΥ</t>
  </si>
  <si>
    <t>ΑΝΑΣΤΑΣΙΑ</t>
  </si>
  <si>
    <t>ΑΗ712612</t>
  </si>
  <si>
    <t>ΠΑΝΑΓΙΩΤΟΠΟΥΛΟΥ</t>
  </si>
  <si>
    <t>ΑΙ220065</t>
  </si>
  <si>
    <t>818-832-865-834-816-861-817-843-846-847-858-859-820-815-821-822-823-824-825-826-827-828-829-848-849-850-851-852-853-854</t>
  </si>
  <si>
    <t>ΤΡΙΑΝΤΑΦΥΛΛΙΔΟΥ</t>
  </si>
  <si>
    <t>ΟΛΓΑ</t>
  </si>
  <si>
    <t>Σ725383</t>
  </si>
  <si>
    <t>825-826-828-815-846-847-854-855-849-850-821-822-853-858-829-857</t>
  </si>
  <si>
    <t>ΠΟΥΛΑΚΙΔΑ</t>
  </si>
  <si>
    <t>ΤΡΙΣΕΥΓΕΝΗ</t>
  </si>
  <si>
    <t>ΑΒ277226</t>
  </si>
  <si>
    <t>1475,5</t>
  </si>
  <si>
    <t>841-828-838-840-839-835-842-854-870-871-850-853-847-858-848-862</t>
  </si>
  <si>
    <t>ΤΑΤΣΗ</t>
  </si>
  <si>
    <t>ΑΚ716576</t>
  </si>
  <si>
    <t>886,6</t>
  </si>
  <si>
    <t>1474,6</t>
  </si>
  <si>
    <t>843-815-821-822-828-846-847-848-850-853-856-857-858-859</t>
  </si>
  <si>
    <t>ΤΡΑΚΑ</t>
  </si>
  <si>
    <t>Τ853789</t>
  </si>
  <si>
    <t>1473,5</t>
  </si>
  <si>
    <t>817-828-846-847-816-826-853-854-848-850-857-818</t>
  </si>
  <si>
    <t>ΧΩΛΙΔΟΥ</t>
  </si>
  <si>
    <t>ΚΥΡΙΑΚΟΣ</t>
  </si>
  <si>
    <t>ΑΗ913892</t>
  </si>
  <si>
    <t>852,5</t>
  </si>
  <si>
    <t>1471,5</t>
  </si>
  <si>
    <t>869-868-815-820-821-822-823-824-825-826-827-828-829-845-846-847-848-849-850-851-852-853-854-855-856-857-858-859</t>
  </si>
  <si>
    <t>ΠΑΠΑΘΑΝΑΣΙΟΥ</t>
  </si>
  <si>
    <t>Τ230554</t>
  </si>
  <si>
    <t>838-839-837-836-840-841-842-835</t>
  </si>
  <si>
    <t>ΒΕΛΛΙΔΟΥ</t>
  </si>
  <si>
    <t>Χ878033</t>
  </si>
  <si>
    <t>1015,3</t>
  </si>
  <si>
    <t>1470,3</t>
  </si>
  <si>
    <t>841-840-839-842-838-835-862-837-858-848-850-853-854-857-846-847-828-822-826-829-830-815-817-821-870-871-872</t>
  </si>
  <si>
    <t>ΡΑΜΟΥΤΣΑΚΗ</t>
  </si>
  <si>
    <t>ΑΙΚΑΤΕΡΙΝΗ</t>
  </si>
  <si>
    <t>Τ322154</t>
  </si>
  <si>
    <t>882,2</t>
  </si>
  <si>
    <t>1470,2</t>
  </si>
  <si>
    <t>833-873-877-863-841-828-854-870-871-850-826-853-817-847-822-858</t>
  </si>
  <si>
    <t>ΤΣΑΟΥΣΙΔΟΥ</t>
  </si>
  <si>
    <t>ΑΜ411871</t>
  </si>
  <si>
    <t>815-816-817-818-819-820-821-822-823-824-825-826-827-828-829-830-831-832-833-834-835-836-837-838-839-840-841-842-843-844-845-846-847-848-849-850-851-852-853-854-855-856-857-858-859-860-861-862-863-864-865-866-867-868-869-870-871-872-873-874-875-876-877-878-879</t>
  </si>
  <si>
    <t>ΑΓΓΕΛΗΣ</t>
  </si>
  <si>
    <t>ΣΤΑΥΡΟΣ</t>
  </si>
  <si>
    <t>ΑΑ306310</t>
  </si>
  <si>
    <t>731,5</t>
  </si>
  <si>
    <t>1469,5</t>
  </si>
  <si>
    <t>853-854-855-849-850-848-851-852-857-859-846-847-845-858-823-822-824-820-821-828-826-825-829-835-836-837-838-839-840-841-842-843-856-815-830-827-831-844-870-871-872-819-818-817-816-834-833-832-861-862-866-865-864-863-860-875-869-868-867-873-874-876-877-878</t>
  </si>
  <si>
    <t>ΤΖΑΒΑΡΑ</t>
  </si>
  <si>
    <t>ΣΟΥΕΛΑ</t>
  </si>
  <si>
    <t>ΝΤΡΙΚΟ</t>
  </si>
  <si>
    <t>ΑΜ761302</t>
  </si>
  <si>
    <t>ΣΑΚΑΡΕΛΟΣ</t>
  </si>
  <si>
    <t>ΣΤΕΦΑΝΟΣ</t>
  </si>
  <si>
    <t>ΘΟΥΚΙΔΙΔΗΣ</t>
  </si>
  <si>
    <t>ΑΑ087393</t>
  </si>
  <si>
    <t>849,2</t>
  </si>
  <si>
    <t>1468,2</t>
  </si>
  <si>
    <t>815-816-817-818-819-820-821-822-826-828-829-830-835-837-838-845-846-847-848-850-852-853-856-857-858-859-870-871-872-839-840-841-842-843</t>
  </si>
  <si>
    <t>ΔΟΥΦΕΞΗ</t>
  </si>
  <si>
    <t>ΧΡΥΣΟΥΛΑ</t>
  </si>
  <si>
    <t>ΑΕ704226</t>
  </si>
  <si>
    <t>ΚΑΛΟΓΗΡΟΥ</t>
  </si>
  <si>
    <t>ΛΙΑΝΑ</t>
  </si>
  <si>
    <t>ΑΚ490932</t>
  </si>
  <si>
    <t>ΧΡΙΣΤΟΔΟΥΛΟΠΟΥΛΟΥ</t>
  </si>
  <si>
    <t>ΑΕ225900</t>
  </si>
  <si>
    <t>818-865-828-846-847-850-848-854-853-858-859-822-821-857-856-815-816-827-845-852-855-870-871-872-817-820-824-825-826-849-851-823-836-837-838-841-842-843-840-839-867</t>
  </si>
  <si>
    <t>ΒΛΑΣΣΗΣ</t>
  </si>
  <si>
    <t>ΣΠΥΡΙΔΩΝ</t>
  </si>
  <si>
    <t>ΣΤΑΜΑΤΙΟΣ</t>
  </si>
  <si>
    <t>ΑΑ399337</t>
  </si>
  <si>
    <t>860-839-836-837-838-835-840-841-842-843-832-815-820-821-822-823-824-825-826-827-830-844-845-846-847-848-849-850-851-828-829-833-834-852-853-854-855-856-857-858-859-861-862-863-864-865-866-867-868-869-870-871-872-873-874-875-876-877-878-879</t>
  </si>
  <si>
    <t>ΚΟΥΣΟΥΛΑ</t>
  </si>
  <si>
    <t>ΑΓΑΘΗ</t>
  </si>
  <si>
    <t>ΑΕ089482</t>
  </si>
  <si>
    <t>862-822-821-828-820-850-857-854-847-846-858-859-853-848-851-845-823-824-827-815-826-870-872-871-856-830-839-829-843-849-855-825-841-838-840-835-842-836-837-876-833</t>
  </si>
  <si>
    <t>ΜΠΕΛΕΖΩΝΗ</t>
  </si>
  <si>
    <t>ΠΕΤΡΟΣ</t>
  </si>
  <si>
    <t>Χ803274</t>
  </si>
  <si>
    <t>898-899-753-754-755-756-900-818</t>
  </si>
  <si>
    <t>ΚΩΝΣΤΑΝΤΙΝΙΔΗ</t>
  </si>
  <si>
    <t>ΜΑΡΙΝΑ</t>
  </si>
  <si>
    <t>ΑΜ556428</t>
  </si>
  <si>
    <t>888,8</t>
  </si>
  <si>
    <t>1462,8</t>
  </si>
  <si>
    <t>824-856</t>
  </si>
  <si>
    <t>ΣΥΡΟΠΟΥΛΟΥ</t>
  </si>
  <si>
    <t>ΑΑ469183</t>
  </si>
  <si>
    <t>1462,5</t>
  </si>
  <si>
    <t>838-837-841-840-836</t>
  </si>
  <si>
    <t>ΑΝΔΡΕΟΠΟΥΛΟΣ</t>
  </si>
  <si>
    <t>ΑΝΤΩΝΗΣ</t>
  </si>
  <si>
    <t>Χ273621</t>
  </si>
  <si>
    <t>846-847-848-856-870-871-857-850-828-853-815-852-872-858-859-854-851-855-849-845-823-824-820-822-821-826-825-827-816-818-817-875-861-862-832-831-834-819-830-844-865-860-841-838-840-839-835-842-837-836-843-877-876-878-873-874-864-863-833-868-869-867-879-866-786-787-789-790-792-794-788-755-753-752-754-756-761-918-917-919-921-795-793-791-920-922-916-758-759-904-903-900-899-765-757-760-785-796-929-933-934-928-770-772-901-805-813-806-801-798-927-751-908-912-910-909-775-777-803-778-930-782-779-780-781-776-764-814-907-911-902-771-784-914-915-797-783-774-769-768-767-773-807-812-931-932-763-926-906-925</t>
  </si>
  <si>
    <t>ΠΟΥΡΝΑΡΑ</t>
  </si>
  <si>
    <t>ΑΣΗΜΟΥΛΑ</t>
  </si>
  <si>
    <t>ΑΒ100138</t>
  </si>
  <si>
    <t>873,4</t>
  </si>
  <si>
    <t>1461,4</t>
  </si>
  <si>
    <t>837-836-835-840-841-838-839-842-862-869-868-844-843-830-831-834-819-815-832-860-879-870-871-872-820-822-823-824-825-826-827-828-846-847-845-848-849-850-851-852-853-854-855-856-857-858-859-818-816-817-829-861-865-867-833-863-864-873-874-876-877-878-866</t>
  </si>
  <si>
    <t>ΚΙΤΣΟΣ</t>
  </si>
  <si>
    <t>ΘΕΟΦΑΝΗΣ</t>
  </si>
  <si>
    <t>Τ275058</t>
  </si>
  <si>
    <t>722,7</t>
  </si>
  <si>
    <t>1460,7</t>
  </si>
  <si>
    <t>835-836-837-838-839-840-841-842-828-818-850-854-853-861-863-866-867-870-871-872-876-877-878-852-833-832-831-834-844-845-846-847-843-848-849-851-855-856-857-858-859-860-862-864-865-868-869-873-874-875-815-816-817-819-820-821-830-829-827-826-825-824-823-822</t>
  </si>
  <si>
    <t>ΠΑΝΑΓΑΚΗ</t>
  </si>
  <si>
    <t>ΟΥΡΑΝΙΑ</t>
  </si>
  <si>
    <t>Φ326112</t>
  </si>
  <si>
    <t>828-871-872-870-846-854-851-815-848-850-845-826-824-821-822-852-853-857-856-858-859-823-820-847-829-827</t>
  </si>
  <si>
    <t>ΣΤΑΘΑΚΗ</t>
  </si>
  <si>
    <t>ΝΙΚΟΛΕΤΤΑ</t>
  </si>
  <si>
    <t>ΑΑ445971</t>
  </si>
  <si>
    <t>835-836-837-838-839-840-841-842-897-865-818-861-817-815-820-821-822-823-824-825-826-827-828-829-845-846-847-848-849-850-851-852-853-854-855-856-857-858-859-870-871-872-876-877-878-833-873-874-863-864-862-868-869-843-844-830-875-816-819-831-834-860-879-866-832-867</t>
  </si>
  <si>
    <t>ΠΑΠΑΘΕΟΔΩΡΟΥ</t>
  </si>
  <si>
    <t>ΑΙ841382</t>
  </si>
  <si>
    <t xml:space="preserve"> 817- 829- 839- 843- 897</t>
  </si>
  <si>
    <t>815-821-822-823-824-825-826-827-828-829-845-846-847-848-849-850-851-852-853-854-855-856-857-858-859-870-871-872-820-835-836-837-838-839-840-841-842-862-875-897-819-816-817-818-830-833-844-843-861-865-863-876-877-831-832-834-860-864-866-867-868-869-873-874-878-879</t>
  </si>
  <si>
    <t>Νταβράνη</t>
  </si>
  <si>
    <t>Χρυσούλα</t>
  </si>
  <si>
    <t>Ιωάννης</t>
  </si>
  <si>
    <t>Χ493179</t>
  </si>
  <si>
    <t>896,5</t>
  </si>
  <si>
    <t>1456,5</t>
  </si>
  <si>
    <t>877-876-870-871-872</t>
  </si>
  <si>
    <t>ΣΤΑΜΑΤΑΚΗ</t>
  </si>
  <si>
    <t>ΑΑ978110</t>
  </si>
  <si>
    <t>863,5</t>
  </si>
  <si>
    <t>1451,5</t>
  </si>
  <si>
    <t>870-872-871-846-847-815-821-822-848-850-853-826-828-829-854-857-858-859-875</t>
  </si>
  <si>
    <t>ΚΟΚΑΡΗ</t>
  </si>
  <si>
    <t>ΡΟΔΑΝΘΗ</t>
  </si>
  <si>
    <t>ΑΑ951141</t>
  </si>
  <si>
    <t>860,2</t>
  </si>
  <si>
    <t>1448,2</t>
  </si>
  <si>
    <t>876-877-874-833-871-828-872-870-854-847-846-851-858-859-848-857-850-853-822-821-856-852-815-820-823-824-845-841-840-836-837-842-835-838-861-816-860-863-819-875-862-873</t>
  </si>
  <si>
    <t>ΜΙΚΕΛΑΤΟΥ</t>
  </si>
  <si>
    <t>Φ439006</t>
  </si>
  <si>
    <t>818-832-843-860-861-865-816-817-815-820-821-822-823-824-825-826-827-828-829-845-846-847-848-849-850-851-852-853-854-855-856-857-858-859-870-871-872-830-819-863-864-866-867-873-874-833-835-836-837-838-839-840-841-842-844-862-875-831-834-876-877-878-879-868-869</t>
  </si>
  <si>
    <t>ΓΕΩΡΓΑΚΙΛΑ</t>
  </si>
  <si>
    <t>Τ418689</t>
  </si>
  <si>
    <t>1061,5</t>
  </si>
  <si>
    <t>1446,5</t>
  </si>
  <si>
    <t>865-828-841</t>
  </si>
  <si>
    <t>ΣΑΛΤΗΣ</t>
  </si>
  <si>
    <t>ΑΙ917042</t>
  </si>
  <si>
    <t>815-850-857-846-847-848-853-858-859-829-828-852-854-870-872-871-822-821-826-856-845-849-851-855-827-820-823-825</t>
  </si>
  <si>
    <t>ΤΣΩΛΗΣ</t>
  </si>
  <si>
    <t>Ν783188</t>
  </si>
  <si>
    <t>853,6</t>
  </si>
  <si>
    <t>1441,6</t>
  </si>
  <si>
    <t>858-859-853-847-846-848-857-849-850-851-852-854-855-856-820-821-822-823-826-827-828-829-872-871-870</t>
  </si>
  <si>
    <t>ΠΑΠΑΖΑΦΕΙΡΗ</t>
  </si>
  <si>
    <t>ΑΑ321502</t>
  </si>
  <si>
    <t>841-838-840-839-842-837-835-836-828-871-854-853-850-847-826-870-815-872-852-856-857-846-822-821-848-818-858-859-862</t>
  </si>
  <si>
    <t>ΦΛΩΤΣΙΟΥ</t>
  </si>
  <si>
    <t>ΣΤΑΘΟΥΛΑ</t>
  </si>
  <si>
    <t>ΑΕ050997</t>
  </si>
  <si>
    <t>847-846-854-848-858-853-850-815-828-872-870-871-856-859-845-851-822-824-823-852-857-821-820-826-855-849-829-825</t>
  </si>
  <si>
    <t>ΑΒ947823</t>
  </si>
  <si>
    <t>845,9</t>
  </si>
  <si>
    <t>1433,9</t>
  </si>
  <si>
    <t>845-846-847-848-851-852-854-855-858-859-853-849-850-820-821-822-824-823-829-828-856-857-870-871-872-815-827-825-826-835-836-837-838-839-840-841-842</t>
  </si>
  <si>
    <t>ΜΗΤΡΟΠΟΥΛΟΥ</t>
  </si>
  <si>
    <t>ΔΙΑΜΑΝΤΗΣ</t>
  </si>
  <si>
    <t>ΑΗ204591</t>
  </si>
  <si>
    <t>818-815-817-821-822-826-829-828-854-853-850-847-848-846-856-857-852-855-858-859</t>
  </si>
  <si>
    <t>Χ787186</t>
  </si>
  <si>
    <t>907,5</t>
  </si>
  <si>
    <t>1425,5</t>
  </si>
  <si>
    <t>816-817-861-826-825-870-871-872-847-846-828-848-853-854-855-859-815-858-849-850-821-822-823-824-845-857-851-852-856-818-865</t>
  </si>
  <si>
    <t>ΔΟΑΝΗ</t>
  </si>
  <si>
    <t>ΑΕ254933</t>
  </si>
  <si>
    <t>687,5</t>
  </si>
  <si>
    <t>ΒΟΥΡΒΑΧΑΚΗ</t>
  </si>
  <si>
    <t>Ν974344</t>
  </si>
  <si>
    <t>1419,9</t>
  </si>
  <si>
    <t>874-876-877-833</t>
  </si>
  <si>
    <t>ΣΑΚΚΟΥ</t>
  </si>
  <si>
    <t>ΘΕΟΦΑΝΗ</t>
  </si>
  <si>
    <t>ΑΙ887512</t>
  </si>
  <si>
    <t>838-840-841-842-837-836-839-835-862-869-868-871-843-830-817-821-818-816-825-826-827-828-823-831-832-833-834-844-845-846-847-848-849-850-851-852-853-854-855-863-864-861-860-866-865-876-877-878-879-873-875-870-815-819-820-824-829-856-857-858-859-867-872-874-897</t>
  </si>
  <si>
    <t>ΚΟΥΤΑΝΤΟΥ</t>
  </si>
  <si>
    <t>ΑΜ471851</t>
  </si>
  <si>
    <t>873-874-876-877-833-878-863-858-859-848-850-852-853-854-855-857-846-847-822-823-826-824-828-815-820-821</t>
  </si>
  <si>
    <t>ΧΕΙΛΑ</t>
  </si>
  <si>
    <t>ΑΒ499356</t>
  </si>
  <si>
    <t>831-875-830-862-840-841</t>
  </si>
  <si>
    <t>ΚΟΝΤΟΥΔΑΚΗ</t>
  </si>
  <si>
    <t>ΑΙ026362</t>
  </si>
  <si>
    <t>828-826-815-847-850-853-854-870-871-821-822-829-846-872-848-852-856-857-858-859-845-820-823-824-825-827-849-851-855-865-830</t>
  </si>
  <si>
    <t>ΖΑΧΑΡΑΚΗΣ</t>
  </si>
  <si>
    <t>Χ314512</t>
  </si>
  <si>
    <t>823,9</t>
  </si>
  <si>
    <t>1411,9</t>
  </si>
  <si>
    <t>841-840-839-842-838-837-836-835</t>
  </si>
  <si>
    <t>ΑΝΑΣΤΟΠΟΥΛΟΥ</t>
  </si>
  <si>
    <t>Τ316085</t>
  </si>
  <si>
    <t>1407,5</t>
  </si>
  <si>
    <t>815-817-822-826-828-829-835-837-838-839-840-841-842-846-847-848-850-853-854-857-858-862-870-871-872-816-818-819-820-821-823-824-825-827-830-831-832-833-834-836-843-844-845-849-851-852-855-856-859-860-861-863-864-865-866-867-868-869-873-874-875-876-877-878-879-897</t>
  </si>
  <si>
    <t>ΖΑΧΑΡΟΠΟΥΛΟΥ</t>
  </si>
  <si>
    <t>ΑΑ977601</t>
  </si>
  <si>
    <t>828-815-821-822-820-848-850-849-853-856-857-858-859-872-852-870-854-871-845-851-823-824-826-846-847-827-875-835-836-837-838-840-841-842-839-819-830-862</t>
  </si>
  <si>
    <t>ΠΕΝΤΖΙΟΥ</t>
  </si>
  <si>
    <t>ΑΙ362003</t>
  </si>
  <si>
    <t>842-838-841-840-836-837-835</t>
  </si>
  <si>
    <t>ΖΟΥΓΡΗΣ</t>
  </si>
  <si>
    <t>ΑΛΕΞΙΟΣ</t>
  </si>
  <si>
    <t>ΑΑ386220</t>
  </si>
  <si>
    <t>1400,5</t>
  </si>
  <si>
    <t>841-838-840-839-835-842-837-836-834-869-868-862-843-828-854-870-871-850-826-815-847-853-846-822-858-848-829-872-857-821-852-856-855-823-824-825-827-845-849-851</t>
  </si>
  <si>
    <t>ΧΕΛΙΩΤΗΣ</t>
  </si>
  <si>
    <t>ΑΑ425488</t>
  </si>
  <si>
    <t>817-861-816</t>
  </si>
  <si>
    <t>ΡΟΝΤΟΥ</t>
  </si>
  <si>
    <t>ΡΙΤΑ</t>
  </si>
  <si>
    <t>ΣΩΚΡΑΤΗΣ</t>
  </si>
  <si>
    <t>ΑΙ598274</t>
  </si>
  <si>
    <t>1398,7</t>
  </si>
  <si>
    <t>823-858-859-856-857-848-849-850-851-852-853-854-855-845-846-847-820-821-822-870-871-872-824-815-825-826-827-828-829-819-816-818-830-835-836-837-838-839-840-841-842-843-860-866-876-873-874-877-878-832-831-875-861-862-865</t>
  </si>
  <si>
    <t>ΤΖΙΩΡΑ</t>
  </si>
  <si>
    <t>Ξ640970</t>
  </si>
  <si>
    <t>1396,5</t>
  </si>
  <si>
    <t>858-859-846-847-815-829-848-853-850-852-821-822-854</t>
  </si>
  <si>
    <t>ΜΑΤΣΗΣ</t>
  </si>
  <si>
    <t>Χ682869</t>
  </si>
  <si>
    <t>822-826-828-846-847-848-850-852-853-854-856-857-858-859-870-871-872-829</t>
  </si>
  <si>
    <t>ΠΑΡΑΣΚΕΥΟΠΟΥΛΟΥ</t>
  </si>
  <si>
    <t>ΑΗ224160</t>
  </si>
  <si>
    <t>805,2</t>
  </si>
  <si>
    <t>1393,2</t>
  </si>
  <si>
    <t>ΧΡΥΣΑΝΘΑΚΟΠΟΥΛΟΥ</t>
  </si>
  <si>
    <t>ΛΕΩΝΙΔΑΣ</t>
  </si>
  <si>
    <t>ΑΑ773526</t>
  </si>
  <si>
    <t>817-858-859-854-828-847-846-850-848-857-870-872-871-822-815-823-826-821-827-820-825-824-845-829-818-816</t>
  </si>
  <si>
    <t>EYAΓΓΕΛΗ</t>
  </si>
  <si>
    <t>Σ599486</t>
  </si>
  <si>
    <t>801,9</t>
  </si>
  <si>
    <t>1389,9</t>
  </si>
  <si>
    <t>815-822-828-846-847-848-871-872-856-853-852-850-857-858-859-870-820-821-823-824-825-826-827-829-845-849-855</t>
  </si>
  <si>
    <t>ΑΓΓΕΛΗ</t>
  </si>
  <si>
    <t>ΑΡΙΣΤΕΑ</t>
  </si>
  <si>
    <t>Τ241634</t>
  </si>
  <si>
    <t>853-850-857-859-858-848-849-854-845-846-847-851-855-852-856-821-820-823-822-824-828-827-829-826-825-815-872-871-870-830-831-844-862-875-835-836-837-838-839-840-841-842-819-868-869-816-817-818-832-834-843-860-861-865-866-867-879-863-833-873-874-876-877-878-864</t>
  </si>
  <si>
    <t>ΑΝΔΡΕΑΔΑΚΗ</t>
  </si>
  <si>
    <t>Χ417922</t>
  </si>
  <si>
    <t>1386,5</t>
  </si>
  <si>
    <t>841-828-838-840-847-853-835-842-837-850-876-858-859-822-846-848</t>
  </si>
  <si>
    <t>ΣΟΦΙΚΙΤΗ</t>
  </si>
  <si>
    <t>ΑΝΤΩΝΙΑ</t>
  </si>
  <si>
    <t>ΑΒ175226</t>
  </si>
  <si>
    <t>1385,5</t>
  </si>
  <si>
    <t>866-828-871-870-854-850-826-815-853-822-848-857-821-829-859</t>
  </si>
  <si>
    <t>ΣΚΑΝΔΑΜΗ</t>
  </si>
  <si>
    <t>ΕΛΕΥΘΕΡΙΑ</t>
  </si>
  <si>
    <t>Χ301809</t>
  </si>
  <si>
    <t>ΒΑΣΙΛΟΠΟΥΛΟΥ</t>
  </si>
  <si>
    <t>Π846887</t>
  </si>
  <si>
    <t>817-816-861-865-818-827-828-858-859-823-846-847-848-854-845-855-849-850-851-852-853-856-857-824-825-826-870-871-872-829-821-822-820</t>
  </si>
  <si>
    <t>ΑΝΤΩΝΟΠΟΥΛΟΣ</t>
  </si>
  <si>
    <t>Σ081345</t>
  </si>
  <si>
    <t>1039,5</t>
  </si>
  <si>
    <t>1375,5</t>
  </si>
  <si>
    <t>827-828-847-846-854-853-850-857-848-822-815-825-858-859-845-851-849-852-855-856-823-824-826-820-821-829-870-871-872-830-816-841-840-839-842-875-862-861-865-835-837-838-836-817-818-819-833-843-844-876-877-878-863</t>
  </si>
  <si>
    <t>ΠΑΝΑΓΟΠΟΥΛΟΥ</t>
  </si>
  <si>
    <t>ΑΙ209609</t>
  </si>
  <si>
    <t>786,5</t>
  </si>
  <si>
    <t>1374,5</t>
  </si>
  <si>
    <t>818-821-822-826-828-829-846-847-848-850-852-853-854-856-857-858-859-870-871-872</t>
  </si>
  <si>
    <t>Χ241574</t>
  </si>
  <si>
    <t>839-897-835-836-837-838-840-841-842-843-868-862-870-871-875-849-855-872-858-859-857-856-853-854-852-850-848-847-822-828-821-815-825-829-816-876-832-861-830-846</t>
  </si>
  <si>
    <t>ΛΙΤΣΙΟΥ</t>
  </si>
  <si>
    <t>ΑΗ793391</t>
  </si>
  <si>
    <t>1371,5</t>
  </si>
  <si>
    <t>841-840-838-839-835-837-828-854-870-871</t>
  </si>
  <si>
    <t>ΜΥΞΑΚΗ</t>
  </si>
  <si>
    <t>ΘΕΟΧΑΡΗΣ</t>
  </si>
  <si>
    <t>ΑΑ490981</t>
  </si>
  <si>
    <t>1090,1</t>
  </si>
  <si>
    <t>1370,1</t>
  </si>
  <si>
    <t>877-876-878-874-873</t>
  </si>
  <si>
    <t>ΠΑΠΑΔΟΠΟΥΛΟΥ</t>
  </si>
  <si>
    <t>ΕΛΠΙΔΑ</t>
  </si>
  <si>
    <t>ΑΗ894166</t>
  </si>
  <si>
    <t>842-840-841-837-836-838-835-897-843-862-875-876-830-815-872-871-826-821-822-854-856-857-853-852-850-848-870-828-829-847-846-859-858-817-818-844-865-877-816-833-851-820-855-849-825-823-824-845-827-861-863-869-834-879-860-831-867-832-878-868-874-873-864-866</t>
  </si>
  <si>
    <t>ΣΚΑΝΔΑΛΗ</t>
  </si>
  <si>
    <t>ΧΡΙΣΤΙΑΝΝΑ</t>
  </si>
  <si>
    <t>Τ490129</t>
  </si>
  <si>
    <t>1369,5</t>
  </si>
  <si>
    <t>876-877-878-874-873</t>
  </si>
  <si>
    <t>ΤΡΙΑΝΤΑΦΥΛΛΟΥ</t>
  </si>
  <si>
    <t>Τ284853</t>
  </si>
  <si>
    <t>754,6</t>
  </si>
  <si>
    <t>1366,6</t>
  </si>
  <si>
    <t>828-846-847-854-858-859-853-850-848-852-857-856-845-819-823-829-849-855-871-872-821-822</t>
  </si>
  <si>
    <t>ΚΟΤΤΑΡΑ</t>
  </si>
  <si>
    <t>ΑΑ352786</t>
  </si>
  <si>
    <t>ΣΤΕΛΛΑ</t>
  </si>
  <si>
    <t>ΑΗ757714</t>
  </si>
  <si>
    <t>944,9</t>
  </si>
  <si>
    <t>1364,9</t>
  </si>
  <si>
    <t>860-854-847-846-828-859-840-841-842-848-831-818-862-819-830-837-836-838-839</t>
  </si>
  <si>
    <t>ΟΙΚΟΝΟΜΟΥ</t>
  </si>
  <si>
    <t>Σ891561</t>
  </si>
  <si>
    <t>844-862-875</t>
  </si>
  <si>
    <t>ΤΣΟΛΙΑΣ</t>
  </si>
  <si>
    <t>ΑΗ267663</t>
  </si>
  <si>
    <t>1359,5</t>
  </si>
  <si>
    <t>862-836-837-838-839-840-841-842-843-844-820-821-822-823-824-825-826-827-828-829-832-831-830-833-834-815-816-817-818-819-845-846-847-848-849-850-851-852-853-854-855-856-857-858-859-860-868-869-870-871-872-873-874-875-876-877-878-879-861-863-864-865-866</t>
  </si>
  <si>
    <t>ΣΕΡΕΜΕΤΗ</t>
  </si>
  <si>
    <t>ΑΒ608583</t>
  </si>
  <si>
    <t>860-815-820-821-822-823-824-825-826-827-828-829-835-836-837-838-839-840-841-842-845-846-847-848-849-850-851-853-852-854-856-857-858-859-870-871-872-861-862-863-864-865-866-867-868-869-873-874-875-876-877-878-879-816-818-817-830-831-833-834-843-844</t>
  </si>
  <si>
    <t>ΠΑΥΛΟΥ</t>
  </si>
  <si>
    <t>Χ 309385</t>
  </si>
  <si>
    <t>828-854-847-848-846-829-850-853-851-857-820-822-872-870-871-815-845-819-826</t>
  </si>
  <si>
    <t>ΑΡΕΣΤΗ</t>
  </si>
  <si>
    <t>Σ848522</t>
  </si>
  <si>
    <t>833-863-876-877-817</t>
  </si>
  <si>
    <t>ΧΑΒΡΕΔΑΚΗ</t>
  </si>
  <si>
    <t>ΑΙ469198</t>
  </si>
  <si>
    <t>797,5</t>
  </si>
  <si>
    <t>1357,5</t>
  </si>
  <si>
    <t>876-877</t>
  </si>
  <si>
    <t>ΣΟΥΣΟΥ</t>
  </si>
  <si>
    <t>ΜΠΑΣΙΡ</t>
  </si>
  <si>
    <t>ΑΒ223893</t>
  </si>
  <si>
    <t>872-870-815-854-853-847-871-828-848-846-850-859-858-856-857-852-826-821-822-845-851-824-823-855</t>
  </si>
  <si>
    <t>ΜΠΙΣΜΠΙΚΗΣ</t>
  </si>
  <si>
    <t>Χ835341</t>
  </si>
  <si>
    <t>789,8</t>
  </si>
  <si>
    <t>1352,8</t>
  </si>
  <si>
    <t>831-862-844-875-843-819-818-830-841-838-840-839-842-835-837-836-828-826-870-871-854-850-853-847-846-829-822-858-859-857-848-872-815-821-817-816-820-827-834-832-833-849-851-852-855-856-845-823-824-825-861-860-865-864-863-866-868-869-867-873-874-876-877-878</t>
  </si>
  <si>
    <t>ΓΙΑΝΤΑΜΙΔΗΣ</t>
  </si>
  <si>
    <t>ΙΓΚΟΡ</t>
  </si>
  <si>
    <t>ΑΑ035827</t>
  </si>
  <si>
    <t>764,5</t>
  </si>
  <si>
    <t>1352,5</t>
  </si>
  <si>
    <t>846-847-823-826-825-824-820-856-848-854-855-828-857-858-859-821-822-850-851-852-870-872-871-845-849-853-827-829</t>
  </si>
  <si>
    <t>ΛΑΜΠΑ</t>
  </si>
  <si>
    <t>Χ284798</t>
  </si>
  <si>
    <t>1351,5</t>
  </si>
  <si>
    <t>816-817-858-861-865-853-854-847-818</t>
  </si>
  <si>
    <t>ΜΠΟΥΤΗ</t>
  </si>
  <si>
    <t>ΙΟΥΛΙΑ</t>
  </si>
  <si>
    <t>Ρ233322</t>
  </si>
  <si>
    <t>777,7</t>
  </si>
  <si>
    <t>1347,7</t>
  </si>
  <si>
    <t>815-816-817-818-819-820-821-822-823-827-828-829-830-831-832-833-835-834-836-837-838-839-840-841-842-843-845-844-846-847-848-850-851-852-853-857-854-855-856-858-859-860-861-862-863-864-865-866-867-869-870-876-875-874-873-872-877-879-878</t>
  </si>
  <si>
    <t>ΔΟΥΛΑΠΤΣΗ</t>
  </si>
  <si>
    <t>ΒΑΣΙΛΙΚΗ ΙΩΑΝΝΑ</t>
  </si>
  <si>
    <t>ΑΖ589001</t>
  </si>
  <si>
    <t>1347,5</t>
  </si>
  <si>
    <t>920-844-839-840-841-842-835-836-837-838-843-875-846-847-848-850-853-854-857-858-859-856-852-826-828-829-822-821-830-817-818-816-882-861-870-871-872-876-819-849-851-855-827-825-885-884-883-845-823-824-831-832-833-834-868-869-865-860-863-864-877-878-879-880-881-866-867-873-874-820</t>
  </si>
  <si>
    <t>ΣΕΜΠΕΚΟΥ</t>
  </si>
  <si>
    <t>ΑΕ345643</t>
  </si>
  <si>
    <t>841-838-839-840-835-842-837-862-817-861</t>
  </si>
  <si>
    <t>ΖΩΤΟΥ</t>
  </si>
  <si>
    <t>Σ783508</t>
  </si>
  <si>
    <t>854-847-870-828-871-846-850-858-872-822-848-815-826</t>
  </si>
  <si>
    <t>ΠΑΛΙΟΥΡΑ</t>
  </si>
  <si>
    <t>ΑΡΙΣΤΟΜΕΝΗΣ</t>
  </si>
  <si>
    <t>Σ158820</t>
  </si>
  <si>
    <t>751,3</t>
  </si>
  <si>
    <t>1339,3</t>
  </si>
  <si>
    <t>815-820-821-822-823-824-825-826-827-828-829-845-846-847-848-849-850-851-852-853-854-855-856-857-858-859-870-871-872-843-844-830-819-817-816-818-834-831-860-862-861-865-875-835-836-837-838-839-840-841-842-832-833-864-863-874-873-878-877-876-879-867-866-869-868-897</t>
  </si>
  <si>
    <t>ΙΩΑΝΝΙΔΟΥ</t>
  </si>
  <si>
    <t>ΧΡΥΣΗ</t>
  </si>
  <si>
    <t>ΑΒ912888</t>
  </si>
  <si>
    <t>850-822-821-823-824-857-852-858-859-853-848-849-855-851-845-854-820-856-827-847-846-815-828-829-826-825-872-871-870-869-868-836-837-840-841-839-838-842-835-876-877-878-874-873-833-862-863-864-844-843-831-830-819-816-817-818-834-861-865-875-879-867-860-866-832</t>
  </si>
  <si>
    <t>ΒΑΒΕΤΣΗ</t>
  </si>
  <si>
    <t xml:space="preserve">ΠΑΡΑΣΚΕΥΗ </t>
  </si>
  <si>
    <t>Χ713313</t>
  </si>
  <si>
    <t>699,6</t>
  </si>
  <si>
    <t>1337,6</t>
  </si>
  <si>
    <t>856-821-822-828-829-846-847-848-850-853-854-857-858-859</t>
  </si>
  <si>
    <t>ΚΟΥΚΙΟΥ</t>
  </si>
  <si>
    <t>ΑΖ630132</t>
  </si>
  <si>
    <t>816-817-843-818-831-834-844-860-861-862-865-866-875-876-877-878-858-859-848-849-850-851-853-854-855-856-839-840-841-842-846-847-819-820-821-815</t>
  </si>
  <si>
    <t>ΖΑΡΟΥ</t>
  </si>
  <si>
    <t>Σ352991</t>
  </si>
  <si>
    <t>746,9</t>
  </si>
  <si>
    <t>1334,9</t>
  </si>
  <si>
    <t>826-825-854-853-855-846-847-848-850-858-859-828-870-871-872-822-865-829-857-856</t>
  </si>
  <si>
    <t>Σ621353</t>
  </si>
  <si>
    <t>872-871-870-815-828-826-822-821-847-846-857-854-853-850-848-856-851-858-859-852-855-849-845-820-823-824-825-827</t>
  </si>
  <si>
    <t>ΛΑΠΑ</t>
  </si>
  <si>
    <t>ΒΑΣΙΛ</t>
  </si>
  <si>
    <t>ΑΚ691173</t>
  </si>
  <si>
    <t>841,5</t>
  </si>
  <si>
    <t>1331,5</t>
  </si>
  <si>
    <t>828-871-856-823</t>
  </si>
  <si>
    <t>ΤΖΟΥΓΚΑΡΑΚΗ</t>
  </si>
  <si>
    <t>ΕΛΕΘΕΡΙΟΣ</t>
  </si>
  <si>
    <t>Ρ482151</t>
  </si>
  <si>
    <t>ΧΑΤΖΙΔΟΥ</t>
  </si>
  <si>
    <t>ΒΙΟΛΕΤΤΑ</t>
  </si>
  <si>
    <t>ΑΕ861722</t>
  </si>
  <si>
    <t>742,5</t>
  </si>
  <si>
    <t>1330,5</t>
  </si>
  <si>
    <t>835-836-837-838-839-840-841-842-863-864-873-876-877-878-833-820-821-822-823-824-825-826-827-828-829-845-846-847-848-849-850-851-852-853-854-855-856-857-858-859</t>
  </si>
  <si>
    <t>ΝΙΚΟΛΟΠΟΥΛΟΥ</t>
  </si>
  <si>
    <t>Τ888547</t>
  </si>
  <si>
    <t>724,9</t>
  </si>
  <si>
    <t>1329,9</t>
  </si>
  <si>
    <t>818-828-870-872-854-871-847-822-848-858-815-826-865-846-850</t>
  </si>
  <si>
    <t>ΓΙΑΝΝΑΡΟΥ</t>
  </si>
  <si>
    <t>ΑΗ431718</t>
  </si>
  <si>
    <t>871-870-872-815-826-855-850-848-858-853-854-822-846-821-823-824-845-851-852-856-857-820-828-847-861-875-863-865-844-833-830-819-817-816-836-837-842-835-840-838-841</t>
  </si>
  <si>
    <t>ΠΑΠΑΚΟΣΜΑ</t>
  </si>
  <si>
    <t>ΓΛΥΚΕΡΙΑ</t>
  </si>
  <si>
    <t>Ρ894491</t>
  </si>
  <si>
    <t>862-844-842-841-840-839-838-837-836-835</t>
  </si>
  <si>
    <t>ΤΖΙΜΑ</t>
  </si>
  <si>
    <t>ΜΑΡΓΑΡΙΤΗΣ</t>
  </si>
  <si>
    <t>Τ288724</t>
  </si>
  <si>
    <t>835-842-840-841-837-836-838-839</t>
  </si>
  <si>
    <t>ΠΗΔΗΚΤΑΚΗ</t>
  </si>
  <si>
    <t>ΑΒ967901</t>
  </si>
  <si>
    <t>863-833-876-877-864-873-874-878</t>
  </si>
  <si>
    <t>ΣΙΓΑΛΑΣ</t>
  </si>
  <si>
    <t>ΦΟΙΒΟΣ</t>
  </si>
  <si>
    <t>ΑΑ086671</t>
  </si>
  <si>
    <t>964,7</t>
  </si>
  <si>
    <t>1324,7</t>
  </si>
  <si>
    <t>825-826-827-828-845-846-847-848-849-850-851-853-854-855-856-857-858-859-870-871-872-829-852-815-820-821-822-823-824-830-831-832-833-834-835-836-837-838-839-840-841-842-843-844-860-861-862-863-864-865-866-867-868-869-873-874-875-876-877-878-879-897-816-817-818-819</t>
  </si>
  <si>
    <t>ΚΟΣΜΑΔΟΠΟΥΛΟΥ</t>
  </si>
  <si>
    <t>ΑΛΚΙΒΙΑΔΗΣ</t>
  </si>
  <si>
    <t>Χ893851</t>
  </si>
  <si>
    <t>828-841-838-840-842-835-839-854-870-871-837-847-826-850-853-862-897-872-858-857-846-848-829-822-815-817-843-836-876-875-859-861-852-818-816-830-856-821-844-877-863-865-855-851-833-845-849-820-823-824-825-827-819-878-879-873-874-866-867-864-832-831-834-868-869-860</t>
  </si>
  <si>
    <t>ΤΣΙΟΛΙΑΣ</t>
  </si>
  <si>
    <t>ΜΙΛΤΙΑΔΗΣ</t>
  </si>
  <si>
    <t>Χ894144</t>
  </si>
  <si>
    <t>1319,5</t>
  </si>
  <si>
    <t>835-836-837-838-839-840-841-842-843-844-845-846-847-860-862-863-864-865-866-867-868-869-870-871-872-873-874-875-876-877-878-822-823-824-825-826-827-828-829-830-831-832-833-834-848-849-850-851-852-853-854-855-856-857-858-859-815-816-817-821-818-819-820</t>
  </si>
  <si>
    <t>ΚΑΡΑΛΗΣ</t>
  </si>
  <si>
    <t>Χ776960</t>
  </si>
  <si>
    <t>872-871-828-826-846-847-854-853-848-850-852-822-823-825-827-857-856-829</t>
  </si>
  <si>
    <t>ΚΡΟΥΣΑΝΙΩΤΑΚΗ</t>
  </si>
  <si>
    <t>ΑΒ961269</t>
  </si>
  <si>
    <t>1318,5</t>
  </si>
  <si>
    <t>833-864-876-877-878-873-874-863</t>
  </si>
  <si>
    <t>ΜΠΑΙΡΑΚΤΑΡΗ</t>
  </si>
  <si>
    <t>Σ836939</t>
  </si>
  <si>
    <t>830-822-826-828-848-850-852-853-854-856-857-858-859-861-862-839-840-841-842-843-846-847-835-836-837-838-815-816-817-818-821-870-871-872-875-876</t>
  </si>
  <si>
    <t>ΜΠΙΤΧΑΒΑ</t>
  </si>
  <si>
    <t>ΑΗ203591</t>
  </si>
  <si>
    <t>1081,3</t>
  </si>
  <si>
    <t>1315,3</t>
  </si>
  <si>
    <t>ΓΑΤΟΜΑΤΗ</t>
  </si>
  <si>
    <t>Ν547469</t>
  </si>
  <si>
    <t>818-821-865-822-823-824-825-826-827-828-820-845-846-847-848-849-850-851-852-853-854-855-856-857-858-859-870-871-872</t>
  </si>
  <si>
    <t>ΜΠΑΚΑΣΙΝΗ</t>
  </si>
  <si>
    <t>Χ782650</t>
  </si>
  <si>
    <t>1314,5</t>
  </si>
  <si>
    <t>858-847-859-854-846-848-850-852-853-857-822-872-826-828</t>
  </si>
  <si>
    <t>ΜΗΤΣΟΓΙΑΝΝΗΣ</t>
  </si>
  <si>
    <t>ΣΟΛΩΝ</t>
  </si>
  <si>
    <t>Χ568797</t>
  </si>
  <si>
    <t>830-816-818-838-861-876-875-841-840-839-842-835-837-836-862-828-854-870-871-815-826-822-846-847-853-857-856-848-850-852-858-859-872-821</t>
  </si>
  <si>
    <t>ΝΕΖΕΡΙΤΗ</t>
  </si>
  <si>
    <t>ΑΒ074757</t>
  </si>
  <si>
    <t>723,8</t>
  </si>
  <si>
    <t>1311,8</t>
  </si>
  <si>
    <t>818-826-825-858-859</t>
  </si>
  <si>
    <t>ΝΕΦΡΟΥ</t>
  </si>
  <si>
    <t>ΑΙ584980</t>
  </si>
  <si>
    <t>858-859-820-847-846-828-850-857-853-815-848-854-822-821-856-871-872-829-852-826-825-827-849-823-851-824-845</t>
  </si>
  <si>
    <t>ΦΟΝΙΑ</t>
  </si>
  <si>
    <t>ΜΑΡΚΕΛΛΑ</t>
  </si>
  <si>
    <t>ΑΕ490071</t>
  </si>
  <si>
    <t>1308,5</t>
  </si>
  <si>
    <t>875-841-840-828-838-815-826-835-850-837-842-854-871-870-853-821-822-818-856-847-846-848-836-876-872-862-861-858-857-830-816</t>
  </si>
  <si>
    <t>ΧΑΤΖΟΥΛΗ</t>
  </si>
  <si>
    <t>ΑΒ532660</t>
  </si>
  <si>
    <t>720,5</t>
  </si>
  <si>
    <t>828-870-871-872-829-854-855-858-859-847-846-845-851-848-853-825-826-856-857-827-849-850</t>
  </si>
  <si>
    <t>ΑΝΔΡΙΑΝΟΥ</t>
  </si>
  <si>
    <t>ΔΙΑΜΑΝΤΩ</t>
  </si>
  <si>
    <t>ΑΡΓΥΡΙΟΣ</t>
  </si>
  <si>
    <t>ΑΒ071487</t>
  </si>
  <si>
    <t>1004,3</t>
  </si>
  <si>
    <t>1308,3</t>
  </si>
  <si>
    <t>818-817-843-865-816-815-819-820-821-822-823-824-825-826-827-828-829-830-831-832-833-834-835-836-837-838-839-840-841-842-844-845-846-847-848-849-850-851-852-853-854-855-856-857-858-859-860-861-862-863-864-866-867-868-869-870-872-873-874-875-876-877-878-879</t>
  </si>
  <si>
    <t>ΠΑΤΣΟΥΡΑ</t>
  </si>
  <si>
    <t>ΧΑΡΙΚΛΕΙΑ</t>
  </si>
  <si>
    <t>ΑΕ720776</t>
  </si>
  <si>
    <t>719,4</t>
  </si>
  <si>
    <t>1307,4</t>
  </si>
  <si>
    <t>828-841-838-840-854-826-815-870-871-847-850-853-842-837-835-839-836-857-848-856-821-822-852-859-872-858-846-876-818-875-816-817-843-862-830-861-829</t>
  </si>
  <si>
    <t>ΑΙ027560</t>
  </si>
  <si>
    <t>846-847-826-848-858-859-815-821-823-828-824-827-850-851-852-853-854-857-871-872-870-825-845-829-849-855-856</t>
  </si>
  <si>
    <t>ΜΑΧΑ</t>
  </si>
  <si>
    <t>Σ628601</t>
  </si>
  <si>
    <t>1306,5</t>
  </si>
  <si>
    <t>854-853-852-850-858-859-828-815-821-822-823-824-825-826-827-829-855-847-848-835-836-837-838-839-840-841-842-843-844-845-872-862-871-875-876-877-878-865-833-861-863-870</t>
  </si>
  <si>
    <t>ΡΥΣΑΦΗ</t>
  </si>
  <si>
    <t>ΑΖ809905</t>
  </si>
  <si>
    <t>984,5</t>
  </si>
  <si>
    <t>ΜΠΕΝΕΚΗ</t>
  </si>
  <si>
    <t>Π511840</t>
  </si>
  <si>
    <t>862-841-838-842-840-837-835-836-839-844-875</t>
  </si>
  <si>
    <t>ΦΥΣΕΚΗ</t>
  </si>
  <si>
    <t>ΠΑΡΑΣΚΕΥΗ</t>
  </si>
  <si>
    <t>Τ482756</t>
  </si>
  <si>
    <t>875-862-830-835-836-837-838-839-840-821-822-826-828-829-815-841-842-846-847-848-850-852-853-854-856-857-858-859-870-871-872-861-843-816-817-818-876</t>
  </si>
  <si>
    <t>PROTOPAPPA</t>
  </si>
  <si>
    <t>MARIA</t>
  </si>
  <si>
    <t>SOTHRIOS</t>
  </si>
  <si>
    <t>ΑΜ764153</t>
  </si>
  <si>
    <t>892-891-882-888-889-890-826-828-871-870-872-854-856-852-847-822-845-846-851-848-853-858-859-850-857-823-824-816-817-818-819-820-815-829-827-861-867-875-862-830-865-831-864-843-832-860-825-855-849-883-884-885-842-841-840-836-837-838-835-866-887-886-896-894-895-879-869-877-876-878-833-874-873-863</t>
  </si>
  <si>
    <t>ΖΑΠΑΝΤΙΩΤΗ</t>
  </si>
  <si>
    <t>ΧΡΥΣΑΝΘΗ</t>
  </si>
  <si>
    <t>ΑΗ125016</t>
  </si>
  <si>
    <t>853-854-855-848-846-847-849-850-852-857-851-858-859-845-856-870-871-872-815-823-824-828-821-822-820-827-825-826-829-837-840-841-836-835-842</t>
  </si>
  <si>
    <t>ΑΠΟΣΤΟΛΑΚΗ</t>
  </si>
  <si>
    <t>Τ076673</t>
  </si>
  <si>
    <t>815-818-850-857-858-870-871-872</t>
  </si>
  <si>
    <t>ΧΑΛΙΜΟΥ</t>
  </si>
  <si>
    <t>ΑΚ672541</t>
  </si>
  <si>
    <t>1301,5</t>
  </si>
  <si>
    <t>851-845-848-853-850-849-857-852-821-822-847-846-854-855-858-859-856-823-824-870-872-871-828-820-829-827-826-825-815-833-818-876-877-878-873-874</t>
  </si>
  <si>
    <t>ΒΕΝΑΚΗ</t>
  </si>
  <si>
    <t>Χ771314</t>
  </si>
  <si>
    <t>1299,5</t>
  </si>
  <si>
    <t>835-842-841-840-838-839-836-837</t>
  </si>
  <si>
    <t>ΜΩΡΑΚΗ</t>
  </si>
  <si>
    <t>ΑΒ546140</t>
  </si>
  <si>
    <t>871-872-828-870</t>
  </si>
  <si>
    <t>ΑΡΑΧΩΒΑ</t>
  </si>
  <si>
    <t>Ρ773023</t>
  </si>
  <si>
    <t>815-816-819-820-821-822-823-824-825-826-827-828-829-830-831-833-834-835-836-837-838-840-841-842-844-845-846-847-848-849-850-851-852-853-854-855-856-857-858-859-860-861-862-863-865-866-867-868-869-870-871-872-875-876-877-879</t>
  </si>
  <si>
    <t>ΜΑΛΑΚΟΖΗ</t>
  </si>
  <si>
    <t>ΒΑΡΣΑΜΗΣ</t>
  </si>
  <si>
    <t>ΑΑ384646</t>
  </si>
  <si>
    <t>1296,5</t>
  </si>
  <si>
    <t>841-838-840-839-835-842-837-847-846-836-843-862-861-830-876-875-871-870-872-816-818-819-817-815-821-822-826-828-829-854-850-853-848-857-856-858-859-879-844-833-823-824-825-845-863-865-852-855-851-849-869-868-867-874-877-878-860-864-866-831-832-834</t>
  </si>
  <si>
    <t>ΠΑΠΑΔΗΜΟΥ</t>
  </si>
  <si>
    <t>ΙΦΙΓΕΝΕΙΑ</t>
  </si>
  <si>
    <t>ΑΕ708263</t>
  </si>
  <si>
    <t>816-817-818-831-833-834-843-844-860-861-863-865-867-873-876-815-819-820-821-822-823-824-825-826-827-828-829-830-832-835-836-837-838-839-840-841-842-845-846-847-848-849-850-851-852-853-854-855-856-857-858-859-862-864-866-868-869-870-871-874-875-877-878-879</t>
  </si>
  <si>
    <t>ΠΑΣΙΑΚΟΥ</t>
  </si>
  <si>
    <t>ΑΒ499215</t>
  </si>
  <si>
    <t>992,2</t>
  </si>
  <si>
    <t>1293,2</t>
  </si>
  <si>
    <t>831-875-862-819-844-830-835-836-837-838-840-841-842-820-824-825-826-828-847-858-859-870-872-815-821-823-827-845-846-848-849-850-851-852-853-854-855-856-857-866-879-880-878-877-876-864-863-833-816-832-860-867-861-865-818-817</t>
  </si>
  <si>
    <t>ΣΚΡΙΜΠΑ</t>
  </si>
  <si>
    <t>Ρ899479</t>
  </si>
  <si>
    <t>705,1</t>
  </si>
  <si>
    <t>1293,1</t>
  </si>
  <si>
    <t>839-840-837-838-842-841-835-862-844-830-816-875-843-817-861</t>
  </si>
  <si>
    <t>ΚΑΜΠΙΣΟΠΟΥΛΟΥ</t>
  </si>
  <si>
    <t>ΑΖ212736</t>
  </si>
  <si>
    <t>819,5</t>
  </si>
  <si>
    <t>1292,5</t>
  </si>
  <si>
    <t>815-822-826-828-835-837-838-840-841-842-846-847-848-850-853-854-857-858-862-871-870-872-875-876-877-865-863-861-859-856-852-851-845-844-833-836-830-827-824-823-821-820-819-818-816-829-832-839-849-855-868-817-825-843-897-879-878-874-873-869-866-864-860-834-831-867</t>
  </si>
  <si>
    <t>ΧΑΡΤΟΜΑΤΣΙΔΟΥ</t>
  </si>
  <si>
    <t>ΕΥΤΥΧΙΑ</t>
  </si>
  <si>
    <t>ΑΖ369646</t>
  </si>
  <si>
    <t>868-869-876-877-873-874-833-863-864-878-832-860-866-867-879-897-816-817-818-819-830-831-834-843-844-861-862-865-875-836-837-838-839-840-841-842-835-815-820-821-822-823-824-825-826-827-828-829-845-846-847-848-849-850-851-852-853-854-855-856-857-858-859-870-871-872</t>
  </si>
  <si>
    <t>ΠΑΣΧΑΛΗ</t>
  </si>
  <si>
    <t>ΑΖ152439</t>
  </si>
  <si>
    <t>842-841-840-835-836-837-838-839-815-821-822-826-828-829-846-847-848-850-852-853-854-856-857-858-859-862-870-871-872-816-817-818-830-843-861-875-876</t>
  </si>
  <si>
    <t>ΚΑΡΑΝΙΚΑ</t>
  </si>
  <si>
    <t>ΑΗ794841</t>
  </si>
  <si>
    <t>841-838-842-837-836-839-840-835-869-868-834-843-862-860-875-818-816-876-859-858-852-847-846-828-821-822-848-850-856-857-853-854-826-829-872-871-870-830-817-861-819-820-815-823-851-824-845-833-878-877-873-874-865-864-863-844-832</t>
  </si>
  <si>
    <t>ΜΠΑΣΙΟΥ</t>
  </si>
  <si>
    <t>ΑΙ251489</t>
  </si>
  <si>
    <t>843-835-836-837-838-839-840-841-842-844-862-875-816-817-818-819-815-830-820-821-822-823-824-825-826-827-828-829-833-845-846-847-848-849-850-851-852-853-855-854-856-857-858-859-861-865-863-871-872-876-877</t>
  </si>
  <si>
    <t>ΑΝΑΓΝΩΠΟΥΛΟΥ</t>
  </si>
  <si>
    <t>ΝΙΚΟΛΙΑ</t>
  </si>
  <si>
    <t>Χ840759</t>
  </si>
  <si>
    <t>1284,5</t>
  </si>
  <si>
    <t>815-854-828-870-871-822-826-853-847-846-848-818-839-838</t>
  </si>
  <si>
    <t>ΣΑΒΒΙΔΟΥ</t>
  </si>
  <si>
    <t>ΣΥΜΕΛΑ</t>
  </si>
  <si>
    <t>Χ390890</t>
  </si>
  <si>
    <t>830,5</t>
  </si>
  <si>
    <t>1283,5</t>
  </si>
  <si>
    <t>828-841-838-840-842-870-871-818-853-854-837-835-826-847-850-830-836-862-875-876-816-872-821-822-827-846-848-852-856-857-858-859-860-863-864-865-866-867-869-873-874-877-878-879-861-831-833-834-844-851-824-823-820-839-817-829-868-897-832-855-845-825</t>
  </si>
  <si>
    <t>ΜΑΗ</t>
  </si>
  <si>
    <t>ΡΟΥΜΠΙΝΗ</t>
  </si>
  <si>
    <t>ΕΠΑΜΕΙΝΩΝΔΑΣ</t>
  </si>
  <si>
    <t>Π832348</t>
  </si>
  <si>
    <t>861,3</t>
  </si>
  <si>
    <t>1281,3</t>
  </si>
  <si>
    <t>823-856-827-845-846-847-848-851-821-822-859</t>
  </si>
  <si>
    <t>ΟΡΦΑΝΟΥ</t>
  </si>
  <si>
    <t>ΑΕ980403</t>
  </si>
  <si>
    <t>1280,3</t>
  </si>
  <si>
    <t>830-828-815-854-850-826-853-847-846-848-857-822-858-859-871-870-872-875-821-852-856-841-838-840-842-835-837-836-839-829-819-862-855-851-849-845-820-823-825-824-827</t>
  </si>
  <si>
    <t>ΧΡΗΣΤΟΥΛΑ</t>
  </si>
  <si>
    <t>Ρ463523</t>
  </si>
  <si>
    <t>841-840-838-835-842-837-846-847-836-844-869-862-870-828-854-871-822-826-848-850-853-857-858-872-815-821-823-824-830-852-856-859-861-875-816-818-876</t>
  </si>
  <si>
    <t>ΝΤΑΣΣΟΥ</t>
  </si>
  <si>
    <t>ΑΒ088428</t>
  </si>
  <si>
    <t>843-835-836-837-840-841-842-838-839-844-862-831-875</t>
  </si>
  <si>
    <t>ΣΤΕΦΑΝΙΔΟΥ</t>
  </si>
  <si>
    <t>ΣΟΝΙΑ</t>
  </si>
  <si>
    <t>ΑΖ820367</t>
  </si>
  <si>
    <t>1279,5</t>
  </si>
  <si>
    <t>ΟΙΚΟΝΟΜΑΚΗ</t>
  </si>
  <si>
    <t>ΑΒ967492</t>
  </si>
  <si>
    <t>1278,5</t>
  </si>
  <si>
    <t>842-838-835-837-840-841-836-839-828-815-822-846-847-848-850-853-854-857-858-826-829-870-871-872-852-859-863-864-833-873-874-876-877-878-862-817-816-818-821-830-856-861-875-819-820-823-824-825-843-844-845-849-851-855-865-831-832-834-860-866-867-868-869-879</t>
  </si>
  <si>
    <t>ΡΑΜΠΑΒΙΛΑ</t>
  </si>
  <si>
    <t>ΝΙΚΟΛΙΤΣΑ</t>
  </si>
  <si>
    <t>ΕΥΘΙΜΙΟΣ</t>
  </si>
  <si>
    <t>Τ264975</t>
  </si>
  <si>
    <t>818-825-826-836-837-841-828-815</t>
  </si>
  <si>
    <t>ΣΚΟΤΡΑΣ</t>
  </si>
  <si>
    <t>ΑΒ746341</t>
  </si>
  <si>
    <t>689,7</t>
  </si>
  <si>
    <t>1277,7</t>
  </si>
  <si>
    <t>841-842-838-840-839-835-837-836-828-826-822-815-829-825-846-877-845-850-853-854-855-856-857-858-859-871-870-820-821-823-824-848-849-851-852-872-868-869-817-862-843-818-830-876-867-865-861-863-844-819-816-834-833-874-873-878-864-860-831-832-866-879-827-897</t>
  </si>
  <si>
    <t>ΓΚΙΟΛΙΑ</t>
  </si>
  <si>
    <t>ΑΝΤΙΓΟΝΗ</t>
  </si>
  <si>
    <t>Φ239330</t>
  </si>
  <si>
    <t>1277,5</t>
  </si>
  <si>
    <t>831-875-862-844-828-846-847-853-854-870-871-838</t>
  </si>
  <si>
    <t>Χ376338</t>
  </si>
  <si>
    <t>844-862-875-841-845-846-847-842-850-853-854-826-828-840-836-821-835-856-864-857-858-859-827-830-861-848-855-870-871-872-837-838-839-876-815-816-817-818-833-834-822</t>
  </si>
  <si>
    <t>ΚΟΝΤΟΝΑΣΙΟΥ</t>
  </si>
  <si>
    <t>ΑΧΙΛΛΕΑΣ</t>
  </si>
  <si>
    <t>ΑΑ430302</t>
  </si>
  <si>
    <t>1273,5</t>
  </si>
  <si>
    <t>819-830-862-820-821-822-823-824-827-828-829-833-835-836-837-838-839-840-841-842-845-846-847-848-849-850-851-852-853-854-855-856-857-858-859-860-871-872-873-874-876-877-878</t>
  </si>
  <si>
    <t>ΝΕΑΜΟΝΙΤΗ</t>
  </si>
  <si>
    <t>ΑΖ435381</t>
  </si>
  <si>
    <t>879-843-841-839-842-840-835-836-838-862-844-819-897</t>
  </si>
  <si>
    <t>ΝΤΖΑΝΗ</t>
  </si>
  <si>
    <t>ΓΕΡΑΣΙΜΟΣ</t>
  </si>
  <si>
    <t>ΑΑ303592</t>
  </si>
  <si>
    <t>828-846-847-848-857-853-855-858-859-845-850-849-851-852-870-871-856</t>
  </si>
  <si>
    <t>ΓΙΑΝΝΑΚΗ</t>
  </si>
  <si>
    <t>ΠΗΝΕΛΟΠΗ</t>
  </si>
  <si>
    <t>ΓΡΗΓΟΡΙΟΣ</t>
  </si>
  <si>
    <t>ΑΕ249090</t>
  </si>
  <si>
    <t>1268,5</t>
  </si>
  <si>
    <t>818-843-821-822-823-824-827-829-845-846-850-851-852-853-855-857-858-859-834-835-836-837-838-840-841-842</t>
  </si>
  <si>
    <t>ΠΑΠΗ</t>
  </si>
  <si>
    <t>Ρ453387</t>
  </si>
  <si>
    <t>1267,9</t>
  </si>
  <si>
    <t>828-822-847-853-854-815-870-871-850-826-821-823-824-825-846-848-876-872-852-856-857-858-859-877-855-851-849-833-845-827</t>
  </si>
  <si>
    <t>ΒΑΡΕΜΕΝΟΥ</t>
  </si>
  <si>
    <t>ΑΚ353491</t>
  </si>
  <si>
    <t>1267,5</t>
  </si>
  <si>
    <t>821-823-850-852-851-859-871-870-872-854-848-847-846-845-828-824-822-820-815-857-858-855-849-829-825-827-826-853-856</t>
  </si>
  <si>
    <t>ΛΑΖΑΡΙΔΗ</t>
  </si>
  <si>
    <t>Χ865539</t>
  </si>
  <si>
    <t>1263,5</t>
  </si>
  <si>
    <t>ΒΑΣΙΛΕΙΟΥ</t>
  </si>
  <si>
    <t>ΑΗ288966</t>
  </si>
  <si>
    <t>833-843-876</t>
  </si>
  <si>
    <t>ΨΑΡΡΟΥ</t>
  </si>
  <si>
    <t>ΑΡΤΕΜΙΟΣ</t>
  </si>
  <si>
    <t>ΑΗ943038</t>
  </si>
  <si>
    <t>1262,5</t>
  </si>
  <si>
    <t>853-828-847-854-858-846-850-859-822-821-856-857-852-851-823-830-820-845-815-871-872</t>
  </si>
  <si>
    <t>ΑΒΡΑΜΟΠΟΥΛΟΣ</t>
  </si>
  <si>
    <t>ΟΔΥΣΣΕΥΣ</t>
  </si>
  <si>
    <t>ΑΚ338709</t>
  </si>
  <si>
    <t>1257,5</t>
  </si>
  <si>
    <t>849-825-855-829-817-815-818-822-828-843</t>
  </si>
  <si>
    <t>ΓΚΛΑΒΟΠΟΥΛΟΣ</t>
  </si>
  <si>
    <t>ΑΖ390733</t>
  </si>
  <si>
    <t>1253,5</t>
  </si>
  <si>
    <t>835-836-837-838-839-840-841-842-843</t>
  </si>
  <si>
    <t>ΑΠΟΣΤΟΛΟΠΟΥΛΟΣ</t>
  </si>
  <si>
    <t>ΑΕ716377</t>
  </si>
  <si>
    <t>665,5</t>
  </si>
  <si>
    <t>822-849-850-851-852-854-857-858-859-828-848-870-871</t>
  </si>
  <si>
    <t>ΑΜΑΝΑΤΙΔΟΥ</t>
  </si>
  <si>
    <t>ΤΗΛΕΜΑΧΟΣ</t>
  </si>
  <si>
    <t>ΑΚ928201</t>
  </si>
  <si>
    <t>1252,7</t>
  </si>
  <si>
    <t>ΣΤΕΦΟΥ</t>
  </si>
  <si>
    <t>ΑΖ047411</t>
  </si>
  <si>
    <t>1084,6</t>
  </si>
  <si>
    <t>1252,6</t>
  </si>
  <si>
    <t>ΚΡΑΣΣΑ</t>
  </si>
  <si>
    <t>ΑΑ422767</t>
  </si>
  <si>
    <t>962,5</t>
  </si>
  <si>
    <t>1252,5</t>
  </si>
  <si>
    <t>851-850-857-856-846-847-823-821-822-854-853-871-872-859-858-870-826-852-828-815-848</t>
  </si>
  <si>
    <t>ΜΑΝΤΖΙΟΥΤΑ</t>
  </si>
  <si>
    <t>Χ835385</t>
  </si>
  <si>
    <t>875-831-862-828-841-838-840-842-835-854-870-871-815-837-826-850-847-853-822-846-858-848-872-836-857-859-821-856-852-818-830-816-861-876-844-823-824-827-877-820-819-833-845-863-865-851</t>
  </si>
  <si>
    <t>ΜΠΑΛΑΦΑ</t>
  </si>
  <si>
    <t>ΑΕ283158</t>
  </si>
  <si>
    <t>1250,5</t>
  </si>
  <si>
    <t>858-859-846-847-856-854-853-852-850-828-815-826-840-841-842-835-837-838</t>
  </si>
  <si>
    <t>ΑΓΓΕΛΟΠΟΥΛΟΥ</t>
  </si>
  <si>
    <t>ΚΛΕΑΡΧΟΣ</t>
  </si>
  <si>
    <t>Σ810894</t>
  </si>
  <si>
    <t>846-847-858-854-853-850-848-857-828-822</t>
  </si>
  <si>
    <t>ΕΛΕΥΘΕΡΙΟΥ</t>
  </si>
  <si>
    <t>ΑΒ111195</t>
  </si>
  <si>
    <t>843-841-842-840-837-838-839-836-835-862-872-870-871-875-844-830-876-861-816-817-818-821-822-826-828-829-846-847-848-850-852-853-854-857-858-859</t>
  </si>
  <si>
    <t>ΦΟΥΝΤΟΥΚΙΔΟΥ</t>
  </si>
  <si>
    <t>ΝΕΚΤΑΡΙΑ</t>
  </si>
  <si>
    <t>Σ855293</t>
  </si>
  <si>
    <t>840-841-835-837-842-838</t>
  </si>
  <si>
    <t>ΜΠΟΥΤΖΙΑ</t>
  </si>
  <si>
    <t>ΠΑΝΤΕΛΗΣ</t>
  </si>
  <si>
    <t>ΑΜ217893</t>
  </si>
  <si>
    <t>826-843-828-815-821-822-829-846-847-848-850-852-853-854-856-857-858-859-870-871-872-823-824-825-845-851-855</t>
  </si>
  <si>
    <t>ΕΞΑΡΧΟΥ</t>
  </si>
  <si>
    <t>Χ363185</t>
  </si>
  <si>
    <t>ΜΑΡΘΑ</t>
  </si>
  <si>
    <t>Τ853128</t>
  </si>
  <si>
    <t>817-816</t>
  </si>
  <si>
    <t>ΑΝΔΡΙΟΠΟΥΛΟΥ</t>
  </si>
  <si>
    <t>ΑΕ555258</t>
  </si>
  <si>
    <t>846-847-848-849-850-851-852-854-855-828-815</t>
  </si>
  <si>
    <t>ΜΙΧΑΛΗ</t>
  </si>
  <si>
    <t>ΑΒ344016</t>
  </si>
  <si>
    <t>1247,5</t>
  </si>
  <si>
    <t>ΤΑΣΛΑΚΙΔΟΥ</t>
  </si>
  <si>
    <t>Χ566057</t>
  </si>
  <si>
    <t>871-870-872-854-829-815-828-850-852-853-826-858-859-846-847-822-821-856-857</t>
  </si>
  <si>
    <t>ΚΟΝΙΩΣΗ</t>
  </si>
  <si>
    <t xml:space="preserve">ΕΛΠΙΔΑ </t>
  </si>
  <si>
    <t>Χ105928</t>
  </si>
  <si>
    <t>1245,5</t>
  </si>
  <si>
    <t>870-871-872-828-829-846-847-815-848-849-850-853-858-859-854-855-857-845-851-852-856-827-825-826-820-821-822-823-824</t>
  </si>
  <si>
    <t>ΤΖΩΡΤΖΗ</t>
  </si>
  <si>
    <t>Τ911543</t>
  </si>
  <si>
    <t>1244,5</t>
  </si>
  <si>
    <t>862-838-839-840-835-837-842-841-843</t>
  </si>
  <si>
    <t>ΚΑΡΑΙΤΟΥ</t>
  </si>
  <si>
    <t>ΑΑ403959</t>
  </si>
  <si>
    <t>842-840-841-837-836-835-838-839-897-862</t>
  </si>
  <si>
    <t>ΛΕΜΨΕΟΓΛΟΥ</t>
  </si>
  <si>
    <t>ΑΒ491185</t>
  </si>
  <si>
    <t>875-862-815-821-822-828-829-826-846-847-848-850-852-853-854-856-857-858-859-835-836-837-838-839-840-841-842-870-871-872-830-816-817-818-861-843-876</t>
  </si>
  <si>
    <t>ΠΑΠΑΓΕΩΡΓΙΟΥ</t>
  </si>
  <si>
    <t>ΑΕ727288</t>
  </si>
  <si>
    <t>1029,6</t>
  </si>
  <si>
    <t>1242,6</t>
  </si>
  <si>
    <t>817-875-843-871-870-815-822-823-824-827-835-836-846-848-852-857-858-862-872-854-853-850-847-840-841-842-844-838-837-828-826</t>
  </si>
  <si>
    <t>ΣΤΑΘΟΚΩΣΤΑ</t>
  </si>
  <si>
    <t>Φ339713</t>
  </si>
  <si>
    <t>1065,9</t>
  </si>
  <si>
    <t>1240,9</t>
  </si>
  <si>
    <t>831-875-841-858-859-847-846-850-854-853-857-822-823-821-872-828-815-838-837-836-840-862</t>
  </si>
  <si>
    <t>ΣΤΕΡΓΙΟΥ</t>
  </si>
  <si>
    <t>Χ934333</t>
  </si>
  <si>
    <t>999,9</t>
  </si>
  <si>
    <t>828-854-870-871-872-815-822-826-846-847-848-850-853-857-858-862-837-838-841-840-842-835-816-818-861-821-852-856-859-836-875-830-876-823-827-824-869-844-865-834-820-851-845-833-860-863-819-831-864-866-867-873-874-877-878-879</t>
  </si>
  <si>
    <t>ΣΟΦΙΑΝΙΔΟΥ</t>
  </si>
  <si>
    <t>ΑΙ603849</t>
  </si>
  <si>
    <t>904,2</t>
  </si>
  <si>
    <t>1240,2</t>
  </si>
  <si>
    <t>825-826-827-828-829-871</t>
  </si>
  <si>
    <t>ΚΑΣΣΩΤΑΚΗ</t>
  </si>
  <si>
    <t>Σ210297</t>
  </si>
  <si>
    <t>871-828-854-870-872-826-815-822-846-847-848-857-858-853-829</t>
  </si>
  <si>
    <t>ΚΩΝΣΤΑΝΤΟΥΛΑ</t>
  </si>
  <si>
    <t>ΑΚ807108</t>
  </si>
  <si>
    <t>828-858-854-850-847-826-853-848-822-870-871-815-872-857-859-829-821-846-852-856-824-827-823-820-849-855-851-845-825</t>
  </si>
  <si>
    <t>ΚΥΡΙΑΚΗ</t>
  </si>
  <si>
    <t>Χ909447</t>
  </si>
  <si>
    <t>1238,5</t>
  </si>
  <si>
    <t>ΓΚΟΥΝΤΗ</t>
  </si>
  <si>
    <t>Π845135</t>
  </si>
  <si>
    <t>941,6</t>
  </si>
  <si>
    <t>1237,6</t>
  </si>
  <si>
    <t>816-817</t>
  </si>
  <si>
    <t>ΤΣΑΚΑΛΙΔΟΥ</t>
  </si>
  <si>
    <t>Χ836552</t>
  </si>
  <si>
    <t>832-815-826-829-850-862-872-848-837-841-844-840-842-843-846-847-816-830</t>
  </si>
  <si>
    <t>ΚΟΡΦΙΑΤΗ</t>
  </si>
  <si>
    <t>ΑΖ579926</t>
  </si>
  <si>
    <t>ΓΙΑΝΝΑΡΑΚΗ</t>
  </si>
  <si>
    <t>Σ164980</t>
  </si>
  <si>
    <t>1086,8</t>
  </si>
  <si>
    <t>1236,8</t>
  </si>
  <si>
    <t>846-847-848-850-852-854-849-857-858-856-828-829-821-822-859-820-827-845-824-815</t>
  </si>
  <si>
    <t>ΛΕΤΣΙΟΥ</t>
  </si>
  <si>
    <t>ΒΑΙΟΣ</t>
  </si>
  <si>
    <t>ΑΙ298550</t>
  </si>
  <si>
    <t>1236,5</t>
  </si>
  <si>
    <t>ΒΑΛΑΣΙΔΟΥ</t>
  </si>
  <si>
    <t>ΣΥΡΜΩ</t>
  </si>
  <si>
    <t>ΑΕ132389</t>
  </si>
  <si>
    <t>842,6</t>
  </si>
  <si>
    <t>1234,6</t>
  </si>
  <si>
    <t>841-838-840-842-839-837-835-836-828-826-815-846-850-853-854-862-870-871-875-843-817-816-821-822-829-830-848-856-857-858-859-861-872-876</t>
  </si>
  <si>
    <t>ΒΙΚΙΑ</t>
  </si>
  <si>
    <t>ΠΟΛΥΞΕΝΗ</t>
  </si>
  <si>
    <t>ΑΖ698726</t>
  </si>
  <si>
    <t>1234,5</t>
  </si>
  <si>
    <t>841-838-842-840-839-837-835-836-828-854-870-871-826-815-847-853-852-817-850-858-829-872-862-875-876-861-857-856-830-821-818</t>
  </si>
  <si>
    <t>ΒΑΣΛΑΣ</t>
  </si>
  <si>
    <t>Χ921258</t>
  </si>
  <si>
    <t>828-871-870-854-815-826-850-847-853-822-858-846-872-829-848-857-859-821-852-856-825-823-824-827-855-820-845-849-851-841-838-840-839-835-842-837-836-876-877-833-862</t>
  </si>
  <si>
    <t>ΤΣΙΡΩΝΗ</t>
  </si>
  <si>
    <t>ΑΑ380545</t>
  </si>
  <si>
    <t>1233,5</t>
  </si>
  <si>
    <t>843-834-842-841-872-782</t>
  </si>
  <si>
    <t>ΑΛΕΞΑΝΔΡΗ</t>
  </si>
  <si>
    <t>ΑΒ077802</t>
  </si>
  <si>
    <t>828-846-847-854-853-855-851-850-856-857-848-858-859-822-820-821-870-871-872-823-824-825-826-827-829</t>
  </si>
  <si>
    <t>ΚΡΙΚΕΛΛΟΠΟΥΛΟΥ</t>
  </si>
  <si>
    <t>ΑΕ311184</t>
  </si>
  <si>
    <t>862-844-841-838-840-839-835-842-837-836-843-831-816-817-818-819-830-832-833-834-860-861-863-864-865-866-867-873-874-875-876-877-878-879-868-869-870-871-872-828-854-850-815-826-822-858-847-846-845-849-853-851-852-855-856-857-859-823-824-825-829-821-820-848-827</t>
  </si>
  <si>
    <t>ΑΡΛΑΚΙΔΗΣ</t>
  </si>
  <si>
    <t>ΑΝΑΡΓΥΡΟΣ</t>
  </si>
  <si>
    <t>ΑΖ879800</t>
  </si>
  <si>
    <t>869-868-835-837-836-840-841-842-838-839-875</t>
  </si>
  <si>
    <t>ΚΑΖΝΕΣΗ</t>
  </si>
  <si>
    <t>ΒΑΣΙΛΕΙΑ</t>
  </si>
  <si>
    <t>ΑΑ392747</t>
  </si>
  <si>
    <t>828-841-838-835-842-840-854-870-871-826-839-850-815</t>
  </si>
  <si>
    <t>ΠΡΑΤΑΡΑΚΗ</t>
  </si>
  <si>
    <t>ΑΝ045012</t>
  </si>
  <si>
    <t>847-858-859-841-838-828-840-842-846-848-850-854-815-870-871-853-837-822-857</t>
  </si>
  <si>
    <t>Σ381479</t>
  </si>
  <si>
    <t>828-841-838-840-815-826-835-837-839-842-847-850-853-854-871-818-875-872-862-861-859-858-857-856-852-848-845-843-836-830-829-822-821-817-816-876</t>
  </si>
  <si>
    <t>ΝΤΑΜΟΤΣΙΔΗ</t>
  </si>
  <si>
    <t>ΓΚΟΥΡΑΜ</t>
  </si>
  <si>
    <t>ΑΑ492271</t>
  </si>
  <si>
    <t>ΜΑΥΡΟΜΑΤΙΔΗ</t>
  </si>
  <si>
    <t>Φ058247</t>
  </si>
  <si>
    <t>826-825-828-871-829-823-827</t>
  </si>
  <si>
    <t>ΣΟΦΙΑ ΑΘΗΝΑ</t>
  </si>
  <si>
    <t>ΑΑ046659</t>
  </si>
  <si>
    <t>841-838-840-839-835-842-837-836-843-828-854-870-871-850-826-815-853-847-858-822-846-848-872-829-857-859-852-856-821-823-824-827-825-855-851-845-820-849</t>
  </si>
  <si>
    <t>ΚΑΣΗ</t>
  </si>
  <si>
    <t>Χ774751</t>
  </si>
  <si>
    <t>837-836-841-840-835-838-839-842-862-843-875-830-876-816-872-870-871-815-847-846-850-853-854-828-826-821-822-848-852-856-857-858-859-829-818-817-861</t>
  </si>
  <si>
    <t>ΑΖ215465</t>
  </si>
  <si>
    <t>1010,9</t>
  </si>
  <si>
    <t>1222,9</t>
  </si>
  <si>
    <t>818-828-821-820-823-824-825-826-827-829-848-845-846-847-849-850-851-852-853-854-855-856-857-858-859-870-871-872-832-835-836-837-838-839-840-841-842-843-817-816-865-861-862-819-830-831-834-844-875-860-833-876-877-878-863-873-874-864-869-868-867-866-879</t>
  </si>
  <si>
    <t>1222,5</t>
  </si>
  <si>
    <t>ΓΟΥΛΑ</t>
  </si>
  <si>
    <t>ΑΑ310788</t>
  </si>
  <si>
    <t>1069,2</t>
  </si>
  <si>
    <t>1219,2</t>
  </si>
  <si>
    <t>815-816-817-818-819-820-821-822-823-824-825-826-827-828-829-830-831-832-833-834-835-836-837-838-839-840-841-842-843-844-845-846-847-848-849-850-851-852-853-854-855-856-857-858-859-860-861-862-863-864-865-866-867-868-869-870-871-872-873-874-875-876-877-878-879-897</t>
  </si>
  <si>
    <t>ΝΤΑΠΤΑΚΗ</t>
  </si>
  <si>
    <t>ΠΛΟΥΤΑΡΧΟΣ</t>
  </si>
  <si>
    <t>ΑΗ916963</t>
  </si>
  <si>
    <t>841-839-838-840-837-842-835-828-815-826-847-850-853-854-870-871-822-846-848-852-856-857-858-859-872-829-875-843-862-861-817-816</t>
  </si>
  <si>
    <t>ΚΑΤΣΙΚΑΔΗ</t>
  </si>
  <si>
    <t>ΑΖ137325</t>
  </si>
  <si>
    <t>828-870-854-871-815-826-846-847-848-850-857-853-858-872-822-829-821-856-852-859-825-824-827-823-845-849-851-855-820</t>
  </si>
  <si>
    <t>ΤΣΙΛΕΔΑΚΗ</t>
  </si>
  <si>
    <t>ΙΩΣΗΦ</t>
  </si>
  <si>
    <t>Φ345901</t>
  </si>
  <si>
    <t>875,6</t>
  </si>
  <si>
    <t>1218,6</t>
  </si>
  <si>
    <t>876-877-878-833-835-836-837-838-839-840-841-821-822-826-828-829-846-847-848-850-852-853-854</t>
  </si>
  <si>
    <t xml:space="preserve">ΠΟΥΛΗΜΕΝΟΥ </t>
  </si>
  <si>
    <t>Σ716721</t>
  </si>
  <si>
    <t>828-826-871-870-872-850-853-841-840-842-838-835-837-858-859-862-848-857-822-815-817-875-818-816-821-830-836-839-843-852-856-861-847-823-824-820-845-851-819-834-831-844-867-869-879-860-866-832-874-833-873-827-863-864-868-865</t>
  </si>
  <si>
    <t>ΔΗΜΑΚΗ</t>
  </si>
  <si>
    <t>ΑΚ421838</t>
  </si>
  <si>
    <t>897-841-838-840-835-839-842-837-862-828-826-847-843-836-848-850-815-854-853-857-858-870-871-872-852-856-859-875-861-876-817-846-816-818-844-819-820-823-824-825-845-849-877-865-851-855-863</t>
  </si>
  <si>
    <t>ΝΑΝΟ</t>
  </si>
  <si>
    <t>ΕΡΙΝΤΑ</t>
  </si>
  <si>
    <t>ΧΑΜΙΤ</t>
  </si>
  <si>
    <t>ΑΗ883220</t>
  </si>
  <si>
    <t>1215,5</t>
  </si>
  <si>
    <t>ΒΑΛΟΓΙΑΝΝΗ</t>
  </si>
  <si>
    <t>ΑΒ766870</t>
  </si>
  <si>
    <t>729,3</t>
  </si>
  <si>
    <t>1215,3</t>
  </si>
  <si>
    <t>870-871-872-867-879-815-820-821-822-823-824-825-856-827-828-829-844-846-847-848-849-850-851-852-853-854-855-857-858-859-860-866</t>
  </si>
  <si>
    <t>ΠΑΚΟΥ</t>
  </si>
  <si>
    <t>Π167585</t>
  </si>
  <si>
    <t>1052,7</t>
  </si>
  <si>
    <t>1213,7</t>
  </si>
  <si>
    <t>ΣΥΡΑΚΟΥ</t>
  </si>
  <si>
    <t>Σ584806</t>
  </si>
  <si>
    <t>1211,5</t>
  </si>
  <si>
    <t>871-872-870-854-828-847-846-848-850-829</t>
  </si>
  <si>
    <t>ΜΠΑΚΑΣ</t>
  </si>
  <si>
    <t>ΑΚ364131</t>
  </si>
  <si>
    <t>1209,5</t>
  </si>
  <si>
    <t>828-829-826-817-854-858-871-853-846-816</t>
  </si>
  <si>
    <t>ΕΥΓΕΝΙΑ</t>
  </si>
  <si>
    <t>ΑΑ436016</t>
  </si>
  <si>
    <t>940,5</t>
  </si>
  <si>
    <t>863-833-871-872-870-853-854-850-848-857-856-847-846-845-851-852-815-822-821-828-826-824-823-859-858-820-876-877-816-818-865-861-862-844-830-819-875-841-840-842-838-837-836-835-849-829-825-827-817-866</t>
  </si>
  <si>
    <t>ΚΑΒΒΑΔΑΣ</t>
  </si>
  <si>
    <t>ΑΜ177615</t>
  </si>
  <si>
    <t>822-821-828-858-859-852-826-853-829-871-850-846-847-857-848-815-854-872-870-856-816-817-818-842-840-841-835-836-837-838-839-875-876-862-861-843-830-845-851-823-820-825-849-824-855-877-878-833-873-874-863-864-819-865-860-832-868-844-834-831-867-869-879-866-827</t>
  </si>
  <si>
    <t>ΧΑΡΑΛΑΜΠΙΔΟΥ</t>
  </si>
  <si>
    <t>Χ175729</t>
  </si>
  <si>
    <t>826-828-854-857-853-848-850</t>
  </si>
  <si>
    <t>ΚΑΡΑΚΩΣΤΑ</t>
  </si>
  <si>
    <t>ΑΒ198843</t>
  </si>
  <si>
    <t>1202,9</t>
  </si>
  <si>
    <t>828-870-871-854-815-850-847-853-822-846-858-848-872-857-859-875-856-823-824-852-855-819-820-821-845-849-851</t>
  </si>
  <si>
    <t>ΚΟΥΝΗ</t>
  </si>
  <si>
    <t>ΑΒ510469</t>
  </si>
  <si>
    <t>1050,5</t>
  </si>
  <si>
    <t>1200,5</t>
  </si>
  <si>
    <t>815-828-854-846-847-848-853-858-859-850-857-852-856-821-822</t>
  </si>
  <si>
    <t>ΚΟΥΚΟΥΛΑΚΗΣ</t>
  </si>
  <si>
    <t>ΑΙ970564</t>
  </si>
  <si>
    <t>876-877-878-873-874-833</t>
  </si>
  <si>
    <t>ΜΠΡΟΥΤΣΟΥ</t>
  </si>
  <si>
    <t>ΑΖ761598</t>
  </si>
  <si>
    <t>835-836-837-838-839-840-841-842-862-816-844-843-831-830-875-821-822-826-828-829-846-847-848-850-852-853-854-856-857-858-859-871-872-845-849-851-820-823-824-825-827-870-876-877-878-833-863-864-873-874-832-834-817-868-869-861-865-860-866-879-867</t>
  </si>
  <si>
    <t>ΜΠΟΥΛΟΥΓΑΡΗ</t>
  </si>
  <si>
    <t>Χ287835</t>
  </si>
  <si>
    <t>804,1</t>
  </si>
  <si>
    <t>1199,1</t>
  </si>
  <si>
    <t>828-826-817-815-818-853-854-850-848-861-870-871</t>
  </si>
  <si>
    <t>ΡΟΜΠΟΓΙΑΝΝΑΚΗ</t>
  </si>
  <si>
    <t>ΛΕΑΝΔΡΟΣ</t>
  </si>
  <si>
    <t>Φ253823</t>
  </si>
  <si>
    <t>876-833-863-877</t>
  </si>
  <si>
    <t>ΜΑΓΓΑΝΙΑΡΗΣ</t>
  </si>
  <si>
    <t>ΑΙ596641</t>
  </si>
  <si>
    <t>822-823-824-821-820</t>
  </si>
  <si>
    <t>ΖΕΡΒΟΥ</t>
  </si>
  <si>
    <t>ΜΑΝΩΛΙΑ</t>
  </si>
  <si>
    <t>ΑΖ970620</t>
  </si>
  <si>
    <t>1013,1</t>
  </si>
  <si>
    <t>1195,1</t>
  </si>
  <si>
    <t>ΞΕΡΑ</t>
  </si>
  <si>
    <t>ΚΩΝΣΤΑΝΤΙΝΙΑ</t>
  </si>
  <si>
    <t>ΑΚ385014</t>
  </si>
  <si>
    <t>1194,8</t>
  </si>
  <si>
    <t>828-841-838-840-870-871-854-842-835-850-815-826-837-853-847-858-822-846-848-872-862-857-859-836-875-852-856-821-830-861-816-818-876-823-824-827-877-844-865-820-845-851-819-833-863</t>
  </si>
  <si>
    <t>ΓΑΛΑΝΟΠΟΥΛΟΥ</t>
  </si>
  <si>
    <t>ΜΑΡΙΝΑ ΚΥΡΙΑΚΟΥΛΑ</t>
  </si>
  <si>
    <t>ΑΜ327479</t>
  </si>
  <si>
    <t>826-825-828-827-829-871-872-870-856-851-857-846-847-854-855-845-848-853-850-849-852-858-859-823-824-821-822-820-815-817-819-816-818-875-831-830-861-862-865</t>
  </si>
  <si>
    <t>ΦΛΥΤΖΑΝΗ</t>
  </si>
  <si>
    <t>ΓΡΑΜΜΑΤΙΚΗ</t>
  </si>
  <si>
    <t>ΑΙ640401</t>
  </si>
  <si>
    <t>871-872-870-845-828-853-848-847-815-821-823-855-854-851-822-859-858-825-826-852-849-850-856-857-846-827-824-829</t>
  </si>
  <si>
    <t>ΔΗΜΑΚΟΠΟΥΛΟΥ</t>
  </si>
  <si>
    <t>Ρ268404</t>
  </si>
  <si>
    <t>756-755-754-753-818-772-752-751-816-865-805-861-828-826-822-829-854-850-853-847-846-815-817-768-821-823-824-825-827-848-845-852-856-857-858-859-855-851-849-820-757-758-759-760-764-765-786-785-787-788-789-790-791-792-793-794-795-796-769-770-801-819-830-843-862-870-871-872-838-835-841-840-839-842-875-844-837-836-813-800-784-783-781-782-780-779-778-814-773-774-775-776-777-798-797-802-803-832-831-833-876-877-771-812-806-860-863-866-867-879-762-763-766-767-799-804-807-808-809-810-811-834-868-869</t>
  </si>
  <si>
    <t>ΝΤΑΜΠΟΥΡΑ</t>
  </si>
  <si>
    <t>ΣΤΕΡΓΙΑΝΗ</t>
  </si>
  <si>
    <t>ΑΜ812508</t>
  </si>
  <si>
    <t>862-835-875-836-837-838-839-840-841-842-870-871-872-817-815-821-822-828-829-847-848-850-853-854-857-858-859</t>
  </si>
  <si>
    <t>ΑΗ706097</t>
  </si>
  <si>
    <t>818-817-815-816-826-827-822-828-830-829-859-862-848-850-853-852-856-839-840-841-842-846-847-835-838-870-871-872-875-861-851-855</t>
  </si>
  <si>
    <t>ΜΑΝΤΑΣ</t>
  </si>
  <si>
    <t>ΑΙ567019</t>
  </si>
  <si>
    <t>1192,5</t>
  </si>
  <si>
    <t>ΣΑΜΑΡΑ</t>
  </si>
  <si>
    <t>ΑΒ160693</t>
  </si>
  <si>
    <t>ΧΑΡΙΤΑΚΗ</t>
  </si>
  <si>
    <t>ΖΗΝΟΒΙΑ</t>
  </si>
  <si>
    <t>ΑΒ186377</t>
  </si>
  <si>
    <t>873-874-876-878-877-833-864</t>
  </si>
  <si>
    <t>ΑΤΜΑΤΣΙΔΗ</t>
  </si>
  <si>
    <t>ΑΑ242210</t>
  </si>
  <si>
    <t>1030,7</t>
  </si>
  <si>
    <t>1191,7</t>
  </si>
  <si>
    <t>836-837-838-840-841-842</t>
  </si>
  <si>
    <t>ΣΤΟΦΟΡΙΔΗ</t>
  </si>
  <si>
    <t>ΑΘΗΝΑ</t>
  </si>
  <si>
    <t>Χ870888</t>
  </si>
  <si>
    <t>815-838-839-841-842-836-837-868-869-854-855-853-828-858-846-847-849-850-851-825-821-822-823-824-845-852-856-857-829-859-871-872-870-835-848</t>
  </si>
  <si>
    <t>Χ799095</t>
  </si>
  <si>
    <t>818-815-822-826-828-846-847-848-850-853-854-857-858-859-870-871-872</t>
  </si>
  <si>
    <t>ΛΙΑΚΟΠΟΥΛΟΥ</t>
  </si>
  <si>
    <t>Χ273169</t>
  </si>
  <si>
    <t>846-847-858-859-852-853-848-856-857-850-854-821-822-826-828-870-871-872</t>
  </si>
  <si>
    <t>ΔΡΑΓΑΤΣΙΚΗ</t>
  </si>
  <si>
    <t>ΑΖ267197</t>
  </si>
  <si>
    <t>1189,5</t>
  </si>
  <si>
    <t>ΜΟΚΑ</t>
  </si>
  <si>
    <t>ΦΑΝΗ</t>
  </si>
  <si>
    <t>ΛΑΜΠΡΟΣ</t>
  </si>
  <si>
    <t>ΑΑ431930</t>
  </si>
  <si>
    <t>862-839-841-838-840-836-837-842-835</t>
  </si>
  <si>
    <t>ΔΡΑΚΟΥΛΗ</t>
  </si>
  <si>
    <t>ΛΥΔΙΑ</t>
  </si>
  <si>
    <t>ΑΕ686354</t>
  </si>
  <si>
    <t>840-836-837-841-842-838</t>
  </si>
  <si>
    <t>ΤΑΤΣΙΟΥ</t>
  </si>
  <si>
    <t>ΑΕ796677</t>
  </si>
  <si>
    <t>1187,5</t>
  </si>
  <si>
    <t>844-862-834-875-843-819-830-817-816-818-831-832-868-869-861-863-865-835-836-837-838-839-840-841-842-845-846-847-848-849-850-851-852-853-854-855-856-857-858-859-820-821-822-823-824-825-826-827-828-829-870-871-772-877-815-833</t>
  </si>
  <si>
    <t>ΠΑΝΤΑΖΟΠΟΥΛΟΥ</t>
  </si>
  <si>
    <t>Σ939501</t>
  </si>
  <si>
    <t>828-815-826-847-850-854-870-871-841-838-840-839-842-837-835-853</t>
  </si>
  <si>
    <t>ΤΣΕΓΓΕΝΕ</t>
  </si>
  <si>
    <t>ΑΒ616537</t>
  </si>
  <si>
    <t>815-823-826-828-846-847-848-850-851-852-853-854-856-870-871-876-877-878-833-835-836-837-838-840-841-842-830-816</t>
  </si>
  <si>
    <t>ΤΩΡΑ</t>
  </si>
  <si>
    <t>ΑΗ436395</t>
  </si>
  <si>
    <t>879-828-838-841-840-854-858-842-870-871-850-839-835-859-857-847-846-837-836-829-826-822-821-815</t>
  </si>
  <si>
    <t>ΚΑΚΟΥ</t>
  </si>
  <si>
    <t>ΑΗ221502</t>
  </si>
  <si>
    <t>1183,8</t>
  </si>
  <si>
    <t>815-816-817-818-819-820-821-822-823-824-825-826-827-828-829-830-833-835-836-837-838-839-840-841-842-843-844-845-846-847-848-849-850-851-852-853-854-855-856-857-858-859-861-862-863-865-870-871-872-875-876-877</t>
  </si>
  <si>
    <t>ΣΚΟΠΑΣ</t>
  </si>
  <si>
    <t>ΑΘΑΝΑΣΙΟΣ-ΗΛΙΑΣ</t>
  </si>
  <si>
    <t>ΑΙ683017</t>
  </si>
  <si>
    <t>846-847-828-854-853-850-826-848-858-859-857-856-852</t>
  </si>
  <si>
    <t>ΚΑΡΑΔΗΜΑ</t>
  </si>
  <si>
    <t>ΑΜ325279</t>
  </si>
  <si>
    <t>1006,5</t>
  </si>
  <si>
    <t>1181,5</t>
  </si>
  <si>
    <t>823-824-845-846-847-848-850-851-853-854</t>
  </si>
  <si>
    <t>ΔΑΝΙΟΥ</t>
  </si>
  <si>
    <t>ΑΖ848545</t>
  </si>
  <si>
    <t>1027,4</t>
  </si>
  <si>
    <t>1181,4</t>
  </si>
  <si>
    <t>841-838-840-842-835-836-837-839-876-828-826-815-821-822-829-846-847-850-853-854-856-857-848-852-858-859-870-871-872-862-816-818-875-830-861</t>
  </si>
  <si>
    <t>ΚΟΛΟΚΥΘΑ</t>
  </si>
  <si>
    <t>ΤΡΙΑΝΤΑΦΥΛΛΙΑ</t>
  </si>
  <si>
    <t>Χ332316</t>
  </si>
  <si>
    <t>1180,9</t>
  </si>
  <si>
    <t>831-841-828-838-840-839-835-842-854-870-871-815-826-837-850-847-853-822-846-858-829-848-872-862-857-817-836-859-875-816-818-821-830-843-852-856-861-876-823-824-825-827-844-855-819-820-833-845-849-851-863-865-877-869-832-834-860-866-867-868-879-864-873-874-878</t>
  </si>
  <si>
    <t>ΜΑΖΑΝΑΚΗ</t>
  </si>
  <si>
    <t>ΑΗ474606</t>
  </si>
  <si>
    <t>ΑΛΕΞΑΚΗ</t>
  </si>
  <si>
    <t>Σ763608</t>
  </si>
  <si>
    <t>838-842-840-841-835-837-836-839</t>
  </si>
  <si>
    <t>ΜΟΤΣΙΑΝΟΥ</t>
  </si>
  <si>
    <t>ΑΚ837331</t>
  </si>
  <si>
    <t>815-854-858-859-848-845-853-852-846-847-850-857-855-872-851-870-871-856-823-822-821-827-828-824-826-825-820-829</t>
  </si>
  <si>
    <t>ΣΚΡΕΜΜΥΔΑ</t>
  </si>
  <si>
    <t>ΑΙ212103</t>
  </si>
  <si>
    <t>818-756-755-754-753-900-899-898</t>
  </si>
  <si>
    <t>ΔΗΜΗΤΣΑ</t>
  </si>
  <si>
    <t>ΑΑ309550</t>
  </si>
  <si>
    <t>858-859-856-848-823-847-846-853-851-854-855-850-828-820-822-821-827-824-815-857-843-830-871-870-872-837-836-835-840-841-842-838-839-876-877-878-817-816-867-868-869-873-874-832-831-833-844-866-863-864-860-862-819-879</t>
  </si>
  <si>
    <t>ΒΑΡΔΑΛΑ</t>
  </si>
  <si>
    <t>ΕΛΙΣΑΒΕΤ</t>
  </si>
  <si>
    <t>ΑΜ640910</t>
  </si>
  <si>
    <t>872-870-871-828-826-825-829-827-815-821-857-846-847-845-848-849-850-855-858-859-851-852-824-822</t>
  </si>
  <si>
    <t>ΓΕΩΡΓΙΟΥ</t>
  </si>
  <si>
    <t>Τ467767</t>
  </si>
  <si>
    <t>841-840-836-837-835-842-838-839-843-844-862-868-869-834-875</t>
  </si>
  <si>
    <t>ΒΙΔΑΚΗ</t>
  </si>
  <si>
    <t>ΑΛΙΚΗ</t>
  </si>
  <si>
    <t>ΑΖ123065</t>
  </si>
  <si>
    <t>1168,5</t>
  </si>
  <si>
    <t>871-829-870-828-872-854-855-851-853-845-856-852-859-849-850-848-858-857-847-827-826-825-846</t>
  </si>
  <si>
    <t>ΚΩΝΣΤΑΝΤΙΝΟΥ</t>
  </si>
  <si>
    <t>Τ240188</t>
  </si>
  <si>
    <t>1164,5</t>
  </si>
  <si>
    <t>841-828-838-840-839-854-842-871-835-850-815-826-837-847-853-846-858-822-829-848-872-862-857-817-875-836-859-861-876-843-852-856-818-816-821-830-823-824-825-855-844-819-820-831-832-833-834-845-849-851-860-863-864-865-866-867-868-869-873-874-877-878-879</t>
  </si>
  <si>
    <t>ΣΤΑΥΡΟΥ</t>
  </si>
  <si>
    <t>ΕΛΙΣΑΒΕΤ ΠΑΡΑΣΚΕΥΗ</t>
  </si>
  <si>
    <t>ΑΒ410514</t>
  </si>
  <si>
    <t>841-828-838-840-835-839-842-870-871-854-837-847-846-815-817-822-826-829-848-850-853-857-858-862-872</t>
  </si>
  <si>
    <t>ΜΑΡΟΥΛΗ</t>
  </si>
  <si>
    <t>Χ295407</t>
  </si>
  <si>
    <t>ΑΝΤΩΝΙΟΥ</t>
  </si>
  <si>
    <t>ΑΑ309654</t>
  </si>
  <si>
    <t>879-841-828-838-840-835-839-842-870-871-815-817-822-826-829-837-846-847-848-850-853-854-857-872-862-861-834-843-816-818-819-830-844-875-869-868-867-820-821-823-824-827-825-831-836-832-845-851-849-855-856-852-866-877-876-878-833-874-873-863-858-859</t>
  </si>
  <si>
    <t>ΜΙΧΑΣ</t>
  </si>
  <si>
    <t>ΑΒ319600</t>
  </si>
  <si>
    <t>828-855-849-825-829-872-871-870-859-858-852-851-854-856-848-850-853-857-847-846-845-824-823-822-827-826-821-815-820-819-839-840-841-842-836-837-838-862-816-843-835-832-830-818-833-860-844-817-877-878-874-873-834-831-866-864-863-879-876-861-875-865</t>
  </si>
  <si>
    <t>ΤΡΑΙΑΝΟΥ</t>
  </si>
  <si>
    <t>ΑΒ748285</t>
  </si>
  <si>
    <t>1048,3</t>
  </si>
  <si>
    <t>1160,3</t>
  </si>
  <si>
    <t>816-817-818-819-820-821-822-823-824-825-826-827-828-829-830-831-832-833-834-835-836-837-838-839-840-841-842-843-844-860-861-862-863-864-865-866-867-868-869-870-871-872-873-874-875-877-876-878-879</t>
  </si>
  <si>
    <t>ΓΚΟΥΝΤΑΝΗ</t>
  </si>
  <si>
    <t>Ρ789083</t>
  </si>
  <si>
    <t>1159,5</t>
  </si>
  <si>
    <t>818-854-828-826</t>
  </si>
  <si>
    <t>ΘΕΟΔΩΡΟΠΟΥΛΟΥ</t>
  </si>
  <si>
    <t>Χ797823</t>
  </si>
  <si>
    <t>818-827-870-871-872-815-820-821-822-823-824-825-826-828-829-846-847-845-848-849-850-851-852-853-854-855-856-857-865-858-859-835-836-837-838-839-840-841-842-830-816-817-819-843-844-861-862-863-833-875-876-877-878</t>
  </si>
  <si>
    <t>Π253640</t>
  </si>
  <si>
    <t>875-819-862-844-830-858-859-820-847-848-857-854-849-821-855-822-823-856-853-852-851-850-825-826-827-828-845-846-824-870-871-872-835-836-837-838-839-840-841-842-815-843-818-817-816-861-865-876-877-863-833</t>
  </si>
  <si>
    <t>ΣΙΓΑΛΑ</t>
  </si>
  <si>
    <t>ΑΚ632247</t>
  </si>
  <si>
    <t>ΓΚΟΛΗ</t>
  </si>
  <si>
    <t>ΚΛΕΟΒΟΥΛΟΣ</t>
  </si>
  <si>
    <t>ΑΜ850419</t>
  </si>
  <si>
    <t>841-840-842-837-838</t>
  </si>
  <si>
    <t>Π120762</t>
  </si>
  <si>
    <t>843-828-816-822-817-838-841-840-850-842-854-860-871-872-876-877-878-826-830-835-839-846-870-847-848-853-856-857-858-861-862-864-866-834</t>
  </si>
  <si>
    <t>ΣΚΕΝΔΡΑΣ</t>
  </si>
  <si>
    <t>ΑΚ987530</t>
  </si>
  <si>
    <t>784,3</t>
  </si>
  <si>
    <t>1155,3</t>
  </si>
  <si>
    <t>ΔΑΓΚΑΛΑΚΗ</t>
  </si>
  <si>
    <t>ΑΕ881621</t>
  </si>
  <si>
    <t>1154,5</t>
  </si>
  <si>
    <t>868-869-835-836-837-838-839-840-841-842-862-843-834-844-831-875-830-818-816-817-861-865-819-822-823-824-825-826-827-828-829-845-846-847-848-849-850-851-852-853-854-855-856-857-858-859-870-871-872-860-879-832-820-821</t>
  </si>
  <si>
    <t>ΚΑΡΥΔΑ</t>
  </si>
  <si>
    <t>ΕΥΤΕΡΠΗ</t>
  </si>
  <si>
    <t>ΑΓΑΠΗΤΟΣ</t>
  </si>
  <si>
    <t>ΑΖ678252</t>
  </si>
  <si>
    <t>835-836-837-838-839-840-841-842-843-844-862</t>
  </si>
  <si>
    <t>ΔΙΑΜΑΝΤΗ</t>
  </si>
  <si>
    <t>ΑΕ230067</t>
  </si>
  <si>
    <t>1153,6</t>
  </si>
  <si>
    <t>815-818-820-858-854-872-850-853-848-821-822-823-824-825-826-827-828-829-871-870-845-846-847-849-851-852-856-857-859</t>
  </si>
  <si>
    <t>ΠΑΝΤΑΖΗ</t>
  </si>
  <si>
    <t>ΑΙ476970</t>
  </si>
  <si>
    <t>1152,5</t>
  </si>
  <si>
    <t>875-862-819-850-858-859-836-835-837-838-839-840-841-842-821-822-826-828-830-846-847-853-854-815-856-870-871</t>
  </si>
  <si>
    <t>MEMOY</t>
  </si>
  <si>
    <t>ΑΖ469409</t>
  </si>
  <si>
    <t>833-873-874-876-877-878</t>
  </si>
  <si>
    <t>ΜΠΙΛΙΑΝΟΥ</t>
  </si>
  <si>
    <t>Χ809794</t>
  </si>
  <si>
    <t>828-854-870-871-847-846-858-859-818</t>
  </si>
  <si>
    <t>ΑΡΙΣΤΕΙΔΗΣ-ΒΑΣΙΛΕΙΟΣ</t>
  </si>
  <si>
    <t>ΑΕ281779</t>
  </si>
  <si>
    <t>843-846-847-858-859-854-855-828-857-850-853-848-822-841-838-840-835-837-842-839-836-815-870-871-872-845-852-856-826-821-820-823-824-825-829-849-862-834</t>
  </si>
  <si>
    <t>ΜΟΥΤΖΟΥΡΟΥΛΙΑ</t>
  </si>
  <si>
    <t>Σ361100</t>
  </si>
  <si>
    <t>1145,5</t>
  </si>
  <si>
    <t>818-828-838-839-841-840-842-847-846-853-854-852-850-848-856-857-858-859-861-826-815-817-821-822-835-836-837-830-829-870-871-872-875-876-862-816-819-820-823-824-825-827-831-832-833-834-843-844-845-849-851-855-860-863-864-865-866-867-868-869-873-874-877-878-879</t>
  </si>
  <si>
    <t>ΒΑΣΙΟΥ</t>
  </si>
  <si>
    <t>ΑΑ382672</t>
  </si>
  <si>
    <t>1144,6</t>
  </si>
  <si>
    <t>843-834-815-822-826-828-835-837-838-839-840-841-842-850-853-854-858-862</t>
  </si>
  <si>
    <t>ΑΖ910993</t>
  </si>
  <si>
    <t>1144,5</t>
  </si>
  <si>
    <t>869-868-838-835-837</t>
  </si>
  <si>
    <t>ΧΑΤΖΗΠΑΥΛΟΥ</t>
  </si>
  <si>
    <t>Χ784368</t>
  </si>
  <si>
    <t>1143,5</t>
  </si>
  <si>
    <t>841-828-838-840-835-842-839-870-871-854-837-815-826-847-850-853-862-872-816-817-846-848-822-829-857-858-876-830-843-818-836-852-856-859-821-861-875-877-873-874-879-867-868-869-878-863-864-866-833-844-865-860-832-831-820-823-824-849-851-855-819-827-825-845</t>
  </si>
  <si>
    <t>ΤΣΙΤΟΥΡΙΔΟΥ</t>
  </si>
  <si>
    <t>ΑΚ949795</t>
  </si>
  <si>
    <t>838-840-841-835-836-837-842-839-897-862-828-870-871-850-854-815-826-847-822-848-858-846-853-872-859-875-857-829</t>
  </si>
  <si>
    <t>ΤΖΟΥΡΑΚΗ</t>
  </si>
  <si>
    <t>Χ765716</t>
  </si>
  <si>
    <t>840-841-842-839-835-836-837-838</t>
  </si>
  <si>
    <t>ΕΛΕΥΘΕΡΙΑΔΟΥ</t>
  </si>
  <si>
    <t>ΑΕ861827</t>
  </si>
  <si>
    <t>1140,5</t>
  </si>
  <si>
    <t>897-841-838-840-839-842-835-837-836-828-854-870-871-872-850-853-847-846-822-829-858-848-859-862-815-821-820-823-824-825</t>
  </si>
  <si>
    <t>ΑΡΑΠΗ</t>
  </si>
  <si>
    <t>ΑΜ988103</t>
  </si>
  <si>
    <t>761,2</t>
  </si>
  <si>
    <t>1139,2</t>
  </si>
  <si>
    <t>828-815-821-822-846-848</t>
  </si>
  <si>
    <t>ΑΜ349368</t>
  </si>
  <si>
    <t>ΜΠΑΜΠΑ</t>
  </si>
  <si>
    <t>ΑΡΓΥΡΟΥΛΑ</t>
  </si>
  <si>
    <t>ΑΣΤΕΡΙΟΣ</t>
  </si>
  <si>
    <t>ΑΜ276864</t>
  </si>
  <si>
    <t>815-816-817-818-819-820-821-822-823-824-825-826-827-828-829-830-831-832-833-834-835-836-837-838-839-840-841-842-843-845-844-846-847-848-849-850-851-852-853-854-855-856-857-858-859-860-861-862-863-864-865-866-867-868-869-870-871-872-873-874-875-876-877-878-879-897</t>
  </si>
  <si>
    <t>ΑΝΑΣΤΑΣΟΠΟΥΛΟΥ</t>
  </si>
  <si>
    <t>ΔΑΦΝΗ</t>
  </si>
  <si>
    <t>Χ338039</t>
  </si>
  <si>
    <t>885,5</t>
  </si>
  <si>
    <t>1137,5</t>
  </si>
  <si>
    <t>823-854-859-858-853-846-847-856-857-845-848-851-852-821-822-850-820-870-871-872-828-826-824-815-827-855-849-825-829-818-816-819-817-875-865-862-844-861-830-843</t>
  </si>
  <si>
    <t>ΑΣΗΜΑΚΟΥΛΑ</t>
  </si>
  <si>
    <t>Σ378357</t>
  </si>
  <si>
    <t>1060,4</t>
  </si>
  <si>
    <t>1137,4</t>
  </si>
  <si>
    <t>815-816-817-818-819-824-828-830-850</t>
  </si>
  <si>
    <t>ΑΚ723446</t>
  </si>
  <si>
    <t>1136,5</t>
  </si>
  <si>
    <t>856-823-848-850-846-847-854-858-859-851-853-852-857-845-821-822-828</t>
  </si>
  <si>
    <t>ΜΑΝΗ</t>
  </si>
  <si>
    <t>ΑΚ970035</t>
  </si>
  <si>
    <t>862-841-840-838-835-837-842-839-846-847-848-850-853-854-857-858-870-871-872</t>
  </si>
  <si>
    <t>ΚΟΛΟΚΟΥΡΑ</t>
  </si>
  <si>
    <t>Φ132203</t>
  </si>
  <si>
    <t>828-870-871-872-847-829-854-853</t>
  </si>
  <si>
    <t>ΖΑΧΑΡΑΚΗ</t>
  </si>
  <si>
    <t>ΑΒ199756</t>
  </si>
  <si>
    <t>831-875-862-830-819-844-815-828-821-822-823-824-825-826-827-846-829-835-845-847-848-849-850-851-852-853-854-855-856-857-858-859-870-871-872-818-836-837-838-839-840-841-842</t>
  </si>
  <si>
    <t>ΠΑΝΤΑΖΗ ΠΕΡΓΑΜΙΝΕΛΗ</t>
  </si>
  <si>
    <t xml:space="preserve">ΝΕΡΑΤΖΙΑ </t>
  </si>
  <si>
    <t>Ρ179460</t>
  </si>
  <si>
    <t>ΑΕ908612</t>
  </si>
  <si>
    <t>869-868-841-840-842-835-837-836-838-839-862-870-872-828-854-850-853-871-826-815</t>
  </si>
  <si>
    <t>ΒΑΡΔΟΥΝΙΩΤΗ</t>
  </si>
  <si>
    <t>ΑΖ224076</t>
  </si>
  <si>
    <t>664,4</t>
  </si>
  <si>
    <t>1136,4</t>
  </si>
  <si>
    <t>817-816-818-861-865-815-820-821-822-823-824-825-826-827-828-829-846-847-848-849-850-851-852-853-854-855-857-858-859-870-871-872-830-819-831-834-836-837-838-839-840-841-842-843-844-845-862-868-875-832-833-860-863-864-866-867-873-874-876-877-878-879</t>
  </si>
  <si>
    <t>ΚΟΝΤΟΔΗΜΑ</t>
  </si>
  <si>
    <t>ΒΙΚΤΩΡΙΑ</t>
  </si>
  <si>
    <t>ΑΒ810911</t>
  </si>
  <si>
    <t>ΚΡΗΤΣΙΜΗΛΙΟΥ</t>
  </si>
  <si>
    <t>Τ388599</t>
  </si>
  <si>
    <t>ΚΑΡΑΓΙΑΝΝΙΔΟΥ</t>
  </si>
  <si>
    <t>ΑΚ075106</t>
  </si>
  <si>
    <t>1132,5</t>
  </si>
  <si>
    <t>815-828-847-848-850-853-854-858-859-870-871-872</t>
  </si>
  <si>
    <t>ΠΛΙΑΤΣΙΚΑ</t>
  </si>
  <si>
    <t>ΑΚ392553</t>
  </si>
  <si>
    <t>858-846-847-853-848-850-815-872-854-857-870-871-826-828-821-841-840-838-837-842-839-843-852-856-859-876</t>
  </si>
  <si>
    <t>ΤΥΦΑΡΙΚΗ</t>
  </si>
  <si>
    <t>Ρ980315</t>
  </si>
  <si>
    <t>844-862-837-841-840-842-835</t>
  </si>
  <si>
    <t>ΚΑΙΑ</t>
  </si>
  <si>
    <t>ΑΒ853800</t>
  </si>
  <si>
    <t>844-862-875-828-854-871-870-841-840-842-838-839-835-815-822-826-829-848-850-853-857-858-872-847-846-837-817-816-818-821-823-824-825-827-876-830-836-843-852-855-856-859-861-869</t>
  </si>
  <si>
    <t>ΜΑΡΚΑΚΗ</t>
  </si>
  <si>
    <t>Χ123499</t>
  </si>
  <si>
    <t>828-854-826-846-847-815-850-857-822-858-870-871-872-848-853-827-856-859-823-824-821-845-852-830-862-841-840-842-838-837-835-844-818-816-861-865-836-875-876-877-863-820-819-833-855-829-817-825-839-849-843</t>
  </si>
  <si>
    <t>ΔΑΝΙΗΛ</t>
  </si>
  <si>
    <t>Φ267279</t>
  </si>
  <si>
    <t>862-841-838-840-835-842-837-828-854-848-850-853-858-857-822-826-870-872-871-847-846-815</t>
  </si>
  <si>
    <t>ΚΟΥΤΣΙΝΤΑ</t>
  </si>
  <si>
    <t>ΕΥΜΟΡΦΙΑ</t>
  </si>
  <si>
    <t>ΑΚ853459</t>
  </si>
  <si>
    <t>835-836-837-838-839-840-841-842-862-822-828-829-846-847-848-850-852-853-854-856-857-858-859-843-870-871-872-821-826-815-830-818-816-817-861-875-876</t>
  </si>
  <si>
    <t>ΝΑΣΗ</t>
  </si>
  <si>
    <t>ΑΙ799574</t>
  </si>
  <si>
    <t>1129,8</t>
  </si>
  <si>
    <t>855-816-845-854-851-858-817-859-852-850-849-848-846-847-829-828-824-827-826-820-822-823-821-872-870</t>
  </si>
  <si>
    <t>ΝΤΑΛΛΑ</t>
  </si>
  <si>
    <t>Π147320</t>
  </si>
  <si>
    <t>1129,5</t>
  </si>
  <si>
    <t>831-875-862-844-830-819-828-823-826-815-820-858-859-822-821-847-846-854-850-852-856-853-857-848-851-824-871-872-870-838-837-841-840-842-835-836</t>
  </si>
  <si>
    <t>ΜΑΣΑΟΥΤΑ</t>
  </si>
  <si>
    <t>ΝΙΚΟΛΕΤΑ-ΣΤΥΛΙΑΝΗ</t>
  </si>
  <si>
    <t>ΑΒ491194</t>
  </si>
  <si>
    <t>875-815-818-821-822-826-828-829-844-846-847-848-850-852-853-854-856-857-858-859-862-870-871-872-835-836-837-838-839-840-841-842-843-816-817</t>
  </si>
  <si>
    <t>ΓΚΑΡΑΒΕΛΗ</t>
  </si>
  <si>
    <t>ΑΙ287368</t>
  </si>
  <si>
    <t>840-841-835-838-842-837-872-826-828-850-853-854-857-846-847-848-858-870-871-822-817</t>
  </si>
  <si>
    <t>ΜΟΥΛΑ</t>
  </si>
  <si>
    <t>ΕΥΦΡΟΣΥΝΗ</t>
  </si>
  <si>
    <t>ΑΙ607281</t>
  </si>
  <si>
    <t>857-850-849-828-853-854-855-845-846-847-848-851-852-856-858-859-823-821-822-870-871-872-824-815-829-827-825-826</t>
  </si>
  <si>
    <t>ΠΑΝΤΕΛΗ</t>
  </si>
  <si>
    <t>Π508794</t>
  </si>
  <si>
    <t>986,7</t>
  </si>
  <si>
    <t>1126,7</t>
  </si>
  <si>
    <t>861-816-828-826-846-854-850-847-822-858-871</t>
  </si>
  <si>
    <t>ΤΡΑΓΑΚΗ</t>
  </si>
  <si>
    <t>ΑΚ881147</t>
  </si>
  <si>
    <t>1125,5</t>
  </si>
  <si>
    <t>841-840-838-839-837-836-835-842</t>
  </si>
  <si>
    <t>ΝΙΚΛΙΤΣΙΩΤΗ</t>
  </si>
  <si>
    <t>ΑΝ034850</t>
  </si>
  <si>
    <t>828-849-851-852-853-854-855-856-857-858-859-848-870-871-815-821-822-823-824-826-850-825-829-845-846-847-820-819-875-830-862-836-835-837-838-839-840-841-842-844-843-818-816-817-876-877-861-833-874-873-878-865-863-864-866-867-868-869-831-832-834-879</t>
  </si>
  <si>
    <t>ΜΙΤΙΛΗΝΟΥ</t>
  </si>
  <si>
    <t>Σ663966</t>
  </si>
  <si>
    <t>1124,5</t>
  </si>
  <si>
    <t>815-854-853-850-848-846-847-857-858-870-872-871-828-826-829-822-821-855-859-856-852-825</t>
  </si>
  <si>
    <t>ΓΙΑΝΝΗ</t>
  </si>
  <si>
    <t>ΛΟΥΚΙΑ</t>
  </si>
  <si>
    <t>Φ047637</t>
  </si>
  <si>
    <t>828-850-853-857-854-858-870-871-829-815-822-826-846-847-848-872-821-823-827-825-855-856-824-845-849-852-851</t>
  </si>
  <si>
    <t>ΚΑΠΕΤΑΝΑΚΗ</t>
  </si>
  <si>
    <t>Ρ963339</t>
  </si>
  <si>
    <t>817-862-828-841-854-840-838-842-839-835-871-870-858-857-853-872-850-815-822-826-846-848-847-837-829-875-861-816-830-843-844-852-856-859-821-823-824-825-827-855-836-818-876-819-820-845-849-851-833-865-863-877-897-864-831-832-834-860-866-867-868-869-873-874-878-879</t>
  </si>
  <si>
    <t>ΒΑΣΤΑΚΗ</t>
  </si>
  <si>
    <t>Χ332092</t>
  </si>
  <si>
    <t>831-816-817-818-819-820-821-822-823-824-825-826-827-828-829-830-832-833-834-835-836-837-839-840-841-842-843-844-845-846-847-848-849-850-851-852-853-854-855-856-857-858-859-860-861-862-863-864-865-866-867-868-869-870-871-872-873-874-875-876-877-879-878</t>
  </si>
  <si>
    <t>ΝΤΙΝΟΥ</t>
  </si>
  <si>
    <t>ΛΑΖΑΡΟΣ</t>
  </si>
  <si>
    <t>Σ261562</t>
  </si>
  <si>
    <t>822,8</t>
  </si>
  <si>
    <t>1123,8</t>
  </si>
  <si>
    <t>828-823-815-825-827-829-822-821-820-826-824-846-847-848-849-850-851-853-854-845-857-856-855-852-858-859-870-871-872</t>
  </si>
  <si>
    <t>ΜΑΡΟΥΛΗΣ</t>
  </si>
  <si>
    <t>ΜΑΞΙΜΟΣ</t>
  </si>
  <si>
    <t>ΑΕ137893</t>
  </si>
  <si>
    <t>1123,5</t>
  </si>
  <si>
    <t>857-850-854-848-853-847</t>
  </si>
  <si>
    <t>ΣΙΔΕΡΙΔΟΥ</t>
  </si>
  <si>
    <t>ΓΕΡΒΑΣΙΟΣ</t>
  </si>
  <si>
    <t>Χ439718</t>
  </si>
  <si>
    <t>1122,5</t>
  </si>
  <si>
    <t>841-838-840-839-837-835-842-836-830-818-817-816-843-876-862-861-875-815-828-821-822-826-829-847-846-848-850-870-871-872-853-852-854-856-857-858-859</t>
  </si>
  <si>
    <t>ΔΗΜΗΤΡΟΠΟΥΛΟΥ</t>
  </si>
  <si>
    <t>Χ337982</t>
  </si>
  <si>
    <t>815-816-817-818-819-820-821-822-823-824-825-826-827-828-830-829-832-831-833-834-835-836-837-838-839-840-841-842-843-844-845-846-847-848-849-850-851-852-853-854-855-856-857-858-859-860-861-862-863-864-865-866-867-868-869-870-871-872-873-874-875-876-877-878-879</t>
  </si>
  <si>
    <t>ΠΑΠΑΝΙΚΟΛΑΟΥ</t>
  </si>
  <si>
    <t>ΒΑΛΕΝΤΙΝΗ</t>
  </si>
  <si>
    <t>ΑΖ377699</t>
  </si>
  <si>
    <t>1121,5</t>
  </si>
  <si>
    <t>841-842-840-839-838-837-836-835-815-822-826-828-829-846-847-848-850-853-854-857-858-859-862-870-871-872-875-861-816-817-818-819-820-821-823-824-825-827-830-833-843-844-845-849-851-852-855-856-863-865-876-877-878-831-832-834-866-867-868-869-879-860-864-873-874</t>
  </si>
  <si>
    <t>ΓΚΑΡΜΙΡΗ</t>
  </si>
  <si>
    <t>ΜΑΡΙΑ-ΕΛΕΝΗ</t>
  </si>
  <si>
    <t>ΑΒ083855</t>
  </si>
  <si>
    <t>817-865</t>
  </si>
  <si>
    <t>ΚΟΚΚΙΝΗ</t>
  </si>
  <si>
    <t>ΑΚ390321</t>
  </si>
  <si>
    <t>938,3</t>
  </si>
  <si>
    <t>1120,3</t>
  </si>
  <si>
    <t>ΣΚΑΜΝΙΩΤΟΥ</t>
  </si>
  <si>
    <t>ΑΒ029100</t>
  </si>
  <si>
    <t>828-871-870-854-872-858-826-846-847-857-848-850-853-815-822-829</t>
  </si>
  <si>
    <t>ΚΑΚΟΣΙΜΟΥ</t>
  </si>
  <si>
    <t>ΑΜ795266</t>
  </si>
  <si>
    <t>864,6</t>
  </si>
  <si>
    <t>1119,6</t>
  </si>
  <si>
    <t>815-821-822-826-828-829-843-846-847-848-850-852-853-854-856-857-858-859-870-871-872</t>
  </si>
  <si>
    <t>ΠΑΠΑΝΤΩΝΙΟΥ</t>
  </si>
  <si>
    <t>ΑΙ372899</t>
  </si>
  <si>
    <t>1119,5</t>
  </si>
  <si>
    <t>837-840-836</t>
  </si>
  <si>
    <t>ΝΟΒΑΚΟΥΔΗΣ</t>
  </si>
  <si>
    <t>ΑΒ108904</t>
  </si>
  <si>
    <t>862-835-837-838-839-840-841-842-815-822-826-828-829-846-847-848-850-853-854-857-858-870-871-872-817</t>
  </si>
  <si>
    <t xml:space="preserve"> 817- 829- 839</t>
  </si>
  <si>
    <t>ΡΑΠΤΗ</t>
  </si>
  <si>
    <t>ΑΚ594588</t>
  </si>
  <si>
    <t>828-854-846-847-871-848-850-853-857-872-822-829-826-815-862-840-837-838-858-842-841-839-817-870-835</t>
  </si>
  <si>
    <t>ΚΩΝΣΤΑΝΤΙΝΙΔΟΥ</t>
  </si>
  <si>
    <t>ΠΑΡΘΕΝΑ</t>
  </si>
  <si>
    <t>ΑH 376247</t>
  </si>
  <si>
    <t>1118,5</t>
  </si>
  <si>
    <t>841-838-840-839-835-842-837-836-869-868-862</t>
  </si>
  <si>
    <t>ΑΜΒΡΟΣΙΑΔΟΥ</t>
  </si>
  <si>
    <t>Χ955984</t>
  </si>
  <si>
    <t>897-815-817-822-826-828-829-835-837-838-839-840-841-842-846-847-848-853-854-857-858-862-870-871-872-816-818-821-823-824-825-827-830-836-843-844-852-855-856-859-861-869-908-906-917-921-927-928-929-932-934</t>
  </si>
  <si>
    <t>ΤΟΓΙΑ</t>
  </si>
  <si>
    <t>Χ803267</t>
  </si>
  <si>
    <t>ΘΩΜΑΔΑΚΗ</t>
  </si>
  <si>
    <t>ΙΑΚΩΒΟΣ</t>
  </si>
  <si>
    <t>ΑΗ124109</t>
  </si>
  <si>
    <t>766,7</t>
  </si>
  <si>
    <t>1116,7</t>
  </si>
  <si>
    <t>873-874-876-877-833-834-878-815-820-828-848-849-850-853-854-855-856-857-858-859-863-864-832-870-817-818-819-821-872</t>
  </si>
  <si>
    <t>ΤΣΑΒΟΥ</t>
  </si>
  <si>
    <t>ΑΙ745146</t>
  </si>
  <si>
    <t>ΠΑΤΕΡΑΚΗ</t>
  </si>
  <si>
    <t>Τ455010</t>
  </si>
  <si>
    <t>1115,5</t>
  </si>
  <si>
    <t>873-876-874-877-878-833-863-864-828-841-838-840-854-870-871-815-826-850-847-853-822-846-858-848-872-857-859-821-842-835-837-836-830-852-856-818-816-861-875-862-823-824-827-845-851-820-860-819-865-834-869</t>
  </si>
  <si>
    <t>ΧΑΤΖΗΝΑ</t>
  </si>
  <si>
    <t>ΑΔΑΜΑΝΤΙΑ</t>
  </si>
  <si>
    <t>Σ456196</t>
  </si>
  <si>
    <t>1003,2</t>
  </si>
  <si>
    <t>1115,2</t>
  </si>
  <si>
    <t>862-835-836-837-838-839-840-841-842-846-847-848-849-850-852-853-854-855-856-857-858-859-870-871-872-875-865-844-817-818-815-816-819-821-822-823-824-825-830-827-826-828-829-833-843</t>
  </si>
  <si>
    <t>Χ969943</t>
  </si>
  <si>
    <t>862-837-835-838-840-841-842-839-872-871-870-815-822-826-828-846-847-848-850-854-853-858-857-817-829-836-843-861-875-876-816-818-821-830-852-856-859-823-824-827-855-844-825</t>
  </si>
  <si>
    <t>ΒΕΝΝΙΑΝΑΚΗ</t>
  </si>
  <si>
    <t>ΑΒ183160</t>
  </si>
  <si>
    <t>833-863-876-877-847-837-857-848-858-872-871-818-816-815-822-821-826-828-836-840-841-842-846-850-853-851-854-856-859-861-875</t>
  </si>
  <si>
    <t>ΠΟΛΥΞΕΝΗ ΕΥΘΥΜΙΑ</t>
  </si>
  <si>
    <t>Χ893115</t>
  </si>
  <si>
    <t>838-841-842-840-837-836</t>
  </si>
  <si>
    <t>ΒΕΛΛΗ</t>
  </si>
  <si>
    <t>Ν714526</t>
  </si>
  <si>
    <t>862-844-838-841-840-842-837-858-859-854-853-847-850-848-846-843-828-815-826</t>
  </si>
  <si>
    <t>ΜΑΡΙΝΗΣ</t>
  </si>
  <si>
    <t>ΑΕ731620</t>
  </si>
  <si>
    <t>817-828-816-854-858-870-826</t>
  </si>
  <si>
    <t>ΠΛΙΑΚΑ</t>
  </si>
  <si>
    <t>Τ973288</t>
  </si>
  <si>
    <t>1114,7</t>
  </si>
  <si>
    <t>841-840-837-836-842-839-838-835-897</t>
  </si>
  <si>
    <t>ΚΑΒΛΕΝΤΑΚΗ</t>
  </si>
  <si>
    <t>ΑΙ958383</t>
  </si>
  <si>
    <t>1114,5</t>
  </si>
  <si>
    <t>833-863-864-873-874-876-877-878</t>
  </si>
  <si>
    <t>ΓΡΟΣΗ</t>
  </si>
  <si>
    <t>ΑΖ361968</t>
  </si>
  <si>
    <t>1113,5</t>
  </si>
  <si>
    <t>841-840-837-836-835-838-842-839-862-875</t>
  </si>
  <si>
    <t>ΠΕΤΡΟΠΟΥΛΟΥ</t>
  </si>
  <si>
    <t>ΑΙ074357</t>
  </si>
  <si>
    <t>826-825-850-823</t>
  </si>
  <si>
    <t>ΓΚΟΥΤΖΑ</t>
  </si>
  <si>
    <t>ΠΑΡΑΣΚΕΥΟΥΛΑ</t>
  </si>
  <si>
    <t>Χ958972</t>
  </si>
  <si>
    <t>862-835-836-837-838-839-840-841-842-832-833-843-844-860-861-866-867-868-869-873-876-877-879</t>
  </si>
  <si>
    <t>ΤΟΠΑΛΙΔΗΣ</t>
  </si>
  <si>
    <t>ΑΒ735244</t>
  </si>
  <si>
    <t>1112,5</t>
  </si>
  <si>
    <t>837-836-841-835-840-838-839-842-897-862-869-868-875-844-843-819-820-821-822-823-824-815-854-855-859-858-853-857-851-856-848-845-846-847-850-849-852-872-870-871-827-828-826-825-829-831-834-860-830-816-818-817-865-861-832-876-877-833-864-863-879-874-873-878-866-867</t>
  </si>
  <si>
    <t>ΤΣΙΛΙΠΑΝΟΥ</t>
  </si>
  <si>
    <t>ΑΜ322274</t>
  </si>
  <si>
    <t>815-820-821-822-823-824-825-826-827-828-829-845-846-847-848-849-850-851-852-853-854-855-856-857-858-859</t>
  </si>
  <si>
    <t>ΠΟΠΟΒΙΔΗ</t>
  </si>
  <si>
    <t>ΑΚ934363</t>
  </si>
  <si>
    <t>1111,5</t>
  </si>
  <si>
    <t>841-838-840-842-835-836-837-839-862-875-815-822-828-826-846-847-848-850-854-853-857-870-871-872-858-859-817-829-816-852-856-861-818-821-876-843-830-844-845-851-819-820-823-824-827-877-865-849-855-825</t>
  </si>
  <si>
    <t>ΚΑΤΣΑΡΑ</t>
  </si>
  <si>
    <t>ΛΕΜΟΝΙΑ</t>
  </si>
  <si>
    <t>ΑΒ431717</t>
  </si>
  <si>
    <t>844-862-850-835-841-845-847-842-840-836-853-858-854-859-871-872-821-848-827-828-815</t>
  </si>
  <si>
    <t>ΣΚΑΦΙΔΑ</t>
  </si>
  <si>
    <t>Ν640854</t>
  </si>
  <si>
    <t>ΔΗΜΟΤΑΚΗ</t>
  </si>
  <si>
    <t>Τ488954</t>
  </si>
  <si>
    <t>ΚΑΡΚΑΛΕΤΣΟΥ</t>
  </si>
  <si>
    <t>ΑΖ783145</t>
  </si>
  <si>
    <t>844-862-837-836-830-820-821-822-823-819-875-824-840-815-826-857-831-870-871-872-835-838-839-841-842-845-846-847-848-849-818-850-851-852-853-854-855-856-858-859-860-865-866-877-868-869-832-833-864-873-876-878-879</t>
  </si>
  <si>
    <t>ΠΛΕΓΑΣ</t>
  </si>
  <si>
    <t>ΑΑ318840</t>
  </si>
  <si>
    <t>818-816-815-820-821-822-823-824-825-826-827-828-829-845-846-847-848-849-850-851-852-853-854-855-856-857-858-859-870-871-872-830-817-861-865-875-843-862-832-860-844-831-819-834-835-836-837-838-839-840-841-842-868-869-833-863-864-873-874-876-877-878-879-866-867-897</t>
  </si>
  <si>
    <t>ΑΔΑΜΟΠΟΥΛΟΥ</t>
  </si>
  <si>
    <t>ΑΜ294566</t>
  </si>
  <si>
    <t>1107,5</t>
  </si>
  <si>
    <t>897-862-835-836-837-838-839-840-841-842</t>
  </si>
  <si>
    <t>ΣΤΕΦΟΣ</t>
  </si>
  <si>
    <t>ΝΕΚΤΑΡΙΟΣ</t>
  </si>
  <si>
    <t>ΑΑ376614</t>
  </si>
  <si>
    <t>858-829-871-854-850-828-847-846-857-822-853-848-826</t>
  </si>
  <si>
    <t>ΖΙΟΓΛΗΣ</t>
  </si>
  <si>
    <t>Χ952352</t>
  </si>
  <si>
    <t>1104,5</t>
  </si>
  <si>
    <t>866-867-873-874-876-877-878-879</t>
  </si>
  <si>
    <t>ΔΑΛΑΛΑ</t>
  </si>
  <si>
    <t>Χ821232</t>
  </si>
  <si>
    <t>799,7</t>
  </si>
  <si>
    <t>1103,7</t>
  </si>
  <si>
    <t>841-838-842-840-835-837-836-839-869-868</t>
  </si>
  <si>
    <t>ΚΡΑΣΑΚΗ</t>
  </si>
  <si>
    <t>ΑΕ775084</t>
  </si>
  <si>
    <t>1103,2</t>
  </si>
  <si>
    <t>862-860-828-815-818-821-822-837-838-843-847-853-854-870</t>
  </si>
  <si>
    <t>ΧΑΛΚΙΑ</t>
  </si>
  <si>
    <t>ΑΙ815959</t>
  </si>
  <si>
    <t>1102,5</t>
  </si>
  <si>
    <t>836-835-837-838-839-840-841-842-843-862-815-820-821-822-823-824-825-826-827-828-829-845-846-847-848-849-850-851-852-853-854-855-856-857-858-859-870-871-872-816-817-818-819-830-831-834-861-865-868-869-875-832-844-860-866-879-867-873-874-833-876-877-878-863-864</t>
  </si>
  <si>
    <t>ΝΤΕΡΕΚΑ</t>
  </si>
  <si>
    <t>ΑΙ868316</t>
  </si>
  <si>
    <t>862-844-841-838-840-839-842-835-837-836-830-875-819-843-834-869-868-870-871-872-828-826-829-822-823-824-825-815-821-820-847-846-848-850-854-857-858-859-853-852-856-855-851-849-845-861-865-866-876-877-878-874-873-867-879-864-863-860-832-833-831-817-818-816-827</t>
  </si>
  <si>
    <t>ΣΤΑΜΑΤΙΟΥ</t>
  </si>
  <si>
    <t>ΑΗ989927</t>
  </si>
  <si>
    <t>1101,5</t>
  </si>
  <si>
    <t>828-871-870-872-867</t>
  </si>
  <si>
    <t>ΜΑΡΟΥΝΤΑ</t>
  </si>
  <si>
    <t>ΑΖ095152</t>
  </si>
  <si>
    <t>856-846-828-854-850-815-871</t>
  </si>
  <si>
    <t>ΛΙΑΜΠΑ</t>
  </si>
  <si>
    <t>ΑΚ115326</t>
  </si>
  <si>
    <t>854-862-847-828-853-850</t>
  </si>
  <si>
    <t>ΜΑΡΚΑΡΙΑΝ</t>
  </si>
  <si>
    <t>ΓΚΑΡΜΠΗΣ</t>
  </si>
  <si>
    <t>ΑΙ458798</t>
  </si>
  <si>
    <t>833-876-877</t>
  </si>
  <si>
    <t>ΕΥΘΥΜΙΑΔΟΥ</t>
  </si>
  <si>
    <t>ΕΛΕΝΑ</t>
  </si>
  <si>
    <t>ΕΥΓΕΝΙΟΣ</t>
  </si>
  <si>
    <t>Χ183099</t>
  </si>
  <si>
    <t>828-829-871-825-826-824-872-855</t>
  </si>
  <si>
    <t>ΑΙ514493</t>
  </si>
  <si>
    <t>815-816-817-818-819-820-821-822-823-824-825-826-827-828-829-830</t>
  </si>
  <si>
    <t>Φ437069</t>
  </si>
  <si>
    <t>815-821-822-826-828-846-847-848-850-852-853-854-856-857-858-859-829-870-871-872-820-823-824-825-827-845-849-851-855-875-835-836-837-838-839-840-841-842-830-843-818-862-817-816-819-831-834-844-861-865-868-869-867-832-860-866-833-876-877-878-873-874-863-864-879</t>
  </si>
  <si>
    <t>ΠΕΤΙΔΟΥ</t>
  </si>
  <si>
    <t>ΛΟΓΓΙΝΟΣ</t>
  </si>
  <si>
    <t>Τ463174</t>
  </si>
  <si>
    <t>841-840-835-837-842-838</t>
  </si>
  <si>
    <t>ΤΡΑΜΠΑ</t>
  </si>
  <si>
    <t>ΑΦΡΟΔΙΤΗ</t>
  </si>
  <si>
    <t>Τ258347</t>
  </si>
  <si>
    <t>843-834-818-860-832-845-846-847-848-849-850-851-852-853-854-855-856-857-858-859-827-828-829-825-826-820-821-822-823-824-815-870-871-872-835-836-837-838-839-840-841-842-816-830-862-868-869-819-817-831-865-866-861-844-833-873-874-876-877-878-867-863-864-875-879</t>
  </si>
  <si>
    <t>ΠΑΠΑΚΙΤΣΟΥ</t>
  </si>
  <si>
    <t>ΚΛΕΟΠΑΤΡΑ ΕΙΡΗΝΗ</t>
  </si>
  <si>
    <t>ΑΙ816199</t>
  </si>
  <si>
    <t>843-834-860-846-847-871-821-822-823-824-825-827-829-848-849-850-851-852-853-854-855-856-857-858-859-845-870-815-820-826-828-872-835-836-837-838-839-840-841-842-817-818-819-862-844-865-866-868-869-867-830-831-832-861-879-833-863-864-873-874-875-876-877-878</t>
  </si>
  <si>
    <t>ΠΟΥΛΗ</t>
  </si>
  <si>
    <t>Χ460230</t>
  </si>
  <si>
    <t>870-871-872-828-835-815-822-826-837-838-840-841-842-846-847-848-850-853-854-857-858-862</t>
  </si>
  <si>
    <t>ΚΟΜΙΝΗ</t>
  </si>
  <si>
    <t>ΝΑΤΑΛΙΑ</t>
  </si>
  <si>
    <t>ΑΖ252500</t>
  </si>
  <si>
    <t>862-870-871-872-835-837-838-840-841-842-854-853-857-848-846-847-826-822-828-815-858-817-839-850</t>
  </si>
  <si>
    <t>ΑΝΑΣΤΑΣΙΟΥ</t>
  </si>
  <si>
    <t>ΦΡΕΙΔΕΡΙΚΗ</t>
  </si>
  <si>
    <t>Π901593</t>
  </si>
  <si>
    <t>841-828-838-840-842-835-839-854-870-871-837-850-848-853-857-862-815-822-826-846-847-858-872-829-817</t>
  </si>
  <si>
    <t>ΓΕΩΡΓΑΚΟΠΟΥΛΟΥ</t>
  </si>
  <si>
    <t>ΑΚΡΙΒΗ</t>
  </si>
  <si>
    <t>ΑΜ313168</t>
  </si>
  <si>
    <t>818-827-830-866</t>
  </si>
  <si>
    <t>ΛΙΟΝΤΑ</t>
  </si>
  <si>
    <t>Σ390099</t>
  </si>
  <si>
    <t>841-838-840-835-842-837-828-870-871-872-826-854-847-850-853-815-822-846-848-857-858-862-817-833-863-876-877-820-821-823-824-845-851-852-856-859-827-836-844-830-819-818-816-861-865-875-825-829-839-843-849-855</t>
  </si>
  <si>
    <t>ΓΚΙΚΑ</t>
  </si>
  <si>
    <t>Ρ981766</t>
  </si>
  <si>
    <t>815-830-835-838-839-840-841-843-844-862-875-818</t>
  </si>
  <si>
    <t>ΜΠΑΚΟΓΙΑΝΝΗ</t>
  </si>
  <si>
    <t>ΑΛΕΞΙΑ</t>
  </si>
  <si>
    <t>ΑΜ378554</t>
  </si>
  <si>
    <t>862-835-837-838-840-841-842-815-822-826-828-846-847-848-850-853-854-857-858-870-871-872</t>
  </si>
  <si>
    <t>ΕΓΓΛΕΖΟΥ</t>
  </si>
  <si>
    <t>ΝΙΚΟΛΕΤΑ</t>
  </si>
  <si>
    <t>Χ234711</t>
  </si>
  <si>
    <t>840-835-841-837-836-842-838-839-862-876-869-875-858-848-850-854-857-824-859-852-853-856-846-847-815-822-821-826-828-823-872-870-816-844-871-818-861-830</t>
  </si>
  <si>
    <t>ΨΑΡΡΕΑ</t>
  </si>
  <si>
    <t>Μ475307</t>
  </si>
  <si>
    <t>828-870-872-822-826-848-850-853-858-815-846-847-857-829-817-841-840-838-842-839-835-837-862</t>
  </si>
  <si>
    <t>ΑΙ656655</t>
  </si>
  <si>
    <t>847-854-827-828-848-850-853-858-859-856</t>
  </si>
  <si>
    <t>ΠΛΙΟΥΤΑ</t>
  </si>
  <si>
    <t>ΑΒ815802</t>
  </si>
  <si>
    <t>828-841-840-838-835-854-870-871-839-842-815-817-822-826-829-837-846-847-848-850-853-857-859-862-872</t>
  </si>
  <si>
    <t>ΠΡΟΒΑΤΟΥ</t>
  </si>
  <si>
    <t>Κ592837</t>
  </si>
  <si>
    <t>838-837-842-835-840-841-836-839</t>
  </si>
  <si>
    <t>ΔΗΜΗΤΡΟΥΛΟΠΟΥΛΟΥ</t>
  </si>
  <si>
    <t>ΑΗ212146</t>
  </si>
  <si>
    <t>ΑΣΠΑΣΙΑ</t>
  </si>
  <si>
    <t>Φ162639</t>
  </si>
  <si>
    <t>841-840-838-835-842-837-839-836-782-781-828-854-870-871-862-872-858-857-853-850-848-847-846-826-815-822-801-807-763-796-794-787-786-759-757-764-768-802-756-804-844-869-859-856-852-824-823-821-830-875-809-816-818-861-876-829-817-843-855-827-825</t>
  </si>
  <si>
    <t>ΚΑΒΒΑΔΙΑ</t>
  </si>
  <si>
    <t>ΑΒ023548</t>
  </si>
  <si>
    <t>820-822-823-824-826-827-828-829-845-846-847-848-849-850-851-852-853-854-855-856-857-858-859-870-871-872-816-817-818-819-830-836-837-838-839-840-841-842-843-844-861-862-865-875-876-877-863</t>
  </si>
  <si>
    <t>ΜΕΡΑΝΤΖΗ</t>
  </si>
  <si>
    <t>ΑΙ224289</t>
  </si>
  <si>
    <t>841-828-838-840-871-870-854-842-835-862-837-815-822-826-846-847-848-850-857-858-872</t>
  </si>
  <si>
    <t>ΜΑΚΡΗ</t>
  </si>
  <si>
    <t>ΑΒ841293</t>
  </si>
  <si>
    <t>862-844-843-875-860-831-819-816-818-865-861-869-868-873-874-876-877-878-863-864-866-867-879-833-832-834-842-836-837-838-840-841-835-847-846-854-827-823-822-821-826-815-851-852-824-828-856-848-857-853-845-858-859-820-850-871-870-872-855-849</t>
  </si>
  <si>
    <t>ΠΛΟΥΜΠΗ</t>
  </si>
  <si>
    <t>ΗΛΙΑΝΑ</t>
  </si>
  <si>
    <t>ΑΖ744965</t>
  </si>
  <si>
    <t>844-843-862-870-815-816-818-830-835-836-837-838-839-840-841-842-834-820-821-817-819-823-824-825-826-827-828-829-831-845-846-847-857-856-855-854-853-852-851-850-849-848-858-859-875-871-822-861-868-869-876-877-878-867-872-873-874-865-863-866-864-860-833-832-879</t>
  </si>
  <si>
    <t>ΚΟΥΓΙΟΥΜΟΥΤΖΑΚΗ</t>
  </si>
  <si>
    <t>ΑΙ441254</t>
  </si>
  <si>
    <t>828-854-847-871-846-822-853-848-857-858-870-872-850-826-829-815</t>
  </si>
  <si>
    <t>ΑΚ594944</t>
  </si>
  <si>
    <t>828-826-862-871-854-819-818-830-846-870-872</t>
  </si>
  <si>
    <t>ΜΥΛΩΝΑΣ</t>
  </si>
  <si>
    <t>ΦΟΙΒΟΣ ΠΑΝΑΓΙΩΤΗΣ</t>
  </si>
  <si>
    <t>Τ202216</t>
  </si>
  <si>
    <t>837-836-838-839-840-841-842</t>
  </si>
  <si>
    <t>ΣΙΩΖΙΟΥ</t>
  </si>
  <si>
    <t>ΑΒ410351</t>
  </si>
  <si>
    <t>854-853-846-847-828-850-822-815-848-857-858-859-871-872-856-821-826-830-835-837-838-839-840-843-870-817-836-862-841-842-852-816</t>
  </si>
  <si>
    <t>ΤΣΕΛΕΝΤΗΣ</t>
  </si>
  <si>
    <t>ΑΕ442475</t>
  </si>
  <si>
    <t>828-854-841-838-840-846-847-858-848-850-857-853-872-822-826-815-870-871-835-842-837-862</t>
  </si>
  <si>
    <t>ΑΒ813523</t>
  </si>
  <si>
    <t>843-846-847-854-855-853-851-848-850-856-857-852-849-845-858-859-828-870-872</t>
  </si>
  <si>
    <t>ΤΑΣΙΟΠΟΥΛΟΥ</t>
  </si>
  <si>
    <t>Ρ853308</t>
  </si>
  <si>
    <t>862-828-826-854-871-841-838-840-847-846-850-853-848-858-870-872-857-842-839-837-835-822-815</t>
  </si>
  <si>
    <t>ΒΑΡΛΑΓΚΑ</t>
  </si>
  <si>
    <t>ΑΚ430037</t>
  </si>
  <si>
    <t>862-841-828-838-840-835-842-870-826-850-853-858-829-837-815-822-847-848-871-872-857-854-839-846-817-844-875-821-816-818-830-836-859-852-856-876-843-861-820-819-831-832-833-860-867-869-868-824-825-823-834-851-849-845-855-863-865-827-873-874-877-878-864-879-866</t>
  </si>
  <si>
    <t>ΓΕΩΡΓΙΑΔΟΥ</t>
  </si>
  <si>
    <t>ΑΝ344507</t>
  </si>
  <si>
    <t>847-846-858-859-854-848-857-850-851-853-872</t>
  </si>
  <si>
    <t>ΚΕΧΑΓΙΑ</t>
  </si>
  <si>
    <t>ΑΝΔΡΟΝΙΚΗ</t>
  </si>
  <si>
    <t>ΚΩΝ ΝΟΣ</t>
  </si>
  <si>
    <t>ΑΜ842394</t>
  </si>
  <si>
    <t>971,3</t>
  </si>
  <si>
    <t>1099,3</t>
  </si>
  <si>
    <t>862-815-817-822-826-828-829-835-836-837-838-839-840-841-846-847-848-850-853-854-857-858-859-870-871-872-875-816-818-819-820-821-823-824-825-827-830-833-842-843-844-845-851-852-856-861-863-865-876-877-831-832-834-860-864-866-867-868-869-873-874-878-879</t>
  </si>
  <si>
    <t>ΚΟΥΜΕΝΤΑΚΗ</t>
  </si>
  <si>
    <t>ΑΑ951536</t>
  </si>
  <si>
    <t>873-874-833-876-877-878-863-864-845-846-847-848-849-850-851-852-853-854-855-856-857-858-859-827-828-829-820-821-822-823-824-826-815-830-831-870-871-872-868-869-843-844-875-835-836-837-838-839-840-841-842</t>
  </si>
  <si>
    <t>1098,5</t>
  </si>
  <si>
    <t>ΝΑΚΑ</t>
  </si>
  <si>
    <t>ΑΚ991416</t>
  </si>
  <si>
    <t>1014,2</t>
  </si>
  <si>
    <t>1098,2</t>
  </si>
  <si>
    <t>838-840-841</t>
  </si>
  <si>
    <t>ΚΟΜΠΟΓΙΑΝΝΗ</t>
  </si>
  <si>
    <t>ΑΒ411668</t>
  </si>
  <si>
    <t>825-826-827-828-829-815-820-821-822-823-824-845-846-847-848-849-850-851-852-854-853-855-856-857-858-859-870-871-872</t>
  </si>
  <si>
    <t>ΠΑΠΑΣΤΕΦΑΝΑΚΗ</t>
  </si>
  <si>
    <t>ΑΗ076551</t>
  </si>
  <si>
    <t>871-870-872-828-826-829-853-850-854-821-822-815-846-847-848-857-858-825-849-855-859</t>
  </si>
  <si>
    <t>ΑΜ347334</t>
  </si>
  <si>
    <t>838-839-840-841-842-835-837-828-826-822-817-815-846-847-848-850-853-854-858-862-870-871-872</t>
  </si>
  <si>
    <t xml:space="preserve"> 817- 839</t>
  </si>
  <si>
    <t>ΠΙΠΕΛΕ</t>
  </si>
  <si>
    <t>ΑΜ374074</t>
  </si>
  <si>
    <t>862-844-841-838-840-839-837-842-835-836-875-819-828-847-848-846-850-854-871-853-815-870-872-852-857-858-859-826-822-829-823-820-821-855-845-849-856-851-825-824-827</t>
  </si>
  <si>
    <t>ΝΤΑΕΡΕ</t>
  </si>
  <si>
    <t>Χ799331</t>
  </si>
  <si>
    <t>1096,5</t>
  </si>
  <si>
    <t>ΜΠΑΝΙΤΣΚΑΣ</t>
  </si>
  <si>
    <t>ΑΖ800085</t>
  </si>
  <si>
    <t>841-840-838-839-842-835-837-828-854-870-871-862-817-826-829-846-847-848-850-853-857-858-872-815-822-836-843-844-816-830-861-875-818-821-823-824-825-852-856-855-859-876-827-819-834-833-863-865-877-820-845-849-851-832-831-860-864-866-873-874-878-869-868-867-879</t>
  </si>
  <si>
    <t>ΓΥΡΝΑ</t>
  </si>
  <si>
    <t>Τ013471</t>
  </si>
  <si>
    <t>821-822-828-829-826-846-847-848-850-852-853-854-856-857-858-859-862-870-871-872-876</t>
  </si>
  <si>
    <t>Χ485648</t>
  </si>
  <si>
    <t>828-841-854-838-840-871-870-842-835-839-848-850-853-857-858-847-846-822-815-872-829-826-837-862-817</t>
  </si>
  <si>
    <t>ΛΥΚΟΥΔΗ</t>
  </si>
  <si>
    <t>ΞΑΝΘΙΠΠΗ</t>
  </si>
  <si>
    <t>ΑΚ840136</t>
  </si>
  <si>
    <t>815-820-821-822-825-826-828-845-846-847-848-849-850-851-852-853-854-855-856-857-858-859-870-871-872</t>
  </si>
  <si>
    <t>ΑΝΔΡΕΟΥ</t>
  </si>
  <si>
    <t>ΑΙ867048</t>
  </si>
  <si>
    <t>840-841-835-836-837-842-839-838-862</t>
  </si>
  <si>
    <t>ΚΥΡΙΤΣΗ</t>
  </si>
  <si>
    <t>Χ912194</t>
  </si>
  <si>
    <t>841-840-838-828-870-871-842-854-815-817-822-826-829-837-846-847-848-850-853-857-858-862-872-816-818-821-830-836-843-852-856-859-861-875-876</t>
  </si>
  <si>
    <t>ΤΣΙΑΝΤΗ</t>
  </si>
  <si>
    <t>ΑΙ224419</t>
  </si>
  <si>
    <t>822-854-846-847-858-853-850-857-848-828-871-870-872-815-829-826</t>
  </si>
  <si>
    <t>ΣΤΡΙΜΕΝΟΥ</t>
  </si>
  <si>
    <t>ΑΜΑΛΙΑ</t>
  </si>
  <si>
    <t>ΑΚ353105</t>
  </si>
  <si>
    <t>843-815-817-822-826-828-831-838-839-840-841-842-846-847-850-854</t>
  </si>
  <si>
    <t>ΣΠΥΡΙΔΟΥΛΑ</t>
  </si>
  <si>
    <t>ΑΑ360921</t>
  </si>
  <si>
    <t>815-816-817-818-819-820-821-822-823-824-825-826-827-828-829-830-845-846-847-848-849-850-851-852-853-854-855-856-857-858-859-870-871-872-879-831-861</t>
  </si>
  <si>
    <t>ΘΑΝΕΛΑ</t>
  </si>
  <si>
    <t>Σ378784</t>
  </si>
  <si>
    <t>828-847-854-850-853-815-846-848-857-821-822-852-856-858-859</t>
  </si>
  <si>
    <t>Χ954756</t>
  </si>
  <si>
    <t>1091,5</t>
  </si>
  <si>
    <t>840-838-841-842-835-837-862-839</t>
  </si>
  <si>
    <t>ΤΑΛΛΙΟΥ</t>
  </si>
  <si>
    <t>ΑΗΔΟΝΗΣ</t>
  </si>
  <si>
    <t>ΑΚ697681</t>
  </si>
  <si>
    <t>815-845-846-847-848-828-854-855-858-853-851-859-849-850-852-856-871-872-857-827-821-822-829-823</t>
  </si>
  <si>
    <t>ΠΑΣΑΛΙΔΟΥ</t>
  </si>
  <si>
    <t>ΙΣΑΑΚ</t>
  </si>
  <si>
    <t>ΑΖ369810</t>
  </si>
  <si>
    <t>1090,5</t>
  </si>
  <si>
    <t>836-837-838-839-840-841-842-835-897-876-877-873-874-833-863-864-878-832-860-866-867-879-868-869-816-817-818-819-830-831-834-843-844-861-862-865-875-815-820-821-822-823-824-825-826-827-828-829-845-846-847-848-849-850-851-852-853-854-855-856-857-858-859-870-871-872</t>
  </si>
  <si>
    <t>ΡΑΧΗΛ</t>
  </si>
  <si>
    <t>Τ982306</t>
  </si>
  <si>
    <t>841-840-838-835-842-837-862-828-854-870-871-872-815-822-826-846-847-848-850-853</t>
  </si>
  <si>
    <t>ΦΩΤΗ</t>
  </si>
  <si>
    <t>ΑΒ108504</t>
  </si>
  <si>
    <t>815-822-826-828-829-846-847-848-850-852-853-854-856-857-858-859-870-871-872-835-836-837-838-839-840-841-862-816-817-818-821-830-861-875-876-823-824-825-827-844-855-860-820-845-849-851-832-831-834-819-865-866-868-833-874-873-863-864-877-878-879-869-867-842-843</t>
  </si>
  <si>
    <t>ΚΑΡΔΟΥΛΑ</t>
  </si>
  <si>
    <t>ΚΕΡΑΤΣΙΑ ΛΕΜΟΝΙΑ</t>
  </si>
  <si>
    <t>ΑΒ843989</t>
  </si>
  <si>
    <t>828-871-870-815-854-850-853-847-843-859-846-872</t>
  </si>
  <si>
    <t>ΚΑΖΑΝΤΖΗΣ</t>
  </si>
  <si>
    <t>ΑΖ853556</t>
  </si>
  <si>
    <t>840-841-838-842-837-836-835-839-868-869-862-833-843-844-819-845-846-847-848-849-850-851-852-853-854-855-856-857-858-859-873-876-822-823-824-825-826-827-828-834-820-821-829-815-816-817-818-830-831-832-860-861-863-864-865-866-867-870-871-872-874-875-877-878-879</t>
  </si>
  <si>
    <t>ΚΑΤΣΙΜΑΡΔΟΥ</t>
  </si>
  <si>
    <t>ΑΕ245993</t>
  </si>
  <si>
    <t>858-859-854-855-846-847-848-853-851-849-850-857-856-852-821-823-822-828-829-827-824-870-871-872-820-835-836-837-838-839-840-841-842-860</t>
  </si>
  <si>
    <t>KΥΡΛΗ</t>
  </si>
  <si>
    <t>EΛΕΝΗ</t>
  </si>
  <si>
    <t>ΑΖ814502</t>
  </si>
  <si>
    <t>897-862-842-841-840-835-839-838</t>
  </si>
  <si>
    <t>ΜΑΡΓΑΡΙΤΗ</t>
  </si>
  <si>
    <t>Χ454184</t>
  </si>
  <si>
    <t>838-835-837-836-841-840-839-842-876-843-870-871-854-815-853-828-829-850-872-846-847-862-858-816-817-848-857-861-859-821-852-856-830-867-860-863-866-864-865-833-832-877</t>
  </si>
  <si>
    <t>ΑΖ764034</t>
  </si>
  <si>
    <t>876-816-817-818-861-875-830-843-844-862-869-835-836-837-838-839-840-841-842-870-871-872-824-827-828-846-847-848-850-852-853-854-855-856-857-858-859-815-821-822-823-825-826-829</t>
  </si>
  <si>
    <t>ΚΥΡΟΓΛΟΥ</t>
  </si>
  <si>
    <t>ΑΚ600816</t>
  </si>
  <si>
    <t>856-828-853-827-829-855-854-852-848-849-850-851-857-858-859-846-847-825-826-871-872-820</t>
  </si>
  <si>
    <t>ΚΑΛΑΙΤΖΗΣ</t>
  </si>
  <si>
    <t>ΓΕΩΡΓΙΟΣ-ΡΑΦΑΗΛ</t>
  </si>
  <si>
    <t>ΑΕ373226</t>
  </si>
  <si>
    <t>841-828-838-840-839-842-837-815-835-850-847-870-871-853-854-826-858-822-836-875-844-843-830-816-817-818-862-861-876-872-859-821-823-824-825-827-829-846-848-852-855-856-857</t>
  </si>
  <si>
    <t>ΖΗΣΙΜΟΠΟΥΛΟΥ</t>
  </si>
  <si>
    <t>ΑΙ992578</t>
  </si>
  <si>
    <t>822-850-853-870-872-830</t>
  </si>
  <si>
    <t xml:space="preserve">ΑΘΑΝΑΣΟΠΟΥΛΟΣ </t>
  </si>
  <si>
    <t xml:space="preserve">ΑΘΑΝΑΣΙΟΣ </t>
  </si>
  <si>
    <t>ΑΙ231177</t>
  </si>
  <si>
    <t>1088,3</t>
  </si>
  <si>
    <t>848-850-852-854-856-857-870-871-872-828-815-821-826-822-829-836-837-838-835-839-840-841-842-843-846-847-858-862-818-817-816</t>
  </si>
  <si>
    <t>ΔΕΝΕΚΕ</t>
  </si>
  <si>
    <t>ΚΑΝΕΛΛΟΣ</t>
  </si>
  <si>
    <t>ΑΕ252791</t>
  </si>
  <si>
    <t>815-820-821-822-823-824-826-828-845-846-847-848-850-851-852-853-854-856-857-858-859-870-871-872</t>
  </si>
  <si>
    <t>ΚΥΡΙΑΚΑΚΗ</t>
  </si>
  <si>
    <t>ΓΑΡΥΦΑΛΛΙΑ</t>
  </si>
  <si>
    <t>Χ857253</t>
  </si>
  <si>
    <t>1058,2</t>
  </si>
  <si>
    <t>1086,2</t>
  </si>
  <si>
    <t>833-873-874-876-877-878-863-864-856-823-828-870-871-872</t>
  </si>
  <si>
    <t>ΑΜ311554</t>
  </si>
  <si>
    <t>818-828-843-817-816-875-861-815-821-822-826-829-830-846-847-850-852-853-854-856-857-858-859-870-871-873-862-841-840-842-839-838-837-836-835</t>
  </si>
  <si>
    <t>ΚΑΠΕΤΑΝΙΟΣ</t>
  </si>
  <si>
    <t>Χ128492</t>
  </si>
  <si>
    <t>1085,6</t>
  </si>
  <si>
    <t>829-820-858-846-847-859-854-827-855-825-853-845-815-821-822-828-826-823-824-849-850-852-848-851-857-856-870-871-872-835-836-837-838-839-840-841-842-843-819-830-897-873-874-875-876-877-878-860-862-861-844-833-831-832-817-866-868-869-864-863-865-879-818</t>
  </si>
  <si>
    <t>ΒΕΛΟΓΛΟΥ</t>
  </si>
  <si>
    <t>Χ857107</t>
  </si>
  <si>
    <t>833-863-864-876-877-878-815-816-817-818-819-820-821-822-823-824-825-826-827-828-829-830-831-832-834-835-836-837-838-839-840-841-842-843-844-845-846-847-848-849-850-851-852-853-854-855-856-857-858-859-860-861-862-865-866-867-868-869-870-871-872-873-874-875-879</t>
  </si>
  <si>
    <t>ΖΑΛΟΚΩΣΤΑ</t>
  </si>
  <si>
    <t>Χ332525</t>
  </si>
  <si>
    <t>828-841-840-835-838-842-871-850-854-826-848-815-833-875-824-831-872-858-837-862-822</t>
  </si>
  <si>
    <t>ΡΙΓΓΑ</t>
  </si>
  <si>
    <t>ΒΑΣΙΛΙΚΗ ΧΡΙΣΤΙΝΑ</t>
  </si>
  <si>
    <t>ΑΕ567448</t>
  </si>
  <si>
    <t>871-870-872</t>
  </si>
  <si>
    <t>ΝΙΚΟΛΑΙΔΟΥ</t>
  </si>
  <si>
    <t>ΙΕΡΟΘΕΑ</t>
  </si>
  <si>
    <t>ΑΗ847974</t>
  </si>
  <si>
    <t>ΜΠΑΜΠΙΛΗ</t>
  </si>
  <si>
    <t>ΑΖ429547</t>
  </si>
  <si>
    <t>828-854-870-871-850-815-826-847-853-846-858-822-848-872-829-857-859-856-852-821-827-823-824-825-855-845-851-849-820-841-838-840-842-835-839-837-836</t>
  </si>
  <si>
    <t>ΒΟΣΝΑΚΟΣ</t>
  </si>
  <si>
    <t>Τ797611</t>
  </si>
  <si>
    <t>841-838-840-839-835-842-837-862</t>
  </si>
  <si>
    <t>ΜΕΛΑΜΠΙΑΝΑΚΗ</t>
  </si>
  <si>
    <t>ΑΙ451756</t>
  </si>
  <si>
    <t>828-826-829-846-847-848-850-853-854-857-858-862-870-871-872-817</t>
  </si>
  <si>
    <t>ΔΟΥΛΟΠΟΥΛΟΥ</t>
  </si>
  <si>
    <t>Σ889322</t>
  </si>
  <si>
    <t>1082,8</t>
  </si>
  <si>
    <t>ΣΕΛΙΝΙΩΤΑΚΗ</t>
  </si>
  <si>
    <t>ΑΡΓΥΡΩ</t>
  </si>
  <si>
    <t>Ξ919989</t>
  </si>
  <si>
    <t>828-870-871-854-826-850-815-847-858-846-822-853-872-829-848-862-859-857-856-861-838-841-840-842-839</t>
  </si>
  <si>
    <t>ΜΑΡΑΓΚΟΥΔΑΚΗ</t>
  </si>
  <si>
    <t>ΑΡΤΕΜΙΣ ΜΑΡΙΑ</t>
  </si>
  <si>
    <t>Φ344321</t>
  </si>
  <si>
    <t>1080,5</t>
  </si>
  <si>
    <t>877-876-871-872-828-826-856-848-854-858-859-851-855-852-850-849-857-829-825-827-870-846-847-853-845-823-822-824-821-815-820-833-863-830-836-838-837-840-841-842-835-862-844-843-865-861-875-816-817-818-819</t>
  </si>
  <si>
    <t>ΔΗΜΗΤΡΙΑΔΟΥ</t>
  </si>
  <si>
    <t>ΠΡΟΔΡΟΜΟΣ</t>
  </si>
  <si>
    <t>ΑΜ909423</t>
  </si>
  <si>
    <t>1079,5</t>
  </si>
  <si>
    <t>868-869-838-835-841-842-836-837-840-862-844-815-816-817-818-819-820-821-822-823-824-825-826-827-828-829-830-831-832-833-834</t>
  </si>
  <si>
    <t>ΘΑΝΑΣΗ</t>
  </si>
  <si>
    <t>Χ363912</t>
  </si>
  <si>
    <t>843-834-815-820-821-822-823-824-825-826-827-828-829-845-846-847-848-849-850-851-852-853-854-855-856-857-858-859-870-871-872-860-862</t>
  </si>
  <si>
    <t>ΤΖΑΓΚΑΤΖΗ</t>
  </si>
  <si>
    <t>ΔΗΜΗΤΡΑ-ΣΤΕΛΛΑ</t>
  </si>
  <si>
    <t>ΑΒ148875</t>
  </si>
  <si>
    <t>1078,5</t>
  </si>
  <si>
    <t>841-842-835-828-870-871-872-897-815-816-817-818-819-820-821-822-823-824-825-826-827-829-830-831-832-833-834-836-837-838-839-840-843-844-845-846-847-848-849-850-851-852-853-854-855-856-857-858-859-860-861-862-863-864-865-866-867-868-869-873-874-875-876-877-878-879</t>
  </si>
  <si>
    <t>ΠΕΤΡΟΥ</t>
  </si>
  <si>
    <t>ΔΩΡΟΘΕΑ</t>
  </si>
  <si>
    <t>Σ479603</t>
  </si>
  <si>
    <t>1078,4</t>
  </si>
  <si>
    <t>841-840-835-837-842-838-839</t>
  </si>
  <si>
    <t>ΑΣΗΜΙΝΑ</t>
  </si>
  <si>
    <t>Χ842563</t>
  </si>
  <si>
    <t>815-816-817-818-819-820-821-822-823-824-825-826-827-828-829-830-831-832-834-835-836-837-838-839-840-841-842-843-844-845-846-847-848-849-850-851-852-853-854-855-856-857-858-859-860-861-862-863-864-865-866-867-868-870-871-872-873-874-875-876-877-878-879</t>
  </si>
  <si>
    <t>ΑΜ999042</t>
  </si>
  <si>
    <t>840-831-828-841-835-838-842-871-854-850-826-848-833-875-824-815-819-820-823-825-827-844-845-849-851-855</t>
  </si>
  <si>
    <t>ΚΟΝΙΑΡΗ</t>
  </si>
  <si>
    <t>ΑΒ812269</t>
  </si>
  <si>
    <t>816-817-818-820-821-822-828-835-836-837-838-839-840-841-842-843-844-848-850-853-854-857-858-859-862</t>
  </si>
  <si>
    <t>ΛΑΖΙΔΟΥ</t>
  </si>
  <si>
    <t>Π934889</t>
  </si>
  <si>
    <t>862-844-837-836-835-838-840-841-842-839-875-858-859-848-849-850-851-852-853-854-855-856-857-845-846-847-815-817-820-821-818-816-822-823-824-830-829-828-826-827-825-833-843-861-863-865-872-870-871-876-877-819</t>
  </si>
  <si>
    <t>ΚΙΤΣΙΑ</t>
  </si>
  <si>
    <t>ΑΗ220922</t>
  </si>
  <si>
    <t>818-821-822-826-828-846-847-848-850-852-853-854-856-857-858-859-870-871-872-815-816-835-836-843-842-841-840-838-875-876-819-820-833-830</t>
  </si>
  <si>
    <t>ΣΩΤΗΡΛΗ</t>
  </si>
  <si>
    <t>ΤΡΙΑΔΑ-ΗΛΙΑΝΝΑ</t>
  </si>
  <si>
    <t>ΑΖ287947</t>
  </si>
  <si>
    <t>862-838-841-840-842-839-835-837-828-854-858-870-815-822-826-846-847-848-850-853-871-857-872-817</t>
  </si>
  <si>
    <t>ΚΟΥΤΣΙΩΡΑ</t>
  </si>
  <si>
    <t>ΑΚ404889</t>
  </si>
  <si>
    <t>862-844-843-836-837-838-839-840-842-841-872-871-826-825-828-858-859-847-848-850-851-852-853-854-856-857-849-846-845-823-822-824-827-865-869-868-831-876-877-878-874-873-863-864-875-832-861-866-834-879-830-867-835-833-829-855-870-860</t>
  </si>
  <si>
    <t>ΝΙΚΟΛΑ'Ι'ΔΟΥ</t>
  </si>
  <si>
    <t>Τ442878</t>
  </si>
  <si>
    <t>862-838-839-835-836-837-840-841-842-858-857-854-846-847-828-870-871-872-815-822-826-848-850-853</t>
  </si>
  <si>
    <t>ΡΗΓΑ</t>
  </si>
  <si>
    <t>ΑΖ092791</t>
  </si>
  <si>
    <t>870-872-871-846-847-828-854-826-850-815-853-829-848-857-858-859-856-821-822</t>
  </si>
  <si>
    <t>ΠΛΑΤΙΑ</t>
  </si>
  <si>
    <t>ΑΜ092149</t>
  </si>
  <si>
    <t>828-815-847-850-854-846-838-841-840-842</t>
  </si>
  <si>
    <t>ΚΟΝΤΟΥ</t>
  </si>
  <si>
    <t>ΑΒ104177</t>
  </si>
  <si>
    <t>862-844-843-875-869-868-841-840-839-842-865-845-846-847-848-849-850-851-852-853-854-855-856-857-858-859</t>
  </si>
  <si>
    <t>ΔΗΜΗΤΡΑΚΟΠΟΥΛΟΥ</t>
  </si>
  <si>
    <t>ΑΒ782681</t>
  </si>
  <si>
    <t>ΜΠΟΥΖΑ</t>
  </si>
  <si>
    <t>ΕΛΛΗ</t>
  </si>
  <si>
    <t>Ξ224006</t>
  </si>
  <si>
    <t>828-871-826-825-872-870-850-857-858-859-853-854-855-847-846-827-815</t>
  </si>
  <si>
    <t>ΓΚΟΥΜΛΑ</t>
  </si>
  <si>
    <t>ΑΜ892437</t>
  </si>
  <si>
    <t>ΧΑΡΙΣΗ</t>
  </si>
  <si>
    <t xml:space="preserve">ΗΛΙΑΣ </t>
  </si>
  <si>
    <t>Π501463</t>
  </si>
  <si>
    <t>927,3</t>
  </si>
  <si>
    <t>1077,3</t>
  </si>
  <si>
    <t>ΞΑΣΤΕΡΟΥΛΗ</t>
  </si>
  <si>
    <t>ΣΤΑΜΑΤΙΝΑ</t>
  </si>
  <si>
    <t>ΑΕ 272812</t>
  </si>
  <si>
    <t>861-817</t>
  </si>
  <si>
    <t>ΜΠΑΖΙΟΥ</t>
  </si>
  <si>
    <t>ΑΗ249091</t>
  </si>
  <si>
    <t>843-835-836-837-838-839-840-841-842-847-848-850-853-854-856-857-858-859-862-870-871-872-875-846</t>
  </si>
  <si>
    <t>ΑΓΓΕΛΑΚΗ</t>
  </si>
  <si>
    <t>ΑΕ607342</t>
  </si>
  <si>
    <t>858-859-856-850-846-847-857-848-853-854-852-870-871</t>
  </si>
  <si>
    <t>ΤΣΟΥΡΟΥΦΛΗ</t>
  </si>
  <si>
    <t>ΝΙΚΟΛΑΟΣ-ΣΠΥΡΙΔΩΝ</t>
  </si>
  <si>
    <t>Χ810352</t>
  </si>
  <si>
    <t>1075,5</t>
  </si>
  <si>
    <t>828-832-817-897-872-871-870-850-847-853-846-829-815-821-822-854-859-858-856-857-848-852-826-818-816-830-862-860-838-840-841-842-837-839-835-836-843-876-875-849-851-855-864-863-878-877-873-874-861-827-845-844-833-834-824-820-819-823-825-865-868-869-879-866-867-831</t>
  </si>
  <si>
    <t>ΑΑ479887</t>
  </si>
  <si>
    <t>835-836-837-838-839-840-841-842-843-862</t>
  </si>
  <si>
    <t>ΑΙ297491</t>
  </si>
  <si>
    <t>862-844-843-836-835-837-840-841-838-839-842-819-854-855-850-849-848-847-851-852-856-857-858-859-845-846-828-826-825-824-823-827-829-822-821-820-834-831-870-871-872-868-869-816-817-860-861-832-833-873-874-866-867-863-864</t>
  </si>
  <si>
    <t>ΑΛΕΞΙΑΔΟΥ</t>
  </si>
  <si>
    <t>ΑΙ193980</t>
  </si>
  <si>
    <t>1074,7</t>
  </si>
  <si>
    <t>Ρ213188</t>
  </si>
  <si>
    <t>1074,5</t>
  </si>
  <si>
    <t>838-839-841-837-840-836-842-835</t>
  </si>
  <si>
    <t>ΜΑΝΤΑΛΙΑ</t>
  </si>
  <si>
    <t>ΑΒ843919</t>
  </si>
  <si>
    <t>906,4</t>
  </si>
  <si>
    <t>1074,4</t>
  </si>
  <si>
    <t>844-862-875-819-830-835-836-837-838-840-841-842-815-822-828-846-847-848-850-853-854-874-872</t>
  </si>
  <si>
    <t>ΚΑΡΑΙΣΚΟΣ</t>
  </si>
  <si>
    <t>ΑΜ412911</t>
  </si>
  <si>
    <t>897-862-840-841-842-838-837-836-835-839-844-843-869-868-875-870-871-872-815-820-821-822-823-828-846-847-854-853-850-858-859-855-848-852-876-826-833-827-824-825-829-877-878-851-845-849-856-857-816-817</t>
  </si>
  <si>
    <t>ΜΠΙΜΠΑ</t>
  </si>
  <si>
    <t>ΑΙ372847</t>
  </si>
  <si>
    <t>1073,5</t>
  </si>
  <si>
    <t>815-816-817-818-819-820-821-822-823-824-825-826-827-828-829-830-831-832-833-834-835-836-837-838-839-840-841-842-843-844-845-846-847-848-849-850-851-852-853-854-855-856-857-858-859-860-861-862-863-864-865-868-866-867-869-870-871-872-873-874-875-876-877-878-879</t>
  </si>
  <si>
    <t>ΝΑΤΑΣΑ</t>
  </si>
  <si>
    <t>ΑΜ844488</t>
  </si>
  <si>
    <t>841-828-840-838-842-835-815-854-822-826-837-846-847-848-850-853-857-839-817-829</t>
  </si>
  <si>
    <t>ΜΙΑΡΙΤΗ</t>
  </si>
  <si>
    <t>ΑΑ393531</t>
  </si>
  <si>
    <t>820-821-822-823-824-825-826-827-828-829-844-845-846-847-848-849-850-851-852-853-854-855-856-857-858-859</t>
  </si>
  <si>
    <t>ΜΑΜΑΛΗ</t>
  </si>
  <si>
    <t>ΑΙ885102</t>
  </si>
  <si>
    <t>841-840-837-838-842-835-862-828-872-871-870-853-857-850-848-822-826-854-847-846-858-815-817-839-829</t>
  </si>
  <si>
    <t>ΜΠΙΤΩΛΑ</t>
  </si>
  <si>
    <t>Χ755951</t>
  </si>
  <si>
    <t>ΑΗ722678</t>
  </si>
  <si>
    <t>820-821-822-823-846-847-848-849-850-851-852-853-854-855-856-857-858-859-870-871-872-825-826-827-828-845</t>
  </si>
  <si>
    <t>ΤΖΑΓΚΑΡΑΚΗ</t>
  </si>
  <si>
    <t>Χ032715</t>
  </si>
  <si>
    <t>828-858-859-871</t>
  </si>
  <si>
    <t>ΚΑΡΑΜΠΑ</t>
  </si>
  <si>
    <t>ΑΜ348524</t>
  </si>
  <si>
    <t>1069,5</t>
  </si>
  <si>
    <t>815-821-822-826-828-846-847-848-850-853-854-857-858-859-870-871-872-843-835-836-837-838-840-841-842-830-861-862-875</t>
  </si>
  <si>
    <t>ΝΑΣΤΟΥΛΗ</t>
  </si>
  <si>
    <t>ΧΡΙΣΤΟΦΟΡΟΣ</t>
  </si>
  <si>
    <t>ΑΚ331991</t>
  </si>
  <si>
    <t>841-828-838-840-815-835-848-871-872-842-847-850-854-870-875-876-839-822-817-837-843-846-832-858-861-862-869-830-831-834-816-818-820-821-823-824-825-826-827-829-866-867-877-874-878-879</t>
  </si>
  <si>
    <t>ΤΣΙΑΦΟΥΛΗ</t>
  </si>
  <si>
    <t>ΑΗ769719</t>
  </si>
  <si>
    <t>ΓΙΑΝΝΙΔΟΥ</t>
  </si>
  <si>
    <t>ΑΚ831591</t>
  </si>
  <si>
    <t>1069,1</t>
  </si>
  <si>
    <t>820-821-822-823-824-826-827-828-846-848-850-852-851-853-854-856-857-872-858-859-871</t>
  </si>
  <si>
    <t>ΖΑΠΝΟΥΚΑΓΙΑ</t>
  </si>
  <si>
    <t>Φ217753</t>
  </si>
  <si>
    <t>854-870-853-871-858-857-872-859-852-856</t>
  </si>
  <si>
    <t>ΜΑΡΑ</t>
  </si>
  <si>
    <t>Τ447230</t>
  </si>
  <si>
    <t>841-840-835-836-837-842</t>
  </si>
  <si>
    <t>ΑΛΙΤΖΑΝΙΔΟΥ</t>
  </si>
  <si>
    <t>Φ246238</t>
  </si>
  <si>
    <t>828-841-838-839-840-842-835-837-836-854-870-871-815-850-858-826-846-847-853-862-822-829-872-876-875-873-874-877-878-848-857-817-859-861-843-818-821-830-816-823-824-825-855-856-852-819-820-827-831-832-833-834-844-845-849-851-860-863-864-865-866-867-868-869-879</t>
  </si>
  <si>
    <t>ΠΟΛΥΧΡΟΝΟΥ</t>
  </si>
  <si>
    <t>ΑΑ355530</t>
  </si>
  <si>
    <t>ΜΠΟΥΤΟΥ</t>
  </si>
  <si>
    <t>ΑΗ208683</t>
  </si>
  <si>
    <t>815-817-822-826-828-829-835-837-838-839-840-841-842-846-847-848-850-853-854-857-858-862-870-871-872</t>
  </si>
  <si>
    <t>ΠΛΑΚΟΠΙΤΑ</t>
  </si>
  <si>
    <t>ΑΑ969912</t>
  </si>
  <si>
    <t>862-828-854-848-853-850-856-857-847-846-858-859-852-872-871-815-821-822-824-826-829-837-838-835-836-841-839-840-842-870-843-876-830-818-817-816-844-855-849-851-825-823-845-833-877-878-873-874-820-832-860-879-866-863-864-827-819-831</t>
  </si>
  <si>
    <t>ΣΓΟΥΡΑΚΗ</t>
  </si>
  <si>
    <t>ΕΥΤΥΧΙΟΣ</t>
  </si>
  <si>
    <t>ΑΙ462167</t>
  </si>
  <si>
    <t>877-874-873-876</t>
  </si>
  <si>
    <t>ΜΟΥΣΑΒΕΡΕ</t>
  </si>
  <si>
    <t>ΝΙΚΗΦΟΡΟΣ</t>
  </si>
  <si>
    <t>ΑΖ245326</t>
  </si>
  <si>
    <t>846-847-858-828-850-853-848-857-854-835-838-839-841-840-842-837-870-872-871-862-815-822-821-826-859-856-823-817</t>
  </si>
  <si>
    <t>ΧΑΣΑΠΗ</t>
  </si>
  <si>
    <t>ΑΕ242316</t>
  </si>
  <si>
    <t>828-831-850</t>
  </si>
  <si>
    <t>ΟΡΦΑΝΙΔΟΥ</t>
  </si>
  <si>
    <t>ΑΖ886110</t>
  </si>
  <si>
    <t>869-842-835-840-838-841-836-837-862-816-818-822-858-846-828-850-857-853-854-848-870-872-876-830</t>
  </si>
  <si>
    <t>ΤΣΕΛΕΝΤΗ</t>
  </si>
  <si>
    <t>ΑΚ029292</t>
  </si>
  <si>
    <t>854-828-841-838-840-846-847-858-848-850-857-853-872-822-826-815-870-871-835-842-837-862</t>
  </si>
  <si>
    <t>ΙΩΑΝΝΟΥ</t>
  </si>
  <si>
    <t xml:space="preserve">ΕΜΜΑΝΟΥΗΛ </t>
  </si>
  <si>
    <t>ΑΗ396561</t>
  </si>
  <si>
    <t>839-843-838-835-837-840-842-862-841-826-829-879-876-867</t>
  </si>
  <si>
    <t>1065,5</t>
  </si>
  <si>
    <t>ΑΝΤΖΑ</t>
  </si>
  <si>
    <t>ΑΑ112526</t>
  </si>
  <si>
    <t>1064,3</t>
  </si>
  <si>
    <t>ΔΑΛΑΓΙΩΡΓΟΥ</t>
  </si>
  <si>
    <t>ΑΒ773078</t>
  </si>
  <si>
    <t>835-836-837-838-839-840-841-842-847-848-850-852-853-854-857-858-859-870-871-872-815-821-822-855-856-861-862-849-851-860-820-826-825-824-823-829-828-843-845-846-844-832-819-818-816-817-830-831-833-834-863-864-865-866-867-868-869-875-876-877-878-879</t>
  </si>
  <si>
    <t>ΠΟΛΥΧΡΟΝΗ</t>
  </si>
  <si>
    <t>Ξ624994</t>
  </si>
  <si>
    <t>828-871-854-846-847-848-850-849-845</t>
  </si>
  <si>
    <t>ΛΑΡΕΝΤΖΑΚΗ</t>
  </si>
  <si>
    <t>Χ683313</t>
  </si>
  <si>
    <t>1062,5</t>
  </si>
  <si>
    <t>764-759-786-794-828-826-870-871-872-847-853-854-858-859</t>
  </si>
  <si>
    <t>ΚΥΡΙΟΥ-ΚΑΡΒΕΛΗ</t>
  </si>
  <si>
    <t>ΘΩΜΑΙΣ</t>
  </si>
  <si>
    <t>ΑΜ757439</t>
  </si>
  <si>
    <t>816-861-828-853-870-826-854-850-847-815-859-872-857-856-858-848-846-852-818-830-817-871-822-821-838</t>
  </si>
  <si>
    <t>ΜΑΝΙΑΤΑΚΗ</t>
  </si>
  <si>
    <t>ΑΑ366689</t>
  </si>
  <si>
    <t>834,9</t>
  </si>
  <si>
    <t>1061,9</t>
  </si>
  <si>
    <t>826-827-828-825-829-815-846-847-854</t>
  </si>
  <si>
    <t>ΜΙΧΕΛΑΚΗ</t>
  </si>
  <si>
    <t>ΑΙ449409</t>
  </si>
  <si>
    <t>833-863-864-867-876-877-857-858-859-854-855-856-853-848-849-850-851-845-846-830-829-825-824-823-822-821-820-815</t>
  </si>
  <si>
    <t>ΤΣΑΦΑΡΑ</t>
  </si>
  <si>
    <t>Χ287885</t>
  </si>
  <si>
    <t>817-816-865-818-861-826-827-828-829-815-821-822-823-824-825-846-847-848-850-852-853-854-857-858-859-870-871-872-837-838-839-840-841-862</t>
  </si>
  <si>
    <t>ΣΑΚΟΥΤΣΙΟΥ</t>
  </si>
  <si>
    <t>ΑΜ816979</t>
  </si>
  <si>
    <t>862-854-857-858-870-872-871-826-846-835-838-837-839-840-841-842-822-815-817-828-829-847-848-850-853</t>
  </si>
  <si>
    <t>ΜΗΛΙΟΡΔΟΥ</t>
  </si>
  <si>
    <t>ΑΚ353296</t>
  </si>
  <si>
    <t>821-822-828-815-849-850-851-853-854-855-846-847-848-820-872-858-859-871-823-857-856-852-824-827-845-870-829-825-826-843-818-835-836-837-838-839-840-841-842-816-817-819-861-864-863-865-844-831-830-868-869-875-833-876-877-878-873-874-834-832-866-879-867</t>
  </si>
  <si>
    <t>ΑΝ036000</t>
  </si>
  <si>
    <t>845-846-847-848-849-850-851-852-853-854-855-856-857-858-870-871-818-820-821-822-823-824-825-826-827-828-829-835-836-837-838-866-879-872-830-842</t>
  </si>
  <si>
    <t>ΚΟΥΡΤΕΛΗ</t>
  </si>
  <si>
    <t>Τ235988</t>
  </si>
  <si>
    <t>1059,6</t>
  </si>
  <si>
    <t>815-822-826-828-829-835-837-838-839-840-841-842-846-847-848-850-853-854-870-871</t>
  </si>
  <si>
    <t>ΖΑΓΟΡΙΑΝΟΥ</t>
  </si>
  <si>
    <t>ΕΜΜΑΝΟΥΕΛΑ-ΚΥΡΙΑΚΗ</t>
  </si>
  <si>
    <t>ΑΕ954898</t>
  </si>
  <si>
    <t>1058,5</t>
  </si>
  <si>
    <t>870-871-872-818</t>
  </si>
  <si>
    <t>ΚΩΤΣΙΑ</t>
  </si>
  <si>
    <t>ΑΖ737727</t>
  </si>
  <si>
    <t>843-834-836-837-838-840-841-842-839-835-860-814-862-846-844-859-858-861-856-857-813-831-848-847-850-851-852-853-854-855-830</t>
  </si>
  <si>
    <t>ΛΟΤΣΙΟΥ</t>
  </si>
  <si>
    <t>Τ019573</t>
  </si>
  <si>
    <t>1057,5</t>
  </si>
  <si>
    <t>831-828-822-827-826-855-823-846-847-848-850-853-851-854-852-856-857-858-859-870-871-821-872-875-862-861-865-841-839-840-845-844-838-837-836-835-833-842-829-815-816-820-819-876</t>
  </si>
  <si>
    <t>ΛΙΟΛΗ</t>
  </si>
  <si>
    <t>Χ324859</t>
  </si>
  <si>
    <t>1056,5</t>
  </si>
  <si>
    <t>815-849-850-821-846-847-858</t>
  </si>
  <si>
    <t>ΠΡΥΝΙΑ</t>
  </si>
  <si>
    <t>Τ104308</t>
  </si>
  <si>
    <t>828-854-857-850-853-848-851-856-845-846-847-827-855-849-826-825-824-823-871-852</t>
  </si>
  <si>
    <t>ΜΠΟΥΓΑΤΣΙΑ</t>
  </si>
  <si>
    <t>ΑΜ666828</t>
  </si>
  <si>
    <t>841-838-835-840-839-842-837</t>
  </si>
  <si>
    <t>ΜΑΝΔΡΟΥΚΑ</t>
  </si>
  <si>
    <t xml:space="preserve">ΕΛΕΝΗ </t>
  </si>
  <si>
    <t>ΑΕ250501</t>
  </si>
  <si>
    <t>818-816-831-834-858-859-850-853-854-846-847-848-857-828-815-826-870-871-872-822-852-856-851-845-821-823-824-820-841-838-840-842-835-837-836-844-819-862-875-861-865-830-860-876-877-878-833-873-874-863-864-867-866-879-869-843-832-825-827-855-849-839</t>
  </si>
  <si>
    <t>ΜΠΙΤΣΙΚΩΚΟΥ</t>
  </si>
  <si>
    <t>ΑΒ394143</t>
  </si>
  <si>
    <t>831-818-875-843-829-823-852-858-859-872-870-871-854-855-846-847-845-848-849-850-851-856-857-853-821-827-825-826-824-822-815</t>
  </si>
  <si>
    <t>ΑΖ311349</t>
  </si>
  <si>
    <t>841-840-838-835-842-839-837-817-862-828-854-870-815-822-826-829-846-847-848-850-853-857-871-872</t>
  </si>
  <si>
    <t>ΑΕ792874</t>
  </si>
  <si>
    <t>862-841-838-840-839-835-842-837-836</t>
  </si>
  <si>
    <t>ΡΟΥΜΜΕΛΕ ΟΙΚΟΝΟΜΟΥ</t>
  </si>
  <si>
    <t>ΕΣΘΗΡ</t>
  </si>
  <si>
    <t>ΑΚ450453</t>
  </si>
  <si>
    <t>828-823-820-821-822-824-825-826-827-829-835-842-836-837-838-839-840-841-846-845-847-848-849-850-851-852-853-854-855-856-857-858-859-870-871-872-815</t>
  </si>
  <si>
    <t>ΑΙ209935</t>
  </si>
  <si>
    <t>1053,8</t>
  </si>
  <si>
    <t>818-853-854</t>
  </si>
  <si>
    <t>ΛΑΔΑΚΑΚΟΥ</t>
  </si>
  <si>
    <t>Φ286573</t>
  </si>
  <si>
    <t>849-850-851-854-853-855-825-826-828-829-846-847-848-857-858-859-861-870-871-872-852-856</t>
  </si>
  <si>
    <t>ΣΤΑΜΑΤΗΣ</t>
  </si>
  <si>
    <t>ΑΑ310369</t>
  </si>
  <si>
    <t>843-839-817-818-816-834-861-865-862-844-841-838-840-842-835-837-836-870-871-872-815-820-821-822-823-824-825-826-827-828-829-833-846-847-848-849-850-851-852-853-854-855-856-857-858-859-863</t>
  </si>
  <si>
    <t>ΣΚΟΥΤΕΛΑΣ</t>
  </si>
  <si>
    <t>ΑΗ295266</t>
  </si>
  <si>
    <t>841-840-838-835-842-839-837-836-862-843-844-875-860</t>
  </si>
  <si>
    <t>ΖΗΣΗΣ</t>
  </si>
  <si>
    <t>ΑΗ304075</t>
  </si>
  <si>
    <t>883,3</t>
  </si>
  <si>
    <t>1051,3</t>
  </si>
  <si>
    <t>836-835-837-838-839-840-841-842-843-844-846-847-848-850-852-853-854-856-857-858-859-861-815-816-817-818-819-821-822-826-828-829-830-832-833-834-862-863-864-865-866-870-871-872-873-874-875-876-879-820-823-824-825-827-831-845-849-851-855-878-860-868-867-869</t>
  </si>
  <si>
    <t>ΤΣΕΛΙΟΥ</t>
  </si>
  <si>
    <t>ΕΥΣΤΑΘΙΑ</t>
  </si>
  <si>
    <t>ΑΚ369279</t>
  </si>
  <si>
    <t>ΜΑΣΤΟΡΟΔΗΜΟΣ</t>
  </si>
  <si>
    <t>ΑΑ269049</t>
  </si>
  <si>
    <t>835-839-842-840-841-837-838-862-826-829-854-815-821-822-846-847-848-850-853-858-870-871-872-828-817</t>
  </si>
  <si>
    <t>ΚΑΝΑΚΗ</t>
  </si>
  <si>
    <t>Χ668251</t>
  </si>
  <si>
    <t>828-854-826-871-870-822-846-847-850-853-857-858-848-815</t>
  </si>
  <si>
    <t>ΑΗ838194</t>
  </si>
  <si>
    <t>1049,4</t>
  </si>
  <si>
    <t>ΛΕΠΕΝΟΥ</t>
  </si>
  <si>
    <t>ΑΕ729499</t>
  </si>
  <si>
    <t>856-828-871-846-854-850-815</t>
  </si>
  <si>
    <t>ΝΑΤΣΙΟΥ</t>
  </si>
  <si>
    <t>Φ318251</t>
  </si>
  <si>
    <t>841-897-842-840-838-839-836-835-837-862</t>
  </si>
  <si>
    <t>ΧΑΤΖΗΓΕΩΡΓΙΟΥ</t>
  </si>
  <si>
    <t>ΑΒ359696</t>
  </si>
  <si>
    <t>1048,5</t>
  </si>
  <si>
    <t>838-841-836-839-840-842-837-835</t>
  </si>
  <si>
    <t>ΚΑΝΤΖΑΡΗ</t>
  </si>
  <si>
    <t>ΑΑ316647</t>
  </si>
  <si>
    <t>818-828-854-870-871-815-822-826-832-847-846-850-853-858-872-841-838-840-839-842-834-837-836-843-875</t>
  </si>
  <si>
    <t xml:space="preserve">ΣΛΑΒΙΔΗΣ </t>
  </si>
  <si>
    <t>ΑΙ315122</t>
  </si>
  <si>
    <t>862-854-852-858-859-871-846-847-848-853-850-857-836-837-821-822-870-872-828-829-815-840-841-835-842-838-839-875-876-816-817-818-819-820-823-824-825-826-827-830-831-832-833-834-843-844-845-849-851-855-856-860-861-863-864-865-866-867-868-869-873-874-877-878-879</t>
  </si>
  <si>
    <t>ΤΣΟΛΕΡΙΔΗ</t>
  </si>
  <si>
    <t>ΑΗ740575</t>
  </si>
  <si>
    <t>1046,5</t>
  </si>
  <si>
    <t>843-815-817-820-822-823-824-825-826-827-828-829-830-833-835-836-837-838-839-840-841-842-845-846-847-848-849-850-852-853-854-855-856-857-858-859-861-862-863-865-870-871-872-875-876-877-878-879</t>
  </si>
  <si>
    <t>ΔΑΡΒΙΡΑ</t>
  </si>
  <si>
    <t>ΑΖ559133</t>
  </si>
  <si>
    <t>ΚΟΛΙΟΜΙΧΟΣ</t>
  </si>
  <si>
    <t xml:space="preserve">ΚΩΝΣΤΑΝΤΙΝΟΣ ΜΗΝΑΣ </t>
  </si>
  <si>
    <t>ΑΖ252490</t>
  </si>
  <si>
    <t>834-843-841-838-840-835-839-842-848-828-854-870-871-875-822-826-829-855-821-823-827-858-846-850-847-837-836-859-857-856-853-852</t>
  </si>
  <si>
    <t>ΚΙΤΣΑΤΗ</t>
  </si>
  <si>
    <t>ΧΑΡΟΥΛΑ</t>
  </si>
  <si>
    <t>Χ306827</t>
  </si>
  <si>
    <t>858-815-822-826-828-846-847-848-850-853-857-870-871-872-835-837-838-840-841-842-862</t>
  </si>
  <si>
    <t>ΓΕΩΡΓΑΚΑΡΑΚΟΥ</t>
  </si>
  <si>
    <t>ΧΡΗΣΤΙΝΑ</t>
  </si>
  <si>
    <t>ΑΒ646462</t>
  </si>
  <si>
    <t>856-828-846-847-871-854-855-850-849-826-825-827-870-872-858-822-853-859-824-823-851-852-829-845-821-857-815-820-865</t>
  </si>
  <si>
    <t>ΧΑΙΡΕΤΗ</t>
  </si>
  <si>
    <t>Χ857671</t>
  </si>
  <si>
    <t>ΤΟΥΛΚΑΡΙΔΗ</t>
  </si>
  <si>
    <t>ΑΙ110839</t>
  </si>
  <si>
    <t>826-825-829-828-871-827-854-855-858-859-845-846-847-848-872-824-822-821-850-849-852-853-857-856-851-823-820-815</t>
  </si>
  <si>
    <t>ΑΒΡΑΜΟΠΟΥΛΟΥ</t>
  </si>
  <si>
    <t>Σ381332</t>
  </si>
  <si>
    <t>818-815-832-843-849-850-853-854-857</t>
  </si>
  <si>
    <t>ΑΖ396569</t>
  </si>
  <si>
    <t>862-858-839-840-841-842-835-837-838-870-871-872-817-848-850-853-854-857-846-847-822-826-828-829-815-867-873-874-876-877-878-879-860-863-864-866-832-833-830-868-869-875-861-865-831-834-836-843-844-816-818-819-845-820-821-823-824-825-827-859-849-851-852-855-856</t>
  </si>
  <si>
    <t>ΠΑΣΠΑΛΙΑΡΗ</t>
  </si>
  <si>
    <t>Χ270408</t>
  </si>
  <si>
    <t>826-828-830-822-846-847-848-850-852-853-854-855-856-857-858-859-861-862-871-872-873-874-875-876-835-836-837-838-839-840-841-842</t>
  </si>
  <si>
    <t>ΑΝΘΡΑΚΕΥΣ</t>
  </si>
  <si>
    <t>ΕΥΡΥΔΙΚΗ</t>
  </si>
  <si>
    <t>ΑΗ330408</t>
  </si>
  <si>
    <t>843-835-836-837-838-839-840-841-842-862-820-821-822-823-824-826-828-827-847-846-848-849-850-851-852-853-854-855-856-857-858-859-870-871-872-830-876-877-816-817-818-833-844-861-831-832-834-866-873-874-863-864</t>
  </si>
  <si>
    <t>ΒΡΥΩΝΗ</t>
  </si>
  <si>
    <t>ΜΑΥΡΑ</t>
  </si>
  <si>
    <t>ΑΒ419150</t>
  </si>
  <si>
    <t>1042,5</t>
  </si>
  <si>
    <t>819-825-826-828-845-846-847-848-849-850-851-852-853-854-855-856-857-858-859-820-821-822-823-824-829-832</t>
  </si>
  <si>
    <t>ΑΠΟΣΤΟΛΟΠΟΥΛΟΥ</t>
  </si>
  <si>
    <t>ΑΙ842695</t>
  </si>
  <si>
    <t>862-844-818-865-875-815-816-817-819-820-821-822-823-824-825-826-827-828-829-830-831-832-833-834-835-836-837-838-839-840-842-843-845-846-847-848-849-850-851-852-853-854-855-856-857-858-859-860-861-863-864-866-867-868-869-870-871-872-873-874-876-877-878-879</t>
  </si>
  <si>
    <t>ΚΟΥΤΣΟΥΚΗ</t>
  </si>
  <si>
    <t>Χ290191</t>
  </si>
  <si>
    <t>828-841-838-840-847-846-854-870-871-872-862-859-850-853-839</t>
  </si>
  <si>
    <t>ΛΙΑΜΠΟΥ</t>
  </si>
  <si>
    <t>ΘΟΔΩΡΗΣ</t>
  </si>
  <si>
    <t>ΑΙ255087</t>
  </si>
  <si>
    <t>889,9</t>
  </si>
  <si>
    <t>1039,9</t>
  </si>
  <si>
    <t>843-845-846-847-848-849-850-851-852-853-854-855-856-857-858-859-821-822-823-824-837-838-840</t>
  </si>
  <si>
    <t>ΧΑΪΝΤΟΥΤΗ</t>
  </si>
  <si>
    <t>Ρ851273</t>
  </si>
  <si>
    <t>862-844-875-830-831-819-816-817-818-834-865-861-832-835-836-837-838-839-840-841-842</t>
  </si>
  <si>
    <t>ΠΙΤΤΑΡΑ</t>
  </si>
  <si>
    <t>ΑΙΜΙΛΙΑ</t>
  </si>
  <si>
    <t>ΑΙ621442</t>
  </si>
  <si>
    <t>820-821-822-823-824-849-850-857-853-851-854-855-846-847-858-859-848-852-845-856-815-828-825-826-827-870-871-872-829-818</t>
  </si>
  <si>
    <t>ΚΟΥΤΣΙΑΥΤΗ</t>
  </si>
  <si>
    <t>ΑΙ228209</t>
  </si>
  <si>
    <t>828-841-815-826-838-840-842-846-871-835-837-847-870-854-853-856-850-857-858-859-861-862-872-818-821-843-829-875-876-848-855-839-819-820-816-822-845-844-831-832-833-834-836-879-817-823-824-825-830-873-874-867-868-869-877-878-860-863-864-865-866-849-851-852</t>
  </si>
  <si>
    <t>ΒΑΤΙΚΙΩΤΗ</t>
  </si>
  <si>
    <t>ΑΒ233534</t>
  </si>
  <si>
    <t>828-870-871-872-854-846-826-847-848-853-858-829-850-857</t>
  </si>
  <si>
    <t>ΑΒ768678</t>
  </si>
  <si>
    <t>1037,6</t>
  </si>
  <si>
    <t>845-846-847-848-850-851-853-854-857-858-859</t>
  </si>
  <si>
    <t>ΝΤΙΡΒΑ</t>
  </si>
  <si>
    <t>ΑΒ422930</t>
  </si>
  <si>
    <t>833,8</t>
  </si>
  <si>
    <t>1036,8</t>
  </si>
  <si>
    <t>862-844-842-841-840-839-838-837-836-835-875-830</t>
  </si>
  <si>
    <t>ΠΟΓΙΑ</t>
  </si>
  <si>
    <t>ΑΒ091960</t>
  </si>
  <si>
    <t>843-841-828-838-840-839-842-835-854-870-871-815-826-837-850-847-853-822-846-858-829-848-862-872-817-857-836-859-875-816-818-830-852-856-861-876-823-824-825-827-844-855-819-820-833-845-849-860-863-865-866-877</t>
  </si>
  <si>
    <t>ΚΑΡΙΤΣΙΟΥ</t>
  </si>
  <si>
    <t>ΑΕ844586</t>
  </si>
  <si>
    <t>1035,5</t>
  </si>
  <si>
    <t>841-840-838-842-839-835-836-837</t>
  </si>
  <si>
    <t>ΜΥΣΤΗΛΙΑΔΟΥ</t>
  </si>
  <si>
    <t>ΑΖ642526</t>
  </si>
  <si>
    <t>842-841-840-837-836-835-838-839-820-821-847-858-859-823-824-825-826-827-828-829-845-846-848-849-850-851-852-853-854-855-856-857-815-822-871-872-870</t>
  </si>
  <si>
    <t>ΚΑΤΗΝΙΟΥ</t>
  </si>
  <si>
    <t>ΑΚ162287</t>
  </si>
  <si>
    <t>1034,9</t>
  </si>
  <si>
    <t>871-872-870-828-829-847-848-850-853-854-846-856</t>
  </si>
  <si>
    <t>ΝΙΚΟΠΟΥΛΟΥ</t>
  </si>
  <si>
    <t>Φ267651</t>
  </si>
  <si>
    <t>862-844-834-835-836-837-838-839-840-841</t>
  </si>
  <si>
    <t>ΤΡΑΓΚΑ</t>
  </si>
  <si>
    <t>ΑΙ186572</t>
  </si>
  <si>
    <t>841-840-838-842-837-835-836-839-870-871-872-854-853-850-858-857-848-846-847-828-826-822-821-876-863-833-818-830-852-856-845-851-859-820-823-824-827-862</t>
  </si>
  <si>
    <t>ΚΙΟΥΡΕΤΖΗΣ</t>
  </si>
  <si>
    <t>ΑΒ464820</t>
  </si>
  <si>
    <t>868-869-897-839-843-835-836-837-838-840-841-842-844-860-861-862-863-864-865-866-867-870-871-872-873-874-875-876-877-878-879-815-816-817-818-819-820-821-822-823-824-825-826-827-828-829-830-831-832-833-834-845-846-847-848-849-850-851-852-853-854-855-856-857-858-859</t>
  </si>
  <si>
    <t>ΦΡΑΓΚΙΑΔΑΚΗ</t>
  </si>
  <si>
    <t>Ξ934673</t>
  </si>
  <si>
    <t>815,1</t>
  </si>
  <si>
    <t>1032,1</t>
  </si>
  <si>
    <t>833-863-876-877</t>
  </si>
  <si>
    <t>ΖΟΥΡΝΑΤΖΗ</t>
  </si>
  <si>
    <t>ΑΜ302267</t>
  </si>
  <si>
    <t>779,9</t>
  </si>
  <si>
    <t>1031,9</t>
  </si>
  <si>
    <t>818-825-826-839-843-823-855-860-815-828-846-848-852-847-850-821-822-872-858-853-857-870-854-859-856-849-871</t>
  </si>
  <si>
    <t>ΠΑΠΑΓΙΑΝΝΗ</t>
  </si>
  <si>
    <t>ΑΝ316060</t>
  </si>
  <si>
    <t>ΕΛΛΑΔΑ</t>
  </si>
  <si>
    <t>ΑΖ367622</t>
  </si>
  <si>
    <t>869-841-842-837-838-836-835</t>
  </si>
  <si>
    <t>ΑΒ199850</t>
  </si>
  <si>
    <t>831-875-862-844-828-815-821-820-822-847-846-848-850-854-853-858-859-857-855-872-871-870-819-818-843-860-823-824-826-825-835-837-838-836-840-841-842-839-827-876-863-864-873-874-877-878-879-834-833-832-861-865-866-868-869-817-849-856-830-829-851-852-816-845</t>
  </si>
  <si>
    <t>ΔΡΑΤΣΑ</t>
  </si>
  <si>
    <t>ΚΟΣΜΑΣ</t>
  </si>
  <si>
    <t>ΑΖ798478</t>
  </si>
  <si>
    <t>843-841-838-837-836-835-840-839-842-816-818-817-830-828-815-821-822-826-846-847-850-853-854-848-852-832-844-834-831-833-819-823-824-851-845-820-827-849-855-829-825</t>
  </si>
  <si>
    <t>ΜΕΞΙΑ</t>
  </si>
  <si>
    <t>ΑΖ225261</t>
  </si>
  <si>
    <t>871-872-870-826-828-829-846-847-848-858-857-850-853-854-822-815-817-862-835-837-838-840-841-842-839</t>
  </si>
  <si>
    <t>ΜΠΑΝΙΩΤΟΥ</t>
  </si>
  <si>
    <t>Μ664345</t>
  </si>
  <si>
    <t>1027,3</t>
  </si>
  <si>
    <t>841-838-840-842-835-837-839-836-862-858-854-870-871-826-847-846-848-872-857-859-876</t>
  </si>
  <si>
    <t>ΚΟΡΚΟΔΙΝΟΥ</t>
  </si>
  <si>
    <t>ΚΑΛΟΜΟΙΡΑ</t>
  </si>
  <si>
    <t>Χ663323</t>
  </si>
  <si>
    <t>815-820-821-822-823-824-825-826-827-828-829-845-846-847-848-849-850-851-852-853-854-855-856-857-858-859-816-817-818-819-830-831-832-833-834-835-836-837-838-839-840-841-842-843-844</t>
  </si>
  <si>
    <t>KAKKABA</t>
  </si>
  <si>
    <t>ΑΙ318786</t>
  </si>
  <si>
    <t>844-862-875-842-841-840-839-838-835-837-819</t>
  </si>
  <si>
    <t>ΡΙΒΑ</t>
  </si>
  <si>
    <t>Π137508</t>
  </si>
  <si>
    <t>1023,5</t>
  </si>
  <si>
    <t>862-844-843-841-838-840-839-835-842-837-836</t>
  </si>
  <si>
    <t>Πιστιώλη</t>
  </si>
  <si>
    <t>Παναγιώτα</t>
  </si>
  <si>
    <t>Γεώργιος</t>
  </si>
  <si>
    <t>ΑΒ31964</t>
  </si>
  <si>
    <t>818-843-817-816-831-835-836-837-838-839-840-841-842-820-821-822-823-824-825-826-827-828-829-870-871-872-845-846-847-848-849-850-851-852-853-854-855-856-857-858-859-815-830-865-844-834-875-862-861-819</t>
  </si>
  <si>
    <t>ΑΝΑΓΝΩΣΤΑΚΟΥ</t>
  </si>
  <si>
    <t>ΚΩΝΣΤΑΝΤΙΝΑΚΟΣ</t>
  </si>
  <si>
    <t>Χ644185</t>
  </si>
  <si>
    <t>861-865-816-818-830-844-835-836-837-838-840-841-842-875-819-862-877-876-833-863-815-858-859-820-870-872-871-828-847-846-826-824-845-821-822-823-848-850-851-852-853-854-856-857-843-839-817-825-849-855-827-829-897</t>
  </si>
  <si>
    <t>ΝΙΚΟΛΑΙΔΗΣ</t>
  </si>
  <si>
    <t>ΑΗ853083</t>
  </si>
  <si>
    <t>1021,9</t>
  </si>
  <si>
    <t>841-838-817</t>
  </si>
  <si>
    <t>ΣΚΟΥΡΤΑ</t>
  </si>
  <si>
    <t>ΑΜ217336</t>
  </si>
  <si>
    <t>828-870-871-826-872-841-838-840-835-837-850-847-854-858-853-848-846-822-815-829-842-862-820-821-823-824-827-845-849-851-852-856-857-859-855-816-818-819-830-831-833-834-836-844-860-861-863-864-865-876-875-877-878-879-839-843-817-825-832-866-867-868-873-874-869</t>
  </si>
  <si>
    <t>ΑΒΡΑΜΙΔΟΥ</t>
  </si>
  <si>
    <t>ΑΙ151399</t>
  </si>
  <si>
    <t>782,1</t>
  </si>
  <si>
    <t>1020,1</t>
  </si>
  <si>
    <t>841-838-840-839-842-835-837-836</t>
  </si>
  <si>
    <t>ΜΠΟΥΓΛΑ</t>
  </si>
  <si>
    <t>ΧΡΥΣΟΣΤΟΜΟΣ</t>
  </si>
  <si>
    <t>Ρ464491</t>
  </si>
  <si>
    <t>844-862-838-828-840-839-835-837-842-854-848-870-815-850-847-853-826-858-846-822-857-836-859-821-823-824-830-852-856-816-818-827-861</t>
  </si>
  <si>
    <t>ΤΣΑΠΑΝΙΔΟΥ</t>
  </si>
  <si>
    <t>ΣΠΥΡΟΣ</t>
  </si>
  <si>
    <t>ΑΒ311812</t>
  </si>
  <si>
    <t>828-854-871-848-846-847-858-850-853-857-870-872-822-815-826-829-852-859-856-823-824-821-855-825-827-849-845-851-841-840</t>
  </si>
  <si>
    <t>ΡΟΙΔΗ</t>
  </si>
  <si>
    <t>ΑΗ601141</t>
  </si>
  <si>
    <t>820-821-822-823-824-825-826-827-828-829-845-846-847-848-849-850-851-852-853-854-855-856-857-858-859-870-871-872</t>
  </si>
  <si>
    <t>ΚΟΛΟΒΟΣ</t>
  </si>
  <si>
    <t>ΑΙ622302</t>
  </si>
  <si>
    <t>815-820-821-822-823-824-825-826-828-829-845-847-848-850-852-853-854-857-858-859-871</t>
  </si>
  <si>
    <t>ΣΑΒΒΙΔΗΣ</t>
  </si>
  <si>
    <t>Χ476615</t>
  </si>
  <si>
    <t>835-837-838-839-840-841-842-862-815-817-822-826-828-829-846-847-848-850-853-854-857-858-870-871-872-836-875-876-830-816-818-821-843-856-859-861</t>
  </si>
  <si>
    <t>ΤΟΥΝΤΑ</t>
  </si>
  <si>
    <t>Σ664426</t>
  </si>
  <si>
    <t>830-854-828-822-846-847-850-858-857-853-848-871-870-826-815-872-821-824-859-823-852-855-856-829-825-827</t>
  </si>
  <si>
    <t>ΛΑΜΠΡΟΥ</t>
  </si>
  <si>
    <t>ΑΜ984067</t>
  </si>
  <si>
    <t>828-822-846-847-850-870-848-826-821-829-852-871-872-820-849-851-853-854-855-857-858-859-823-824-825-827-845-856-819-862-830</t>
  </si>
  <si>
    <t>ΣΤΑΙΚΟΥ</t>
  </si>
  <si>
    <t>ΑΚ334728</t>
  </si>
  <si>
    <t>ΔΗΜΟΥ</t>
  </si>
  <si>
    <t>ΜΙΧΑΗΛΙΑ</t>
  </si>
  <si>
    <t>ΑΕ043748</t>
  </si>
  <si>
    <t>828-854-853-857-858-838-841-840-847-848-850-870-871-872-826-835-837-839-842-846-862-817</t>
  </si>
  <si>
    <t>ΚΑΖΑΝΤΖΙΔΟΥ</t>
  </si>
  <si>
    <t>Χ389665</t>
  </si>
  <si>
    <t>1013,5</t>
  </si>
  <si>
    <t>838-839-837-840-841-842-843-817-815-822-826-828-829-846-847-848-850-853-854-857-858</t>
  </si>
  <si>
    <t>ΚΑΖΕΛΗ</t>
  </si>
  <si>
    <t>Χ841846</t>
  </si>
  <si>
    <t>577,5</t>
  </si>
  <si>
    <t>815-816-817-818-820-821-822-823-824-825-826-827-828-829-830-831-832-833-834-835-836-837-838-839-840-841-842-843-844-845-846-847-848-849-850-851-852-853-854-855-856-857-858-859-860-861-862-863-864-865-866-867-868-869-870-871-872-873-874-875-876-877-878-879</t>
  </si>
  <si>
    <t>ΚΟΤΑΝΙΔΟΥ</t>
  </si>
  <si>
    <t>ΑΖ809718</t>
  </si>
  <si>
    <t>838-841-842-840-837-836-835-839-843-832-844-860-862</t>
  </si>
  <si>
    <t>ΘΕΟΔΩΡΙΔΗ</t>
  </si>
  <si>
    <t>ΓΕΟΡΓΙΑ</t>
  </si>
  <si>
    <t>ΑΗ581970</t>
  </si>
  <si>
    <t>815-822-826-828-848-850-853-854-857-858-859-870-871-872</t>
  </si>
  <si>
    <t>ΑΑ318925</t>
  </si>
  <si>
    <t>818-816-865-815-820-821-822-823-824-825-826-827-828-845-846-847-848-849-850-851-852-853-854-855-857-858-859-871-872</t>
  </si>
  <si>
    <t>ΠΑΥΛΙΝΑ</t>
  </si>
  <si>
    <t>ΑΖ297571</t>
  </si>
  <si>
    <t>838-840-842-870-871-854-858-844-848-837-846-847-822-826-816-817-818-862-857-839</t>
  </si>
  <si>
    <t>ΓΡΗΓΟΡΙΑΔΟΥ</t>
  </si>
  <si>
    <t>ΝΙΚΟΛΑΟΥ</t>
  </si>
  <si>
    <t>ΑΗ307277</t>
  </si>
  <si>
    <t>862-835-836-837-838-839-840-841-842-830-816</t>
  </si>
  <si>
    <t>ΚΟΥΡΤΗ</t>
  </si>
  <si>
    <t>ΑΒ374284</t>
  </si>
  <si>
    <t>841-838-840-839-837-835-842-836-828-854-815-826-829-847-850-853-821-822-846-848-857-858</t>
  </si>
  <si>
    <t>ΙΑΤΡΟΥ</t>
  </si>
  <si>
    <t>ΑΙ409982</t>
  </si>
  <si>
    <t>841-828-838-835-842-839-870-871-854-815-817-822-826-862-837-846-850-872-847-848-853-857-858</t>
  </si>
  <si>
    <t>ΚΑΛΛΙΚΡΑΤΗΣ</t>
  </si>
  <si>
    <t>ΑΚ238955</t>
  </si>
  <si>
    <t>1008,7</t>
  </si>
  <si>
    <t>829-828-821-822-854-846-858-848-850-857-859-853</t>
  </si>
  <si>
    <t>ΤΣΑΠΑΡΑ ΡΕΜΠΕΛΙΑ</t>
  </si>
  <si>
    <t>Σ152404</t>
  </si>
  <si>
    <t>1008,5</t>
  </si>
  <si>
    <t>828-856-872-871-859-858-857-851-850-849-848-847-846-845-821-820-855-854-853-852-827-829-823-822-815</t>
  </si>
  <si>
    <t>ΣΕΙΤΑΝΙΔΟΥ</t>
  </si>
  <si>
    <t>ΣΙΜΕΛΑ</t>
  </si>
  <si>
    <t>Ρ724250</t>
  </si>
  <si>
    <t>1007,1</t>
  </si>
  <si>
    <t>ΖΩΓΡΑΦΙΑ</t>
  </si>
  <si>
    <t>ΑΗ417920</t>
  </si>
  <si>
    <t>869-841-840-842-835-837-836-828-854-826-850-815-870-871-847-853-822-858-857-848-846-862-875-852-856-821-872-824-823-830-844-845-827-816-818-819-820-831-859-861-865-879-860-863-866-876-833-877-878-867-834-873</t>
  </si>
  <si>
    <t>ΧΑΣΙΩΤΗΣ</t>
  </si>
  <si>
    <t>ΑΖ297597</t>
  </si>
  <si>
    <t>839-840-842-841-838-837-835-862-848-850-854-853-857-846-847-828-826-822-817-815-871-870-872-858-829-836-843-844-875-816-821-825-852-856-855-818-823-824-827-830-859-861-876</t>
  </si>
  <si>
    <t>ΒΑΣΙΛΑ</t>
  </si>
  <si>
    <t>ΑΒ774737</t>
  </si>
  <si>
    <t>835-836-837-838-839-840-841-842-815-822-826-828-829-846-847-848-850-853-854-857-858-870-871-872-817-862</t>
  </si>
  <si>
    <t>ΠΑΤΣΙΤΟΥ</t>
  </si>
  <si>
    <t>ΑΚ404419</t>
  </si>
  <si>
    <t>862-843-844-819-836-838-837-835-839-840-841-842-820-826-825-823-824-827-828-822-845-846-847-848-850-851-853-852-854-857-856-858-859-818-816-831-875-871-870-872</t>
  </si>
  <si>
    <t>ΝΤΕΡΤΟΥ</t>
  </si>
  <si>
    <t>ΑΚ431088</t>
  </si>
  <si>
    <t>844-862-843-875-819-835-836-837-838-839-840-841-842-868-869-831-834-816-817-861-865-863-864-818-820-821-822-823-824-815-825-826-827-828-829-845-846-847-848-849-850-851-852-853-854-855-856-857-858-859-870-871-872-830-832-860-866-867-879-833-873-874-876-877-878</t>
  </si>
  <si>
    <t>ΓΚΟΡΙΤΣΑ</t>
  </si>
  <si>
    <t>ΜΑΡΙΑ ΕΛΕΝΗ</t>
  </si>
  <si>
    <t>ΑΗ034734</t>
  </si>
  <si>
    <t>846-847-845-823-822-824-851-849-850-848-857-856-855-854</t>
  </si>
  <si>
    <t>ΛΙΑΠΑΤΑ</t>
  </si>
  <si>
    <t>Χ795797</t>
  </si>
  <si>
    <t>1004,5</t>
  </si>
  <si>
    <t>815-818-821-822-826-828-829-835-837-838-839-840-841-842-843-847-846-848-850-852-853-854-855-856-857-858-859-870-871-872</t>
  </si>
  <si>
    <t>ΔΕΛΗΜΠΕΗ</t>
  </si>
  <si>
    <t>Χ727560</t>
  </si>
  <si>
    <t>840-836-837-841-835-842-838-839</t>
  </si>
  <si>
    <t>ΠΑΡΤΣΑΛΑΚΗ</t>
  </si>
  <si>
    <t>ΖΟΖΕΦΙΝ</t>
  </si>
  <si>
    <t>ΧΑΛΕΝΤ</t>
  </si>
  <si>
    <t>ΑΚ688810</t>
  </si>
  <si>
    <t>1003,5</t>
  </si>
  <si>
    <t>826-828-829-846-847-848-850-853-857-858-871-872</t>
  </si>
  <si>
    <t>ΚΟΣΣΥΦΙΔΟΥ</t>
  </si>
  <si>
    <t>ΧΑΡΙΣ</t>
  </si>
  <si>
    <t>ΑΚ925945</t>
  </si>
  <si>
    <t>835-836-837-838-840-841</t>
  </si>
  <si>
    <t>ΒΑΣΙΛΕΙΑΔΟΥ</t>
  </si>
  <si>
    <t>ΣΤΕΡΓΙΟΣ</t>
  </si>
  <si>
    <t>ΑΗ925259</t>
  </si>
  <si>
    <t>1002,3</t>
  </si>
  <si>
    <t>835-836-837-838-839-840-841-842-843-815-826-828-816-817-818-821-822-830-846-847-848-850-852-853-854-870-871-876-872-875-862-861-859-858</t>
  </si>
  <si>
    <t>μπαζουλη</t>
  </si>
  <si>
    <t>αθηνα</t>
  </si>
  <si>
    <t>ιωαννης</t>
  </si>
  <si>
    <t>Τ397897</t>
  </si>
  <si>
    <t>1002,2</t>
  </si>
  <si>
    <t>829-826-838-839-854-846-864-872-828-817-818-865-862-853-816-831-866-833-836-842-840-856-819-861-858-867-870-875-847-863</t>
  </si>
  <si>
    <t>ΤΟΥΡΤΟΥΝΗΣ</t>
  </si>
  <si>
    <t>ΑΕ319146</t>
  </si>
  <si>
    <t>1002,1</t>
  </si>
  <si>
    <t>835-841-838-839-840-837-842-836-828-815-870-871</t>
  </si>
  <si>
    <t>ΘΩΜΟΠΟΥΛΟΥ</t>
  </si>
  <si>
    <t>ΑΝΘΟΥΛΑ</t>
  </si>
  <si>
    <t>ΑΜ219923</t>
  </si>
  <si>
    <t>821-822-826-815-829-847-848-850-872-871-870-857-858-846-854-853</t>
  </si>
  <si>
    <t>ΑΗ287143</t>
  </si>
  <si>
    <t>844-854-850-847-845-846-858-853-848-857-856-859-870-871-828-822-821-823-863-838-841-840-842-835</t>
  </si>
  <si>
    <t>ΜΕΡΚΟΥΡΗ</t>
  </si>
  <si>
    <t>ΑΚ080636</t>
  </si>
  <si>
    <t>ΚΑΡΔΑΡΑ</t>
  </si>
  <si>
    <t>ΒΑΓΙΑ</t>
  </si>
  <si>
    <t>Χ127135</t>
  </si>
  <si>
    <t>845-828-829-848-851-856-846-854-847</t>
  </si>
  <si>
    <t>ΨΥΛΟΚΩΣΤΑ</t>
  </si>
  <si>
    <t>Φ317435</t>
  </si>
  <si>
    <t>840-841-835-836-837-842-838-839-862</t>
  </si>
  <si>
    <t>ΓΑΒΡΙΗΛΙΔΟΥ</t>
  </si>
  <si>
    <t>ΑΒ350612</t>
  </si>
  <si>
    <t>999,5</t>
  </si>
  <si>
    <t>ΝΙΚΗ</t>
  </si>
  <si>
    <t>ΑΙ751592</t>
  </si>
  <si>
    <t>818-816-840-828-826-875-862-841-842-838-837-835-854</t>
  </si>
  <si>
    <t>ΚΑΤΣΟΓΙΑΝΝΟΣ</t>
  </si>
  <si>
    <t>ΑΗ262545</t>
  </si>
  <si>
    <t>862-844-835-836-837-838-839-840-841-842-843-818-876-877-878-868-869-815-820-821-822-823-824-825-826-827-828-829-846-847-848-849-850-851-852-853-854-855-856-857</t>
  </si>
  <si>
    <t>ΑΘΑΝΑΣΑΚΗΣ</t>
  </si>
  <si>
    <t>ΑΒ812902</t>
  </si>
  <si>
    <t>841-828-840-838-835-842-839-854-870-871-837-829-822-848-850-853</t>
  </si>
  <si>
    <t>ΤΣΑΝΤΟΠΟΥΛΟΥ</t>
  </si>
  <si>
    <t>ΑΕ242122</t>
  </si>
  <si>
    <t>997,5</t>
  </si>
  <si>
    <t>828-854-848-850-853-870-871-872-826-829-815-818-821-817-816-830-836-837-838-847-846-842-841-840-839-843-857-858-859-862-875-876-820-823-824-825-878-873-874-868-869-819-827-831-833-834-832-844-845-849-851-852-855-856-860-861-863-864-865-867-879-877-866</t>
  </si>
  <si>
    <t>ΚΥΡΙΑΚΙΔΟΥ</t>
  </si>
  <si>
    <t>ΚΟΥΛΑ</t>
  </si>
  <si>
    <t>Χ758927</t>
  </si>
  <si>
    <t>ΝΑΛΚΟΥ</t>
  </si>
  <si>
    <t>ΔΙΟΝΥΣΙΑ</t>
  </si>
  <si>
    <t>ΑΖ391923</t>
  </si>
  <si>
    <t>841-828-838-840-839-835-842-871-870-854-837-850-815-826-853-847-846-822-858-862-848-829-872-857-817-836-875-859-876-843-816-861-818-830-856-821-852-855-879-823-824-825-827-844-868-869-867-860-866-832-833-877-878-873-874-863-864-831-834-845-849-851-865-819-820</t>
  </si>
  <si>
    <t>ΦΙΛΙΠΠΟΥ</t>
  </si>
  <si>
    <t>Χ980215</t>
  </si>
  <si>
    <t>844-862-843-875-819-830-860-869-835-836-837-838-839-840-841-842-861-845-846-847-848-849-850-851-852-853-854-855-856-857-858-859-863-864-865-866-867-868-870-871-873-874-876-877-878-879</t>
  </si>
  <si>
    <t>ΚΟΡΔΑΤΟΥ</t>
  </si>
  <si>
    <t>ΑΒ394890</t>
  </si>
  <si>
    <t>818-816-831-834-858-859-850-853-854-846-847-848-857-828-815-826-870-871-872-822-852-856-851-845-821-823-824-820-841-838-840-842-835-837-836-844-819-862-875-861-865-830-860-876-877-888-833-873-874-863-864-867-866-879-869-843-832-825-827-855-849-839</t>
  </si>
  <si>
    <t>ΜΗΤΗΛΗ</t>
  </si>
  <si>
    <t>ΘΕΟΧΑΡΟΥΛΑ</t>
  </si>
  <si>
    <t>ΑΙ836077</t>
  </si>
  <si>
    <t>993,5</t>
  </si>
  <si>
    <t>ΡΕΝΤΗΦΗ</t>
  </si>
  <si>
    <t>Σ889386</t>
  </si>
  <si>
    <t>993,3</t>
  </si>
  <si>
    <t>862-844-841-838-840-839-842-835-837-843-836-828-815-854-850-870-871-822-847-853-858-872-826-817-848-857-875-859-818-830-861-876-819-820-821-823-824-825-827-833-845-851-849-852-855-856-863-865-877</t>
  </si>
  <si>
    <t>ΙΑΣΟΝΑΣ</t>
  </si>
  <si>
    <t>ΑΙ531592</t>
  </si>
  <si>
    <t>992,5</t>
  </si>
  <si>
    <t>825-826-827-828-845-846-847-848-849-850-851-853-854-855-856-857-858-859-870-871-872-852-829-815-820-821-822-824-823-830-831-832-833-834-835-836-837-838-839-840-841-842-843-844-860-861-862-863-864-865-866-867-868-869-873-874-875-876-877-878-879-897-816-817-818-819</t>
  </si>
  <si>
    <t>ΛΟΥΠΑΤΑΤΖΗ</t>
  </si>
  <si>
    <t>ΑΗ844609</t>
  </si>
  <si>
    <t>991,5</t>
  </si>
  <si>
    <t>841-838-840-839-842-837-836-876-835</t>
  </si>
  <si>
    <t>ΜΠΟΥΡΙΝΑΡΗ</t>
  </si>
  <si>
    <t>ΑΗ298354</t>
  </si>
  <si>
    <t>756-757-759-763-764-768-781-782-786-787-794-796-801-802-804-807-809-815-816-817-818-821-822-823-824-825-826-828-829-830-831-835-836-837-838-839-840-841-842-843-844-846-847-848-850-852-853-854-855-856-857-858-859-861-862-869-870-871-872-875-876</t>
  </si>
  <si>
    <t xml:space="preserve">Τατση </t>
  </si>
  <si>
    <t xml:space="preserve">Μαρία </t>
  </si>
  <si>
    <t>Δημητριος</t>
  </si>
  <si>
    <t>ΑΗ740455</t>
  </si>
  <si>
    <t>828-841-838-840-854-842-870-871-850-815-826-837-853-847-822-846-848-858-862-872-857-859-856-816-817-829-835-843-852</t>
  </si>
  <si>
    <t>ΚΑΛΟΓΕΡΗ</t>
  </si>
  <si>
    <t>Χ469742</t>
  </si>
  <si>
    <t>815-820-821-822-823-824-825-826-827-828-829-846-845-847-848-849-850-851-852-853-854-855-856-857-858-859-870-871-872</t>
  </si>
  <si>
    <t>ΜΠΡΙΑΣΟΥΛΗΣ</t>
  </si>
  <si>
    <t>ΑΕ282018</t>
  </si>
  <si>
    <t>843-858-859-848-856-846-847-850-851-852-853-854-855-870-871-872-857-849-845-823-828-827-826-825-824-822-829-820-821-818-815-835-836-837-838-839-840-841-842-860-862-844-819-817-816-830-861-833-865-863-875-876-877</t>
  </si>
  <si>
    <t>ΜΑΝΤΑ</t>
  </si>
  <si>
    <t>ΑΡΤΕΜΙΣ</t>
  </si>
  <si>
    <t>Χ915426</t>
  </si>
  <si>
    <t>838-841-828-858</t>
  </si>
  <si>
    <t>ΘΕΟΦΑΝΟΠΟΥΛΟΥ</t>
  </si>
  <si>
    <t>ΑΜ311752</t>
  </si>
  <si>
    <t>818-815-816-817-819-820-821-822-823-824-825-827-828-829-830-831-832-833-834-835-836-837-838-839-840-841-842-843-844-845-846-847-848-849-850-851-852-853-854-855-856-857-858-859-860-861-862-863-864-865-866-867-868-869-870-871-872-873-874-875-876-877-878-879</t>
  </si>
  <si>
    <t>ΠΟΥΛΑΚΗ</t>
  </si>
  <si>
    <t>Χ079510</t>
  </si>
  <si>
    <t>828-835-854-870-871-815-826-829-837-846-847-848-850-853-857-858-872-841-838-842</t>
  </si>
  <si>
    <t>ΒΟΡΥΛΛΑ</t>
  </si>
  <si>
    <t>ΑΒ761249</t>
  </si>
  <si>
    <t>815-822-826-828-829-848-850-853-854-857-858-846-847-870-871-872-816-817-818-821-823-825-824-830-835-837-838-836-839-840-841-842-843-852-856-862-859-861-875-876</t>
  </si>
  <si>
    <t>ΓΙΩΤΑ</t>
  </si>
  <si>
    <t>Ρ979544</t>
  </si>
  <si>
    <t>989,6</t>
  </si>
  <si>
    <t>844-862-843-841-838-840-839-842-837-836-835-848-850-852-853-854-855-856-857-858-859-846-847-815-821-822-825-826-828-829-830-870-871-872</t>
  </si>
  <si>
    <t>ΜΠΑΓΙΑΤΗ</t>
  </si>
  <si>
    <t>ΑΒ805287</t>
  </si>
  <si>
    <t>903,1</t>
  </si>
  <si>
    <t>987,1</t>
  </si>
  <si>
    <t>843-834-860-842-839-838-840-841-862-832-864-866</t>
  </si>
  <si>
    <t>ΝΑΝΤΕΖΝΤΑ</t>
  </si>
  <si>
    <t>Χ221633</t>
  </si>
  <si>
    <t>916,3</t>
  </si>
  <si>
    <t>986,3</t>
  </si>
  <si>
    <t>836-837-840-841-842</t>
  </si>
  <si>
    <t>ΖΑΡΜΠΑΛΗ</t>
  </si>
  <si>
    <t>ΚΡΙΤΩΝ</t>
  </si>
  <si>
    <t>Ξ645231</t>
  </si>
  <si>
    <t>875-850-876-855-836-837-832-830</t>
  </si>
  <si>
    <t>ΓΙΟΛΔΑΣΗ</t>
  </si>
  <si>
    <t>ΑΒ836751</t>
  </si>
  <si>
    <t>ΑΡΓΥΡΟΠΟΥΛΟΥ</t>
  </si>
  <si>
    <t>ΑΕ329557</t>
  </si>
  <si>
    <t>872-870-871-828-846-854-857</t>
  </si>
  <si>
    <t>ΚΟΥΡΤΕΣΙΩΤΗ</t>
  </si>
  <si>
    <t>ΑΗ785005</t>
  </si>
  <si>
    <t>844-862-845-846-847-848-849-850-851-852-853-854-855-856-857-858-859-820-821-822-823-825-826-827-828-829-815-843-835-836-837-838-839-840-841-842-870-871-872</t>
  </si>
  <si>
    <t>ΓΑΤΟΣ</t>
  </si>
  <si>
    <t>ΑΗ826618</t>
  </si>
  <si>
    <t>696,3</t>
  </si>
  <si>
    <t>983,3</t>
  </si>
  <si>
    <t>839-843-835-836-837-838-840-841-842-876-862</t>
  </si>
  <si>
    <t>ΖΙΑΚΟΥ</t>
  </si>
  <si>
    <t>ΑΕ313841</t>
  </si>
  <si>
    <t>828-841-815-838-835-846-840-853-836-850-847-848-852-854-855-842-856-858-870-871-822-826-830-829-837-843-844-859-862-857-872-876-875</t>
  </si>
  <si>
    <t>ΧΑΤΖΑΚΗ</t>
  </si>
  <si>
    <t>ΑΣΗΜΕΝΙΑ</t>
  </si>
  <si>
    <t>ΑΙ447141</t>
  </si>
  <si>
    <t>981,5</t>
  </si>
  <si>
    <t>833-863-864-876-877-878-835-836-837-838-839-840-841-842</t>
  </si>
  <si>
    <t>ΜΠΕΣΥΡΗ</t>
  </si>
  <si>
    <t>ΑΙ227362</t>
  </si>
  <si>
    <t>980,5</t>
  </si>
  <si>
    <t>840-841-837-838-835-842-839-858-848-854-826-828-853-850-846-847-857-822-870-871-872-815-829-862-817</t>
  </si>
  <si>
    <t>ΚΟΥΠΑΝΗΣ</t>
  </si>
  <si>
    <t>ΡΗΓΑΣ</t>
  </si>
  <si>
    <t>ΑΜ898645</t>
  </si>
  <si>
    <t>841-842-840-839-838-837-836-835-862-867-876-877-878-843-844-845-846-847-831-832-833-834-858-859-860-861-863-864-865-866-868-869-870-871-879-872-873-874-875-848-849-850-851-852-853-854-855-856-857-815-816-817-818-819-820-821-822-823-824-825-826-827-828-829-830</t>
  </si>
  <si>
    <t>ΣΑΒΑΡΗ</t>
  </si>
  <si>
    <t>ΑΗ086325</t>
  </si>
  <si>
    <t>871-872-828-870-849-850-857-853-846-848-858-859-827-829</t>
  </si>
  <si>
    <t>ΚΡΕΣΣΟΥ</t>
  </si>
  <si>
    <t>ΑΚ968634</t>
  </si>
  <si>
    <t>841-828-840-838-839-835-842-854-870-871-862-837-815-822-846-847-853-857-850-848-858-872-826-829-817</t>
  </si>
  <si>
    <t>ΣΚΑΠΕΤΗ</t>
  </si>
  <si>
    <t>ΑΒ103979</t>
  </si>
  <si>
    <t>843-841-840-837-838-836-835-839-860-842-873-874-876-877-878-863-864-833-866-832-862-816-817-818-834-861-879-822-823-824-825-826-827-828-829-830-831-815-819-820-821-845-846-847-848-849-850-851-852-853-854-855-856-857-858-859-870-871-867-868-869-872-865-875-844</t>
  </si>
  <si>
    <t>ΔΗΜΟΤΑΤΣΗ</t>
  </si>
  <si>
    <t>ΑΒ092169</t>
  </si>
  <si>
    <t>846-847-848-850-853-858-857-854-822-828-815-826-829-870-872-871-841-840-842-839-837-838-835-862-817-843-859-856-852-824-823-827-855-825-821-830-836-844-875-861-876-818-816</t>
  </si>
  <si>
    <t>ΑΙ214743</t>
  </si>
  <si>
    <t>841-828-838-840-839-854-835-842-870-871-837-850-815-826-847-853-858-822-846-862-872-829-848-817-857</t>
  </si>
  <si>
    <t>ΑΚ508560</t>
  </si>
  <si>
    <t>ΑΛΕΞΟΠΟΥΛΟΥ</t>
  </si>
  <si>
    <t>Χ980194</t>
  </si>
  <si>
    <t>975,5</t>
  </si>
  <si>
    <t>879-878-877-876-875-874-873-872-871-870-869-868-867-866-865-864-863-862-861-860-859-858-857-856-855-854-853-852-851-850-849-848-847-846-845-844-843-842-841-840-839-838-837-836-835-834-833-832-831-830-829-828-827-826-825-824-823-822-821-820-819-818-817-816-815</t>
  </si>
  <si>
    <t>ΜΟΣΧΟΥ</t>
  </si>
  <si>
    <t>ΑΙ651810</t>
  </si>
  <si>
    <t>850-821-846-847-858-859-828-854-815-853-848-870-871-872-822-824-827-857-823-829-826</t>
  </si>
  <si>
    <t>ΑΕ996838</t>
  </si>
  <si>
    <t>ΡΙΣΚΟΣ</t>
  </si>
  <si>
    <t>ΑΕ350237</t>
  </si>
  <si>
    <t>841-840-838-835-839-842-837-836-828-870-871-854-815-817-826-829-846-847-848-850-853-857-858-862-872-897</t>
  </si>
  <si>
    <t>ΜΠΙΣΤΙΝΤΖΑΝΟΥ</t>
  </si>
  <si>
    <t>ΑΙ778471</t>
  </si>
  <si>
    <t>846-850-857-854-853-848-858-859-852-856-815-823-821-847-855-828-872-870-871-822-827-829-826</t>
  </si>
  <si>
    <t>ΒΛΑΧΑΚΗ</t>
  </si>
  <si>
    <t>ΑΓΑΘΟΝΙΚΗ</t>
  </si>
  <si>
    <t>ΑΕ727432</t>
  </si>
  <si>
    <t>818-819-875</t>
  </si>
  <si>
    <t>ΠΑΠΑΠΕΤΡΟΥ</t>
  </si>
  <si>
    <t>Ρ779702</t>
  </si>
  <si>
    <t>817-816-861-865</t>
  </si>
  <si>
    <t>ΑΙ621523</t>
  </si>
  <si>
    <t>846-847-820-821-822-823-824-849-850-857-853-851-854-855-858-859-848-852-845-856-815-828-825-826-827-870-871-872-829</t>
  </si>
  <si>
    <t>ΜΠΑΚΑΤΣΕΛΟΥ</t>
  </si>
  <si>
    <t>ΑΗ011657</t>
  </si>
  <si>
    <t>828-850-854-870-871-822-815-826-872-853-846-817-848-847-857-858</t>
  </si>
  <si>
    <t>ΜΠΑΛΑΜΠΑΝΗ</t>
  </si>
  <si>
    <t>Π844697</t>
  </si>
  <si>
    <t>816-817-828-821-850-849-870-872-815-824-823-825-826-827-845-846-847-848-851-852-853-854-855-856-871</t>
  </si>
  <si>
    <t>ΙΟΥΣΤΙΝΑ</t>
  </si>
  <si>
    <t>ΑΔΑΜ</t>
  </si>
  <si>
    <t>ΑΜ516539</t>
  </si>
  <si>
    <t>921,8</t>
  </si>
  <si>
    <t>971,8</t>
  </si>
  <si>
    <t>815-820-821-829-822-823-824-825-826-827-828-845-846-847-848-849-850-851-852-853-854-855-856-857-858-859-870-871-872-835-836-837-838-839-840-841-842-816-817-818-819-831-861-834-843-844-875-867-866-860-833-863-864-873-874-876-877-878-879</t>
  </si>
  <si>
    <t>ΚΑΒΒΟΥΡΑ</t>
  </si>
  <si>
    <t>ΧΡΥΣΩ</t>
  </si>
  <si>
    <t>Π118483</t>
  </si>
  <si>
    <t>817-816-861-865-818-815-828-821-829-826-822-854-855-820-823-824-857-853-850-848-849-856-851-852-858-859-870-827-871-872-847-845-846-819-830-873-874-876-877-878-833-834-835-836-837-838-839-840-841-842</t>
  </si>
  <si>
    <t>ΣΟΛΩΜΟΥ</t>
  </si>
  <si>
    <t>ΑΗ705098</t>
  </si>
  <si>
    <t>970,5</t>
  </si>
  <si>
    <t>828-815-817-822-826-829-846-847-848-850-853-854-857-858-870-871-872-862-841-838-840-835-837-839-842</t>
  </si>
  <si>
    <t>ΠΑΤΗΛΑ</t>
  </si>
  <si>
    <t>Φ213765</t>
  </si>
  <si>
    <t>853-854-850-857-858-859-846-847-848-872-828-826-829-822-870-871-843-875-841-840-838-839-842-835-837</t>
  </si>
  <si>
    <t>ΔΗΜΑΡΑ</t>
  </si>
  <si>
    <t>ΑΑ445679</t>
  </si>
  <si>
    <t>815-858-859-846-847-850-857-848-852-853-845-851-854-822-821-817-865-827-823-870-872-828</t>
  </si>
  <si>
    <t>ΑΜ708669</t>
  </si>
  <si>
    <t>840-835-841-837-836-842</t>
  </si>
  <si>
    <t>ΑΝΑΝΙΑΔΟΥ</t>
  </si>
  <si>
    <t>ΑΖ433217</t>
  </si>
  <si>
    <t>835-837-838-840-841-842-854-862-828-848-850-853</t>
  </si>
  <si>
    <t>Χ985699</t>
  </si>
  <si>
    <t>828-854-871-870-848-850-853-857-858-847-846-822-815-872-829-826-841-838-840-842-835-839-837-862-817</t>
  </si>
  <si>
    <t>ΚΑΛΤΣΙΔΟΥ</t>
  </si>
  <si>
    <t>Ρ951026</t>
  </si>
  <si>
    <t>838,2</t>
  </si>
  <si>
    <t>964,2</t>
  </si>
  <si>
    <t>835-842-841-840-836-837-838-839-862-876-843-858-859-854-847-829-828-826-822-815</t>
  </si>
  <si>
    <t>ΙΒΡΟΣ</t>
  </si>
  <si>
    <t>ΠΕΡΙΚΛΗΣ</t>
  </si>
  <si>
    <t>ΑΒ999078</t>
  </si>
  <si>
    <t>831-841-828-829-839-840-838-842-870-871-835-826-815-847-837-853-862-858-850-857-848-859-852-822-816-817-818-821-836-846-843-875-876-872-825-832-833-849-855-860-861-863-864-866-867-868-869-873-874-877-878-879</t>
  </si>
  <si>
    <t>ΖΑΜΑΝΗΣ</t>
  </si>
  <si>
    <t>ΑΒ086030</t>
  </si>
  <si>
    <t>959,5</t>
  </si>
  <si>
    <t>850-854-848-853-871-857-846-847-845-855-828-851-872-856-858-859-870-823-820-849-821-815-827-852-824-822-829</t>
  </si>
  <si>
    <t>ΤΣΙΟΥΜΑ</t>
  </si>
  <si>
    <t>ΔΙΑΜΑΝΤΟΥΛΑ</t>
  </si>
  <si>
    <t>ΑΗ999498</t>
  </si>
  <si>
    <t>831-815-816-817-818-819-820-821-822-823-824-825-826-827-828-829-830-832-833-834-835-836-837-838-839-840-841-842-843-844-845-846-847-848-849-850-851-852-853-854-855-856-857-858-859-860-861-862-863-864-865-866-867-868-869-870-871-872-873-874-875-876-877-878-879</t>
  </si>
  <si>
    <t>ΡΟΥΜΕΛΙΩΤΗ</t>
  </si>
  <si>
    <t>ΑΙ623979</t>
  </si>
  <si>
    <t>815-820-821-825-826-827-828-829-822-823-824-845-846-847-848-849-850-851-852-853-855-854-856-870-858-859-872</t>
  </si>
  <si>
    <t>ΚΟΛΛΑΡΗ</t>
  </si>
  <si>
    <t>ΧΑΡΙΤΩΜΕΝΗ</t>
  </si>
  <si>
    <t>ΑΖ801479</t>
  </si>
  <si>
    <t>956,5</t>
  </si>
  <si>
    <t>841-838-840-839-837-835-843-862-844-823-824-842-828-821-822-868-869</t>
  </si>
  <si>
    <t>ΜΠΕΚΟΥ</t>
  </si>
  <si>
    <t>ΑΒ234373</t>
  </si>
  <si>
    <t>820-821-822-823-824-827-828-829-845-846-847-848-849-850-851-852-853-854-855-856-857-858-859</t>
  </si>
  <si>
    <t>ΜΑΡΙΛΕΝΑ</t>
  </si>
  <si>
    <t>ΚΟΛΙΟΤΑΣΗ</t>
  </si>
  <si>
    <t>ΑΗ035609</t>
  </si>
  <si>
    <t>834-843-860-828-854-870-825-858-838-829-835</t>
  </si>
  <si>
    <t>ΧΟΥΛΗΣ</t>
  </si>
  <si>
    <t>ΑΜ970852</t>
  </si>
  <si>
    <t>876-828-854-870-871-847-850-853-815-846-848-857-858-872-852-856-841-838-840-835-842-839-837-836</t>
  </si>
  <si>
    <t>ΚΑΣΑΜΠΑΛΗ</t>
  </si>
  <si>
    <t>ΑΙ379641</t>
  </si>
  <si>
    <t>953,7</t>
  </si>
  <si>
    <t>838-841-842-837-835-840</t>
  </si>
  <si>
    <t>ΚΑΡΑΝΤΖΟΥΝΗ</t>
  </si>
  <si>
    <t>Ρ775422</t>
  </si>
  <si>
    <t>952,6</t>
  </si>
  <si>
    <t>815-828-829-845-846-847-848-849-850-851-853-854-855-856-857-858-859</t>
  </si>
  <si>
    <t>ΑΔΑΜΑΚΗ</t>
  </si>
  <si>
    <t>ΣΩΤΗΡΗΣ</t>
  </si>
  <si>
    <t>ΑΕ876312</t>
  </si>
  <si>
    <t>952,2</t>
  </si>
  <si>
    <t>841-838-840-839-835-842-837-828-815-822-826-829-846-847-848-850-853-854-857-858-859-870-871-872</t>
  </si>
  <si>
    <t>ΦΟΥΝΤΑ</t>
  </si>
  <si>
    <t>ΑΕ263418</t>
  </si>
  <si>
    <t>892,1</t>
  </si>
  <si>
    <t>952,1</t>
  </si>
  <si>
    <t>ΧΙΝΤΗ</t>
  </si>
  <si>
    <t>ΕΛΕΝΗ-ΣΑΛΙΜΕ</t>
  </si>
  <si>
    <t>ΑΝΔΡΕΑΣ-ΙΩΑΝΝΗΣ</t>
  </si>
  <si>
    <t>Χ110012</t>
  </si>
  <si>
    <t>870-872-828-825-871-845-846-847-848-849-850-851-852-853-854-855-858-859</t>
  </si>
  <si>
    <t>ΓΚΕΣΟΥΛΗ</t>
  </si>
  <si>
    <t>ΑΕ279999</t>
  </si>
  <si>
    <t>843-860-842-834-835-836-837-838-839-840-841</t>
  </si>
  <si>
    <t>ΑΝΔΡΕΑΔΟΥ</t>
  </si>
  <si>
    <t>ΑΙ142200</t>
  </si>
  <si>
    <t>828-871-826-854-872-847-846-850-853-848-829-822-858-859-857</t>
  </si>
  <si>
    <t>ΚΡΗΤΙΔΗ</t>
  </si>
  <si>
    <t>ΒΑΣΙΛΕΙΟΣ-ΠΕΤΡΟΣ</t>
  </si>
  <si>
    <t>ΑΕ566550</t>
  </si>
  <si>
    <t>853-848-851-846-847-845-849-850-852-854-855-856-857-859-858-815-820-870-871-872-821-822-823-824-827-829-828-826-825-840-841-838-835-839-837-836-842-876-877-878-867-830-833-866-873-874-832-879-843-844-863-864-860-861-862-865-868-869-875-816-817-818-819-834-831</t>
  </si>
  <si>
    <t>ΦΑΤΟΥΡΟΥ</t>
  </si>
  <si>
    <t>Φ442113</t>
  </si>
  <si>
    <t>778,8</t>
  </si>
  <si>
    <t>946,8</t>
  </si>
  <si>
    <t>ΔΟΥΛΟΥΔΗ</t>
  </si>
  <si>
    <t>ΝΕΡΑΝΤΖΙΑ</t>
  </si>
  <si>
    <t>ΑΖ423371</t>
  </si>
  <si>
    <t>806,3</t>
  </si>
  <si>
    <t>946,3</t>
  </si>
  <si>
    <t>841-840-838-835-837-839-842-862-830-836-843-871-870-872-876-817-818-816-815-821-828-826-829-822-846-847-850-853-854-848-857-875-852-856-861-858-859-819-833-844-863-865-877-820-823-824-825-827-855</t>
  </si>
  <si>
    <t>ΣΠΥΡΑΚΟΥ</t>
  </si>
  <si>
    <t>ΑΖ746916</t>
  </si>
  <si>
    <t>876-875-861-843-862-830-817-818-816-841-840-839-854-850-871-870-853-857-859-858-848-852-856-842-846-847-835-836-837-838-815-821-822-826-828-829-872-833-877-863-819-820-844-825-824-823-827-845-865-855-849</t>
  </si>
  <si>
    <t>ΘΕΟΔΩΡΗ</t>
  </si>
  <si>
    <t>ΑΑ311414</t>
  </si>
  <si>
    <t>815-843-818-820-822-826-828-829-835-836-837-838-841-840-839-842-850-823-824-825-827-846-847-848-853-854</t>
  </si>
  <si>
    <t>ΜΗΤΣΟΥ</t>
  </si>
  <si>
    <t>ΑΚ333004</t>
  </si>
  <si>
    <t>828-854-853-838-815-840-841-847-848-850</t>
  </si>
  <si>
    <t>ΤΟΚΑΤΛΙΔΟΥ</t>
  </si>
  <si>
    <t>ΠΟΛΥΚΑΡΠΟΣ</t>
  </si>
  <si>
    <t>ΑΙ380658</t>
  </si>
  <si>
    <t>ΑΜ040189</t>
  </si>
  <si>
    <t>944,5</t>
  </si>
  <si>
    <t>833-863-874-873-876-877-815-820-821-822-823-824-826-828-846-847-845-850-853-854-855-856-857-851-852-858-859</t>
  </si>
  <si>
    <t>ΜΑΡΚΟΥΛΑΚΗ</t>
  </si>
  <si>
    <t>ΜΙΝΩΑΣ</t>
  </si>
  <si>
    <t>Ξ922137</t>
  </si>
  <si>
    <t>943,8</t>
  </si>
  <si>
    <t>854-853-850-848-856-857-847-846-858-859-855-852</t>
  </si>
  <si>
    <t>ΤΟΥΡΑΤΖΟΓΛΟΥ</t>
  </si>
  <si>
    <t>ΣΕΒΑΣΤΗ</t>
  </si>
  <si>
    <t>ΑΕ834525</t>
  </si>
  <si>
    <t>841-840-838-839-835-842-837-836-828-826-829-822-858-859-854-853-850-848-857-856-852-862-861-870-871-875-876-872-823-824-825-846-843-844-815-817-818-821-816</t>
  </si>
  <si>
    <t>ΓΕΩΡΓΟΥΣΗΣ</t>
  </si>
  <si>
    <t>ΑΖ719809</t>
  </si>
  <si>
    <t>815-818-821-822-828-826-835-838-839-840-841-842-860-856-857-850-854</t>
  </si>
  <si>
    <t>ΑΗ106553</t>
  </si>
  <si>
    <t>828-854-870-871-850-815-826-822-858-846-847-853-872-848-857-852-856-859-821-823-824-827-851-845-820-829-855-849-825</t>
  </si>
  <si>
    <t>ΧΡΗΣΤΟΥ</t>
  </si>
  <si>
    <t>ΑΜ404047</t>
  </si>
  <si>
    <t>841-840-838-835-842-837-828-862-854-870-871-817</t>
  </si>
  <si>
    <t>ΒΑΛΒΗ</t>
  </si>
  <si>
    <t>ΜΑΡΓΑΡΙΤΑ</t>
  </si>
  <si>
    <t>Τ017675</t>
  </si>
  <si>
    <t>820-828-847-846-858-859-823-850-854-826-853-848-871-872-851-824-852-856-857-821-822-815-870-861-862-865-816-830-875-831-866-877-876-873-874-878-833</t>
  </si>
  <si>
    <t>ΤΣΟΡΛΙΑΝΟΣ</t>
  </si>
  <si>
    <t>ΑΖ772172</t>
  </si>
  <si>
    <t>775,5</t>
  </si>
  <si>
    <t>936,5</t>
  </si>
  <si>
    <t>862-844-841-842-830</t>
  </si>
  <si>
    <t>ΗΛΙΟΠΟΥΛΟΥ</t>
  </si>
  <si>
    <t>Χ307722</t>
  </si>
  <si>
    <t>935,4</t>
  </si>
  <si>
    <t>815-816-817-818-819-820-821-822-823-824-825-826-827-828-829-830-832-843-845-846-847-848-849-850-851-852-853-854-855-856-857-858-859-860-861-865-870-871-872</t>
  </si>
  <si>
    <t>ΘΕΟΛΟΓΟΥΔΗ</t>
  </si>
  <si>
    <t>ΑΧΙΛΛΕΥΣ</t>
  </si>
  <si>
    <t>ΑΙ389350</t>
  </si>
  <si>
    <t>838-841-840-842-835-837-836-839-843-862-875-830-816-818-817-861-876-828-854-870-871-815-826-850-847-853-858-822-846-848-829-872-857-859-821-852-856</t>
  </si>
  <si>
    <t>ΣΕΒΛΙΔΟΥ</t>
  </si>
  <si>
    <t>ΜΑΤΘΑΙΟΣ</t>
  </si>
  <si>
    <t>Χ759072</t>
  </si>
  <si>
    <t>841-840-838-835-842</t>
  </si>
  <si>
    <t>ΑΖ286514</t>
  </si>
  <si>
    <t>934,3</t>
  </si>
  <si>
    <t>844-862-860-897-835-854-870-875-865-878</t>
  </si>
  <si>
    <t>ΜΠΑΛΤΖΗ</t>
  </si>
  <si>
    <t>Φ453362</t>
  </si>
  <si>
    <t>838-841-840-835-842-836-837-843-839</t>
  </si>
  <si>
    <t>ΛΙΑΤΣΟΥ</t>
  </si>
  <si>
    <t>ΑΝ262236</t>
  </si>
  <si>
    <t>845-846-847-848-849-850-851-852-853-854-855-856-857-858-859-843</t>
  </si>
  <si>
    <t>Χ478736</t>
  </si>
  <si>
    <t>862-828-841-838-840-854-839-842-835-870-871-872-850-848-858-857-853-846-847-837-829-822-815-817</t>
  </si>
  <si>
    <t>ΚΟΛΛΙΑ</t>
  </si>
  <si>
    <t>Χ276124</t>
  </si>
  <si>
    <t>846-847-858-859-870-871-872-828-827-848-849-850-854-855-851-856-857-853-823-815-822-821-820-825-824</t>
  </si>
  <si>
    <t>ΠΑΡΑΣΚΕΥΑΣ</t>
  </si>
  <si>
    <t>ΑΕ358132</t>
  </si>
  <si>
    <t>897-838-841-840-842-839-837</t>
  </si>
  <si>
    <t>ΑΕ745752</t>
  </si>
  <si>
    <t>815-817-818-821-822-826-828-829-835-836-837-838-839-840-841-843-846-847-848-850-853-854-857-858-859-865-870-871-872-875</t>
  </si>
  <si>
    <t>ΤΖΑΤΖΑ</t>
  </si>
  <si>
    <t>ΑΖ190319</t>
  </si>
  <si>
    <t>841-840-838-839-842-835-836-837-844-862-875-848-849-850-851-852-853-854-855-856-857-858-859-847-843-870-871</t>
  </si>
  <si>
    <t>ΒΑΝΑ</t>
  </si>
  <si>
    <t>ΑΖ743267</t>
  </si>
  <si>
    <t>834-843-862-844-860-835-836-837-838-839-840-841-842-875-867-861-866-848-816-817-819-831</t>
  </si>
  <si>
    <t>ΠΑΧΝΗ</t>
  </si>
  <si>
    <t>ΑΙ779347</t>
  </si>
  <si>
    <t>818-843-816-875-831-862-834-832-819-830-835-836-837-838-839-840-841-842-844-867-820-823-847-848-850-815-821-822-824-825-826-827-829-845-851-852-853-854-855-856-857-858-859-870-871-872-849-865-860-861-817-866-877-873-874-878-864-863-876-879-833-868</t>
  </si>
  <si>
    <t>ΜΠΕΡΤΣΙΑ</t>
  </si>
  <si>
    <t>Ρ773916</t>
  </si>
  <si>
    <t>926,2</t>
  </si>
  <si>
    <t>ΤΟΣΚΑ</t>
  </si>
  <si>
    <t>ΜΑΡΙΝΟΣ</t>
  </si>
  <si>
    <t>ΑΑ769182</t>
  </si>
  <si>
    <t>924,4</t>
  </si>
  <si>
    <t>871-872-828-870-829-847-846-854-858-815-848-850-853-857-823-824-825-826-827-845-849-851-852-855-856-859-820-821-822</t>
  </si>
  <si>
    <t>ΜΠΑΝΤΟΥΝΑ</t>
  </si>
  <si>
    <t>ΑΕ230869</t>
  </si>
  <si>
    <t>ΜΑΡΚΟΥ</t>
  </si>
  <si>
    <t>Ξ113710</t>
  </si>
  <si>
    <t>922,1</t>
  </si>
  <si>
    <t>828-854-850-853-847-858-846-822-848-857-859-821-852-856-855-823-851-849-845-820</t>
  </si>
  <si>
    <t>ΤΑΝΤΑΛΙΔΟΥ</t>
  </si>
  <si>
    <t>ΑΙ287371</t>
  </si>
  <si>
    <t>ΚΑΛΑΙΤΖΙΔΗΣ</t>
  </si>
  <si>
    <t>ΤΡΙΑΝΤΑΦΥΛΛΟΣ</t>
  </si>
  <si>
    <t>ΑΗ416551</t>
  </si>
  <si>
    <t>815-816-817-818-819-820-821-822-823-824-825-826-827-828-829-830-831-832-833-834-835-836-837-838-839-840-841-842-843-844-845-846-847-848-849-850-851-852-853-854-855-856-857-858-859-860-861-862-863-864-865-867-868-869-870-871-872-873-874-875-876-877-878-879</t>
  </si>
  <si>
    <t>ΚΑΡΑΓΙΑΝΝΗ</t>
  </si>
  <si>
    <t>ΑΚ353755</t>
  </si>
  <si>
    <t>828-831-818-843-854-870-871-850-815-847-846-853-858-848-872-857-859-821-856-852-830-855-823-824-825-827-849-845-851-820</t>
  </si>
  <si>
    <t>ΣΕΡΔΑΡΙΔΟΥ</t>
  </si>
  <si>
    <t>Χ447430</t>
  </si>
  <si>
    <t>865,7</t>
  </si>
  <si>
    <t>921,7</t>
  </si>
  <si>
    <t>838-837-835-841-839-840-842</t>
  </si>
  <si>
    <t>ΓΚΑΚΗ</t>
  </si>
  <si>
    <t>ΑΜ304183</t>
  </si>
  <si>
    <t>ΠΑΠΑΙΩΑΝΝΟΥ</t>
  </si>
  <si>
    <t>ΑΕ894340</t>
  </si>
  <si>
    <t>467,5</t>
  </si>
  <si>
    <t>920,5</t>
  </si>
  <si>
    <t>847-848-850-815-822-829-846-854-853-858-870-871-872-828-852-857-832-849-855-859</t>
  </si>
  <si>
    <t>ΜΑΡΑΓΙΑΝΝΗ</t>
  </si>
  <si>
    <t>ΑΚ330620</t>
  </si>
  <si>
    <t>919,6</t>
  </si>
  <si>
    <t>818-827-831-828-854-815-849-853-847-846-826-822-848-858-829-825-857-855-859-851-852-823-821-820-856</t>
  </si>
  <si>
    <t>ΔΕΛΗΜΑΝΗ</t>
  </si>
  <si>
    <t>ΑΒ722694</t>
  </si>
  <si>
    <t>841-840-838-842-835-837-836-862-875-854-870-871-847-850-853-857-846-848-858-815-826-822-872-859-856-852-821-830-816-818-861-876-839-843-817-829-869-844-827-824-823-855-825-819-820-845-851-865-833-863-877-849</t>
  </si>
  <si>
    <t>ΜΑΛΑΜΑ</t>
  </si>
  <si>
    <t>ΑΚ367667</t>
  </si>
  <si>
    <t>ΔΟΥΚΑΣ</t>
  </si>
  <si>
    <t>ΑΖ896432</t>
  </si>
  <si>
    <t>838-841-840-839-842-837-836-835-862-875-897-843-830-861-816-817-818-870-871-872-850-853-854-822-826-828-829-846-847-848-856-857-858-859-815-876</t>
  </si>
  <si>
    <t>ΔΗΜΟΣΘΕΝΗΣ</t>
  </si>
  <si>
    <t>ΑΑ307619</t>
  </si>
  <si>
    <t>818-817-843-831-832-815-820-821-822-823-824-825-826-827-828-829-845-846-847-848-849-850-851-852-853-854-855-856-857-858-859-865-870-871-872</t>
  </si>
  <si>
    <t>ΖΥΓΟΥΡΗ</t>
  </si>
  <si>
    <t>Σ378931</t>
  </si>
  <si>
    <t>ΚΑΡΑΜΑΝΔΑΝΗ</t>
  </si>
  <si>
    <t>ΑΖ823893</t>
  </si>
  <si>
    <t>835-841-840-837-836-842-838-839-862-843-815-821-822-826-827-829-846-847-848-850-853-854-856-857-858-859-870-871-872-875-817-830-852</t>
  </si>
  <si>
    <t>ΔΕΛΗΓΕΩΡΓΗ</t>
  </si>
  <si>
    <t>ΑΕ908169</t>
  </si>
  <si>
    <t>835-836-837-838-839-840-841-842-815-821-822-826-828-846-847-848-850-852-854-856-857-858-859-870-871-872-829-853</t>
  </si>
  <si>
    <t>ΚΡΙΚΩΝΗΣ</t>
  </si>
  <si>
    <t>ΑΒ805451</t>
  </si>
  <si>
    <t>884,4</t>
  </si>
  <si>
    <t>914,4</t>
  </si>
  <si>
    <t>841-842-835-817-838-840-839-837</t>
  </si>
  <si>
    <t>ΛΙΟΥΜΗ</t>
  </si>
  <si>
    <t>ΕΜΜΑΝΟΥΕΛΛΑ</t>
  </si>
  <si>
    <t>ΑΕ757713</t>
  </si>
  <si>
    <t>854-850-847-853-846-858-848-857-859-852-856-851</t>
  </si>
  <si>
    <t>ΦΩΤΟΠΟΥΛΟΥ</t>
  </si>
  <si>
    <t>ΑΕ718538</t>
  </si>
  <si>
    <t>841-828-838-840-854-835-839-842-870-871-829-872-858-846-847-857-815-817-862</t>
  </si>
  <si>
    <t>ΑΕ814218</t>
  </si>
  <si>
    <t>841-840-838-842-835-837-839-862-828-854-870-871-826-872-822-858-848-850-853-857-846-847-815-829-817</t>
  </si>
  <si>
    <t>ΑΝΘΥΜΙΔΟΥ</t>
  </si>
  <si>
    <t>ΑΝΝΑ ΜΑΡΙΑ</t>
  </si>
  <si>
    <t>ΑΖ676422</t>
  </si>
  <si>
    <t>909,7</t>
  </si>
  <si>
    <t>835-836-837-838-839-840-841-842-843-844-845-846-847-848-849-850-851-852-853-854-855-856-857-858-859-862-870-871-872-861-863-865-875-876-877-897-815-816-817-818-821-819-820-822-823-824-825-826-827-828-829-830-833</t>
  </si>
  <si>
    <t>ΤΣΕΛΛΟΥ</t>
  </si>
  <si>
    <t>Σ657139</t>
  </si>
  <si>
    <t>845-846-847-849-850-851-853-854-855-857-858-859</t>
  </si>
  <si>
    <t>ΑΒ313893</t>
  </si>
  <si>
    <t>ΘΕΟΔΩΡΗΣ</t>
  </si>
  <si>
    <t>ΑΕ282072</t>
  </si>
  <si>
    <t>828-854-855-849-850-846-847-845-851-852-853-848-857-858-859-827-871-870-872-843-835-836-837-838-839-840-841-842-821-822-823-824-829-862-875-876-833-844-830-831-832-834-856-820-825-826-818</t>
  </si>
  <si>
    <t>ΠΑΤΡΙΚΙΟΥ</t>
  </si>
  <si>
    <t>ΧΑΡΑ</t>
  </si>
  <si>
    <t>ΑΒ385816</t>
  </si>
  <si>
    <t>818-817-832-816-834-843</t>
  </si>
  <si>
    <t>ΒΑΒΟΥΡΑΚΗ</t>
  </si>
  <si>
    <t>ΑΒ527064</t>
  </si>
  <si>
    <t>853-845-846-848-850-851-852-854-858-859</t>
  </si>
  <si>
    <t>ΕΙΡΗΝΗ-ΧΡΥΣΟΒΑΛΑΝΤΟΥ</t>
  </si>
  <si>
    <t>ΑΑ432274</t>
  </si>
  <si>
    <t>902,5</t>
  </si>
  <si>
    <t>835-836-837-838-839-840-841-842-862-844</t>
  </si>
  <si>
    <t>ΦΑΡΜΑΚΗΣ</t>
  </si>
  <si>
    <t xml:space="preserve">ΠΑΝΑΓΙΩΤΗΣ </t>
  </si>
  <si>
    <t>Χ276642</t>
  </si>
  <si>
    <t>843-875-862-844-839-840-841-842-835-836-837-838</t>
  </si>
  <si>
    <t>ΓΙΟΥΒΑΝΑΚΗ</t>
  </si>
  <si>
    <t>ΜΑΡΙΑΝΘΗ</t>
  </si>
  <si>
    <t>ΑΗ432603</t>
  </si>
  <si>
    <t>828-854-870-871-846-847-848-850-853-841-838-839-835-815-822-872-857-858-840-842</t>
  </si>
  <si>
    <t>ΡΑΡΡΑ</t>
  </si>
  <si>
    <t>ΑΗ269715</t>
  </si>
  <si>
    <t>844-862-843-848-849-850-851-852-853-854-855-856-867-858-859-861-864-865-870-871-872-875-839-840-841-842-846-847</t>
  </si>
  <si>
    <t>ΓΑΝΩΤΗ</t>
  </si>
  <si>
    <t>ΑΖ322434</t>
  </si>
  <si>
    <t>841-828-835-838-839-840-837-870-871-842-846-847-848-850-815-817-822-826-829-853-857-858-862-872</t>
  </si>
  <si>
    <t>ΓΚΑΛΙΜΑΝΑ</t>
  </si>
  <si>
    <t>ΑΗ495738</t>
  </si>
  <si>
    <t>830-819-854-847-846-848-853-851-823-850-852-856-857-822-821-875-827-826-829-815-870-871-872-844-862-837-838-836-840-841-842-839-865-816</t>
  </si>
  <si>
    <t>ΤΣΙΓΑΡΑ</t>
  </si>
  <si>
    <t>ΑΗ245844</t>
  </si>
  <si>
    <t>894,5</t>
  </si>
  <si>
    <t>843-834-818-831-835-836-837-838-839-840-841-842-860-815-816-817-820-821-822-823-824-825-826-827-828-829-870-871-872-830-832-833-844-845-846-847-848-849-850-851-852-853-854-855-856-857-858-859-861-862-863-864-865-866-867-868-869-873-875-876-877-878-879</t>
  </si>
  <si>
    <t>ΔΗΜΗΤΡΟΥΛΑΚΗΣ</t>
  </si>
  <si>
    <t>Χ858776</t>
  </si>
  <si>
    <t>ΚΟΥΤΣΟΥΠΙΑ</t>
  </si>
  <si>
    <t>ΑΒ999477</t>
  </si>
  <si>
    <t>891,5</t>
  </si>
  <si>
    <t>831-875-862-844-830-819-818-817-834-815-820-821-822-823-824-825-826-827-828-845-846-847-848-850-851-852-853-854-855-856-857-858-859-870-871-872-836-837-838-839-840-841-842-816-832-835-860-861-863-864-865-866-867-869-873-874-876-877-878-879-849-868-843-829</t>
  </si>
  <si>
    <t>ΓΕΛΑΣΙΟΣ</t>
  </si>
  <si>
    <t>Τ276856</t>
  </si>
  <si>
    <t>818-832</t>
  </si>
  <si>
    <t>ΧΙΟΥ</t>
  </si>
  <si>
    <t>Χ566500</t>
  </si>
  <si>
    <t>815-828-846-847-850-853-854-855-858-859-870-871-872</t>
  </si>
  <si>
    <t>ΤΖΑΡΤΖΑΛΟΥ</t>
  </si>
  <si>
    <t>ΕΛΒΙΡΑ</t>
  </si>
  <si>
    <t>ΒΑΓΓΕΛΗΣ</t>
  </si>
  <si>
    <t>ΑΗ451164</t>
  </si>
  <si>
    <t>Χ280072</t>
  </si>
  <si>
    <t>833-876-877-863-875-862-843-844-819-870-871-872-830-861-865-818-817-816-835-836-837-838-839-840-841-842-825-826-827-828-829-820-821-822-823-824-845-846-847-848-849-850-851-852-853-854-855-856-857-858-859-815-864-873-874-878-879-867-866-860-832-831-834-868-869-897</t>
  </si>
  <si>
    <t>ΓΕΩΡΓΟΥΛΑΣ</t>
  </si>
  <si>
    <t>Φ461632</t>
  </si>
  <si>
    <t>887,7</t>
  </si>
  <si>
    <t>843-834-860-838-839-840-841-837-836-835-842-862-818-844-816-819-832-831-868-869-875-867-870-871-872-861-865-855-854-850-849-852-856-857-753-848-858-845-846-847-820-821-828-829-824-823-822-827-826-825-815-859-866-879-796-877-878-873-874-863-864-833-830</t>
  </si>
  <si>
    <t>ΣΑΡΡΕΑ</t>
  </si>
  <si>
    <t>Χ866355</t>
  </si>
  <si>
    <t>843-835-836-837-838-839-840-860-841-842</t>
  </si>
  <si>
    <t>Χ363411</t>
  </si>
  <si>
    <t>887,5</t>
  </si>
  <si>
    <t>843-834-828-838-841</t>
  </si>
  <si>
    <t>ΠΛΕΣΣΙΑ</t>
  </si>
  <si>
    <t>ΑΖ099698</t>
  </si>
  <si>
    <t>828-826-822-815-829</t>
  </si>
  <si>
    <t>ΚΑΡΛΗ</t>
  </si>
  <si>
    <t>ΑΗ204285</t>
  </si>
  <si>
    <t>885,6</t>
  </si>
  <si>
    <t>818-816-841-828-838-840-835-826-854-853-815-870-871-861-859-858</t>
  </si>
  <si>
    <t>ΚΕΡΔΕΛΑ</t>
  </si>
  <si>
    <t>ΜΥΡΤΩ - ΟΛΓΑ</t>
  </si>
  <si>
    <t>ΑΕ232728</t>
  </si>
  <si>
    <t>876-815-816-817-818-821-822-826-828-829-830-835-836-837-838-839-840-841-842-843-846-847-848-850-853-854-857-858-859-861-862-870-871-872-875</t>
  </si>
  <si>
    <t>ΤΣΑΝΤΟΥΛΑ</t>
  </si>
  <si>
    <t>ΑΝΔΡΙΑΝΗ</t>
  </si>
  <si>
    <t>Χ478170</t>
  </si>
  <si>
    <t>862-875-841-828-840-838-842-835-854-871-870-839-837-815-826-846-847-848-850-853-857-858-822-872-829-817-843-844-830-836-852-856-859-861-821-816-818-876-819-820-845-855-851-849-833-823-824-825-827-865-863-877-831-834-832-860-866-864-869-868-867-878-879-873-874</t>
  </si>
  <si>
    <t>ΜΠΟΣΚΟΥ</t>
  </si>
  <si>
    <t>Π993093</t>
  </si>
  <si>
    <t>841-838-840-839-835-842-837-836-843-862-844-819-831-834-875-868-869-815-820-821-822-823-824-825-826-827-828-829-845-846-847-848-849-850-851-852-853-854-855-856-857-858-859-870-871-872-816-817-818-830-832-860-861-865-866-867-863</t>
  </si>
  <si>
    <t>ΑΗ764592</t>
  </si>
  <si>
    <t>862-844-840-841-842-838-836-837-848-819-831-851-852-850-858-853-854-857-828-846-847-870-871-872-822-877-830-826-875-868-856-820-821-859-869-816-818-832-833-860-865-863-864-866-876-878-879-867-873-874-815-817-824-827-834</t>
  </si>
  <si>
    <t>ΜΠΑΡΔΑΚΗ</t>
  </si>
  <si>
    <t>ΑΖ220216</t>
  </si>
  <si>
    <t>ΑΕ727772</t>
  </si>
  <si>
    <t>843-818-831-846-847-848-852-850-853-856-857-854</t>
  </si>
  <si>
    <t>Σταμπουλιαδη</t>
  </si>
  <si>
    <t>Aννα</t>
  </si>
  <si>
    <t>Ανδρέας</t>
  </si>
  <si>
    <t>Π931286</t>
  </si>
  <si>
    <t>861-830</t>
  </si>
  <si>
    <t>ΠΑΤΟΥΛΑ</t>
  </si>
  <si>
    <t>ΚΛΕΟΠΑΤΡΑ - ΜΑΡΙΑ</t>
  </si>
  <si>
    <t>ΑΑ307738</t>
  </si>
  <si>
    <t>818-843-875-821-822-825-826-827-828-829-846-847-848-849-850-851-852-853-854-855-856-857-870-871-872-830-835-836-837-838-840-841-842-858-859-862</t>
  </si>
  <si>
    <t>Τ129263</t>
  </si>
  <si>
    <t>828-821-822-854-846-847-859-858-853-848-850-857</t>
  </si>
  <si>
    <t>ΑΙ880189</t>
  </si>
  <si>
    <t>838-841-840-837-835-842-839-836-843-862-828-826-847-850-853-854-870-871-815-876-875-872-861-859-858-852-856-857-848-816-817-818-821-822-830-829-846-819-820-823-824-825-844-833-827-845-849-851-855-863-865-873-874-877-878-864-860-866-831-832-834-868-869-867-879</t>
  </si>
  <si>
    <t>ΖΑΦΕΙΡΙΟΥ</t>
  </si>
  <si>
    <t>Φ301063</t>
  </si>
  <si>
    <t>897-843-849-855-829-825-839-827-862-844-875-841-838-840-835-842-837-836-876-863-833-828-870-871-854-815-826-850-853-847-822-858-846-848-872-817-857-859-821-830-852-856-861-818-816-823-824-819-820-845-851-865-868-832</t>
  </si>
  <si>
    <t>ΣΩΤΗΡΙΑΔΟΥ</t>
  </si>
  <si>
    <t>ΑΗ100800</t>
  </si>
  <si>
    <t>826-828-822-829-846-847-850-853-854-858-871-872-857-859-848-852-856-823-824</t>
  </si>
  <si>
    <t>ΜΥΛΩΝΑ</t>
  </si>
  <si>
    <t>ΑΙ822074</t>
  </si>
  <si>
    <t>818-843-816-875-831-862-834-832-819-830-835-836-837-838-839-840-841-842-844-867-820-823-847-848-850-815-821-822-824-825-826-827-828-829-845-851-852-853-854-855-856-857-858-859-870-871-872-849-865-860-861-817-866-877-873-874-878-864-863-876-833-879-868</t>
  </si>
  <si>
    <t>ΛΑΦΑΖΑΝΙΔΗΣ</t>
  </si>
  <si>
    <t>Χ947161</t>
  </si>
  <si>
    <t>839-841-840-838-835-842</t>
  </si>
  <si>
    <t>ΚΟΨΑΧΕΙΛΗΣ</t>
  </si>
  <si>
    <t>ΑΙ845873</t>
  </si>
  <si>
    <t>862-841-838-840-837-842-835-839-836-875-843</t>
  </si>
  <si>
    <t>ΜΙΧΟΥ</t>
  </si>
  <si>
    <t>ΑΜ382212</t>
  </si>
  <si>
    <t>862-844-841-837-836-835-838-842-840-839-875-831-819-852-849-858-856-854-853-851-850-847-846-857-848-859-845-843-897-828-820-821-822-823-855-824-827-829-870-871-872-815-818-816-826-825-834-830-817-861-865-869-868-876-877-878-833-873-874-863-864-860-867-832-879-866</t>
  </si>
  <si>
    <t>ΡΑΧΙΩΤΗ</t>
  </si>
  <si>
    <t>ΑΜ383480</t>
  </si>
  <si>
    <t>828-847-850-853-854-857-875-858</t>
  </si>
  <si>
    <t>ΠΕΙΜΑΝΙΔΟΥ</t>
  </si>
  <si>
    <t>ΕΜΟΡΦΙΛΗ</t>
  </si>
  <si>
    <t>Χ245908</t>
  </si>
  <si>
    <t>841-835-836-837-838-839-840-842</t>
  </si>
  <si>
    <t>ΔΕΛΗΓΙΩΡΓΗ</t>
  </si>
  <si>
    <t>ΑΒ156634</t>
  </si>
  <si>
    <t>846-847-853-854-855-859-858-849-850-848-851-856-857-852-845-820-821-827-828-824-822-838-839-840-841-835-836-837-842-816-870-871-872-823-826-815</t>
  </si>
  <si>
    <t>ΚΑΖΑΚΛΗ</t>
  </si>
  <si>
    <t>ΑΚ161602</t>
  </si>
  <si>
    <t>809,6</t>
  </si>
  <si>
    <t>879,6</t>
  </si>
  <si>
    <t>843-846-847-828-854-850-815-826-853-822-858-848-857-859-821-823-824-855-820-845-849-852-856-870-871-872</t>
  </si>
  <si>
    <t xml:space="preserve">Γιαννούλα </t>
  </si>
  <si>
    <t xml:space="preserve">Σπυριδούλα </t>
  </si>
  <si>
    <t xml:space="preserve">Κωνσταντίνος </t>
  </si>
  <si>
    <t>ΑΗ250628</t>
  </si>
  <si>
    <t>856-845-846-847-848-849-850-851-852-853-815-820-821-822-823-824-825-826-827-828-829-854-855-857-858-859-870-871-872</t>
  </si>
  <si>
    <t>ΓΙΟΒΡΗ</t>
  </si>
  <si>
    <t>Φ041276</t>
  </si>
  <si>
    <t>847-854-853-850-815-828-826-858-859-846-848-857-822-821</t>
  </si>
  <si>
    <t>ΓΟΥΛΗ</t>
  </si>
  <si>
    <t>ΑΑ403513</t>
  </si>
  <si>
    <t>815-821-822-825-826-828-829-835-836-837-838-839-840-841-842-846-847-848-850-852-853-854-856-857-858-859</t>
  </si>
  <si>
    <t xml:space="preserve">ΓΕΩΡΓΊΑ </t>
  </si>
  <si>
    <t xml:space="preserve">ΝΙΚΟΛΑΟΣ </t>
  </si>
  <si>
    <t>ΑΗ223833</t>
  </si>
  <si>
    <t>817-816-861-865-818-853-854-855-856-857-852-851-850-849-848-858-859-820-821-822-823-824-825-826-827-828-829-845-846-847-870-871-872-815-819-830-831-832-843-844-862-868-869-875-835-836-837-838-839-840-841-842-833-863-864-873-874-776-877-878</t>
  </si>
  <si>
    <t>ΚΟΝΤΟΚΩΣΤΑ</t>
  </si>
  <si>
    <t>Χ698574</t>
  </si>
  <si>
    <t>850-854-857-846-847-858</t>
  </si>
  <si>
    <t>ΔΙΠΛΑ</t>
  </si>
  <si>
    <t>ΑΡΙΑΔΝΗ</t>
  </si>
  <si>
    <t>ΑΑ309513</t>
  </si>
  <si>
    <t>841-840-838-835-839-842-837-854-846-847-848-850-853-857-858-870-871-872-828-829-826-815-822-862-817</t>
  </si>
  <si>
    <t>ΠΑΓΑΝΟΠΟΥΛΟΥ</t>
  </si>
  <si>
    <t>ΑΙ831472</t>
  </si>
  <si>
    <t>832-815-816-817-818-819-820-821-822-823-824-825-826-827-828-829-830-831-865-837-838-839-840-841-842-843-844-845-846-847-848-849-850-851-852-853-854-855-856-857-858-859-860-861-862-866-871-863-864-833-834-835-836-870-872-873-874-875-876-877-878-879</t>
  </si>
  <si>
    <t>ΡΟΔΟΥΛΑ</t>
  </si>
  <si>
    <t>ΑΙ196869</t>
  </si>
  <si>
    <t>ΛΕΜΟΝΤΖΟΓΛΟΥ</t>
  </si>
  <si>
    <t>Τ044383</t>
  </si>
  <si>
    <t>815-820-821-822-823-824-825-826-827-828-829-846-847-848-849-850-851-853-854-855-857-858-859</t>
  </si>
  <si>
    <t>ΑΒ093387</t>
  </si>
  <si>
    <t>815-816-817-818-819</t>
  </si>
  <si>
    <t>ΓΕΩΡΓΑΚΑΚΟΥ</t>
  </si>
  <si>
    <t>ΑΝ284043</t>
  </si>
  <si>
    <t>861-826</t>
  </si>
  <si>
    <t>ΜΑΝΟΣ</t>
  </si>
  <si>
    <t>ΑΒ811141</t>
  </si>
  <si>
    <t>823-853-848-854-845-846-847-849-857-856-828-850-855-851-852-826-827-821-870-871-872-822-829-824-825-820-859-815</t>
  </si>
  <si>
    <t>ΣΟΥΛΙΩΤΗ</t>
  </si>
  <si>
    <t>Χ345363</t>
  </si>
  <si>
    <t>Γεωργουλα Κωνσταντινίδη</t>
  </si>
  <si>
    <t>Χριστίνα</t>
  </si>
  <si>
    <t>ΑΚ513270</t>
  </si>
  <si>
    <t>835-837-838-839-840-841-842</t>
  </si>
  <si>
    <t>ΚΟΥΝΤΟΥΡΙΩΤΗ</t>
  </si>
  <si>
    <t>ΦΑΝΗ-ΜΑΓΔΑΛΗΝΗΝΗ</t>
  </si>
  <si>
    <t>ΑΒ209707</t>
  </si>
  <si>
    <t>820-821-822-823-824-825-826-827-828-829-830-845-846-847-848-849-850-851-852-853-854-855-857-858-859-860-861</t>
  </si>
  <si>
    <t>ΠΑΝΑΓΙΩΤΑΚΗ</t>
  </si>
  <si>
    <t>ΑΗ817760</t>
  </si>
  <si>
    <t>830-815-816-817-819-818-820-831-832-833-834-835-836-837-838-839-840-841-842-843-844-845-846-847-848-849-850-851-852-853-854-855-856-857-858-859-860-861-862-863-864-865-867-866-868-869-870-871-872-873-874-875-876-877-878-879</t>
  </si>
  <si>
    <t>ΣΚΟΥΡΤΗ</t>
  </si>
  <si>
    <t>ΑΒ628002</t>
  </si>
  <si>
    <t>861,5</t>
  </si>
  <si>
    <t>818-854-848-828-858-859-857-847-846-822-850-856-815-841-837-835-842-838-823-853-844</t>
  </si>
  <si>
    <t>ΜΠΕΣΗ</t>
  </si>
  <si>
    <t>Χ132692</t>
  </si>
  <si>
    <t>739,2</t>
  </si>
  <si>
    <t>858,2</t>
  </si>
  <si>
    <t>870-828-862-871-872</t>
  </si>
  <si>
    <t>ΚΩΝΣΤΑΝΤΑΤΟΥ</t>
  </si>
  <si>
    <t>ΣΩΦΡΟΝΙΟΣ</t>
  </si>
  <si>
    <t>Σ771572</t>
  </si>
  <si>
    <t>835-838-839-841-840-837-842</t>
  </si>
  <si>
    <t>ΚΑΡΑΚΑΝΟΣ</t>
  </si>
  <si>
    <t>ΑΚ642986</t>
  </si>
  <si>
    <t>854-857-872-870-871-822-826-828-829-815-848-850-835-837-838-839-840-841-842-846-847-862</t>
  </si>
  <si>
    <t>ΤΣΑΠΑΚΙΔΗΣ</t>
  </si>
  <si>
    <t>Χ817715</t>
  </si>
  <si>
    <t>840-841-842-838-835-836-837-839-861</t>
  </si>
  <si>
    <t>ΞΥΛΟΥΡΗ</t>
  </si>
  <si>
    <t>ΜΕΝΕΛΑΟΣ</t>
  </si>
  <si>
    <t>ΑΗ464999</t>
  </si>
  <si>
    <t>ΠΡΑΜΑΤΙΩΤΗΣ</t>
  </si>
  <si>
    <t>Σ352212</t>
  </si>
  <si>
    <t>856,9</t>
  </si>
  <si>
    <t>815-822-828-871-831</t>
  </si>
  <si>
    <t>ΜΑΧΑΙΡΑ</t>
  </si>
  <si>
    <t>ΤΡΥΦΩΝ</t>
  </si>
  <si>
    <t>Χ841805</t>
  </si>
  <si>
    <t>815-817-818-819-820-821-822-835-848-850-853-854-858-859-870-871-872-875</t>
  </si>
  <si>
    <t>ΛΑΖΑΝΗ</t>
  </si>
  <si>
    <t>ΑΗ069076</t>
  </si>
  <si>
    <t>824-822-821-854-855-850-847-846-848-853-858-857-852-859-856</t>
  </si>
  <si>
    <t>ΚΑΤΣΟΥΛΑ</t>
  </si>
  <si>
    <t>Χ289320</t>
  </si>
  <si>
    <t>817-818-816-861-865-815-819-820-821-822-823-824-825-826-827-828-829-830-832-835-836-837-838-839-840-841-842-843-844-845-846-847-848-849-850-851-852-853-854-855-856-857-858-859</t>
  </si>
  <si>
    <t>ΤΣΑΓΡΗ</t>
  </si>
  <si>
    <t>ΑΜ065368</t>
  </si>
  <si>
    <t>828-854-871-870-815-822-826-846-850-858-847-848-853-857-872-829-821-823-824-825-852-855-856-859-827</t>
  </si>
  <si>
    <t>ΒΑΣΙΛΑΚΟΠΟΥΛΟΥ</t>
  </si>
  <si>
    <t>Χ801787</t>
  </si>
  <si>
    <t>828-841-842-838-840-835-839-870-854-871-862-826-829-846-847-848-850-853-857-858-822-872</t>
  </si>
  <si>
    <t>ΜΑΛΑΜΑΤΗ</t>
  </si>
  <si>
    <t>ΑΕ332696</t>
  </si>
  <si>
    <t>841-828-838-840-835-815-816-821-869</t>
  </si>
  <si>
    <t>ΑΕ566866</t>
  </si>
  <si>
    <t>815-854-850-848-853-857-846-847</t>
  </si>
  <si>
    <t>ΚΑΡΑΚΩΣΤΑΝΤΑΚΗ</t>
  </si>
  <si>
    <t>ΑΜ461888</t>
  </si>
  <si>
    <t>643,5</t>
  </si>
  <si>
    <t>849,5</t>
  </si>
  <si>
    <t>833-873-874-876-877-878-863-864-815-816-817-818-819-820-821-822-823-824-825-826-827-828-829-830-831-832-834-835-836-837-838-839-840-841-842-843-844-845-846-847-848-850-853-854-856-857-858-859-861-862-870-871-872-875-879</t>
  </si>
  <si>
    <t>ΚΟΥΡΕΝΤΑΣ</t>
  </si>
  <si>
    <t>Χ979937</t>
  </si>
  <si>
    <t>848,7</t>
  </si>
  <si>
    <t>865-832-818-816-876-877-873-874-860-863-864-862-844-867-875-861-830-843-866-878-817</t>
  </si>
  <si>
    <t>ΓΙΑΜΟΥΖΗ</t>
  </si>
  <si>
    <t>ΑΚ404074</t>
  </si>
  <si>
    <t>862-841-840-842-838-837-835-847-848-850-853-854-857-858-828-826-815-870-871-872-839</t>
  </si>
  <si>
    <t>ΚΑΤΙΚΟΓΛΟΥ</t>
  </si>
  <si>
    <t>ΓΕΩΡΓΙΑ ΔΗΜΗΤΡΑ</t>
  </si>
  <si>
    <t>ΑΗ822466</t>
  </si>
  <si>
    <t>841-838-840-835-839-842-837-862-836-843</t>
  </si>
  <si>
    <t>ΚΑΡΑΤΖΑ</t>
  </si>
  <si>
    <t>ΑΙ487188</t>
  </si>
  <si>
    <t>811,8</t>
  </si>
  <si>
    <t>846,8</t>
  </si>
  <si>
    <t>830-822-826-828-848-850-852-853-854-856-857-829-859-861-862-839-840-841-842-843-846-847-835-836-837-838-815-816-817-818-821-870-871-872-875-876</t>
  </si>
  <si>
    <t>ΑΜ412829</t>
  </si>
  <si>
    <t>841-840-842-839-872-870-871-862-848-850-853-854-857-822-826-828-829-815-817-835-837-838</t>
  </si>
  <si>
    <t>ΔΕΣΚΟΥ</t>
  </si>
  <si>
    <t>ΑΚ085755</t>
  </si>
  <si>
    <t>872-870-871-828-826-815-854-847-848-850-853-822-817-846-857-858-859</t>
  </si>
  <si>
    <t>ΚΥΡΙΑΖΗ</t>
  </si>
  <si>
    <t>ΜΑΚΕΔΟΝΙΑ</t>
  </si>
  <si>
    <t>Σ778815</t>
  </si>
  <si>
    <t>871-858-859-848-850-852-853-854-857-846-828-829-826-815-821-822</t>
  </si>
  <si>
    <t>ΓΑΛΑΝΗ</t>
  </si>
  <si>
    <t>ΑΕ 845811</t>
  </si>
  <si>
    <t>ΒΟΥΛΓΑΡΙΝΑ</t>
  </si>
  <si>
    <t>Π123406</t>
  </si>
  <si>
    <t>821-820-850-848-857-858-859-845-846-847-854-853-852-851</t>
  </si>
  <si>
    <t>ΖΟΥΡΝΑΤΖΗΣ</t>
  </si>
  <si>
    <t>ΝΙΚΗΤΑΣ</t>
  </si>
  <si>
    <t>ΑΗ892941</t>
  </si>
  <si>
    <t>827-825-829-832-839-843-849-855-897-817-815-816-818-819-820-821-822-823-824-826-828-830-831-833-834-844-845-846-847-848-850-851-852-853-854-856-857-858-859-860-861-862-863-864-865-866-867-870-871-872-873-874-875-876-877-878-840-841-842-835-836-837-838</t>
  </si>
  <si>
    <t>ΚΑΛΟΧΕΡΗ</t>
  </si>
  <si>
    <t>ΣΟΦΙΑ-ΕΥΘΑΛΙΑ</t>
  </si>
  <si>
    <t>ΑΚ391160</t>
  </si>
  <si>
    <t>828-838-843</t>
  </si>
  <si>
    <t>ΛΕΜΑΝΗ</t>
  </si>
  <si>
    <t>ΑΕ431404</t>
  </si>
  <si>
    <t>644,6</t>
  </si>
  <si>
    <t>840,6</t>
  </si>
  <si>
    <t>879-876-872-870-871-862-861-854-858-857-856-853-850-842-848-815-875-828-840-841-866-846-847-822-830-833-834-835-836-837-838-863-864-865-867-869-816-818-819-820-821-823-824-826</t>
  </si>
  <si>
    <t>ΑΑ309711</t>
  </si>
  <si>
    <t>838,5</t>
  </si>
  <si>
    <t>829-855-849-854-859-853-848-846-847-845-828-822-820-823-824-851-852-870-871-825-826-843-850-856-835-836-837-838-839-840-841-842-830-832-831-833-834-860-862-861-863-864-865-866-867-868-869-873-874-875-876-877-878-879</t>
  </si>
  <si>
    <t>Κουρη</t>
  </si>
  <si>
    <t>Χαρικλεια</t>
  </si>
  <si>
    <t>Αιμιλιος</t>
  </si>
  <si>
    <t>Α458327</t>
  </si>
  <si>
    <t>753,5</t>
  </si>
  <si>
    <t>837,5</t>
  </si>
  <si>
    <t>ΚΟΥΚΟΥΤΣΗ</t>
  </si>
  <si>
    <t>ΑΗ157604</t>
  </si>
  <si>
    <t>837,1</t>
  </si>
  <si>
    <t>840-841-838-836-837</t>
  </si>
  <si>
    <t>ΜΕΛΠΟΜΕΝΗ</t>
  </si>
  <si>
    <t>Χ988069</t>
  </si>
  <si>
    <t>841-838-840-835-842-837-839-836-828-854-870-871-826-850-815-847-853-822-858-846-862-872-848-829-857-817-875-859-897-830-876-816-818-821-852-856-861-843-844-823-824-878-869-855-825-819-833-863-865-820-845-851-877-831-834-860-864-866-867-873-874-879-827-868-832-849</t>
  </si>
  <si>
    <t>ΑΖ332981</t>
  </si>
  <si>
    <t>835-836-837-838-839-841-842</t>
  </si>
  <si>
    <t>ΚΟΥΚΟΥΡΔΗ</t>
  </si>
  <si>
    <t>ΑΑ822152</t>
  </si>
  <si>
    <t>773-774-835-836-837-838-839-840-841-842</t>
  </si>
  <si>
    <t>ΤΣΙΑΠΑΝΙΤΗ</t>
  </si>
  <si>
    <t>Σ853901</t>
  </si>
  <si>
    <t>897-835-836-837-838-839-840-841-842</t>
  </si>
  <si>
    <t>ΚΑΡΑΓΙΩΡΓΟΥ</t>
  </si>
  <si>
    <t>ΑΗ980125</t>
  </si>
  <si>
    <t>853-848-858-859-847-846-857-852-854-828-850</t>
  </si>
  <si>
    <t>ΠΑΝΑΓΑΚΗΣ</t>
  </si>
  <si>
    <t>ΑΙ585060</t>
  </si>
  <si>
    <t>843-815-820-821-822-823-824-826-827-828-845-846-847-848-850-851-852-853-854-856-857-858-859-870-871-872-830-818-835-836-837-838-839-840-841-842-816-844-869-868-867-875-817-819-831-834-832-833-860-861-862-865-863-866-876-877-864-873-874-825-829-855-879</t>
  </si>
  <si>
    <t>ΜΑΥΡΟΜΜΑΤΗ</t>
  </si>
  <si>
    <t>ΑΜ629789</t>
  </si>
  <si>
    <t>871-870-872-854-849-828-826-847-846-815-858-859-848-857-856-829-822</t>
  </si>
  <si>
    <t>ΑΗ751910</t>
  </si>
  <si>
    <t>829,4</t>
  </si>
  <si>
    <t>834-843-844-862-835-836-837-838-839-840-841-842-819-875-815-820-821-822-823-824-825-826-827-828-829-845-846-847-848-849-850-851-852-853-854-855-856-857-858-859-830-870-871-872-818-817-816-861-865-876-877-878-874-873-864-863-860-868-869-879-833-832-831-866-867</t>
  </si>
  <si>
    <t>ΝΙΚΟΛΟΥΛΙΑ</t>
  </si>
  <si>
    <t>Κ699788</t>
  </si>
  <si>
    <t>831-830-818-819-816-817-832-833-834-843-844-860-867-861-862-863-865-866-868-869-873-874-875-878-876-877-879</t>
  </si>
  <si>
    <t>ΜΑΡΚΟΠΟΥΛΟΥ</t>
  </si>
  <si>
    <t xml:space="preserve">ΜΑΡΙΑ </t>
  </si>
  <si>
    <t>Χ305204</t>
  </si>
  <si>
    <t>818-815-821-822-823-826-828</t>
  </si>
  <si>
    <t>ΔΑΦΝΟΥ</t>
  </si>
  <si>
    <t>ΑΑ311407</t>
  </si>
  <si>
    <t>843-834-860-839-840-841-842-835-836-837-838-858-859-848-849-850-851-852-853-854-856-857-845-846-847-815-820-821-822-823-824-870-871-772-876-877</t>
  </si>
  <si>
    <t>ΠΛΙΑΤΣΙΟΣ</t>
  </si>
  <si>
    <t>ΧΑΡΙΣΙΟΣ</t>
  </si>
  <si>
    <t>ΑΕ126223</t>
  </si>
  <si>
    <t>835-836-837-838-839-840-841-842-862</t>
  </si>
  <si>
    <t>ΦΕΛΕΚΗ</t>
  </si>
  <si>
    <t>ΑΙ815726</t>
  </si>
  <si>
    <t>841-828-838-840-871-870-854-842-835-826</t>
  </si>
  <si>
    <t>ΜΑΓΚΟΣ</t>
  </si>
  <si>
    <t>Χ173199</t>
  </si>
  <si>
    <t>828-870-871-853-850-848-847-846-854-857-858-829-822-872-815-826</t>
  </si>
  <si>
    <t>ΝΙΤΣΑΚΗ</t>
  </si>
  <si>
    <t>ΑΝ060820</t>
  </si>
  <si>
    <t>828-846-847-850-852-854-853-857-858-871-870-848-822-826-815-829-824-823-856-841-840-839-842-835-837-836-861-830-827-845-849-851-855-820-817-862-876-877-875-844-843-833-863-865-818-819-816-821-825</t>
  </si>
  <si>
    <t>ΚΑΡΑΓΙΟΥΒΑΝΗ</t>
  </si>
  <si>
    <t>ΑΚ357548</t>
  </si>
  <si>
    <t>828-841-840-838-854-871-839-842-815-826-846-847-848-850-853-858-872-822-837-857-862-870-817-835</t>
  </si>
  <si>
    <t>ΑΘΑΝΑΣΑΚΗ</t>
  </si>
  <si>
    <t>ΑΒ230883</t>
  </si>
  <si>
    <t>828-846-847-848-850-853-854-856-857-858-859-871-872</t>
  </si>
  <si>
    <t>ΣΤΑΜΠΕΔΑΚΗ</t>
  </si>
  <si>
    <t>ΑΗ473079</t>
  </si>
  <si>
    <t>863-873-874-876-877-878-833-854-855-848-849-850-846-828-820</t>
  </si>
  <si>
    <t>ΝΑΣΤΟΥ</t>
  </si>
  <si>
    <t>ΑΜ351289</t>
  </si>
  <si>
    <t>818,4</t>
  </si>
  <si>
    <t>815-816-817-822-823-825-826-828-830-831-832-834-869-833-835-836-837-838-839-840-841-842-844-847-871-868-867-848-850-853-862-864-865-866-878-877-876-875-874-873</t>
  </si>
  <si>
    <t>ΛΙΑΣΗ</t>
  </si>
  <si>
    <t>ΑΙ895126</t>
  </si>
  <si>
    <t>ΚΑΡΑΓΕΩΡΓΟΥ</t>
  </si>
  <si>
    <t>ΒΙΡΓΙΝΙΑ</t>
  </si>
  <si>
    <t>ΑΕ479087</t>
  </si>
  <si>
    <t>ΖΕΖΑ</t>
  </si>
  <si>
    <t>ΕΝΙ</t>
  </si>
  <si>
    <t>ΣΚΙΦΤΕΡ</t>
  </si>
  <si>
    <t>ΑΜ017713</t>
  </si>
  <si>
    <t>828-826-871-854-846-850-853-847-848-858-857-822-870-872-815-862-841-836-840-842-837-835-821-856-859-823-852-824-816-818-844-861-875-876-830</t>
  </si>
  <si>
    <t>ΚΟΙΝΑΚΗ</t>
  </si>
  <si>
    <t>Σ714649</t>
  </si>
  <si>
    <t>809,4</t>
  </si>
  <si>
    <t>815-824-870-826-825-821-822-823-829-828-845-846-871-851-854-839-840-841-842-858-859</t>
  </si>
  <si>
    <t>ΚΑΡΑΙΣΚΟΥ</t>
  </si>
  <si>
    <t>ΑΕ329514</t>
  </si>
  <si>
    <t>844-862-843-875-835-836-837-838-839-840-841-842-870-871-872-819</t>
  </si>
  <si>
    <t>ΜΠΑΣΤΑΝΗ</t>
  </si>
  <si>
    <t>ΑΑ028478</t>
  </si>
  <si>
    <t>820-821-822-823-833-845-846-847-848-849-850-851-852-853-854-855-857-856-858-859</t>
  </si>
  <si>
    <t>ΑΜ302931</t>
  </si>
  <si>
    <t>815-818-820-821-822-848-850-853-854</t>
  </si>
  <si>
    <t>ΜΑΚΡΥΠΟΔΑΚΗ</t>
  </si>
  <si>
    <t>ΕΛΕΥΘΕΡΙΑ ΑΝΝΑ</t>
  </si>
  <si>
    <t>ΑΒ486749</t>
  </si>
  <si>
    <t>874-873-876-877-878-833-863-864-845-846-847-848-849-850-851-852-853-854-855-856-857-858-859-820-821-822-823-824-825-826-827-828-829-815-835-836-837-838-839-830-831-832-834-816-817-818-819-865-866-867-868-869-870-871-872-875-840-841-842-843-844-860-861-862-879</t>
  </si>
  <si>
    <t>ΤΥΡΑΔΕΛΛΗ</t>
  </si>
  <si>
    <t>ΑΡΧΟΝΤΙΑ</t>
  </si>
  <si>
    <t>ΑΚ455226</t>
  </si>
  <si>
    <t>822-826-835-837-838-828-829-839-840-842-841-846-847-848-850-858-862-870-872-871-853-854-857-815</t>
  </si>
  <si>
    <t>ΤΣΙΑΝΟΠΟΥΛΟΥ</t>
  </si>
  <si>
    <t>Ξ870051</t>
  </si>
  <si>
    <t>841-840-836-835-842-838-839-862-854-828-822-846-847-850-848-870-871-872-817</t>
  </si>
  <si>
    <t>ΑΛΤΖΕΡΙΝΗ</t>
  </si>
  <si>
    <t>ΑΒ773797</t>
  </si>
  <si>
    <t>818-816-846-847-848-852-853-854-856-857-858-859-871-872-821-822-828-826-850-870-830-876-875-862-835-836-837-838-840-841-842-861</t>
  </si>
  <si>
    <t>ΜΑΖΙΩΤΗ</t>
  </si>
  <si>
    <t>ΑΙ661290</t>
  </si>
  <si>
    <t>820-821-822-823-824-825-826-827-828-843-845-846-847-848-849-850-851-852-853-854-855-856-857-858-859</t>
  </si>
  <si>
    <t>ΜΟΥΓΚΟΠΕΤΡΟΥ</t>
  </si>
  <si>
    <t>ΑΜ521034</t>
  </si>
  <si>
    <t>858-859-850-857-854-846-847-821-849-828-815-826-825-848-820-822-851-852-853-855-856-870-871-872-823-824-827-829-845-818-817-862-816-865-836-837-838-839-840-841-842-835-844-876-877-878-833-873-863-864-819-875-830-832</t>
  </si>
  <si>
    <t>ΜΑΡΙΚΑ</t>
  </si>
  <si>
    <t>ΑΚ633306</t>
  </si>
  <si>
    <t>795,3</t>
  </si>
  <si>
    <t>815-820-821-822-823-824-827-828-845-846-847-848-849-850-851-852-853-854-855-856-857-858-859-870-871-872</t>
  </si>
  <si>
    <t>ΘΕΟΧΑΡΗ</t>
  </si>
  <si>
    <t>ΑΗ231514</t>
  </si>
  <si>
    <t>865-815-817-826-828-829-830-835-836-837-838-839-840-841-842-846-847-848-850-853-854-856-857-859-870-871-872-820-822-821-816-819</t>
  </si>
  <si>
    <t>ΦΟΥΡΛΑΤΑΡΑ</t>
  </si>
  <si>
    <t>ΑΒ109850</t>
  </si>
  <si>
    <t>836-837-840-835-842-841-838-843-844-862-868-834-831-875-819-830-816-861-818-865-860-876-877-833-878-873-874-863-864-870-871-872-820-821-822-823-824-815-826-827-828-845-846-847-848-850-851-852-853-854-856-857-858-859-879-867-866-869-832-817-825-849-855-839-829</t>
  </si>
  <si>
    <t>ΔΙΠΛΑΡΗΣ</t>
  </si>
  <si>
    <t xml:space="preserve">ΧΡΗΣΤΟΣ </t>
  </si>
  <si>
    <t>ΑΗ286136</t>
  </si>
  <si>
    <t>ΨΥΛΛΑ</t>
  </si>
  <si>
    <t>ΑΗ056924</t>
  </si>
  <si>
    <t>828-871-845-847-858-859-872-854-870-848-852-853</t>
  </si>
  <si>
    <t>ΜΑΜΟΥΧΑ</t>
  </si>
  <si>
    <t>ΑΚ693216</t>
  </si>
  <si>
    <t>790,5</t>
  </si>
  <si>
    <t>828-871-854-870-826-853-847-822-846-858-872-848-829-857-859-821-852-856-823-824-825-827-815-845</t>
  </si>
  <si>
    <t>ΚΟΥΤΣΟΓΙΑΝΝΑΚΗ</t>
  </si>
  <si>
    <t>Χ339789</t>
  </si>
  <si>
    <t>789,6</t>
  </si>
  <si>
    <t>820-821-822-846-847-850</t>
  </si>
  <si>
    <t>ΒΕΣΚΟΥΚΗ</t>
  </si>
  <si>
    <t>ΑΖ212034</t>
  </si>
  <si>
    <t>788,7</t>
  </si>
  <si>
    <t>858-826-815-822-828-846-847-848-850-853-854-857-870-871-872-817-835-837-838-839-840-841-842</t>
  </si>
  <si>
    <t>ΑΜ702074</t>
  </si>
  <si>
    <t>838-839-840</t>
  </si>
  <si>
    <t>ΑΗ744083</t>
  </si>
  <si>
    <t>843-839-840-841-842-844-837-838-836-835-833-860-862-863-819-817-816-866-865-864-861-818-832-831-834-830-878-877-879-876-875-874-873-869-868-867-872-871-870-829-828-827-826-825-824-823-822-820-821-815-858-859-848-849-850-851-852-853-854-855-856-857-845-846-847</t>
  </si>
  <si>
    <t>ΑΚ335186</t>
  </si>
  <si>
    <t>785,4</t>
  </si>
  <si>
    <t>817-862-865-837-838-839-840-841-842-836-876-877-863-833-819-844-868-869-860-866-831-832-834-867</t>
  </si>
  <si>
    <t>ΚΑΡΑΜΠΑΣ</t>
  </si>
  <si>
    <t>ΑΖ547109</t>
  </si>
  <si>
    <t>783,2</t>
  </si>
  <si>
    <t>826-828-829</t>
  </si>
  <si>
    <t>ΡΟΒΟΛΑ</t>
  </si>
  <si>
    <t>ΑΒ053410</t>
  </si>
  <si>
    <t>822-850-857-854-846-858-859-853-848-847-815-826-829-852-856-872-828-837-840-841-838-835-849-855-820-827-851-871-821-824-870</t>
  </si>
  <si>
    <t>ΠΑΝΑΓΙΩΤΟΥΛΙΑ</t>
  </si>
  <si>
    <t>ΠΑΝΑΓΙΩΤΑ ΚΩΝΣΤΑΝΤΙΝΑ</t>
  </si>
  <si>
    <t>ΑΚ063461</t>
  </si>
  <si>
    <t>815-820-822-823-824-825-826-827-828-829-845-846-847-848-849-850-851-852-853-854-855-856-857-858-859-870-871-872</t>
  </si>
  <si>
    <t>ΣΦΑΚΙΑΝΑΚΗ</t>
  </si>
  <si>
    <t>Ν973706</t>
  </si>
  <si>
    <t>873-874-876-877-833-863-878-864</t>
  </si>
  <si>
    <t>ΘΕΡΜΟΓΙΑΝΝΗΣ</t>
  </si>
  <si>
    <t>Τ479255</t>
  </si>
  <si>
    <t>ΦΥΤΡΟΥ</t>
  </si>
  <si>
    <t>ΑΕ944469</t>
  </si>
  <si>
    <t>850-857-854-822-846-847-848-858-815-829-853-870-872-826-871-828-835-837-838-839-840-841-842-862-817</t>
  </si>
  <si>
    <t>ΧΡΙΣΤΑΚΗ</t>
  </si>
  <si>
    <t>ΑΑ308700</t>
  </si>
  <si>
    <t>828-841-840-839-838-815-822-826-829-835-836-837-842-846-847-848-850-853-854-857-858-859-862-870-871-872-875-817</t>
  </si>
  <si>
    <t>ΔΙΑΜΑΝΤΟΠΟΥΛΟΣ</t>
  </si>
  <si>
    <t>ΑΑ408865</t>
  </si>
  <si>
    <t>841-828-840-838-839-835-842-854-871-870-837-848-815-826-853-829-817-862-822-857</t>
  </si>
  <si>
    <t>ΜΠΕΤΧΑΒΑ</t>
  </si>
  <si>
    <t>ΑΖ267919</t>
  </si>
  <si>
    <t>862-844-875-843-834-860-835-836-837-838-839-840-841-842-816-865-861-817-818-819-831-832-830-868-869-879-815-820-821-822-823-824-825-826-827-828-829-845-846-847-848-849-850-851-852-853-854-855-856-857-858-859-870-871-872-873-874-876-877-878-863-864-833-866-867</t>
  </si>
  <si>
    <t>ZHSH</t>
  </si>
  <si>
    <t>ANDRIANA</t>
  </si>
  <si>
    <t>EYAGGELOS</t>
  </si>
  <si>
    <t>ΑΒ998985</t>
  </si>
  <si>
    <t>875-815-817-818-821-822-826-828-829-830-835-836-837-838-842-846-847-848-850-852-853-856-857-858-859-861-862-870-872-876-816-819-820-823-824-825-827-831-832-833-839-843-844-845-849-855-860-869-866-865-864-867-868-874-877-878-879</t>
  </si>
  <si>
    <t>ΑΠΟΣΠΟΡΗ</t>
  </si>
  <si>
    <t>ΣΤΕΪΣΙ ΜΕΡΣΕΝΤΕΣ</t>
  </si>
  <si>
    <t>ΑΙ551657</t>
  </si>
  <si>
    <t>858-857-847-853-848-850-854</t>
  </si>
  <si>
    <t>ΦΙΛΙΜΕΓΚΑΣ</t>
  </si>
  <si>
    <t>ΑΝΔΡΟΝΙΚΟΣ - ΝΙΚΟΛΑΟΣ</t>
  </si>
  <si>
    <t>ΑΗ825536</t>
  </si>
  <si>
    <t>897-839-829-817-843-849-841-838-840-835-842-854-828-871-870-837-853-847-826-815-816-818-821-822-830-836-846-848-852-856-857-858-861-862-872-875-876-878-879-868-869-819-831-832-866-865-864-863-877-833-850-851-834-844-874-873-855-860-867-827-820-823-824-825</t>
  </si>
  <si>
    <t>ΑΑ307362</t>
  </si>
  <si>
    <t>766,5</t>
  </si>
  <si>
    <t>818-843-828-854-850-841-838-840-839-842-853-826-815-822-848-870-871-872</t>
  </si>
  <si>
    <t>ΖΑΜΠΟΥΝΗΣ</t>
  </si>
  <si>
    <t>Χ912962</t>
  </si>
  <si>
    <t>765,8</t>
  </si>
  <si>
    <t>815-816-817-818-819-820-821-822-823-824-826-827-828-829-830-833-835-836-837-838-839-840-841-842-843-844-845-846-847-848-850-851-852-853-854-855-856-857-858-859-861-862-863-865-870-871-872-875-876-877</t>
  </si>
  <si>
    <t>ΓΑΛΑΤΗ</t>
  </si>
  <si>
    <t>ΑΜ129512</t>
  </si>
  <si>
    <t>826-827-828-847</t>
  </si>
  <si>
    <t>ΑΗ295285</t>
  </si>
  <si>
    <t>835-837-838-839-840-841-842-862-870-861-846-847-848-857-858-859-853-850-854-872-828-829-822-826</t>
  </si>
  <si>
    <t>ΑΒ979466</t>
  </si>
  <si>
    <t>721,6</t>
  </si>
  <si>
    <t>763,6</t>
  </si>
  <si>
    <t>875-853-854-855-856-857-858-859-860-861-862-863-864-865</t>
  </si>
  <si>
    <t>ΑΛΒΕΝΙΩΤΗ</t>
  </si>
  <si>
    <t>ΑΗ454094</t>
  </si>
  <si>
    <t>817-850-848</t>
  </si>
  <si>
    <t>ΧΑΡΑΜΗ</t>
  </si>
  <si>
    <t>ΑΕ793798</t>
  </si>
  <si>
    <t>862-841-840-842-835-839-837-828-871-870-854-815-826-850-853-847-822-846-858-872-848-829-817-857-836-859-875-856-852-843-830-821-818-816-823-824-825-827-844-855-869</t>
  </si>
  <si>
    <t>ΧΑΡΙΤΟΥ</t>
  </si>
  <si>
    <t>ΕΜΜΑΝΟΥΕΛΑ</t>
  </si>
  <si>
    <t>ΑΒ344672</t>
  </si>
  <si>
    <t>757,5</t>
  </si>
  <si>
    <t>829-828-853-871-846-847-854-855-872-827-845-848-851-857-858-859-825-826-852-870</t>
  </si>
  <si>
    <t>ΑΙ454656</t>
  </si>
  <si>
    <t>833-876-877-816-835-836-837-838-839-840-841-842-844-862-865-875-861-818-815-821-822-823-826-828-845-846-847-848-850-853-857-858-859-870-872-819-820-824-830-854-851-852-856-863-831-860-873-874-879-878-817-829</t>
  </si>
  <si>
    <t>Χ988558</t>
  </si>
  <si>
    <t>828-871-829-846-847-841-838-840-854-870-839-842-837-835-815-826-850-853-858-822-862-872-848-817-857-859-836-875-852-856-843-821-816-818-876-855-825-827-844-824-823-830-861-849-819-820-833-845-851-863-865-877-832-831-834-860-864-866-867-868-869-873-874-878-879</t>
  </si>
  <si>
    <t>ΓΚΟΡΓΚΟΛΗΣ</t>
  </si>
  <si>
    <t>Ξ607719</t>
  </si>
  <si>
    <t>843-818-827-829-825-849-855-815-820-821-822-823-824-826-828-845-846-847-848-850-851-852-853-854-856-857-858-859-870-871-872-835-836-837-838-839-840-841-842-897-816-817-819-844-861-862-865-875-834-832-860-868-869-830-831-833-863-864-866-867-873-874-876-877-878-879</t>
  </si>
  <si>
    <t>ΣΚΡΙΜΠΑΣ</t>
  </si>
  <si>
    <t>ΑΜ365876</t>
  </si>
  <si>
    <t>815-821-822-826-828-846-847-848-850-854-856-857-861-862-870-871-872-835-836-837-838-840-841-842-876-817-818-875-830</t>
  </si>
  <si>
    <t>ΧΡΙΣΤΙΝΑ-ΠΑΡΑΣΚΕΥΗ</t>
  </si>
  <si>
    <t>Χ718721</t>
  </si>
  <si>
    <t>752,4</t>
  </si>
  <si>
    <t>815-816-821-822-826-828-830-846-847-848-850-852-853-854-856-857-858-859-870-871-872</t>
  </si>
  <si>
    <t>ΝΙΚΟΥΛΑ</t>
  </si>
  <si>
    <t>ΑΑ055156</t>
  </si>
  <si>
    <t>858-854-853-852-848-859-846-847-850-856-857-815-822-870-871-872-828-823-824-826-821</t>
  </si>
  <si>
    <t>ΤΡΟΥΛΟΥ</t>
  </si>
  <si>
    <t>Χ860142</t>
  </si>
  <si>
    <t>749,5</t>
  </si>
  <si>
    <t>833-863-864-876-877-815-816-819-820-821-822-823-824-825-826-827-828-830-845-846-847-848-849-850-853-858-859-870-871-872-835-836-837-838-839-840-841-842-843</t>
  </si>
  <si>
    <t>ΚΑΛΑΜΑ</t>
  </si>
  <si>
    <t>ΣΤΕΛΙΟΣ</t>
  </si>
  <si>
    <t>Χ295477</t>
  </si>
  <si>
    <t>818-817-865-858-854-847-832-828</t>
  </si>
  <si>
    <t>ΑΙ560807</t>
  </si>
  <si>
    <t>872-871-870-815-828-826-822-821-847-846-857-854-853-850-848-856-851-858-859-852-855-849-845-820-823-824-825-827-829</t>
  </si>
  <si>
    <t>ΑΚ974376</t>
  </si>
  <si>
    <t>838-839-840-841-842-837-836-835</t>
  </si>
  <si>
    <t>ΤΣΙΤΙΝΙΔΟΥ</t>
  </si>
  <si>
    <t>ΠΕΡΙΣΤΕΡΑ</t>
  </si>
  <si>
    <t>Π798821</t>
  </si>
  <si>
    <t>ΚΑΤΣΙΛΑ</t>
  </si>
  <si>
    <t>ΑΗ733088</t>
  </si>
  <si>
    <t>ΜΠΙΝΗ</t>
  </si>
  <si>
    <t>ΑΙ039750</t>
  </si>
  <si>
    <t>855-854-829-858-859-849-850-848-846-847-857-821-822-828-853-845-870-871-852-851-824-820-815-872-827-823-856-835-836-837-839-840-841-838-842-825-826-817-833-863-865</t>
  </si>
  <si>
    <t>Σαγανη</t>
  </si>
  <si>
    <t>Σοφια</t>
  </si>
  <si>
    <t>Κωνσταντινος</t>
  </si>
  <si>
    <t>ΑΒ092892</t>
  </si>
  <si>
    <t>848-850-851-852-853-854-856-857-858-859-870-871-872-821-822-823-826-827-828-845-846-847-824-815-820-830-835-836-837-838-840-841-842-818-816-817</t>
  </si>
  <si>
    <t>ΒΕΡΡΟΥ</t>
  </si>
  <si>
    <t>ΑΖ223704</t>
  </si>
  <si>
    <t>709,5</t>
  </si>
  <si>
    <t>739,5</t>
  </si>
  <si>
    <t>817-816-818-865-861</t>
  </si>
  <si>
    <t>ΑΚ332679</t>
  </si>
  <si>
    <t>588,5</t>
  </si>
  <si>
    <t>738,5</t>
  </si>
  <si>
    <t>853-828-858-847-846-850-854-848-857-822-872-870-815-826-871-838-835-837-862-841-840-842</t>
  </si>
  <si>
    <t>ΓΚΟΡΟΓΙΑΣ</t>
  </si>
  <si>
    <t>ΤΑΞΙΑΡΧΗΣ</t>
  </si>
  <si>
    <t>Χ780654</t>
  </si>
  <si>
    <t>854-853-820-858-859-821-822-823-824-826-827-828-845-829-846-847-848-849-850-851-852-855-856-857-870-871-872-815</t>
  </si>
  <si>
    <t>ΦΡΑΝΤΖΗ</t>
  </si>
  <si>
    <t>ΠΟΛΥΧΡΟΝΗΣ</t>
  </si>
  <si>
    <t>ΑΑ 411495</t>
  </si>
  <si>
    <t>735,9</t>
  </si>
  <si>
    <t>841-838-840-835</t>
  </si>
  <si>
    <t>ΤΖΟΥΓΑΝΑΚΗ</t>
  </si>
  <si>
    <t>ΑΜ979275</t>
  </si>
  <si>
    <t>ΒΑΣΙΛΑΚΗ</t>
  </si>
  <si>
    <t>Χ205123</t>
  </si>
  <si>
    <t>856-815-851-845-852-848-857-849-850-854-855-846-847-823-853-858-859-827-871-870-872-828-820-821-822-824-825-826</t>
  </si>
  <si>
    <t>ΦΡΑΓΚΟ</t>
  </si>
  <si>
    <t>ΖΗΣΟ</t>
  </si>
  <si>
    <t>ΑΙ214728</t>
  </si>
  <si>
    <t>ΑΝΑΓΝΩΣΤΟΠΟΥΛΟΣ</t>
  </si>
  <si>
    <t>Χ838415</t>
  </si>
  <si>
    <t>828-854-870-871-853</t>
  </si>
  <si>
    <t>ΑΑ458719</t>
  </si>
  <si>
    <t>841-840-838-835-837-839-842-862</t>
  </si>
  <si>
    <t>ΜΙΧΑΛΟΠΟΥΛΟΥ</t>
  </si>
  <si>
    <t>ΑΙ821133</t>
  </si>
  <si>
    <t>828-841-840-838-854-870-871-835-839-842-815-817-822-826-829-837-846-847-848-850-853-857-858-872</t>
  </si>
  <si>
    <t>ΜΠΟΖΙΑΚΑ</t>
  </si>
  <si>
    <t>ΑΝ350027</t>
  </si>
  <si>
    <t>835-837-838-839-840-841-842-846-847-848-850-853-854-857-858-862-870-871-872-816-818-821-823-824-825-827-830-836-843-844-852-855-856-859-861-869-875-876</t>
  </si>
  <si>
    <t>ΠΕΛΕΚΟΥΔΑ</t>
  </si>
  <si>
    <t xml:space="preserve">ΑΘΗΝΑ-ΑΙΚΑΤΕΡΙΝΗ </t>
  </si>
  <si>
    <t>ΑΑ393369</t>
  </si>
  <si>
    <t>841-828-838-840-839-835-842-870-871-854-837-815-826-850-847-853-822-846-858-862-872-829-848-817-857-836-875-859-830-818-816-843-861-876-821-852-856-844-823-824-825-827-855-877-863-833-865-819-820-845-849-851</t>
  </si>
  <si>
    <t>ΓΚΑΛΙΑΤΑ</t>
  </si>
  <si>
    <t>ΑΙ295700</t>
  </si>
  <si>
    <t>847-854-858-853-857</t>
  </si>
  <si>
    <t>ΜΕΡΜΕΛΑ</t>
  </si>
  <si>
    <t>ΕΥΤΕΡΠΗ-ΜΑΡΙΝΑ</t>
  </si>
  <si>
    <t>Χ295259</t>
  </si>
  <si>
    <t>818-843-828</t>
  </si>
  <si>
    <t>ΚΟΡΡΕ</t>
  </si>
  <si>
    <t>ΑΑ092040</t>
  </si>
  <si>
    <t>828-858-847-846-853-829-848-850-854-857-822-871-870-872-815-826-817-862-841-840-838-837-842-839-835</t>
  </si>
  <si>
    <t>ΧΑΤΖΗΓΕΩΡΓΙΑΔΟΥ</t>
  </si>
  <si>
    <t>ΑΑ267362</t>
  </si>
  <si>
    <t>718,3</t>
  </si>
  <si>
    <t>ΑΚ330301</t>
  </si>
  <si>
    <t>717,3</t>
  </si>
  <si>
    <t>828-826-854-815-841-838-840-842-835-837-839-847-870-871</t>
  </si>
  <si>
    <t>ΣΠΥΡΙΔΩΝΟΣ</t>
  </si>
  <si>
    <t>ΑΜ538354</t>
  </si>
  <si>
    <t>845-846-847-848-849-850-851-852-853-854-855-857-858-859</t>
  </si>
  <si>
    <t>Φ339749</t>
  </si>
  <si>
    <t>875-815-826-828-835-837-838-839-840-841-842-854-870-871</t>
  </si>
  <si>
    <t>ΑΜ403119</t>
  </si>
  <si>
    <t>841-840-838-835-837-839-842-836-843-862-875-815-816-818-876-828-858-846-847-848-850-853-859-870-871-872-822-826-830-821-852-857-856-854-844-820-823-824-833-845-849-851-861-863-865-877</t>
  </si>
  <si>
    <t>ΔΑΝΑΗ</t>
  </si>
  <si>
    <t>ΑΠΟΣΤΟΛΗΣ</t>
  </si>
  <si>
    <t>ΑΖ016935</t>
  </si>
  <si>
    <t>854-853-858-859</t>
  </si>
  <si>
    <t>ΘΕΙΑΚΟΓΕΩΡΓΟΥ</t>
  </si>
  <si>
    <t>Χ778128</t>
  </si>
  <si>
    <t>841-840-838-842-835-839-837-871-870-872-854-828-847-846-850-848-857-853-822-826-858-829-815-836-855-852-856-827-823-825-824-821-859-845-849-851-820</t>
  </si>
  <si>
    <t>ΧΑΝΤΖΑΡΑ</t>
  </si>
  <si>
    <t>ΑΒ774750</t>
  </si>
  <si>
    <t>848-852-859-855-856-858-821-822-847-850-849-854-851-857</t>
  </si>
  <si>
    <t>ΚΑΡΡΑ</t>
  </si>
  <si>
    <t>ΑΙ771448</t>
  </si>
  <si>
    <t>816-815-817-818-821-822-823-824-825-827-826-828-829-830-835-836-837-838-839-840-841-842-843-844-846-847-848-850-853-852-854-855-856-857-858-859-861-862-870-871-872-875-876-877</t>
  </si>
  <si>
    <t>ΑΒ109807</t>
  </si>
  <si>
    <t>841-838-840-839-842-837-835-836-828-871-862-843-844-815-816-817-819-818-820-821-822-823-824-825-826-827-829-830-833-845-846-847-848-849-850-851-852-853-854-855-856-857-858-859-861-863-865-870-872-875-876-877</t>
  </si>
  <si>
    <t xml:space="preserve">Αρσενικού </t>
  </si>
  <si>
    <t>Αναστασια</t>
  </si>
  <si>
    <t xml:space="preserve">Φίλιππος </t>
  </si>
  <si>
    <t>Χ327185</t>
  </si>
  <si>
    <t>ΚΑΖΕΛΗΣ</t>
  </si>
  <si>
    <t>ΑΕ235360</t>
  </si>
  <si>
    <t>566,5</t>
  </si>
  <si>
    <t>699,5</t>
  </si>
  <si>
    <t>Σ811037</t>
  </si>
  <si>
    <t>697,4</t>
  </si>
  <si>
    <t>Ντεμου</t>
  </si>
  <si>
    <t xml:space="preserve">Σπυριδουλα </t>
  </si>
  <si>
    <t xml:space="preserve">Ιωάννης </t>
  </si>
  <si>
    <t>ΑΚ332037</t>
  </si>
  <si>
    <t>654,5</t>
  </si>
  <si>
    <t>696,5</t>
  </si>
  <si>
    <t>828-815-822-826-829-846-847-848-850-853-854-858-870-871-872-820-821-823-824-825-827-845-849-851-852-855-857-856-838-835-837-841-840-839-842-836-878-879-816-817-818-819-830-831-832-834-843-844-860-861-862-863-864-865-866-867-868-869-873-874-875-876-877-859</t>
  </si>
  <si>
    <t>ΑΡΑΒΑΝΗ</t>
  </si>
  <si>
    <t>ΑΖ260500</t>
  </si>
  <si>
    <t>818-830-843-828-835-838-837-841-840-839-817-816-815-829-821-822-826-836-842-847-848-850-853-854-856-857-858-870-871-872-875-876</t>
  </si>
  <si>
    <t>ΔΟΥΚΛΙΑ</t>
  </si>
  <si>
    <t>ΑΗ711832</t>
  </si>
  <si>
    <t>694,1</t>
  </si>
  <si>
    <t>818-820-816-858-859-872-871-870-857-854-850-848-840-841-842-846-832-837-838-826-828-815</t>
  </si>
  <si>
    <t>ΕΥΔΟΚΙΑ</t>
  </si>
  <si>
    <t>ΑΒ532316</t>
  </si>
  <si>
    <t>828-829-871-872-826-846-847-848-850-853-854-857-858-870-862-842-841-840-839-837-835-822-817-815</t>
  </si>
  <si>
    <t>ΑΕ282583</t>
  </si>
  <si>
    <t>843-834-828-858-854-872-871-846-826-870-838-839-841</t>
  </si>
  <si>
    <t>ΤΣΑΓΚΑΛΙΔΟΥ</t>
  </si>
  <si>
    <t>ΑΒ357060</t>
  </si>
  <si>
    <t>841-838-839-840-842-837-836-835-815-816-817-818-819-820-821-822-823-824-825-826-827-828-829-830-831-832-833-834-843-844-845-846-847-848-849-850-851-852-853-854-855-856-857-858-859-860-861-862-863-864-865-866-867-868-869-870-871-872-873-874-875-876-877-878-879</t>
  </si>
  <si>
    <t>ΣΟΥΓΚΛΑΚΟΥ</t>
  </si>
  <si>
    <t>ΑΒ252956</t>
  </si>
  <si>
    <t>ΣΔΡΑΚΑ</t>
  </si>
  <si>
    <t>ΑΕ320911</t>
  </si>
  <si>
    <t>828-845-846-847-815-820-823-829-851-852-855-859-858-862</t>
  </si>
  <si>
    <t>ΜΑΗΣ</t>
  </si>
  <si>
    <t>ΑΕ727551</t>
  </si>
  <si>
    <t>818-843-831-828-871-870-846-847-875-865-862</t>
  </si>
  <si>
    <t>ΦΥΤΟΠΟΥΛΟΥ</t>
  </si>
  <si>
    <t>ΑΒ725529</t>
  </si>
  <si>
    <t>841-836-837-838-840-835-828-842-819-844-862-875-846</t>
  </si>
  <si>
    <t>ΑΑ360607</t>
  </si>
  <si>
    <t>676,5</t>
  </si>
  <si>
    <t>815-817-822-826-828-829-835-837-839-840-841-842-846-847-848-850-853-854-857-856-862-870-871-872</t>
  </si>
  <si>
    <t>ΜΗΤΡΟΥ</t>
  </si>
  <si>
    <t>ΠΕΤΡΟΥΛΑ</t>
  </si>
  <si>
    <t>ΑΚ433097</t>
  </si>
  <si>
    <t>ΚΑΝΕΛΛΑΚΟΠΟΥΛΟΥ</t>
  </si>
  <si>
    <t>ΑΒ027132</t>
  </si>
  <si>
    <t>815-847-846-850-854-853-848-857-858-852-856-855-849-851</t>
  </si>
  <si>
    <t>ΙΛΤΣΙΔΗΣ</t>
  </si>
  <si>
    <t>ΑΗ423744</t>
  </si>
  <si>
    <t>841-838-840-842-839-828-854-815</t>
  </si>
  <si>
    <t>ΡΟΥΜΕΛΗ</t>
  </si>
  <si>
    <t>ΑΜ415914</t>
  </si>
  <si>
    <t>668,8</t>
  </si>
  <si>
    <t>897-835-836-837-838-839-840-841-842-844-843-868-869-862-815-827-820-821-822-823-824-825-826-828-829-830-845-846-847-848-849-850-851-852-853-854-855-856-857-858-859-871-816-817-818-819-831-832-833-834-860-861-863-864-865-866-867-873-874-875-876-877-878-879</t>
  </si>
  <si>
    <t>ΚΟΚΚΑΛΗΣ</t>
  </si>
  <si>
    <t>ΜΑΡΙΟΣ</t>
  </si>
  <si>
    <t>ΑΜ613154</t>
  </si>
  <si>
    <t>667,7</t>
  </si>
  <si>
    <t>828-850-854-870-871-826-822-815-847-858-872-829-857-846</t>
  </si>
  <si>
    <t>ΑΑ407494</t>
  </si>
  <si>
    <t>ΑΔΑΜΟΓΙΑΝΝΗΣ</t>
  </si>
  <si>
    <t>Χ793139</t>
  </si>
  <si>
    <t>828-829-846-847-848-851-853-854-859-858-872-870-821-815-826</t>
  </si>
  <si>
    <t>ΡΟΥΜΕΛΙΩΤΑΚΗ</t>
  </si>
  <si>
    <t>ΑΗ011133</t>
  </si>
  <si>
    <t>828-870-871-826-822-829-847-848-850-854</t>
  </si>
  <si>
    <t>ΠΑΠΑΒΑΣΙΛΕΙΟΥ</t>
  </si>
  <si>
    <t>ΑΜ858451</t>
  </si>
  <si>
    <t>835-836-837-838-839-840-841-842-815-828-829-826-816-817-818-819-820-834-844-862-868-869-821-822-823-824-825-830-827-831-865-843-845-846-847-848-861-876-849-850-851-852-853-854-855-856-857-858-859-860-863-864-866-867-870-871-872-873-874-875-877-878-879-832-833</t>
  </si>
  <si>
    <t>ΒΛΑΒΙΑΝΟΥ</t>
  </si>
  <si>
    <t>ΑΖ570837</t>
  </si>
  <si>
    <t>854-850-857-858-853-822-848-846-847-872-870-828-871-815-826-841-840-838-837-842-835-862</t>
  </si>
  <si>
    <t>ΑΚ714925</t>
  </si>
  <si>
    <t>871-870-872-854-829-815-828-850-852-853-826-858-859-846-847-822-821-856-867</t>
  </si>
  <si>
    <t>ΣΑΡΑΝΤΙΔΗ</t>
  </si>
  <si>
    <t>ΑΒ630330</t>
  </si>
  <si>
    <t>850-854-848-846-847-853-858-859-856-871-815-872-870-852-827-823-825-822-857</t>
  </si>
  <si>
    <t xml:space="preserve">ΜΑΡΙΛΕΝΑ </t>
  </si>
  <si>
    <t>ΑΜ218166</t>
  </si>
  <si>
    <t>815-828-835-837-838-839-841-847-850-854-856-857-858-859-862-870-871-872-875</t>
  </si>
  <si>
    <t>ΧΡΙΣΤΑΚΟΥ</t>
  </si>
  <si>
    <t>ΑΖ542396</t>
  </si>
  <si>
    <t>ΣΙΜΩΤΑ</t>
  </si>
  <si>
    <t>ΑΖ212337</t>
  </si>
  <si>
    <t>ΚΩΤΣΗ</t>
  </si>
  <si>
    <t>Χ457511</t>
  </si>
  <si>
    <t>ΚΩΣΤΟΠΟΥΛΟΣ</t>
  </si>
  <si>
    <t>ΑΚ516469</t>
  </si>
  <si>
    <t>871-829-828-846-847-848-854-853-858-850-857-859-845-851-855-824-849-852-823-827-872-870-821-825-826-822-856-820-815</t>
  </si>
  <si>
    <t>ΑΜ784403</t>
  </si>
  <si>
    <t>630,5</t>
  </si>
  <si>
    <t>843-840-860</t>
  </si>
  <si>
    <t>ΛΑΠΟΥΡΙΔΗΣ</t>
  </si>
  <si>
    <t>ΑΖ359929</t>
  </si>
  <si>
    <t>ΦΙΛΟΜΑΝΙΩΤΗΣ</t>
  </si>
  <si>
    <t>ΑΙ863050</t>
  </si>
  <si>
    <t>612,7</t>
  </si>
  <si>
    <t>862-841-838-840-839-835-837-842-854-828-826-815-853-870-872</t>
  </si>
  <si>
    <t>ΑΑ313500</t>
  </si>
  <si>
    <t>822-823-824-825-826-827-828-829-845-846-847-848-849-850-851-852-853-854-855-856-857-858-859-870-871-872</t>
  </si>
  <si>
    <t>ΛΙΤΣΟΥ</t>
  </si>
  <si>
    <t>ΑΗ546213</t>
  </si>
  <si>
    <t>850-857-853-848-846-847-851-852-858-859-823-871-854-845-824-825-828-870-872-856-815-820-821</t>
  </si>
  <si>
    <t>ΛΑΙΝΑ</t>
  </si>
  <si>
    <t>ΑΖ060279</t>
  </si>
  <si>
    <t>826-828-858-859-822-821-823-846-847-852-850-848-853-824-820-854</t>
  </si>
  <si>
    <t>ΑΙ548962</t>
  </si>
  <si>
    <t>ΜΠΟΥΤΙΟΥ</t>
  </si>
  <si>
    <t>ΑΕ499498</t>
  </si>
  <si>
    <t>599,5</t>
  </si>
  <si>
    <t>841-840-842-837-835-838-839-862-815-822-826-828-829-846-847-848-850-853-854-857</t>
  </si>
  <si>
    <t>ΚΩΝΣΤΑΝΤΙΝΟΠΟΥΛΟΥ</t>
  </si>
  <si>
    <t>ΡΑΦΑΗΛΙΑ</t>
  </si>
  <si>
    <t>ΙΟΡΔΑΝΗΣ</t>
  </si>
  <si>
    <t>ΑΖ828236</t>
  </si>
  <si>
    <t>840-841-835-836-837-842-838-839-897-862-843-875-858-859-846-847-848-853-850-857-856-854-852-821-822-815-871-870-872-828-829-826-830-816-818-817-861-876</t>
  </si>
  <si>
    <t>ΑΑ374492</t>
  </si>
  <si>
    <t>833-863-864-873-874-876-877-878-845-846-847-848-849-850-851-852-853-854-855-856-857-858-859-815-820-821-822-823-824-825-827-828-829-870-871-872-835-836-837-838-839-841-842-817-818-830-843-861-862-875-866-867-844</t>
  </si>
  <si>
    <t>ΣΙΑΜΟΣ</t>
  </si>
  <si>
    <t>ΑΚ353901</t>
  </si>
  <si>
    <t>815-816-817-818-819-820-821-822-823-824-825-826-827-828-829-830-831-832-833-834-835-836-837-838-839-840-841-842-843-844-845-846-847-848-849-850</t>
  </si>
  <si>
    <t>ΓΩΓΟΥ</t>
  </si>
  <si>
    <t>ΧΡΥΣΑ</t>
  </si>
  <si>
    <t>ΑΚ074564</t>
  </si>
  <si>
    <t>853-858-859-848-846-847-852-854-850-857-856-822-821-828</t>
  </si>
  <si>
    <t>ΑΚ336297</t>
  </si>
  <si>
    <t>818-832-815-817-816-847-846-848-849-820-821-822-850-843-823-824-825-826-827-828-829-830-831-834-835-836-837-841-838-839-842-840-844-851-852-853-854-855-856-857-858-859-860-861-862-872-819-833-863-864-865-866-868-869-870-871-873-874-875-876-877-878-879</t>
  </si>
  <si>
    <t>ΡΟΥΜΕΛΙΩΤΑΚΗΣ</t>
  </si>
  <si>
    <t>ΑΚ113907</t>
  </si>
  <si>
    <t>555,5</t>
  </si>
  <si>
    <t>ΑΛΕΞΙΟΥ</t>
  </si>
  <si>
    <t>ΑΜ378884</t>
  </si>
  <si>
    <t>818-819-821-822-826-828-829-835-836-837-838-839-840-848-841-842-846-847-850-853-854-858-859-862-870-871-872</t>
  </si>
  <si>
    <t>ΑΝΝΕΖΙΩ</t>
  </si>
  <si>
    <t>ΑΚ765851</t>
  </si>
  <si>
    <t>826-828-870-871-872-847-853-854-858-859</t>
  </si>
  <si>
    <t>ΜΠΑΝΤΡΑΓΟΥΛΑΣ</t>
  </si>
  <si>
    <t>Ν711693</t>
  </si>
  <si>
    <t>841-840-838-835-839-842-862-815-817-822-828-826-829-846-847-848-850-853-854-857-858-870-871-872-816-818-819-820-821-823-824-825-827-830-831-832-833-834-836-837-843-844-845-849-851-852-855-856-859-860-861-863-864-865-866-867-868-869-873-874-875-876-877-878-879</t>
  </si>
  <si>
    <t>ΜΑΣΤΡΟΓΙΑΝΝΗ</t>
  </si>
  <si>
    <t>ΑΕ249806</t>
  </si>
  <si>
    <t>522,5</t>
  </si>
  <si>
    <t>831-828-818-815-820-821-822-823-824-827-829-843-845-846-847-848-849-851-853-852-854-855-856-857-859-870-871-872</t>
  </si>
  <si>
    <t>ΑΖ717389</t>
  </si>
  <si>
    <t>815-816-817-818-819-820-821-822-823-824-825-826-827-828-829-830-845-846-847-848-849-850-851-852-853-854-855-856-857-858-859-865-870-871-872-879-831-861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</si>
  <si>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</si>
  <si>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</si>
  <si>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</si>
  <si>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</si>
  <si>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</si>
  <si>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</si>
  <si>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</si>
  <si>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</si>
  <si>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</si>
  <si>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</si>
  <si>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11:ΑΡΙΘΜΟΣ ΜΗΝΩΝ ΕΜΠΕΙΡΙΑΣ</t>
  </si>
  <si>
    <t>12:ΜΟΝΑΔΕΣ ΓΙΑ ΤΗΝ ΕΜΠΕΙΡΙΑ</t>
  </si>
  <si>
    <t xml:space="preserve">13:ΚΩΔΙΚΟΣ ΕΝΤΟΠΙΟΤΗΤΑΣ (8 ΨΥΧΙΑΤΡΙΚΕΣ ΔΟΜΕΣ, ΕΚΑ - 50% ΑΝΔΡΩΝ)
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</si>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</sst>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2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6300</v>
      </c>
      <c r="C8" t="s">
        <v>13</v>
      </c>
      <c r="D8" t="s">
        <v>14</v>
      </c>
      <c r="E8" t="s">
        <v>15</v>
      </c>
      <c r="F8" t="s">
        <v>16</v>
      </c>
      <c r="G8" t="str">
        <f>"201511028198"</f>
        <v>201511028198</v>
      </c>
      <c r="H8">
        <v>1100</v>
      </c>
      <c r="I8">
        <v>150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93</v>
      </c>
      <c r="S8">
        <v>588</v>
      </c>
      <c r="V8">
        <v>1</v>
      </c>
      <c r="W8">
        <v>1868</v>
      </c>
    </row>
    <row r="9" spans="1:23" x14ac:dyDescent="0.25">
      <c r="H9" t="s">
        <v>17</v>
      </c>
    </row>
    <row r="10" spans="1:23" x14ac:dyDescent="0.25">
      <c r="A10">
        <v>2</v>
      </c>
      <c r="B10">
        <v>3968</v>
      </c>
      <c r="C10" t="s">
        <v>18</v>
      </c>
      <c r="D10" t="s">
        <v>19</v>
      </c>
      <c r="E10" t="s">
        <v>20</v>
      </c>
      <c r="F10" t="s">
        <v>21</v>
      </c>
      <c r="G10" t="str">
        <f>"00032690"</f>
        <v>00032690</v>
      </c>
      <c r="H10">
        <v>1100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156</v>
      </c>
      <c r="S10">
        <v>588</v>
      </c>
      <c r="V10">
        <v>1</v>
      </c>
      <c r="W10">
        <v>1838</v>
      </c>
    </row>
    <row r="11" spans="1:23" x14ac:dyDescent="0.25">
      <c r="H11" t="s">
        <v>22</v>
      </c>
    </row>
    <row r="12" spans="1:23" x14ac:dyDescent="0.25">
      <c r="A12">
        <v>3</v>
      </c>
      <c r="B12">
        <v>10478</v>
      </c>
      <c r="C12" t="s">
        <v>23</v>
      </c>
      <c r="D12" t="s">
        <v>24</v>
      </c>
      <c r="E12" t="s">
        <v>25</v>
      </c>
      <c r="F12" t="s">
        <v>26</v>
      </c>
      <c r="G12" t="str">
        <f>"00093391"</f>
        <v>00093391</v>
      </c>
      <c r="H12">
        <v>1100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180</v>
      </c>
      <c r="S12">
        <v>588</v>
      </c>
      <c r="V12">
        <v>1</v>
      </c>
      <c r="W12">
        <v>1838</v>
      </c>
    </row>
    <row r="13" spans="1:23" x14ac:dyDescent="0.25">
      <c r="H13" t="s">
        <v>27</v>
      </c>
    </row>
    <row r="14" spans="1:23" x14ac:dyDescent="0.25">
      <c r="A14">
        <v>4</v>
      </c>
      <c r="B14">
        <v>8537</v>
      </c>
      <c r="C14" t="s">
        <v>28</v>
      </c>
      <c r="D14" t="s">
        <v>29</v>
      </c>
      <c r="E14" t="s">
        <v>30</v>
      </c>
      <c r="F14" t="s">
        <v>31</v>
      </c>
      <c r="G14" t="str">
        <f>"201511033940"</f>
        <v>201511033940</v>
      </c>
      <c r="H14">
        <v>1100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107</v>
      </c>
      <c r="S14">
        <v>588</v>
      </c>
      <c r="V14">
        <v>1</v>
      </c>
      <c r="W14">
        <v>1838</v>
      </c>
    </row>
    <row r="15" spans="1:23" x14ac:dyDescent="0.25">
      <c r="H15">
        <v>843</v>
      </c>
    </row>
    <row r="16" spans="1:23" x14ac:dyDescent="0.25">
      <c r="A16">
        <v>5</v>
      </c>
      <c r="B16">
        <v>2652</v>
      </c>
      <c r="C16" t="s">
        <v>32</v>
      </c>
      <c r="D16" t="s">
        <v>33</v>
      </c>
      <c r="E16" t="s">
        <v>34</v>
      </c>
      <c r="F16" t="s">
        <v>35</v>
      </c>
      <c r="G16" t="str">
        <f>"00048202"</f>
        <v>00048202</v>
      </c>
      <c r="H16">
        <v>1089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8</v>
      </c>
      <c r="U16">
        <v>817</v>
      </c>
      <c r="V16">
        <v>1</v>
      </c>
      <c r="W16">
        <v>1827</v>
      </c>
    </row>
    <row r="17" spans="1:23" x14ac:dyDescent="0.25">
      <c r="H17">
        <v>817</v>
      </c>
    </row>
    <row r="18" spans="1:23" x14ac:dyDescent="0.25">
      <c r="A18">
        <v>6</v>
      </c>
      <c r="B18">
        <v>5536</v>
      </c>
      <c r="C18" t="s">
        <v>36</v>
      </c>
      <c r="D18" t="s">
        <v>37</v>
      </c>
      <c r="E18" t="s">
        <v>38</v>
      </c>
      <c r="F18" t="s">
        <v>39</v>
      </c>
      <c r="G18" t="str">
        <f>"201511014366"</f>
        <v>201511014366</v>
      </c>
      <c r="H18" t="s">
        <v>40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168</v>
      </c>
      <c r="S18">
        <v>588</v>
      </c>
      <c r="V18">
        <v>1</v>
      </c>
      <c r="W18" t="s">
        <v>41</v>
      </c>
    </row>
    <row r="19" spans="1:23" x14ac:dyDescent="0.25">
      <c r="H19" t="s">
        <v>42</v>
      </c>
    </row>
    <row r="20" spans="1:23" x14ac:dyDescent="0.25">
      <c r="A20">
        <v>7</v>
      </c>
      <c r="B20">
        <v>6982</v>
      </c>
      <c r="C20" t="s">
        <v>43</v>
      </c>
      <c r="D20" t="s">
        <v>44</v>
      </c>
      <c r="E20" t="s">
        <v>45</v>
      </c>
      <c r="F20" t="s">
        <v>46</v>
      </c>
      <c r="G20" t="str">
        <f>"201511036303"</f>
        <v>201511036303</v>
      </c>
      <c r="H20" t="s">
        <v>47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98</v>
      </c>
      <c r="S20">
        <v>588</v>
      </c>
      <c r="V20">
        <v>1</v>
      </c>
      <c r="W20" t="s">
        <v>48</v>
      </c>
    </row>
    <row r="21" spans="1:23" x14ac:dyDescent="0.25">
      <c r="H21" t="s">
        <v>49</v>
      </c>
    </row>
    <row r="22" spans="1:23" x14ac:dyDescent="0.25">
      <c r="A22">
        <v>8</v>
      </c>
      <c r="B22">
        <v>4785</v>
      </c>
      <c r="C22" t="s">
        <v>50</v>
      </c>
      <c r="D22" t="s">
        <v>51</v>
      </c>
      <c r="E22" t="s">
        <v>52</v>
      </c>
      <c r="F22" t="s">
        <v>53</v>
      </c>
      <c r="G22" t="str">
        <f>"201004000089"</f>
        <v>201004000089</v>
      </c>
      <c r="H22">
        <v>1089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81</v>
      </c>
      <c r="S22">
        <v>567</v>
      </c>
      <c r="V22">
        <v>1</v>
      </c>
      <c r="W22">
        <v>1806</v>
      </c>
    </row>
    <row r="23" spans="1:23" x14ac:dyDescent="0.25">
      <c r="H23" t="s">
        <v>54</v>
      </c>
    </row>
    <row r="24" spans="1:23" x14ac:dyDescent="0.25">
      <c r="A24">
        <v>9</v>
      </c>
      <c r="B24">
        <v>5014</v>
      </c>
      <c r="C24" t="s">
        <v>55</v>
      </c>
      <c r="D24" t="s">
        <v>56</v>
      </c>
      <c r="E24" t="s">
        <v>57</v>
      </c>
      <c r="F24" t="s">
        <v>58</v>
      </c>
      <c r="G24" t="str">
        <f>"00037662"</f>
        <v>00037662</v>
      </c>
      <c r="H24">
        <v>1067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102</v>
      </c>
      <c r="S24">
        <v>588</v>
      </c>
      <c r="T24">
        <v>8</v>
      </c>
      <c r="U24">
        <v>839</v>
      </c>
      <c r="V24">
        <v>1</v>
      </c>
      <c r="W24">
        <v>1805</v>
      </c>
    </row>
    <row r="25" spans="1:23" x14ac:dyDescent="0.25">
      <c r="H25" t="s">
        <v>59</v>
      </c>
    </row>
    <row r="26" spans="1:23" x14ac:dyDescent="0.25">
      <c r="A26">
        <v>10</v>
      </c>
      <c r="B26">
        <v>5014</v>
      </c>
      <c r="C26" t="s">
        <v>55</v>
      </c>
      <c r="D26" t="s">
        <v>56</v>
      </c>
      <c r="E26" t="s">
        <v>57</v>
      </c>
      <c r="F26" t="s">
        <v>58</v>
      </c>
      <c r="G26" t="str">
        <f>"00037662"</f>
        <v>00037662</v>
      </c>
      <c r="H26">
        <v>1067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102</v>
      </c>
      <c r="S26">
        <v>588</v>
      </c>
      <c r="V26">
        <v>1</v>
      </c>
      <c r="W26">
        <v>1805</v>
      </c>
    </row>
    <row r="27" spans="1:23" x14ac:dyDescent="0.25">
      <c r="H27" t="s">
        <v>59</v>
      </c>
    </row>
    <row r="28" spans="1:23" x14ac:dyDescent="0.25">
      <c r="A28">
        <v>11</v>
      </c>
      <c r="B28">
        <v>1935</v>
      </c>
      <c r="C28" t="s">
        <v>60</v>
      </c>
      <c r="D28" t="s">
        <v>61</v>
      </c>
      <c r="E28" t="s">
        <v>62</v>
      </c>
      <c r="F28" t="s">
        <v>63</v>
      </c>
      <c r="G28" t="str">
        <f>"201511034316"</f>
        <v>201511034316</v>
      </c>
      <c r="H28">
        <v>1089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78</v>
      </c>
      <c r="S28">
        <v>546</v>
      </c>
      <c r="V28">
        <v>1</v>
      </c>
      <c r="W28">
        <v>1785</v>
      </c>
    </row>
    <row r="29" spans="1:23" x14ac:dyDescent="0.25">
      <c r="H29" t="s">
        <v>64</v>
      </c>
    </row>
    <row r="30" spans="1:23" x14ac:dyDescent="0.25">
      <c r="A30">
        <v>12</v>
      </c>
      <c r="B30">
        <v>5887</v>
      </c>
      <c r="C30" t="s">
        <v>65</v>
      </c>
      <c r="D30" t="s">
        <v>66</v>
      </c>
      <c r="E30" t="s">
        <v>57</v>
      </c>
      <c r="F30" t="s">
        <v>67</v>
      </c>
      <c r="G30" t="str">
        <f>"201511008964"</f>
        <v>201511008964</v>
      </c>
      <c r="H30">
        <v>1045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103</v>
      </c>
      <c r="S30">
        <v>588</v>
      </c>
      <c r="V30">
        <v>1</v>
      </c>
      <c r="W30">
        <v>1783</v>
      </c>
    </row>
    <row r="31" spans="1:23" x14ac:dyDescent="0.25">
      <c r="H31" t="s">
        <v>68</v>
      </c>
    </row>
    <row r="32" spans="1:23" x14ac:dyDescent="0.25">
      <c r="A32">
        <v>13</v>
      </c>
      <c r="B32">
        <v>1378</v>
      </c>
      <c r="C32" t="s">
        <v>69</v>
      </c>
      <c r="D32" t="s">
        <v>70</v>
      </c>
      <c r="E32" t="s">
        <v>71</v>
      </c>
      <c r="F32" t="s">
        <v>72</v>
      </c>
      <c r="G32" t="str">
        <f>"201506000363"</f>
        <v>201506000363</v>
      </c>
      <c r="H32">
        <v>1034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215</v>
      </c>
      <c r="S32">
        <v>588</v>
      </c>
      <c r="V32">
        <v>1</v>
      </c>
      <c r="W32">
        <v>1772</v>
      </c>
    </row>
    <row r="33" spans="1:23" x14ac:dyDescent="0.25">
      <c r="H33" t="s">
        <v>73</v>
      </c>
    </row>
    <row r="34" spans="1:23" x14ac:dyDescent="0.25">
      <c r="A34">
        <v>14</v>
      </c>
      <c r="B34">
        <v>2130</v>
      </c>
      <c r="C34" t="s">
        <v>74</v>
      </c>
      <c r="D34" t="s">
        <v>75</v>
      </c>
      <c r="E34" t="s">
        <v>20</v>
      </c>
      <c r="F34" t="s">
        <v>76</v>
      </c>
      <c r="G34" t="str">
        <f>"201010000084"</f>
        <v>201010000084</v>
      </c>
      <c r="H34">
        <v>1012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113</v>
      </c>
      <c r="S34">
        <v>588</v>
      </c>
      <c r="V34">
        <v>1</v>
      </c>
      <c r="W34">
        <v>1750</v>
      </c>
    </row>
    <row r="35" spans="1:23" x14ac:dyDescent="0.25">
      <c r="H35" t="s">
        <v>77</v>
      </c>
    </row>
    <row r="36" spans="1:23" x14ac:dyDescent="0.25">
      <c r="A36">
        <v>15</v>
      </c>
      <c r="B36">
        <v>5670</v>
      </c>
      <c r="C36" t="s">
        <v>78</v>
      </c>
      <c r="D36" t="s">
        <v>79</v>
      </c>
      <c r="E36" t="s">
        <v>80</v>
      </c>
      <c r="F36" t="s">
        <v>81</v>
      </c>
      <c r="G36" t="str">
        <f>"00092610"</f>
        <v>00092610</v>
      </c>
      <c r="H36">
        <v>1012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124</v>
      </c>
      <c r="S36">
        <v>588</v>
      </c>
      <c r="V36">
        <v>1</v>
      </c>
      <c r="W36">
        <v>1750</v>
      </c>
    </row>
    <row r="37" spans="1:23" x14ac:dyDescent="0.25">
      <c r="H37" t="s">
        <v>82</v>
      </c>
    </row>
    <row r="38" spans="1:23" x14ac:dyDescent="0.25">
      <c r="A38">
        <v>16</v>
      </c>
      <c r="B38">
        <v>4957</v>
      </c>
      <c r="C38" t="s">
        <v>83</v>
      </c>
      <c r="D38" t="s">
        <v>84</v>
      </c>
      <c r="E38" t="s">
        <v>85</v>
      </c>
      <c r="F38" t="s">
        <v>86</v>
      </c>
      <c r="G38" t="str">
        <f>"00043663"</f>
        <v>00043663</v>
      </c>
      <c r="H38">
        <v>990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157</v>
      </c>
      <c r="S38">
        <v>588</v>
      </c>
      <c r="V38">
        <v>1</v>
      </c>
      <c r="W38">
        <v>1728</v>
      </c>
    </row>
    <row r="39" spans="1:23" x14ac:dyDescent="0.25">
      <c r="H39" t="s">
        <v>87</v>
      </c>
    </row>
    <row r="40" spans="1:23" x14ac:dyDescent="0.25">
      <c r="A40">
        <v>17</v>
      </c>
      <c r="B40">
        <v>6818</v>
      </c>
      <c r="C40" t="s">
        <v>88</v>
      </c>
      <c r="D40" t="s">
        <v>89</v>
      </c>
      <c r="E40" t="s">
        <v>90</v>
      </c>
      <c r="F40" t="s">
        <v>91</v>
      </c>
      <c r="G40" t="str">
        <f>"00100136"</f>
        <v>00100136</v>
      </c>
      <c r="H40" t="s">
        <v>92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74</v>
      </c>
      <c r="S40">
        <v>518</v>
      </c>
      <c r="V40">
        <v>1</v>
      </c>
      <c r="W40" t="s">
        <v>93</v>
      </c>
    </row>
    <row r="41" spans="1:23" x14ac:dyDescent="0.25">
      <c r="H41" t="s">
        <v>94</v>
      </c>
    </row>
    <row r="42" spans="1:23" x14ac:dyDescent="0.25">
      <c r="A42">
        <v>18</v>
      </c>
      <c r="B42">
        <v>5093</v>
      </c>
      <c r="C42" t="s">
        <v>95</v>
      </c>
      <c r="D42" t="s">
        <v>96</v>
      </c>
      <c r="E42" t="s">
        <v>97</v>
      </c>
      <c r="F42" t="s">
        <v>98</v>
      </c>
      <c r="G42" t="str">
        <f>"201511031109"</f>
        <v>201511031109</v>
      </c>
      <c r="H42" t="s">
        <v>99</v>
      </c>
      <c r="I42">
        <v>150</v>
      </c>
      <c r="J42">
        <v>30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127</v>
      </c>
      <c r="S42">
        <v>588</v>
      </c>
      <c r="V42">
        <v>1</v>
      </c>
      <c r="W42" t="s">
        <v>100</v>
      </c>
    </row>
    <row r="43" spans="1:23" x14ac:dyDescent="0.25">
      <c r="H43" t="s">
        <v>101</v>
      </c>
    </row>
    <row r="44" spans="1:23" x14ac:dyDescent="0.25">
      <c r="A44">
        <v>19</v>
      </c>
      <c r="B44">
        <v>6177</v>
      </c>
      <c r="C44" t="s">
        <v>102</v>
      </c>
      <c r="D44" t="s">
        <v>103</v>
      </c>
      <c r="E44" t="s">
        <v>104</v>
      </c>
      <c r="F44" t="s">
        <v>105</v>
      </c>
      <c r="G44" t="str">
        <f>"00024950"</f>
        <v>00024950</v>
      </c>
      <c r="H44">
        <v>1100</v>
      </c>
      <c r="I44">
        <v>0</v>
      </c>
      <c r="J44">
        <v>30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87</v>
      </c>
      <c r="S44">
        <v>588</v>
      </c>
      <c r="V44">
        <v>1</v>
      </c>
      <c r="W44">
        <v>1718</v>
      </c>
    </row>
    <row r="45" spans="1:23" x14ac:dyDescent="0.25">
      <c r="H45" t="s">
        <v>106</v>
      </c>
    </row>
    <row r="46" spans="1:23" x14ac:dyDescent="0.25">
      <c r="A46">
        <v>20</v>
      </c>
      <c r="B46">
        <v>9077</v>
      </c>
      <c r="C46" t="s">
        <v>107</v>
      </c>
      <c r="D46" t="s">
        <v>108</v>
      </c>
      <c r="E46" t="s">
        <v>109</v>
      </c>
      <c r="F46" t="s">
        <v>110</v>
      </c>
      <c r="G46" t="str">
        <f>"00036913"</f>
        <v>00036913</v>
      </c>
      <c r="H46" t="s">
        <v>111</v>
      </c>
      <c r="I46">
        <v>150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71</v>
      </c>
      <c r="S46">
        <v>497</v>
      </c>
      <c r="V46">
        <v>1</v>
      </c>
      <c r="W46" t="s">
        <v>112</v>
      </c>
    </row>
    <row r="47" spans="1:23" x14ac:dyDescent="0.25">
      <c r="H47" t="s">
        <v>113</v>
      </c>
    </row>
    <row r="48" spans="1:23" x14ac:dyDescent="0.25">
      <c r="A48">
        <v>21</v>
      </c>
      <c r="B48">
        <v>3715</v>
      </c>
      <c r="C48" t="s">
        <v>114</v>
      </c>
      <c r="D48" t="s">
        <v>115</v>
      </c>
      <c r="E48" t="s">
        <v>116</v>
      </c>
      <c r="F48" t="s">
        <v>117</v>
      </c>
      <c r="G48" t="str">
        <f>"201511018835"</f>
        <v>201511018835</v>
      </c>
      <c r="H48" t="s">
        <v>118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171</v>
      </c>
      <c r="S48">
        <v>588</v>
      </c>
      <c r="V48">
        <v>1</v>
      </c>
      <c r="W48" t="s">
        <v>119</v>
      </c>
    </row>
    <row r="49" spans="1:23" x14ac:dyDescent="0.25">
      <c r="H49" t="s">
        <v>120</v>
      </c>
    </row>
    <row r="50" spans="1:23" x14ac:dyDescent="0.25">
      <c r="A50">
        <v>22</v>
      </c>
      <c r="B50">
        <v>1635</v>
      </c>
      <c r="C50" t="s">
        <v>121</v>
      </c>
      <c r="D50" t="s">
        <v>122</v>
      </c>
      <c r="E50" t="s">
        <v>109</v>
      </c>
      <c r="F50" t="s">
        <v>123</v>
      </c>
      <c r="G50" t="str">
        <f>"201510002386"</f>
        <v>201510002386</v>
      </c>
      <c r="H50" t="s">
        <v>124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81</v>
      </c>
      <c r="S50">
        <v>567</v>
      </c>
      <c r="V50">
        <v>1</v>
      </c>
      <c r="W50" t="s">
        <v>125</v>
      </c>
    </row>
    <row r="51" spans="1:23" x14ac:dyDescent="0.25">
      <c r="H51" t="s">
        <v>126</v>
      </c>
    </row>
    <row r="52" spans="1:23" x14ac:dyDescent="0.25">
      <c r="A52">
        <v>23</v>
      </c>
      <c r="B52">
        <v>8239</v>
      </c>
      <c r="C52" t="s">
        <v>127</v>
      </c>
      <c r="D52" t="s">
        <v>128</v>
      </c>
      <c r="E52" t="s">
        <v>129</v>
      </c>
      <c r="F52" t="s">
        <v>130</v>
      </c>
      <c r="G52" t="str">
        <f>"201511038570"</f>
        <v>201511038570</v>
      </c>
      <c r="H52" t="s">
        <v>131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64</v>
      </c>
      <c r="S52">
        <v>448</v>
      </c>
      <c r="V52">
        <v>1</v>
      </c>
      <c r="W52" t="s">
        <v>132</v>
      </c>
    </row>
    <row r="53" spans="1:23" x14ac:dyDescent="0.25">
      <c r="H53" t="s">
        <v>133</v>
      </c>
    </row>
    <row r="54" spans="1:23" x14ac:dyDescent="0.25">
      <c r="A54">
        <v>24</v>
      </c>
      <c r="B54">
        <v>9807</v>
      </c>
      <c r="C54" t="s">
        <v>134</v>
      </c>
      <c r="D54" t="s">
        <v>135</v>
      </c>
      <c r="E54" t="s">
        <v>80</v>
      </c>
      <c r="F54" t="s">
        <v>136</v>
      </c>
      <c r="G54" t="str">
        <f>"201511037373"</f>
        <v>201511037373</v>
      </c>
      <c r="H54" t="s">
        <v>131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64</v>
      </c>
      <c r="S54">
        <v>448</v>
      </c>
      <c r="V54">
        <v>3</v>
      </c>
      <c r="W54" t="s">
        <v>132</v>
      </c>
    </row>
    <row r="55" spans="1:23" x14ac:dyDescent="0.25">
      <c r="H55" t="s">
        <v>137</v>
      </c>
    </row>
    <row r="56" spans="1:23" x14ac:dyDescent="0.25">
      <c r="A56">
        <v>25</v>
      </c>
      <c r="B56">
        <v>6455</v>
      </c>
      <c r="C56" t="s">
        <v>138</v>
      </c>
      <c r="D56" t="s">
        <v>20</v>
      </c>
      <c r="E56" t="s">
        <v>97</v>
      </c>
      <c r="F56" t="s">
        <v>139</v>
      </c>
      <c r="G56" t="str">
        <f>"201511039299"</f>
        <v>201511039299</v>
      </c>
      <c r="H56" t="s">
        <v>131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89</v>
      </c>
      <c r="S56">
        <v>588</v>
      </c>
      <c r="T56">
        <v>8</v>
      </c>
      <c r="U56">
        <v>843</v>
      </c>
      <c r="V56">
        <v>1</v>
      </c>
      <c r="W56" t="s">
        <v>140</v>
      </c>
    </row>
    <row r="57" spans="1:23" x14ac:dyDescent="0.25">
      <c r="H57">
        <v>843</v>
      </c>
    </row>
    <row r="58" spans="1:23" x14ac:dyDescent="0.25">
      <c r="A58">
        <v>26</v>
      </c>
      <c r="B58">
        <v>5383</v>
      </c>
      <c r="C58" t="s">
        <v>141</v>
      </c>
      <c r="D58" t="s">
        <v>37</v>
      </c>
      <c r="E58" t="s">
        <v>45</v>
      </c>
      <c r="F58" t="s">
        <v>142</v>
      </c>
      <c r="G58" t="str">
        <f>"00091762"</f>
        <v>00091762</v>
      </c>
      <c r="H58" t="s">
        <v>143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75</v>
      </c>
      <c r="S58">
        <v>525</v>
      </c>
      <c r="V58">
        <v>1</v>
      </c>
      <c r="W58" t="s">
        <v>144</v>
      </c>
    </row>
    <row r="59" spans="1:23" x14ac:dyDescent="0.25">
      <c r="H59" t="s">
        <v>145</v>
      </c>
    </row>
    <row r="60" spans="1:23" x14ac:dyDescent="0.25">
      <c r="A60">
        <v>27</v>
      </c>
      <c r="B60">
        <v>5929</v>
      </c>
      <c r="C60" t="s">
        <v>146</v>
      </c>
      <c r="D60" t="s">
        <v>103</v>
      </c>
      <c r="E60" t="s">
        <v>147</v>
      </c>
      <c r="F60" t="s">
        <v>148</v>
      </c>
      <c r="G60" t="str">
        <f>"00020880"</f>
        <v>00020880</v>
      </c>
      <c r="H60" t="s">
        <v>149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108</v>
      </c>
      <c r="S60">
        <v>588</v>
      </c>
      <c r="V60">
        <v>1</v>
      </c>
      <c r="W60" t="s">
        <v>150</v>
      </c>
    </row>
    <row r="61" spans="1:23" x14ac:dyDescent="0.25">
      <c r="H61" t="s">
        <v>151</v>
      </c>
    </row>
    <row r="62" spans="1:23" x14ac:dyDescent="0.25">
      <c r="A62">
        <v>28</v>
      </c>
      <c r="B62">
        <v>3812</v>
      </c>
      <c r="C62" t="s">
        <v>152</v>
      </c>
      <c r="D62" t="s">
        <v>153</v>
      </c>
      <c r="E62" t="s">
        <v>154</v>
      </c>
      <c r="F62" t="s">
        <v>155</v>
      </c>
      <c r="G62" t="str">
        <f>"00092153"</f>
        <v>00092153</v>
      </c>
      <c r="H62">
        <v>1100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81</v>
      </c>
      <c r="S62">
        <v>567</v>
      </c>
      <c r="V62">
        <v>1</v>
      </c>
      <c r="W62">
        <v>1667</v>
      </c>
    </row>
    <row r="63" spans="1:23" x14ac:dyDescent="0.25">
      <c r="H63" t="s">
        <v>94</v>
      </c>
    </row>
    <row r="64" spans="1:23" x14ac:dyDescent="0.25">
      <c r="A64">
        <v>29</v>
      </c>
      <c r="B64">
        <v>6546</v>
      </c>
      <c r="C64" t="s">
        <v>156</v>
      </c>
      <c r="D64" t="s">
        <v>157</v>
      </c>
      <c r="E64" t="s">
        <v>158</v>
      </c>
      <c r="F64" t="s">
        <v>159</v>
      </c>
      <c r="G64" t="str">
        <f>"201511028284"</f>
        <v>201511028284</v>
      </c>
      <c r="H64">
        <v>1100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80</v>
      </c>
      <c r="S64">
        <v>560</v>
      </c>
      <c r="V64">
        <v>1</v>
      </c>
      <c r="W64">
        <v>1660</v>
      </c>
    </row>
    <row r="65" spans="1:23" x14ac:dyDescent="0.25">
      <c r="H65" t="s">
        <v>160</v>
      </c>
    </row>
    <row r="66" spans="1:23" x14ac:dyDescent="0.25">
      <c r="A66">
        <v>30</v>
      </c>
      <c r="B66">
        <v>8632</v>
      </c>
      <c r="C66" t="s">
        <v>161</v>
      </c>
      <c r="D66" t="s">
        <v>96</v>
      </c>
      <c r="E66" t="s">
        <v>20</v>
      </c>
      <c r="F66" t="s">
        <v>162</v>
      </c>
      <c r="G66" t="str">
        <f>"201511032506"</f>
        <v>201511032506</v>
      </c>
      <c r="H66" t="s">
        <v>163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131</v>
      </c>
      <c r="S66">
        <v>588</v>
      </c>
      <c r="V66">
        <v>1</v>
      </c>
      <c r="W66" t="s">
        <v>164</v>
      </c>
    </row>
    <row r="67" spans="1:23" x14ac:dyDescent="0.25">
      <c r="H67" t="s">
        <v>165</v>
      </c>
    </row>
    <row r="68" spans="1:23" x14ac:dyDescent="0.25">
      <c r="A68">
        <v>31</v>
      </c>
      <c r="B68">
        <v>1536</v>
      </c>
      <c r="C68" t="s">
        <v>166</v>
      </c>
      <c r="D68" t="s">
        <v>167</v>
      </c>
      <c r="E68" t="s">
        <v>168</v>
      </c>
      <c r="F68" t="s">
        <v>169</v>
      </c>
      <c r="G68" t="str">
        <f>"00036881"</f>
        <v>00036881</v>
      </c>
      <c r="H68">
        <v>1056</v>
      </c>
      <c r="I68">
        <v>150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63</v>
      </c>
      <c r="S68">
        <v>441</v>
      </c>
      <c r="V68">
        <v>1</v>
      </c>
      <c r="W68">
        <v>1647</v>
      </c>
    </row>
    <row r="69" spans="1:23" x14ac:dyDescent="0.25">
      <c r="H69" t="s">
        <v>170</v>
      </c>
    </row>
    <row r="70" spans="1:23" x14ac:dyDescent="0.25">
      <c r="A70">
        <v>32</v>
      </c>
      <c r="B70">
        <v>10150</v>
      </c>
      <c r="C70" t="s">
        <v>171</v>
      </c>
      <c r="D70" t="s">
        <v>172</v>
      </c>
      <c r="E70" t="s">
        <v>80</v>
      </c>
      <c r="F70" t="s">
        <v>173</v>
      </c>
      <c r="G70" t="str">
        <f>"200902000272"</f>
        <v>200902000272</v>
      </c>
      <c r="H70">
        <v>1100</v>
      </c>
      <c r="I70">
        <v>150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56</v>
      </c>
      <c r="S70">
        <v>392</v>
      </c>
      <c r="V70">
        <v>1</v>
      </c>
      <c r="W70">
        <v>1642</v>
      </c>
    </row>
    <row r="71" spans="1:23" x14ac:dyDescent="0.25">
      <c r="H71" t="s">
        <v>174</v>
      </c>
    </row>
    <row r="72" spans="1:23" x14ac:dyDescent="0.25">
      <c r="A72">
        <v>33</v>
      </c>
      <c r="B72">
        <v>9707</v>
      </c>
      <c r="C72" t="s">
        <v>175</v>
      </c>
      <c r="D72" t="s">
        <v>176</v>
      </c>
      <c r="E72" t="s">
        <v>177</v>
      </c>
      <c r="F72" t="s">
        <v>178</v>
      </c>
      <c r="G72" t="str">
        <f>"201102001070"</f>
        <v>201102001070</v>
      </c>
      <c r="H72" t="s">
        <v>179</v>
      </c>
      <c r="I72">
        <v>150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136</v>
      </c>
      <c r="S72">
        <v>588</v>
      </c>
      <c r="V72">
        <v>1</v>
      </c>
      <c r="W72" t="s">
        <v>180</v>
      </c>
    </row>
    <row r="73" spans="1:23" x14ac:dyDescent="0.25">
      <c r="H73" t="s">
        <v>181</v>
      </c>
    </row>
    <row r="74" spans="1:23" x14ac:dyDescent="0.25">
      <c r="A74">
        <v>34</v>
      </c>
      <c r="B74">
        <v>7090</v>
      </c>
      <c r="C74" t="s">
        <v>182</v>
      </c>
      <c r="D74" t="s">
        <v>183</v>
      </c>
      <c r="E74" t="s">
        <v>184</v>
      </c>
      <c r="F74" t="s">
        <v>185</v>
      </c>
      <c r="G74" t="str">
        <f>"201511021243"</f>
        <v>201511021243</v>
      </c>
      <c r="H74" t="s">
        <v>186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80</v>
      </c>
      <c r="S74">
        <v>560</v>
      </c>
      <c r="V74">
        <v>1</v>
      </c>
      <c r="W74" t="s">
        <v>187</v>
      </c>
    </row>
    <row r="75" spans="1:23" x14ac:dyDescent="0.25">
      <c r="H75" t="s">
        <v>188</v>
      </c>
    </row>
    <row r="76" spans="1:23" x14ac:dyDescent="0.25">
      <c r="A76">
        <v>35</v>
      </c>
      <c r="B76">
        <v>7397</v>
      </c>
      <c r="C76" t="s">
        <v>189</v>
      </c>
      <c r="D76" t="s">
        <v>190</v>
      </c>
      <c r="E76" t="s">
        <v>191</v>
      </c>
      <c r="F76" t="s">
        <v>192</v>
      </c>
      <c r="G76" t="str">
        <f>"201512000730"</f>
        <v>201512000730</v>
      </c>
      <c r="H76" t="s">
        <v>193</v>
      </c>
      <c r="I76">
        <v>150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187</v>
      </c>
      <c r="S76">
        <v>588</v>
      </c>
      <c r="V76">
        <v>1</v>
      </c>
      <c r="W76" t="s">
        <v>194</v>
      </c>
    </row>
    <row r="77" spans="1:23" x14ac:dyDescent="0.25">
      <c r="H77" t="s">
        <v>195</v>
      </c>
    </row>
    <row r="78" spans="1:23" x14ac:dyDescent="0.25">
      <c r="A78">
        <v>36</v>
      </c>
      <c r="B78">
        <v>2452</v>
      </c>
      <c r="C78" t="s">
        <v>196</v>
      </c>
      <c r="D78" t="s">
        <v>197</v>
      </c>
      <c r="E78" t="s">
        <v>198</v>
      </c>
      <c r="F78" t="s">
        <v>199</v>
      </c>
      <c r="G78" t="str">
        <f>"00005145"</f>
        <v>00005145</v>
      </c>
      <c r="H78">
        <v>990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50</v>
      </c>
      <c r="P78">
        <v>0</v>
      </c>
      <c r="Q78">
        <v>0</v>
      </c>
      <c r="R78">
        <v>169</v>
      </c>
      <c r="S78">
        <v>588</v>
      </c>
      <c r="V78">
        <v>1</v>
      </c>
      <c r="W78">
        <v>1628</v>
      </c>
    </row>
    <row r="79" spans="1:23" x14ac:dyDescent="0.25">
      <c r="H79" t="s">
        <v>200</v>
      </c>
    </row>
    <row r="80" spans="1:23" x14ac:dyDescent="0.25">
      <c r="A80">
        <v>37</v>
      </c>
      <c r="B80">
        <v>1187</v>
      </c>
      <c r="C80" t="s">
        <v>201</v>
      </c>
      <c r="D80" t="s">
        <v>202</v>
      </c>
      <c r="E80" t="s">
        <v>158</v>
      </c>
      <c r="F80" t="s">
        <v>203</v>
      </c>
      <c r="G80" t="str">
        <f>"201511022260"</f>
        <v>201511022260</v>
      </c>
      <c r="H80" t="s">
        <v>204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59</v>
      </c>
      <c r="S80">
        <v>413</v>
      </c>
      <c r="V80">
        <v>1</v>
      </c>
      <c r="W80" t="s">
        <v>205</v>
      </c>
    </row>
    <row r="81" spans="1:23" x14ac:dyDescent="0.25">
      <c r="H81" t="s">
        <v>206</v>
      </c>
    </row>
    <row r="82" spans="1:23" x14ac:dyDescent="0.25">
      <c r="A82">
        <v>38</v>
      </c>
      <c r="B82">
        <v>6583</v>
      </c>
      <c r="C82" t="s">
        <v>207</v>
      </c>
      <c r="D82" t="s">
        <v>208</v>
      </c>
      <c r="E82" t="s">
        <v>209</v>
      </c>
      <c r="F82" t="s">
        <v>210</v>
      </c>
      <c r="G82" t="str">
        <f>"201511022314"</f>
        <v>201511022314</v>
      </c>
      <c r="H82">
        <v>979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71</v>
      </c>
      <c r="S82">
        <v>497</v>
      </c>
      <c r="V82">
        <v>1</v>
      </c>
      <c r="W82">
        <v>1626</v>
      </c>
    </row>
    <row r="83" spans="1:23" x14ac:dyDescent="0.25">
      <c r="H83" t="s">
        <v>211</v>
      </c>
    </row>
    <row r="84" spans="1:23" x14ac:dyDescent="0.25">
      <c r="A84">
        <v>39</v>
      </c>
      <c r="B84">
        <v>8873</v>
      </c>
      <c r="C84" t="s">
        <v>212</v>
      </c>
      <c r="D84" t="s">
        <v>190</v>
      </c>
      <c r="E84" t="s">
        <v>213</v>
      </c>
      <c r="F84" t="s">
        <v>214</v>
      </c>
      <c r="G84" t="str">
        <f>"201511014646"</f>
        <v>201511014646</v>
      </c>
      <c r="H84" t="s">
        <v>131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75</v>
      </c>
      <c r="S84">
        <v>525</v>
      </c>
      <c r="V84">
        <v>3</v>
      </c>
      <c r="W84" t="s">
        <v>215</v>
      </c>
    </row>
    <row r="85" spans="1:23" x14ac:dyDescent="0.25">
      <c r="H85" t="s">
        <v>216</v>
      </c>
    </row>
    <row r="86" spans="1:23" x14ac:dyDescent="0.25">
      <c r="A86">
        <v>40</v>
      </c>
      <c r="B86">
        <v>5092</v>
      </c>
      <c r="C86" t="s">
        <v>217</v>
      </c>
      <c r="D86" t="s">
        <v>51</v>
      </c>
      <c r="E86" t="s">
        <v>218</v>
      </c>
      <c r="F86" t="s">
        <v>219</v>
      </c>
      <c r="G86" t="str">
        <f>"00072753"</f>
        <v>00072753</v>
      </c>
      <c r="H86" t="s">
        <v>220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84</v>
      </c>
      <c r="S86">
        <v>588</v>
      </c>
      <c r="V86">
        <v>3</v>
      </c>
      <c r="W86" t="s">
        <v>221</v>
      </c>
    </row>
    <row r="87" spans="1:23" x14ac:dyDescent="0.25">
      <c r="H87" t="s">
        <v>222</v>
      </c>
    </row>
    <row r="88" spans="1:23" x14ac:dyDescent="0.25">
      <c r="A88">
        <v>41</v>
      </c>
      <c r="B88">
        <v>3214</v>
      </c>
      <c r="C88" t="s">
        <v>223</v>
      </c>
      <c r="D88" t="s">
        <v>224</v>
      </c>
      <c r="E88" t="s">
        <v>37</v>
      </c>
      <c r="F88" t="s">
        <v>225</v>
      </c>
      <c r="G88" t="str">
        <f>"201511014729"</f>
        <v>201511014729</v>
      </c>
      <c r="H88" t="s">
        <v>226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170</v>
      </c>
      <c r="S88">
        <v>588</v>
      </c>
      <c r="V88">
        <v>1</v>
      </c>
      <c r="W88" t="s">
        <v>227</v>
      </c>
    </row>
    <row r="89" spans="1:23" x14ac:dyDescent="0.25">
      <c r="H89">
        <v>862</v>
      </c>
    </row>
    <row r="90" spans="1:23" x14ac:dyDescent="0.25">
      <c r="A90">
        <v>42</v>
      </c>
      <c r="B90">
        <v>419</v>
      </c>
      <c r="C90" t="s">
        <v>228</v>
      </c>
      <c r="D90" t="s">
        <v>229</v>
      </c>
      <c r="E90" t="s">
        <v>20</v>
      </c>
      <c r="F90" t="s">
        <v>230</v>
      </c>
      <c r="G90" t="str">
        <f>"00044887"</f>
        <v>00044887</v>
      </c>
      <c r="H90" t="s">
        <v>231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144</v>
      </c>
      <c r="S90">
        <v>588</v>
      </c>
      <c r="V90">
        <v>1</v>
      </c>
      <c r="W90" t="s">
        <v>232</v>
      </c>
    </row>
    <row r="91" spans="1:23" x14ac:dyDescent="0.25">
      <c r="H91" t="s">
        <v>233</v>
      </c>
    </row>
    <row r="92" spans="1:23" x14ac:dyDescent="0.25">
      <c r="A92">
        <v>43</v>
      </c>
      <c r="B92">
        <v>8417</v>
      </c>
      <c r="C92" t="s">
        <v>234</v>
      </c>
      <c r="D92" t="s">
        <v>235</v>
      </c>
      <c r="E92" t="s">
        <v>20</v>
      </c>
      <c r="F92" t="s">
        <v>236</v>
      </c>
      <c r="G92" t="str">
        <f>"201512001686"</f>
        <v>201512001686</v>
      </c>
      <c r="H92">
        <v>825</v>
      </c>
      <c r="I92">
        <v>150</v>
      </c>
      <c r="J92">
        <v>30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122</v>
      </c>
      <c r="S92">
        <v>588</v>
      </c>
      <c r="V92">
        <v>1</v>
      </c>
      <c r="W92">
        <v>1593</v>
      </c>
    </row>
    <row r="93" spans="1:23" x14ac:dyDescent="0.25">
      <c r="H93" t="s">
        <v>237</v>
      </c>
    </row>
    <row r="94" spans="1:23" x14ac:dyDescent="0.25">
      <c r="A94">
        <v>44</v>
      </c>
      <c r="B94">
        <v>3619</v>
      </c>
      <c r="C94" t="s">
        <v>238</v>
      </c>
      <c r="D94" t="s">
        <v>239</v>
      </c>
      <c r="E94" t="s">
        <v>80</v>
      </c>
      <c r="F94" t="s">
        <v>240</v>
      </c>
      <c r="G94" t="str">
        <f>"00037363"</f>
        <v>00037363</v>
      </c>
      <c r="H94" t="s">
        <v>241</v>
      </c>
      <c r="I94">
        <v>150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125</v>
      </c>
      <c r="S94">
        <v>588</v>
      </c>
      <c r="V94">
        <v>1</v>
      </c>
      <c r="W94" t="s">
        <v>242</v>
      </c>
    </row>
    <row r="95" spans="1:23" x14ac:dyDescent="0.25">
      <c r="H95" t="s">
        <v>243</v>
      </c>
    </row>
    <row r="96" spans="1:23" x14ac:dyDescent="0.25">
      <c r="A96">
        <v>45</v>
      </c>
      <c r="B96">
        <v>3223</v>
      </c>
      <c r="C96" t="s">
        <v>189</v>
      </c>
      <c r="D96" t="s">
        <v>122</v>
      </c>
      <c r="E96" t="s">
        <v>158</v>
      </c>
      <c r="F96" t="s">
        <v>244</v>
      </c>
      <c r="G96" t="str">
        <f>"201511020341"</f>
        <v>201511020341</v>
      </c>
      <c r="H96" t="s">
        <v>245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106</v>
      </c>
      <c r="S96">
        <v>588</v>
      </c>
      <c r="V96">
        <v>1</v>
      </c>
      <c r="W96" t="s">
        <v>246</v>
      </c>
    </row>
    <row r="97" spans="1:23" x14ac:dyDescent="0.25">
      <c r="H97" t="s">
        <v>247</v>
      </c>
    </row>
    <row r="98" spans="1:23" x14ac:dyDescent="0.25">
      <c r="A98">
        <v>46</v>
      </c>
      <c r="B98">
        <v>6808</v>
      </c>
      <c r="C98" t="s">
        <v>248</v>
      </c>
      <c r="D98" t="s">
        <v>96</v>
      </c>
      <c r="E98" t="s">
        <v>154</v>
      </c>
      <c r="F98" t="s">
        <v>249</v>
      </c>
      <c r="G98" t="str">
        <f>"00086678"</f>
        <v>00086678</v>
      </c>
      <c r="H98" t="s">
        <v>250</v>
      </c>
      <c r="I98">
        <v>150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132</v>
      </c>
      <c r="S98">
        <v>588</v>
      </c>
      <c r="V98">
        <v>1</v>
      </c>
      <c r="W98" t="s">
        <v>251</v>
      </c>
    </row>
    <row r="99" spans="1:23" x14ac:dyDescent="0.25">
      <c r="H99" t="s">
        <v>49</v>
      </c>
    </row>
    <row r="100" spans="1:23" x14ac:dyDescent="0.25">
      <c r="A100">
        <v>47</v>
      </c>
      <c r="B100">
        <v>7076</v>
      </c>
      <c r="C100" t="s">
        <v>252</v>
      </c>
      <c r="D100" t="s">
        <v>253</v>
      </c>
      <c r="E100" t="s">
        <v>154</v>
      </c>
      <c r="F100" t="s">
        <v>254</v>
      </c>
      <c r="G100" t="str">
        <f>"00054870"</f>
        <v>00054870</v>
      </c>
      <c r="H100">
        <v>990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161</v>
      </c>
      <c r="S100">
        <v>588</v>
      </c>
      <c r="V100">
        <v>1</v>
      </c>
      <c r="W100">
        <v>1578</v>
      </c>
    </row>
    <row r="101" spans="1:23" x14ac:dyDescent="0.25">
      <c r="H101" t="s">
        <v>255</v>
      </c>
    </row>
    <row r="102" spans="1:23" x14ac:dyDescent="0.25">
      <c r="A102">
        <v>48</v>
      </c>
      <c r="B102">
        <v>2325</v>
      </c>
      <c r="C102" t="s">
        <v>256</v>
      </c>
      <c r="D102" t="s">
        <v>257</v>
      </c>
      <c r="E102" t="s">
        <v>258</v>
      </c>
      <c r="F102" t="s">
        <v>259</v>
      </c>
      <c r="G102" t="str">
        <f>"00016743"</f>
        <v>00016743</v>
      </c>
      <c r="H102">
        <v>990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109</v>
      </c>
      <c r="S102">
        <v>588</v>
      </c>
      <c r="V102">
        <v>1</v>
      </c>
      <c r="W102">
        <v>1578</v>
      </c>
    </row>
    <row r="103" spans="1:23" x14ac:dyDescent="0.25">
      <c r="H103" t="s">
        <v>260</v>
      </c>
    </row>
    <row r="104" spans="1:23" x14ac:dyDescent="0.25">
      <c r="A104">
        <v>49</v>
      </c>
      <c r="B104">
        <v>1040</v>
      </c>
      <c r="C104" t="s">
        <v>261</v>
      </c>
      <c r="D104" t="s">
        <v>157</v>
      </c>
      <c r="E104" t="s">
        <v>262</v>
      </c>
      <c r="F104" t="s">
        <v>263</v>
      </c>
      <c r="G104" t="str">
        <f>"201402001995"</f>
        <v>201402001995</v>
      </c>
      <c r="H104" t="s">
        <v>264</v>
      </c>
      <c r="I104">
        <v>150</v>
      </c>
      <c r="J104">
        <v>30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93</v>
      </c>
      <c r="S104">
        <v>588</v>
      </c>
      <c r="V104">
        <v>3</v>
      </c>
      <c r="W104" t="s">
        <v>265</v>
      </c>
    </row>
    <row r="105" spans="1:23" x14ac:dyDescent="0.25">
      <c r="H105" t="s">
        <v>266</v>
      </c>
    </row>
    <row r="106" spans="1:23" x14ac:dyDescent="0.25">
      <c r="A106">
        <v>50</v>
      </c>
      <c r="B106">
        <v>191</v>
      </c>
      <c r="C106" t="s">
        <v>267</v>
      </c>
      <c r="D106" t="s">
        <v>268</v>
      </c>
      <c r="E106" t="s">
        <v>269</v>
      </c>
      <c r="F106" t="s">
        <v>270</v>
      </c>
      <c r="G106" t="str">
        <f>"201511011295"</f>
        <v>201511011295</v>
      </c>
      <c r="H106" t="s">
        <v>271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69</v>
      </c>
      <c r="S106">
        <v>483</v>
      </c>
      <c r="V106">
        <v>1</v>
      </c>
      <c r="W106" t="s">
        <v>272</v>
      </c>
    </row>
    <row r="107" spans="1:23" x14ac:dyDescent="0.25">
      <c r="H107" t="s">
        <v>273</v>
      </c>
    </row>
    <row r="108" spans="1:23" x14ac:dyDescent="0.25">
      <c r="A108">
        <v>51</v>
      </c>
      <c r="B108">
        <v>8529</v>
      </c>
      <c r="C108" t="s">
        <v>274</v>
      </c>
      <c r="D108" t="s">
        <v>275</v>
      </c>
      <c r="E108" t="s">
        <v>276</v>
      </c>
      <c r="F108" t="s">
        <v>277</v>
      </c>
      <c r="G108" t="str">
        <f>"201511017553"</f>
        <v>201511017553</v>
      </c>
      <c r="H108">
        <v>1100</v>
      </c>
      <c r="I108">
        <v>0</v>
      </c>
      <c r="J108">
        <v>30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62</v>
      </c>
      <c r="S108">
        <v>434</v>
      </c>
      <c r="V108">
        <v>1</v>
      </c>
      <c r="W108">
        <v>1564</v>
      </c>
    </row>
    <row r="109" spans="1:23" x14ac:dyDescent="0.25">
      <c r="H109" t="s">
        <v>278</v>
      </c>
    </row>
    <row r="110" spans="1:23" x14ac:dyDescent="0.25">
      <c r="A110">
        <v>52</v>
      </c>
      <c r="B110">
        <v>6458</v>
      </c>
      <c r="C110" t="s">
        <v>279</v>
      </c>
      <c r="D110" t="s">
        <v>108</v>
      </c>
      <c r="E110" t="s">
        <v>20</v>
      </c>
      <c r="F110" t="s">
        <v>280</v>
      </c>
      <c r="G110" t="str">
        <f>"00075670"</f>
        <v>00075670</v>
      </c>
      <c r="H110">
        <v>880</v>
      </c>
      <c r="I110">
        <v>150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76</v>
      </c>
      <c r="S110">
        <v>532</v>
      </c>
      <c r="V110">
        <v>1</v>
      </c>
      <c r="W110">
        <v>1562</v>
      </c>
    </row>
    <row r="111" spans="1:23" x14ac:dyDescent="0.25">
      <c r="H111" t="s">
        <v>281</v>
      </c>
    </row>
    <row r="112" spans="1:23" x14ac:dyDescent="0.25">
      <c r="A112">
        <v>53</v>
      </c>
      <c r="B112">
        <v>5470</v>
      </c>
      <c r="C112" t="s">
        <v>282</v>
      </c>
      <c r="D112" t="s">
        <v>283</v>
      </c>
      <c r="E112" t="s">
        <v>284</v>
      </c>
      <c r="F112" t="s">
        <v>285</v>
      </c>
      <c r="G112" t="str">
        <f>"00082081"</f>
        <v>00082081</v>
      </c>
      <c r="H112" t="s">
        <v>286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100</v>
      </c>
      <c r="S112">
        <v>588</v>
      </c>
      <c r="V112">
        <v>1</v>
      </c>
      <c r="W112" t="s">
        <v>287</v>
      </c>
    </row>
    <row r="113" spans="1:23" x14ac:dyDescent="0.25">
      <c r="H113" t="s">
        <v>288</v>
      </c>
    </row>
    <row r="114" spans="1:23" x14ac:dyDescent="0.25">
      <c r="A114">
        <v>54</v>
      </c>
      <c r="B114">
        <v>2853</v>
      </c>
      <c r="C114" t="s">
        <v>289</v>
      </c>
      <c r="D114" t="s">
        <v>172</v>
      </c>
      <c r="E114" t="s">
        <v>158</v>
      </c>
      <c r="F114" t="s">
        <v>290</v>
      </c>
      <c r="G114" t="str">
        <f>"201511016788"</f>
        <v>201511016788</v>
      </c>
      <c r="H114" t="s">
        <v>291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93</v>
      </c>
      <c r="S114">
        <v>588</v>
      </c>
      <c r="T114">
        <v>8</v>
      </c>
      <c r="U114">
        <v>839</v>
      </c>
      <c r="V114">
        <v>1</v>
      </c>
      <c r="W114" t="s">
        <v>292</v>
      </c>
    </row>
    <row r="115" spans="1:23" x14ac:dyDescent="0.25">
      <c r="H115" t="s">
        <v>293</v>
      </c>
    </row>
    <row r="116" spans="1:23" x14ac:dyDescent="0.25">
      <c r="A116">
        <v>55</v>
      </c>
      <c r="B116">
        <v>2853</v>
      </c>
      <c r="C116" t="s">
        <v>289</v>
      </c>
      <c r="D116" t="s">
        <v>172</v>
      </c>
      <c r="E116" t="s">
        <v>158</v>
      </c>
      <c r="F116" t="s">
        <v>290</v>
      </c>
      <c r="G116" t="str">
        <f>"201511016788"</f>
        <v>201511016788</v>
      </c>
      <c r="H116" t="s">
        <v>291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93</v>
      </c>
      <c r="S116">
        <v>588</v>
      </c>
      <c r="V116">
        <v>1</v>
      </c>
      <c r="W116" t="s">
        <v>292</v>
      </c>
    </row>
    <row r="117" spans="1:23" x14ac:dyDescent="0.25">
      <c r="H117" t="s">
        <v>293</v>
      </c>
    </row>
    <row r="118" spans="1:23" x14ac:dyDescent="0.25">
      <c r="A118">
        <v>56</v>
      </c>
      <c r="B118">
        <v>9809</v>
      </c>
      <c r="C118" t="s">
        <v>294</v>
      </c>
      <c r="D118" t="s">
        <v>208</v>
      </c>
      <c r="E118" t="s">
        <v>158</v>
      </c>
      <c r="F118" t="s">
        <v>295</v>
      </c>
      <c r="G118" t="str">
        <f>"201410011932"</f>
        <v>201410011932</v>
      </c>
      <c r="H118">
        <v>814</v>
      </c>
      <c r="I118">
        <v>150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94</v>
      </c>
      <c r="S118">
        <v>588</v>
      </c>
      <c r="V118">
        <v>1</v>
      </c>
      <c r="W118">
        <v>1552</v>
      </c>
    </row>
    <row r="119" spans="1:23" x14ac:dyDescent="0.25">
      <c r="H119" t="s">
        <v>296</v>
      </c>
    </row>
    <row r="120" spans="1:23" x14ac:dyDescent="0.25">
      <c r="A120">
        <v>57</v>
      </c>
      <c r="B120">
        <v>8820</v>
      </c>
      <c r="C120" t="s">
        <v>297</v>
      </c>
      <c r="D120" t="s">
        <v>298</v>
      </c>
      <c r="E120" t="s">
        <v>299</v>
      </c>
      <c r="F120" t="s">
        <v>300</v>
      </c>
      <c r="G120" t="str">
        <f>"00101875"</f>
        <v>00101875</v>
      </c>
      <c r="H120" t="s">
        <v>301</v>
      </c>
      <c r="I120">
        <v>150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84</v>
      </c>
      <c r="S120">
        <v>588</v>
      </c>
      <c r="V120">
        <v>1</v>
      </c>
      <c r="W120" t="s">
        <v>302</v>
      </c>
    </row>
    <row r="121" spans="1:23" x14ac:dyDescent="0.25">
      <c r="H121" t="s">
        <v>303</v>
      </c>
    </row>
    <row r="122" spans="1:23" x14ac:dyDescent="0.25">
      <c r="A122">
        <v>58</v>
      </c>
      <c r="B122">
        <v>7260</v>
      </c>
      <c r="C122" t="s">
        <v>304</v>
      </c>
      <c r="D122" t="s">
        <v>208</v>
      </c>
      <c r="E122" t="s">
        <v>305</v>
      </c>
      <c r="F122" t="s">
        <v>306</v>
      </c>
      <c r="G122" t="str">
        <f>"201511031681"</f>
        <v>201511031681</v>
      </c>
      <c r="H122">
        <v>825</v>
      </c>
      <c r="I122">
        <v>150</v>
      </c>
      <c r="J122">
        <v>30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73</v>
      </c>
      <c r="S122">
        <v>511</v>
      </c>
      <c r="V122">
        <v>1</v>
      </c>
      <c r="W122">
        <v>1546</v>
      </c>
    </row>
    <row r="123" spans="1:23" x14ac:dyDescent="0.25">
      <c r="H123" t="s">
        <v>307</v>
      </c>
    </row>
    <row r="124" spans="1:23" x14ac:dyDescent="0.25">
      <c r="A124">
        <v>59</v>
      </c>
      <c r="B124">
        <v>7735</v>
      </c>
      <c r="C124" t="s">
        <v>308</v>
      </c>
      <c r="D124" t="s">
        <v>153</v>
      </c>
      <c r="E124" t="s">
        <v>56</v>
      </c>
      <c r="F124" t="s">
        <v>309</v>
      </c>
      <c r="G124" t="str">
        <f>"201511030137"</f>
        <v>201511030137</v>
      </c>
      <c r="H124">
        <v>957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94</v>
      </c>
      <c r="S124">
        <v>588</v>
      </c>
      <c r="V124">
        <v>1</v>
      </c>
      <c r="W124">
        <v>1545</v>
      </c>
    </row>
    <row r="125" spans="1:23" x14ac:dyDescent="0.25">
      <c r="H125" t="s">
        <v>310</v>
      </c>
    </row>
    <row r="126" spans="1:23" x14ac:dyDescent="0.25">
      <c r="A126">
        <v>60</v>
      </c>
      <c r="B126">
        <v>522</v>
      </c>
      <c r="C126" t="s">
        <v>311</v>
      </c>
      <c r="D126" t="s">
        <v>62</v>
      </c>
      <c r="E126" t="s">
        <v>284</v>
      </c>
      <c r="F126" t="s">
        <v>312</v>
      </c>
      <c r="G126" t="str">
        <f>"00022723"</f>
        <v>00022723</v>
      </c>
      <c r="H126" t="s">
        <v>99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90</v>
      </c>
      <c r="S126">
        <v>588</v>
      </c>
      <c r="V126">
        <v>1</v>
      </c>
      <c r="W126" t="s">
        <v>313</v>
      </c>
    </row>
    <row r="127" spans="1:23" x14ac:dyDescent="0.25">
      <c r="H127" t="s">
        <v>314</v>
      </c>
    </row>
    <row r="128" spans="1:23" x14ac:dyDescent="0.25">
      <c r="A128">
        <v>61</v>
      </c>
      <c r="B128">
        <v>522</v>
      </c>
      <c r="C128" t="s">
        <v>311</v>
      </c>
      <c r="D128" t="s">
        <v>62</v>
      </c>
      <c r="E128" t="s">
        <v>284</v>
      </c>
      <c r="F128" t="s">
        <v>312</v>
      </c>
      <c r="G128" t="str">
        <f>"00022723"</f>
        <v>00022723</v>
      </c>
      <c r="H128" t="s">
        <v>99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90</v>
      </c>
      <c r="S128">
        <v>588</v>
      </c>
      <c r="T128">
        <v>8</v>
      </c>
      <c r="U128">
        <v>829</v>
      </c>
      <c r="V128">
        <v>1</v>
      </c>
      <c r="W128" t="s">
        <v>313</v>
      </c>
    </row>
    <row r="129" spans="1:23" x14ac:dyDescent="0.25">
      <c r="H129" t="s">
        <v>314</v>
      </c>
    </row>
    <row r="130" spans="1:23" x14ac:dyDescent="0.25">
      <c r="A130">
        <v>62</v>
      </c>
      <c r="B130">
        <v>7916</v>
      </c>
      <c r="C130" t="s">
        <v>315</v>
      </c>
      <c r="D130" t="s">
        <v>316</v>
      </c>
      <c r="E130" t="s">
        <v>158</v>
      </c>
      <c r="F130" t="s">
        <v>317</v>
      </c>
      <c r="G130" t="str">
        <f>"00087570"</f>
        <v>00087570</v>
      </c>
      <c r="H130" t="s">
        <v>318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112</v>
      </c>
      <c r="S130">
        <v>588</v>
      </c>
      <c r="V130">
        <v>1</v>
      </c>
      <c r="W130" t="s">
        <v>319</v>
      </c>
    </row>
    <row r="131" spans="1:23" x14ac:dyDescent="0.25">
      <c r="H131" t="s">
        <v>320</v>
      </c>
    </row>
    <row r="132" spans="1:23" x14ac:dyDescent="0.25">
      <c r="A132">
        <v>63</v>
      </c>
      <c r="B132">
        <v>186</v>
      </c>
      <c r="C132" t="s">
        <v>321</v>
      </c>
      <c r="D132" t="s">
        <v>322</v>
      </c>
      <c r="E132" t="s">
        <v>80</v>
      </c>
      <c r="F132" t="s">
        <v>323</v>
      </c>
      <c r="G132" t="str">
        <f>"00021422"</f>
        <v>00021422</v>
      </c>
      <c r="H132">
        <v>1078</v>
      </c>
      <c r="I132">
        <v>150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44</v>
      </c>
      <c r="S132">
        <v>308</v>
      </c>
      <c r="V132">
        <v>3</v>
      </c>
      <c r="W132">
        <v>1536</v>
      </c>
    </row>
    <row r="133" spans="1:23" x14ac:dyDescent="0.25">
      <c r="H133" t="s">
        <v>324</v>
      </c>
    </row>
    <row r="134" spans="1:23" x14ac:dyDescent="0.25">
      <c r="A134">
        <v>64</v>
      </c>
      <c r="B134">
        <v>4626</v>
      </c>
      <c r="C134" t="s">
        <v>325</v>
      </c>
      <c r="D134" t="s">
        <v>326</v>
      </c>
      <c r="E134" t="s">
        <v>327</v>
      </c>
      <c r="F134" t="s">
        <v>328</v>
      </c>
      <c r="G134" t="str">
        <f>"201406007679"</f>
        <v>201406007679</v>
      </c>
      <c r="H134">
        <v>913</v>
      </c>
      <c r="I134">
        <v>0</v>
      </c>
      <c r="J134">
        <v>30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169</v>
      </c>
      <c r="S134">
        <v>588</v>
      </c>
      <c r="V134">
        <v>1</v>
      </c>
      <c r="W134">
        <v>1531</v>
      </c>
    </row>
    <row r="135" spans="1:23" x14ac:dyDescent="0.25">
      <c r="H135" t="s">
        <v>329</v>
      </c>
    </row>
    <row r="136" spans="1:23" x14ac:dyDescent="0.25">
      <c r="A136">
        <v>65</v>
      </c>
      <c r="B136">
        <v>8888</v>
      </c>
      <c r="C136" t="s">
        <v>330</v>
      </c>
      <c r="D136" t="s">
        <v>183</v>
      </c>
      <c r="E136" t="s">
        <v>276</v>
      </c>
      <c r="F136" t="s">
        <v>331</v>
      </c>
      <c r="G136" t="str">
        <f>"201511021336"</f>
        <v>201511021336</v>
      </c>
      <c r="H136" t="s">
        <v>332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71</v>
      </c>
      <c r="S136">
        <v>497</v>
      </c>
      <c r="V136">
        <v>1</v>
      </c>
      <c r="W136" t="s">
        <v>333</v>
      </c>
    </row>
    <row r="137" spans="1:23" x14ac:dyDescent="0.25">
      <c r="H137" t="s">
        <v>334</v>
      </c>
    </row>
    <row r="138" spans="1:23" x14ac:dyDescent="0.25">
      <c r="A138">
        <v>66</v>
      </c>
      <c r="B138">
        <v>3129</v>
      </c>
      <c r="C138" t="s">
        <v>335</v>
      </c>
      <c r="D138" t="s">
        <v>29</v>
      </c>
      <c r="E138" t="s">
        <v>80</v>
      </c>
      <c r="F138" t="s">
        <v>336</v>
      </c>
      <c r="G138" t="str">
        <f>"201511019079"</f>
        <v>201511019079</v>
      </c>
      <c r="H138" t="s">
        <v>226</v>
      </c>
      <c r="I138">
        <v>150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51</v>
      </c>
      <c r="S138">
        <v>357</v>
      </c>
      <c r="V138">
        <v>1</v>
      </c>
      <c r="W138" t="s">
        <v>337</v>
      </c>
    </row>
    <row r="139" spans="1:23" x14ac:dyDescent="0.25">
      <c r="H139" t="s">
        <v>338</v>
      </c>
    </row>
    <row r="140" spans="1:23" x14ac:dyDescent="0.25">
      <c r="A140">
        <v>67</v>
      </c>
      <c r="B140">
        <v>663</v>
      </c>
      <c r="C140" t="s">
        <v>339</v>
      </c>
      <c r="D140" t="s">
        <v>340</v>
      </c>
      <c r="E140" t="s">
        <v>37</v>
      </c>
      <c r="F140" t="s">
        <v>341</v>
      </c>
      <c r="G140" t="str">
        <f>"201511030085"</f>
        <v>201511030085</v>
      </c>
      <c r="H140">
        <v>935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127</v>
      </c>
      <c r="S140">
        <v>588</v>
      </c>
      <c r="V140">
        <v>1</v>
      </c>
      <c r="W140">
        <v>1523</v>
      </c>
    </row>
    <row r="141" spans="1:23" x14ac:dyDescent="0.25">
      <c r="H141" t="s">
        <v>342</v>
      </c>
    </row>
    <row r="142" spans="1:23" x14ac:dyDescent="0.25">
      <c r="A142">
        <v>68</v>
      </c>
      <c r="B142">
        <v>1702</v>
      </c>
      <c r="C142" t="s">
        <v>343</v>
      </c>
      <c r="D142" t="s">
        <v>96</v>
      </c>
      <c r="E142" t="s">
        <v>344</v>
      </c>
      <c r="F142" t="s">
        <v>345</v>
      </c>
      <c r="G142" t="str">
        <f>"201511009574"</f>
        <v>201511009574</v>
      </c>
      <c r="H142">
        <v>935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106</v>
      </c>
      <c r="S142">
        <v>588</v>
      </c>
      <c r="V142">
        <v>1</v>
      </c>
      <c r="W142">
        <v>1523</v>
      </c>
    </row>
    <row r="143" spans="1:23" x14ac:dyDescent="0.25">
      <c r="H143" t="s">
        <v>346</v>
      </c>
    </row>
    <row r="144" spans="1:23" x14ac:dyDescent="0.25">
      <c r="A144">
        <v>69</v>
      </c>
      <c r="B144">
        <v>3988</v>
      </c>
      <c r="C144" t="s">
        <v>347</v>
      </c>
      <c r="D144" t="s">
        <v>128</v>
      </c>
      <c r="E144" t="s">
        <v>154</v>
      </c>
      <c r="F144" t="s">
        <v>348</v>
      </c>
      <c r="G144" t="str">
        <f>"201511008018"</f>
        <v>201511008018</v>
      </c>
      <c r="H144">
        <v>1001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52</v>
      </c>
      <c r="S144">
        <v>364</v>
      </c>
      <c r="V144">
        <v>1</v>
      </c>
      <c r="W144">
        <v>1515</v>
      </c>
    </row>
    <row r="145" spans="1:23" x14ac:dyDescent="0.25">
      <c r="H145" t="s">
        <v>349</v>
      </c>
    </row>
    <row r="146" spans="1:23" x14ac:dyDescent="0.25">
      <c r="A146">
        <v>70</v>
      </c>
      <c r="B146">
        <v>7104</v>
      </c>
      <c r="C146" t="s">
        <v>350</v>
      </c>
      <c r="D146" t="s">
        <v>351</v>
      </c>
      <c r="E146" t="s">
        <v>352</v>
      </c>
      <c r="F146" t="s">
        <v>353</v>
      </c>
      <c r="G146" t="str">
        <f>"201511037786"</f>
        <v>201511037786</v>
      </c>
      <c r="H146" t="s">
        <v>354</v>
      </c>
      <c r="I146">
        <v>150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52</v>
      </c>
      <c r="S146">
        <v>364</v>
      </c>
      <c r="V146">
        <v>1</v>
      </c>
      <c r="W146" t="s">
        <v>355</v>
      </c>
    </row>
    <row r="147" spans="1:23" x14ac:dyDescent="0.25">
      <c r="H147" t="s">
        <v>356</v>
      </c>
    </row>
    <row r="148" spans="1:23" x14ac:dyDescent="0.25">
      <c r="A148">
        <v>71</v>
      </c>
      <c r="B148">
        <v>7785</v>
      </c>
      <c r="C148" t="s">
        <v>357</v>
      </c>
      <c r="D148" t="s">
        <v>51</v>
      </c>
      <c r="E148" t="s">
        <v>158</v>
      </c>
      <c r="F148" t="s">
        <v>358</v>
      </c>
      <c r="G148" t="str">
        <f>"201511026421"</f>
        <v>201511026421</v>
      </c>
      <c r="H148" t="s">
        <v>359</v>
      </c>
      <c r="I148">
        <v>150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87</v>
      </c>
      <c r="S148">
        <v>588</v>
      </c>
      <c r="V148">
        <v>1</v>
      </c>
      <c r="W148" t="s">
        <v>360</v>
      </c>
    </row>
    <row r="149" spans="1:23" x14ac:dyDescent="0.25">
      <c r="H149" t="s">
        <v>361</v>
      </c>
    </row>
    <row r="150" spans="1:23" x14ac:dyDescent="0.25">
      <c r="A150">
        <v>72</v>
      </c>
      <c r="B150">
        <v>6970</v>
      </c>
      <c r="C150" t="s">
        <v>362</v>
      </c>
      <c r="D150" t="s">
        <v>172</v>
      </c>
      <c r="E150" t="s">
        <v>154</v>
      </c>
      <c r="F150" t="s">
        <v>363</v>
      </c>
      <c r="G150" t="str">
        <f>"201511027912"</f>
        <v>201511027912</v>
      </c>
      <c r="H150">
        <v>924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105</v>
      </c>
      <c r="S150">
        <v>588</v>
      </c>
      <c r="V150">
        <v>1</v>
      </c>
      <c r="W150">
        <v>1512</v>
      </c>
    </row>
    <row r="151" spans="1:23" x14ac:dyDescent="0.25">
      <c r="H151" t="s">
        <v>364</v>
      </c>
    </row>
    <row r="152" spans="1:23" x14ac:dyDescent="0.25">
      <c r="A152">
        <v>73</v>
      </c>
      <c r="B152">
        <v>9467</v>
      </c>
      <c r="C152" t="s">
        <v>365</v>
      </c>
      <c r="D152" t="s">
        <v>208</v>
      </c>
      <c r="E152" t="s">
        <v>52</v>
      </c>
      <c r="F152" t="s">
        <v>366</v>
      </c>
      <c r="G152" t="str">
        <f>"00027425"</f>
        <v>00027425</v>
      </c>
      <c r="H152">
        <v>1100</v>
      </c>
      <c r="I152">
        <v>150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37</v>
      </c>
      <c r="S152">
        <v>259</v>
      </c>
      <c r="V152">
        <v>3</v>
      </c>
      <c r="W152">
        <v>1509</v>
      </c>
    </row>
    <row r="153" spans="1:23" x14ac:dyDescent="0.25">
      <c r="H153">
        <v>843</v>
      </c>
    </row>
    <row r="154" spans="1:23" x14ac:dyDescent="0.25">
      <c r="A154">
        <v>74</v>
      </c>
      <c r="B154">
        <v>9596</v>
      </c>
      <c r="C154" t="s">
        <v>367</v>
      </c>
      <c r="D154" t="s">
        <v>368</v>
      </c>
      <c r="E154" t="s">
        <v>37</v>
      </c>
      <c r="F154" t="s">
        <v>369</v>
      </c>
      <c r="G154" t="str">
        <f>"00039860"</f>
        <v>00039860</v>
      </c>
      <c r="H154" t="s">
        <v>370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99</v>
      </c>
      <c r="S154">
        <v>588</v>
      </c>
      <c r="V154">
        <v>1</v>
      </c>
      <c r="W154" t="s">
        <v>371</v>
      </c>
    </row>
    <row r="155" spans="1:23" x14ac:dyDescent="0.25">
      <c r="H155" t="s">
        <v>372</v>
      </c>
    </row>
    <row r="156" spans="1:23" x14ac:dyDescent="0.25">
      <c r="A156">
        <v>75</v>
      </c>
      <c r="B156">
        <v>1594</v>
      </c>
      <c r="C156" t="s">
        <v>373</v>
      </c>
      <c r="D156" t="s">
        <v>351</v>
      </c>
      <c r="E156" t="s">
        <v>374</v>
      </c>
      <c r="F156" t="s">
        <v>375</v>
      </c>
      <c r="G156" t="str">
        <f>"201511019075"</f>
        <v>201511019075</v>
      </c>
      <c r="H156" t="s">
        <v>149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61</v>
      </c>
      <c r="S156">
        <v>427</v>
      </c>
      <c r="V156">
        <v>1</v>
      </c>
      <c r="W156" t="s">
        <v>376</v>
      </c>
    </row>
    <row r="157" spans="1:23" x14ac:dyDescent="0.25">
      <c r="H157">
        <v>843</v>
      </c>
    </row>
    <row r="158" spans="1:23" x14ac:dyDescent="0.25">
      <c r="A158">
        <v>76</v>
      </c>
      <c r="B158">
        <v>4698</v>
      </c>
      <c r="C158" t="s">
        <v>377</v>
      </c>
      <c r="D158" t="s">
        <v>351</v>
      </c>
      <c r="E158" t="s">
        <v>378</v>
      </c>
      <c r="F158" t="s">
        <v>379</v>
      </c>
      <c r="G158" t="str">
        <f>"00070347"</f>
        <v>00070347</v>
      </c>
      <c r="H158">
        <v>913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191</v>
      </c>
      <c r="S158">
        <v>588</v>
      </c>
      <c r="V158">
        <v>1</v>
      </c>
      <c r="W158">
        <v>1501</v>
      </c>
    </row>
    <row r="159" spans="1:23" x14ac:dyDescent="0.25">
      <c r="H159" t="s">
        <v>380</v>
      </c>
    </row>
    <row r="160" spans="1:23" x14ac:dyDescent="0.25">
      <c r="A160">
        <v>77</v>
      </c>
      <c r="B160">
        <v>4849</v>
      </c>
      <c r="C160" t="s">
        <v>381</v>
      </c>
      <c r="D160" t="s">
        <v>382</v>
      </c>
      <c r="E160" t="s">
        <v>56</v>
      </c>
      <c r="F160" t="s">
        <v>383</v>
      </c>
      <c r="G160" t="str">
        <f>"00094020"</f>
        <v>00094020</v>
      </c>
      <c r="H160" t="s">
        <v>384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137</v>
      </c>
      <c r="S160">
        <v>588</v>
      </c>
      <c r="V160">
        <v>1</v>
      </c>
      <c r="W160" t="s">
        <v>385</v>
      </c>
    </row>
    <row r="161" spans="1:23" x14ac:dyDescent="0.25">
      <c r="H161" t="s">
        <v>386</v>
      </c>
    </row>
    <row r="162" spans="1:23" x14ac:dyDescent="0.25">
      <c r="A162">
        <v>78</v>
      </c>
      <c r="B162">
        <v>6758</v>
      </c>
      <c r="C162" t="s">
        <v>387</v>
      </c>
      <c r="D162" t="s">
        <v>388</v>
      </c>
      <c r="E162" t="s">
        <v>158</v>
      </c>
      <c r="F162" t="s">
        <v>389</v>
      </c>
      <c r="G162" t="str">
        <f>"201511034870"</f>
        <v>201511034870</v>
      </c>
      <c r="H162">
        <v>1100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57</v>
      </c>
      <c r="S162">
        <v>399</v>
      </c>
      <c r="V162">
        <v>1</v>
      </c>
      <c r="W162">
        <v>1499</v>
      </c>
    </row>
    <row r="163" spans="1:23" x14ac:dyDescent="0.25">
      <c r="H163" t="s">
        <v>390</v>
      </c>
    </row>
    <row r="164" spans="1:23" x14ac:dyDescent="0.25">
      <c r="A164">
        <v>79</v>
      </c>
      <c r="B164">
        <v>2208</v>
      </c>
      <c r="C164" t="s">
        <v>391</v>
      </c>
      <c r="D164" t="s">
        <v>392</v>
      </c>
      <c r="E164" t="s">
        <v>393</v>
      </c>
      <c r="F164" t="s">
        <v>394</v>
      </c>
      <c r="G164" t="str">
        <f>"00025100"</f>
        <v>00025100</v>
      </c>
      <c r="H164">
        <v>803</v>
      </c>
      <c r="I164">
        <v>150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78</v>
      </c>
      <c r="S164">
        <v>546</v>
      </c>
      <c r="V164">
        <v>1</v>
      </c>
      <c r="W164">
        <v>1499</v>
      </c>
    </row>
    <row r="165" spans="1:23" x14ac:dyDescent="0.25">
      <c r="H165" t="s">
        <v>395</v>
      </c>
    </row>
    <row r="166" spans="1:23" x14ac:dyDescent="0.25">
      <c r="A166">
        <v>80</v>
      </c>
      <c r="B166">
        <v>5029</v>
      </c>
      <c r="C166" t="s">
        <v>396</v>
      </c>
      <c r="D166" t="s">
        <v>351</v>
      </c>
      <c r="E166" t="s">
        <v>184</v>
      </c>
      <c r="F166" t="s">
        <v>397</v>
      </c>
      <c r="G166" t="str">
        <f>"00031604"</f>
        <v>00031604</v>
      </c>
      <c r="H166" t="s">
        <v>398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164</v>
      </c>
      <c r="S166">
        <v>588</v>
      </c>
      <c r="V166">
        <v>1</v>
      </c>
      <c r="W166" t="s">
        <v>399</v>
      </c>
    </row>
    <row r="167" spans="1:23" x14ac:dyDescent="0.25">
      <c r="H167" t="s">
        <v>400</v>
      </c>
    </row>
    <row r="168" spans="1:23" x14ac:dyDescent="0.25">
      <c r="A168">
        <v>81</v>
      </c>
      <c r="B168">
        <v>8113</v>
      </c>
      <c r="C168" t="s">
        <v>401</v>
      </c>
      <c r="D168" t="s">
        <v>23</v>
      </c>
      <c r="E168" t="s">
        <v>80</v>
      </c>
      <c r="F168" t="s">
        <v>402</v>
      </c>
      <c r="G168" t="str">
        <f>"201511031781"</f>
        <v>201511031781</v>
      </c>
      <c r="H168" t="s">
        <v>40</v>
      </c>
      <c r="I168">
        <v>150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37</v>
      </c>
      <c r="S168">
        <v>259</v>
      </c>
      <c r="V168">
        <v>1</v>
      </c>
      <c r="W168" t="s">
        <v>403</v>
      </c>
    </row>
    <row r="169" spans="1:23" x14ac:dyDescent="0.25">
      <c r="H169" t="s">
        <v>404</v>
      </c>
    </row>
    <row r="170" spans="1:23" x14ac:dyDescent="0.25">
      <c r="A170">
        <v>82</v>
      </c>
      <c r="B170">
        <v>9428</v>
      </c>
      <c r="C170" t="s">
        <v>405</v>
      </c>
      <c r="D170" t="s">
        <v>157</v>
      </c>
      <c r="E170" t="s">
        <v>62</v>
      </c>
      <c r="F170" t="s">
        <v>406</v>
      </c>
      <c r="G170" t="str">
        <f>"201511028697"</f>
        <v>201511028697</v>
      </c>
      <c r="H170" t="s">
        <v>407</v>
      </c>
      <c r="I170">
        <v>0</v>
      </c>
      <c r="J170">
        <v>30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99</v>
      </c>
      <c r="S170">
        <v>588</v>
      </c>
      <c r="V170">
        <v>1</v>
      </c>
      <c r="W170" t="s">
        <v>403</v>
      </c>
    </row>
    <row r="171" spans="1:23" x14ac:dyDescent="0.25">
      <c r="H171" t="s">
        <v>408</v>
      </c>
    </row>
    <row r="172" spans="1:23" x14ac:dyDescent="0.25">
      <c r="A172">
        <v>83</v>
      </c>
      <c r="B172">
        <v>6618</v>
      </c>
      <c r="C172" t="s">
        <v>409</v>
      </c>
      <c r="D172" t="s">
        <v>410</v>
      </c>
      <c r="E172" t="s">
        <v>154</v>
      </c>
      <c r="F172" t="s">
        <v>411</v>
      </c>
      <c r="G172" t="str">
        <f>"00095087"</f>
        <v>00095087</v>
      </c>
      <c r="H172" t="s">
        <v>412</v>
      </c>
      <c r="I172">
        <v>0</v>
      </c>
      <c r="J172">
        <v>30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76</v>
      </c>
      <c r="S172">
        <v>532</v>
      </c>
      <c r="V172">
        <v>1</v>
      </c>
      <c r="W172" t="s">
        <v>413</v>
      </c>
    </row>
    <row r="173" spans="1:23" x14ac:dyDescent="0.25">
      <c r="H173" t="s">
        <v>414</v>
      </c>
    </row>
    <row r="174" spans="1:23" x14ac:dyDescent="0.25">
      <c r="A174">
        <v>84</v>
      </c>
      <c r="B174">
        <v>7941</v>
      </c>
      <c r="C174" t="s">
        <v>415</v>
      </c>
      <c r="D174" t="s">
        <v>416</v>
      </c>
      <c r="E174" t="s">
        <v>80</v>
      </c>
      <c r="F174" t="s">
        <v>417</v>
      </c>
      <c r="G174" t="str">
        <f>"201511020824"</f>
        <v>201511020824</v>
      </c>
      <c r="H174" t="s">
        <v>418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177</v>
      </c>
      <c r="S174">
        <v>588</v>
      </c>
      <c r="V174">
        <v>1</v>
      </c>
      <c r="W174" t="s">
        <v>419</v>
      </c>
    </row>
    <row r="175" spans="1:23" x14ac:dyDescent="0.25">
      <c r="H175" t="s">
        <v>420</v>
      </c>
    </row>
    <row r="176" spans="1:23" x14ac:dyDescent="0.25">
      <c r="A176">
        <v>85</v>
      </c>
      <c r="B176">
        <v>2577</v>
      </c>
      <c r="C176" t="s">
        <v>421</v>
      </c>
      <c r="D176" t="s">
        <v>29</v>
      </c>
      <c r="E176" t="s">
        <v>62</v>
      </c>
      <c r="F176" t="s">
        <v>422</v>
      </c>
      <c r="G176" t="str">
        <f>"00044851"</f>
        <v>00044851</v>
      </c>
      <c r="H176" t="s">
        <v>423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146</v>
      </c>
      <c r="S176">
        <v>588</v>
      </c>
      <c r="V176">
        <v>1</v>
      </c>
      <c r="W176" t="s">
        <v>424</v>
      </c>
    </row>
    <row r="177" spans="1:23" x14ac:dyDescent="0.25">
      <c r="H177" t="s">
        <v>425</v>
      </c>
    </row>
    <row r="178" spans="1:23" x14ac:dyDescent="0.25">
      <c r="A178">
        <v>86</v>
      </c>
      <c r="B178">
        <v>181</v>
      </c>
      <c r="C178" t="s">
        <v>426</v>
      </c>
      <c r="D178" t="s">
        <v>427</v>
      </c>
      <c r="E178" t="s">
        <v>57</v>
      </c>
      <c r="F178" t="s">
        <v>428</v>
      </c>
      <c r="G178" t="str">
        <f>"00037340"</f>
        <v>00037340</v>
      </c>
      <c r="H178">
        <v>891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144</v>
      </c>
      <c r="S178">
        <v>588</v>
      </c>
      <c r="V178">
        <v>1</v>
      </c>
      <c r="W178">
        <v>1479</v>
      </c>
    </row>
    <row r="179" spans="1:23" x14ac:dyDescent="0.25">
      <c r="H179">
        <v>818</v>
      </c>
    </row>
    <row r="180" spans="1:23" x14ac:dyDescent="0.25">
      <c r="A180">
        <v>87</v>
      </c>
      <c r="B180">
        <v>9731</v>
      </c>
      <c r="C180" t="s">
        <v>429</v>
      </c>
      <c r="D180" t="s">
        <v>61</v>
      </c>
      <c r="E180" t="s">
        <v>158</v>
      </c>
      <c r="F180" t="s">
        <v>430</v>
      </c>
      <c r="G180" t="str">
        <f>"201511030204"</f>
        <v>201511030204</v>
      </c>
      <c r="H180">
        <v>891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110</v>
      </c>
      <c r="S180">
        <v>588</v>
      </c>
      <c r="V180">
        <v>1</v>
      </c>
      <c r="W180">
        <v>1479</v>
      </c>
    </row>
    <row r="181" spans="1:23" x14ac:dyDescent="0.25">
      <c r="H181" t="s">
        <v>431</v>
      </c>
    </row>
    <row r="182" spans="1:23" x14ac:dyDescent="0.25">
      <c r="A182">
        <v>88</v>
      </c>
      <c r="B182">
        <v>2702</v>
      </c>
      <c r="C182" t="s">
        <v>432</v>
      </c>
      <c r="D182" t="s">
        <v>433</v>
      </c>
      <c r="E182" t="s">
        <v>20</v>
      </c>
      <c r="F182" t="s">
        <v>434</v>
      </c>
      <c r="G182" t="str">
        <f>"00081561"</f>
        <v>00081561</v>
      </c>
      <c r="H182">
        <v>891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94</v>
      </c>
      <c r="S182">
        <v>588</v>
      </c>
      <c r="V182">
        <v>1</v>
      </c>
      <c r="W182">
        <v>1479</v>
      </c>
    </row>
    <row r="183" spans="1:23" x14ac:dyDescent="0.25">
      <c r="H183" t="s">
        <v>435</v>
      </c>
    </row>
    <row r="184" spans="1:23" x14ac:dyDescent="0.25">
      <c r="A184">
        <v>89</v>
      </c>
      <c r="B184">
        <v>367</v>
      </c>
      <c r="C184" t="s">
        <v>436</v>
      </c>
      <c r="D184" t="s">
        <v>437</v>
      </c>
      <c r="E184" t="s">
        <v>276</v>
      </c>
      <c r="F184" t="s">
        <v>438</v>
      </c>
      <c r="G184" t="str">
        <f>"201510000419"</f>
        <v>201510000419</v>
      </c>
      <c r="H184" t="s">
        <v>226</v>
      </c>
      <c r="I184">
        <v>150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44</v>
      </c>
      <c r="S184">
        <v>308</v>
      </c>
      <c r="V184">
        <v>1</v>
      </c>
      <c r="W184" t="s">
        <v>439</v>
      </c>
    </row>
    <row r="185" spans="1:23" x14ac:dyDescent="0.25">
      <c r="H185" t="s">
        <v>440</v>
      </c>
    </row>
    <row r="186" spans="1:23" x14ac:dyDescent="0.25">
      <c r="A186">
        <v>90</v>
      </c>
      <c r="B186">
        <v>9265</v>
      </c>
      <c r="C186" t="s">
        <v>441</v>
      </c>
      <c r="D186" t="s">
        <v>23</v>
      </c>
      <c r="E186" t="s">
        <v>109</v>
      </c>
      <c r="F186" t="s">
        <v>442</v>
      </c>
      <c r="G186" t="str">
        <f>"00050006"</f>
        <v>00050006</v>
      </c>
      <c r="H186" t="s">
        <v>443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166</v>
      </c>
      <c r="S186">
        <v>588</v>
      </c>
      <c r="V186">
        <v>1</v>
      </c>
      <c r="W186" t="s">
        <v>444</v>
      </c>
    </row>
    <row r="187" spans="1:23" x14ac:dyDescent="0.25">
      <c r="H187" t="s">
        <v>445</v>
      </c>
    </row>
    <row r="188" spans="1:23" x14ac:dyDescent="0.25">
      <c r="A188">
        <v>91</v>
      </c>
      <c r="B188">
        <v>8018</v>
      </c>
      <c r="C188" t="s">
        <v>446</v>
      </c>
      <c r="D188" t="s">
        <v>208</v>
      </c>
      <c r="E188" t="s">
        <v>20</v>
      </c>
      <c r="F188" t="s">
        <v>447</v>
      </c>
      <c r="G188" t="str">
        <f>"201511038238"</f>
        <v>201511038238</v>
      </c>
      <c r="H188" t="s">
        <v>412</v>
      </c>
      <c r="I188">
        <v>150</v>
      </c>
      <c r="J188">
        <v>30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52</v>
      </c>
      <c r="S188">
        <v>364</v>
      </c>
      <c r="V188">
        <v>1</v>
      </c>
      <c r="W188" t="s">
        <v>448</v>
      </c>
    </row>
    <row r="189" spans="1:23" x14ac:dyDescent="0.25">
      <c r="H189" t="s">
        <v>449</v>
      </c>
    </row>
    <row r="190" spans="1:23" x14ac:dyDescent="0.25">
      <c r="A190">
        <v>92</v>
      </c>
      <c r="B190">
        <v>8755</v>
      </c>
      <c r="C190" t="s">
        <v>450</v>
      </c>
      <c r="D190" t="s">
        <v>96</v>
      </c>
      <c r="E190" t="s">
        <v>451</v>
      </c>
      <c r="F190" t="s">
        <v>452</v>
      </c>
      <c r="G190" t="str">
        <f>"201511015492"</f>
        <v>201511015492</v>
      </c>
      <c r="H190" t="s">
        <v>453</v>
      </c>
      <c r="I190">
        <v>150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67</v>
      </c>
      <c r="S190">
        <v>469</v>
      </c>
      <c r="V190">
        <v>1</v>
      </c>
      <c r="W190" t="s">
        <v>454</v>
      </c>
    </row>
    <row r="191" spans="1:23" x14ac:dyDescent="0.25">
      <c r="H191" t="s">
        <v>455</v>
      </c>
    </row>
    <row r="192" spans="1:23" x14ac:dyDescent="0.25">
      <c r="A192">
        <v>93</v>
      </c>
      <c r="B192">
        <v>4644</v>
      </c>
      <c r="C192" t="s">
        <v>456</v>
      </c>
      <c r="D192" t="s">
        <v>122</v>
      </c>
      <c r="E192" t="s">
        <v>37</v>
      </c>
      <c r="F192" t="s">
        <v>457</v>
      </c>
      <c r="G192" t="str">
        <f>"201511040589"</f>
        <v>201511040589</v>
      </c>
      <c r="H192">
        <v>803</v>
      </c>
      <c r="I192">
        <v>150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74</v>
      </c>
      <c r="S192">
        <v>518</v>
      </c>
      <c r="V192">
        <v>3</v>
      </c>
      <c r="W192">
        <v>1471</v>
      </c>
    </row>
    <row r="193" spans="1:23" x14ac:dyDescent="0.25">
      <c r="H193" t="s">
        <v>458</v>
      </c>
    </row>
    <row r="194" spans="1:23" x14ac:dyDescent="0.25">
      <c r="A194">
        <v>94</v>
      </c>
      <c r="B194">
        <v>4990</v>
      </c>
      <c r="C194" t="s">
        <v>459</v>
      </c>
      <c r="D194" t="s">
        <v>351</v>
      </c>
      <c r="E194" t="s">
        <v>80</v>
      </c>
      <c r="F194" t="s">
        <v>460</v>
      </c>
      <c r="G194" t="str">
        <f>"201511040618"</f>
        <v>201511040618</v>
      </c>
      <c r="H194" t="s">
        <v>461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65</v>
      </c>
      <c r="S194">
        <v>455</v>
      </c>
      <c r="V194">
        <v>1</v>
      </c>
      <c r="W194" t="s">
        <v>462</v>
      </c>
    </row>
    <row r="195" spans="1:23" x14ac:dyDescent="0.25">
      <c r="H195" t="s">
        <v>463</v>
      </c>
    </row>
    <row r="196" spans="1:23" x14ac:dyDescent="0.25">
      <c r="A196">
        <v>95</v>
      </c>
      <c r="B196">
        <v>3104</v>
      </c>
      <c r="C196" t="s">
        <v>464</v>
      </c>
      <c r="D196" t="s">
        <v>465</v>
      </c>
      <c r="E196" t="s">
        <v>154</v>
      </c>
      <c r="F196" t="s">
        <v>466</v>
      </c>
      <c r="G196" t="str">
        <f>"201511042050"</f>
        <v>201511042050</v>
      </c>
      <c r="H196" t="s">
        <v>467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128</v>
      </c>
      <c r="S196">
        <v>588</v>
      </c>
      <c r="V196">
        <v>1</v>
      </c>
      <c r="W196" t="s">
        <v>468</v>
      </c>
    </row>
    <row r="197" spans="1:23" x14ac:dyDescent="0.25">
      <c r="H197" t="s">
        <v>469</v>
      </c>
    </row>
    <row r="198" spans="1:23" x14ac:dyDescent="0.25">
      <c r="A198">
        <v>96</v>
      </c>
      <c r="B198">
        <v>1939</v>
      </c>
      <c r="C198" t="s">
        <v>470</v>
      </c>
      <c r="D198" t="s">
        <v>157</v>
      </c>
      <c r="E198" t="s">
        <v>158</v>
      </c>
      <c r="F198" t="s">
        <v>471</v>
      </c>
      <c r="G198" t="str">
        <f>"201511022621"</f>
        <v>201511022621</v>
      </c>
      <c r="H198">
        <v>935</v>
      </c>
      <c r="I198">
        <v>150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55</v>
      </c>
      <c r="S198">
        <v>385</v>
      </c>
      <c r="V198">
        <v>1</v>
      </c>
      <c r="W198">
        <v>1470</v>
      </c>
    </row>
    <row r="199" spans="1:23" x14ac:dyDescent="0.25">
      <c r="H199" t="s">
        <v>472</v>
      </c>
    </row>
    <row r="200" spans="1:23" x14ac:dyDescent="0.25">
      <c r="A200">
        <v>97</v>
      </c>
      <c r="B200">
        <v>4600</v>
      </c>
      <c r="C200" t="s">
        <v>473</v>
      </c>
      <c r="D200" t="s">
        <v>109</v>
      </c>
      <c r="E200" t="s">
        <v>474</v>
      </c>
      <c r="F200" t="s">
        <v>475</v>
      </c>
      <c r="G200" t="str">
        <f>"00090363"</f>
        <v>00090363</v>
      </c>
      <c r="H200" t="s">
        <v>476</v>
      </c>
      <c r="I200">
        <v>150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118</v>
      </c>
      <c r="S200">
        <v>588</v>
      </c>
      <c r="V200">
        <v>1</v>
      </c>
      <c r="W200" t="s">
        <v>477</v>
      </c>
    </row>
    <row r="201" spans="1:23" x14ac:dyDescent="0.25">
      <c r="H201" t="s">
        <v>478</v>
      </c>
    </row>
    <row r="202" spans="1:23" x14ac:dyDescent="0.25">
      <c r="A202">
        <v>98</v>
      </c>
      <c r="B202">
        <v>210</v>
      </c>
      <c r="C202" t="s">
        <v>479</v>
      </c>
      <c r="D202" t="s">
        <v>480</v>
      </c>
      <c r="E202" t="s">
        <v>481</v>
      </c>
      <c r="F202" t="s">
        <v>482</v>
      </c>
      <c r="G202" t="str">
        <f>"201511009001"</f>
        <v>201511009001</v>
      </c>
      <c r="H202">
        <v>869</v>
      </c>
      <c r="I202">
        <v>150</v>
      </c>
      <c r="J202">
        <v>30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60</v>
      </c>
      <c r="S202">
        <v>420</v>
      </c>
      <c r="V202">
        <v>1</v>
      </c>
      <c r="W202">
        <v>1469</v>
      </c>
    </row>
    <row r="203" spans="1:23" x14ac:dyDescent="0.25">
      <c r="H203">
        <v>846</v>
      </c>
    </row>
    <row r="204" spans="1:23" x14ac:dyDescent="0.25">
      <c r="A204">
        <v>99</v>
      </c>
      <c r="B204">
        <v>2769</v>
      </c>
      <c r="C204" t="s">
        <v>483</v>
      </c>
      <c r="D204" t="s">
        <v>484</v>
      </c>
      <c r="E204" t="s">
        <v>485</v>
      </c>
      <c r="F204" t="s">
        <v>486</v>
      </c>
      <c r="G204" t="str">
        <f>"201510003684"</f>
        <v>201510003684</v>
      </c>
      <c r="H204" t="s">
        <v>487</v>
      </c>
      <c r="I204">
        <v>150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67</v>
      </c>
      <c r="S204">
        <v>469</v>
      </c>
      <c r="V204">
        <v>1</v>
      </c>
      <c r="W204" t="s">
        <v>488</v>
      </c>
    </row>
    <row r="205" spans="1:23" x14ac:dyDescent="0.25">
      <c r="H205" t="s">
        <v>489</v>
      </c>
    </row>
    <row r="206" spans="1:23" x14ac:dyDescent="0.25">
      <c r="A206">
        <v>100</v>
      </c>
      <c r="B206">
        <v>8795</v>
      </c>
      <c r="C206" t="s">
        <v>490</v>
      </c>
      <c r="D206" t="s">
        <v>491</v>
      </c>
      <c r="E206" t="s">
        <v>37</v>
      </c>
      <c r="F206" t="s">
        <v>492</v>
      </c>
      <c r="G206" t="str">
        <f>"201511021949"</f>
        <v>201511021949</v>
      </c>
      <c r="H206">
        <v>880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144</v>
      </c>
      <c r="S206">
        <v>588</v>
      </c>
      <c r="V206">
        <v>1</v>
      </c>
      <c r="W206">
        <v>1468</v>
      </c>
    </row>
    <row r="207" spans="1:23" x14ac:dyDescent="0.25">
      <c r="H207">
        <v>818</v>
      </c>
    </row>
    <row r="208" spans="1:23" x14ac:dyDescent="0.25">
      <c r="A208">
        <v>101</v>
      </c>
      <c r="B208">
        <v>4962</v>
      </c>
      <c r="C208" t="s">
        <v>493</v>
      </c>
      <c r="D208" t="s">
        <v>494</v>
      </c>
      <c r="E208" t="s">
        <v>56</v>
      </c>
      <c r="F208" t="s">
        <v>495</v>
      </c>
      <c r="G208" t="str">
        <f>"00077064"</f>
        <v>00077064</v>
      </c>
      <c r="H208">
        <v>880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98</v>
      </c>
      <c r="S208">
        <v>588</v>
      </c>
      <c r="V208">
        <v>1</v>
      </c>
      <c r="W208">
        <v>1468</v>
      </c>
    </row>
    <row r="209" spans="1:23" x14ac:dyDescent="0.25">
      <c r="H209">
        <v>875</v>
      </c>
    </row>
    <row r="210" spans="1:23" x14ac:dyDescent="0.25">
      <c r="A210">
        <v>102</v>
      </c>
      <c r="B210">
        <v>1844</v>
      </c>
      <c r="C210" t="s">
        <v>496</v>
      </c>
      <c r="D210" t="s">
        <v>351</v>
      </c>
      <c r="E210" t="s">
        <v>37</v>
      </c>
      <c r="F210" t="s">
        <v>497</v>
      </c>
      <c r="G210" t="str">
        <f>"00044695"</f>
        <v>00044695</v>
      </c>
      <c r="H210">
        <v>880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143</v>
      </c>
      <c r="S210">
        <v>588</v>
      </c>
      <c r="V210">
        <v>1</v>
      </c>
      <c r="W210">
        <v>1468</v>
      </c>
    </row>
    <row r="211" spans="1:23" x14ac:dyDescent="0.25">
      <c r="H211" t="s">
        <v>498</v>
      </c>
    </row>
    <row r="212" spans="1:23" x14ac:dyDescent="0.25">
      <c r="A212">
        <v>103</v>
      </c>
      <c r="B212">
        <v>696</v>
      </c>
      <c r="C212" t="s">
        <v>499</v>
      </c>
      <c r="D212" t="s">
        <v>500</v>
      </c>
      <c r="E212" t="s">
        <v>501</v>
      </c>
      <c r="F212" t="s">
        <v>502</v>
      </c>
      <c r="G212" t="str">
        <f>"201511035754"</f>
        <v>201511035754</v>
      </c>
      <c r="H212">
        <v>1100</v>
      </c>
      <c r="I212">
        <v>150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31</v>
      </c>
      <c r="S212">
        <v>217</v>
      </c>
      <c r="V212">
        <v>1</v>
      </c>
      <c r="W212">
        <v>1467</v>
      </c>
    </row>
    <row r="213" spans="1:23" x14ac:dyDescent="0.25">
      <c r="H213" t="s">
        <v>503</v>
      </c>
    </row>
    <row r="214" spans="1:23" x14ac:dyDescent="0.25">
      <c r="A214">
        <v>104</v>
      </c>
      <c r="B214">
        <v>696</v>
      </c>
      <c r="C214" t="s">
        <v>499</v>
      </c>
      <c r="D214" t="s">
        <v>500</v>
      </c>
      <c r="E214" t="s">
        <v>501</v>
      </c>
      <c r="F214" t="s">
        <v>502</v>
      </c>
      <c r="G214" t="str">
        <f>"201511035754"</f>
        <v>201511035754</v>
      </c>
      <c r="H214">
        <v>1100</v>
      </c>
      <c r="I214">
        <v>150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31</v>
      </c>
      <c r="S214">
        <v>217</v>
      </c>
      <c r="T214">
        <v>8</v>
      </c>
      <c r="U214">
        <v>839</v>
      </c>
      <c r="V214">
        <v>1</v>
      </c>
      <c r="W214">
        <v>1467</v>
      </c>
    </row>
    <row r="215" spans="1:23" x14ac:dyDescent="0.25">
      <c r="H215" t="s">
        <v>503</v>
      </c>
    </row>
    <row r="216" spans="1:23" x14ac:dyDescent="0.25">
      <c r="A216">
        <v>105</v>
      </c>
      <c r="B216">
        <v>9889</v>
      </c>
      <c r="C216" t="s">
        <v>504</v>
      </c>
      <c r="D216" t="s">
        <v>505</v>
      </c>
      <c r="E216" t="s">
        <v>80</v>
      </c>
      <c r="F216" t="s">
        <v>506</v>
      </c>
      <c r="G216" t="str">
        <f>"201008000159"</f>
        <v>201008000159</v>
      </c>
      <c r="H216">
        <v>913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79</v>
      </c>
      <c r="S216">
        <v>553</v>
      </c>
      <c r="V216">
        <v>1</v>
      </c>
      <c r="W216">
        <v>1466</v>
      </c>
    </row>
    <row r="217" spans="1:23" x14ac:dyDescent="0.25">
      <c r="H217" t="s">
        <v>507</v>
      </c>
    </row>
    <row r="218" spans="1:23" x14ac:dyDescent="0.25">
      <c r="A218">
        <v>106</v>
      </c>
      <c r="B218">
        <v>3526</v>
      </c>
      <c r="C218" t="s">
        <v>508</v>
      </c>
      <c r="D218" t="s">
        <v>51</v>
      </c>
      <c r="E218" t="s">
        <v>509</v>
      </c>
      <c r="F218" t="s">
        <v>510</v>
      </c>
      <c r="G218" t="str">
        <f>"201405001574"</f>
        <v>201405001574</v>
      </c>
      <c r="H218">
        <v>858</v>
      </c>
      <c r="I218">
        <v>150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65</v>
      </c>
      <c r="S218">
        <v>455</v>
      </c>
      <c r="V218">
        <v>1</v>
      </c>
      <c r="W218">
        <v>1463</v>
      </c>
    </row>
    <row r="219" spans="1:23" x14ac:dyDescent="0.25">
      <c r="H219" t="s">
        <v>511</v>
      </c>
    </row>
    <row r="220" spans="1:23" x14ac:dyDescent="0.25">
      <c r="A220">
        <v>107</v>
      </c>
      <c r="B220">
        <v>8830</v>
      </c>
      <c r="C220" t="s">
        <v>512</v>
      </c>
      <c r="D220" t="s">
        <v>513</v>
      </c>
      <c r="E220" t="s">
        <v>276</v>
      </c>
      <c r="F220" t="s">
        <v>514</v>
      </c>
      <c r="G220" t="str">
        <f>"00042200"</f>
        <v>00042200</v>
      </c>
      <c r="H220" t="s">
        <v>515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70</v>
      </c>
      <c r="P220">
        <v>0</v>
      </c>
      <c r="Q220">
        <v>0</v>
      </c>
      <c r="R220">
        <v>72</v>
      </c>
      <c r="S220">
        <v>504</v>
      </c>
      <c r="V220">
        <v>3</v>
      </c>
      <c r="W220" t="s">
        <v>516</v>
      </c>
    </row>
    <row r="221" spans="1:23" x14ac:dyDescent="0.25">
      <c r="H221" t="s">
        <v>517</v>
      </c>
    </row>
    <row r="222" spans="1:23" x14ac:dyDescent="0.25">
      <c r="A222">
        <v>108</v>
      </c>
      <c r="B222">
        <v>1019</v>
      </c>
      <c r="C222" t="s">
        <v>518</v>
      </c>
      <c r="D222" t="s">
        <v>392</v>
      </c>
      <c r="E222" t="s">
        <v>109</v>
      </c>
      <c r="F222" t="s">
        <v>519</v>
      </c>
      <c r="G222" t="str">
        <f>"201511033980"</f>
        <v>201511033980</v>
      </c>
      <c r="H222" t="s">
        <v>407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98</v>
      </c>
      <c r="S222">
        <v>588</v>
      </c>
      <c r="V222">
        <v>1</v>
      </c>
      <c r="W222" t="s">
        <v>520</v>
      </c>
    </row>
    <row r="223" spans="1:23" x14ac:dyDescent="0.25">
      <c r="H223" t="s">
        <v>521</v>
      </c>
    </row>
    <row r="224" spans="1:23" x14ac:dyDescent="0.25">
      <c r="A224">
        <v>109</v>
      </c>
      <c r="B224">
        <v>2171</v>
      </c>
      <c r="C224" t="s">
        <v>522</v>
      </c>
      <c r="D224" t="s">
        <v>523</v>
      </c>
      <c r="E224" t="s">
        <v>229</v>
      </c>
      <c r="F224" t="s">
        <v>524</v>
      </c>
      <c r="G224" t="str">
        <f>"201511012395"</f>
        <v>201511012395</v>
      </c>
      <c r="H224" t="s">
        <v>407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84</v>
      </c>
      <c r="S224">
        <v>588</v>
      </c>
      <c r="V224">
        <v>1</v>
      </c>
      <c r="W224" t="s">
        <v>520</v>
      </c>
    </row>
    <row r="225" spans="1:23" x14ac:dyDescent="0.25">
      <c r="H225" t="s">
        <v>525</v>
      </c>
    </row>
    <row r="226" spans="1:23" x14ac:dyDescent="0.25">
      <c r="A226">
        <v>110</v>
      </c>
      <c r="B226">
        <v>6904</v>
      </c>
      <c r="C226" t="s">
        <v>526</v>
      </c>
      <c r="D226" t="s">
        <v>527</v>
      </c>
      <c r="E226" t="s">
        <v>154</v>
      </c>
      <c r="F226" t="s">
        <v>528</v>
      </c>
      <c r="G226" t="str">
        <f>"201410012478"</f>
        <v>201410012478</v>
      </c>
      <c r="H226" t="s">
        <v>529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235</v>
      </c>
      <c r="S226">
        <v>588</v>
      </c>
      <c r="V226">
        <v>1</v>
      </c>
      <c r="W226" t="s">
        <v>530</v>
      </c>
    </row>
    <row r="227" spans="1:23" x14ac:dyDescent="0.25">
      <c r="H227" t="s">
        <v>531</v>
      </c>
    </row>
    <row r="228" spans="1:23" x14ac:dyDescent="0.25">
      <c r="A228">
        <v>111</v>
      </c>
      <c r="B228">
        <v>7828</v>
      </c>
      <c r="C228" t="s">
        <v>532</v>
      </c>
      <c r="D228" t="s">
        <v>533</v>
      </c>
      <c r="E228" t="s">
        <v>37</v>
      </c>
      <c r="F228" t="s">
        <v>534</v>
      </c>
      <c r="G228" t="str">
        <f>"201412007359"</f>
        <v>201412007359</v>
      </c>
      <c r="H228" t="s">
        <v>535</v>
      </c>
      <c r="I228">
        <v>150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84</v>
      </c>
      <c r="S228">
        <v>588</v>
      </c>
      <c r="V228">
        <v>1</v>
      </c>
      <c r="W228" t="s">
        <v>536</v>
      </c>
    </row>
    <row r="229" spans="1:23" x14ac:dyDescent="0.25">
      <c r="H229" t="s">
        <v>537</v>
      </c>
    </row>
    <row r="230" spans="1:23" x14ac:dyDescent="0.25">
      <c r="A230">
        <v>112</v>
      </c>
      <c r="B230">
        <v>4502</v>
      </c>
      <c r="C230" t="s">
        <v>538</v>
      </c>
      <c r="D230" t="s">
        <v>539</v>
      </c>
      <c r="E230" t="s">
        <v>327</v>
      </c>
      <c r="F230" t="s">
        <v>540</v>
      </c>
      <c r="G230" t="str">
        <f>"201510003516"</f>
        <v>201510003516</v>
      </c>
      <c r="H230">
        <v>1034</v>
      </c>
      <c r="I230">
        <v>150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39</v>
      </c>
      <c r="S230">
        <v>273</v>
      </c>
      <c r="V230">
        <v>1</v>
      </c>
      <c r="W230">
        <v>1457</v>
      </c>
    </row>
    <row r="231" spans="1:23" x14ac:dyDescent="0.25">
      <c r="H231" t="s">
        <v>541</v>
      </c>
    </row>
    <row r="232" spans="1:23" x14ac:dyDescent="0.25">
      <c r="A232">
        <v>113</v>
      </c>
      <c r="B232">
        <v>9797</v>
      </c>
      <c r="C232" t="s">
        <v>542</v>
      </c>
      <c r="D232" t="s">
        <v>543</v>
      </c>
      <c r="E232" t="s">
        <v>184</v>
      </c>
      <c r="F232" t="s">
        <v>544</v>
      </c>
      <c r="G232" t="str">
        <f>"201511011611"</f>
        <v>201511011611</v>
      </c>
      <c r="H232">
        <v>869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108</v>
      </c>
      <c r="S232">
        <v>588</v>
      </c>
      <c r="V232">
        <v>1</v>
      </c>
      <c r="W232">
        <v>1457</v>
      </c>
    </row>
    <row r="233" spans="1:23" x14ac:dyDescent="0.25">
      <c r="H233" t="s">
        <v>545</v>
      </c>
    </row>
    <row r="234" spans="1:23" x14ac:dyDescent="0.25">
      <c r="A234">
        <v>114</v>
      </c>
      <c r="B234">
        <v>5022</v>
      </c>
      <c r="C234" t="s">
        <v>546</v>
      </c>
      <c r="D234" t="s">
        <v>20</v>
      </c>
      <c r="E234" t="s">
        <v>268</v>
      </c>
      <c r="F234" t="s">
        <v>547</v>
      </c>
      <c r="G234" t="str">
        <f>"00051698"</f>
        <v>00051698</v>
      </c>
      <c r="H234">
        <v>803</v>
      </c>
      <c r="I234">
        <v>150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72</v>
      </c>
      <c r="S234">
        <v>504</v>
      </c>
      <c r="T234">
        <v>8</v>
      </c>
      <c r="U234" t="s">
        <v>548</v>
      </c>
      <c r="V234">
        <v>1</v>
      </c>
      <c r="W234">
        <v>1457</v>
      </c>
    </row>
    <row r="235" spans="1:23" x14ac:dyDescent="0.25">
      <c r="H235" t="s">
        <v>549</v>
      </c>
    </row>
    <row r="236" spans="1:23" x14ac:dyDescent="0.25">
      <c r="A236">
        <v>115</v>
      </c>
      <c r="B236">
        <v>5022</v>
      </c>
      <c r="C236" t="s">
        <v>546</v>
      </c>
      <c r="D236" t="s">
        <v>20</v>
      </c>
      <c r="E236" t="s">
        <v>268</v>
      </c>
      <c r="F236" t="s">
        <v>547</v>
      </c>
      <c r="G236" t="str">
        <f>"00051698"</f>
        <v>00051698</v>
      </c>
      <c r="H236">
        <v>803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72</v>
      </c>
      <c r="S236">
        <v>504</v>
      </c>
      <c r="V236">
        <v>1</v>
      </c>
      <c r="W236">
        <v>1457</v>
      </c>
    </row>
    <row r="237" spans="1:23" x14ac:dyDescent="0.25">
      <c r="H237" t="s">
        <v>549</v>
      </c>
    </row>
    <row r="238" spans="1:23" x14ac:dyDescent="0.25">
      <c r="A238">
        <v>116</v>
      </c>
      <c r="B238">
        <v>7137</v>
      </c>
      <c r="C238" t="s">
        <v>550</v>
      </c>
      <c r="D238" t="s">
        <v>551</v>
      </c>
      <c r="E238" t="s">
        <v>552</v>
      </c>
      <c r="F238" t="s">
        <v>553</v>
      </c>
      <c r="G238" t="str">
        <f>"00030449"</f>
        <v>00030449</v>
      </c>
      <c r="H238" t="s">
        <v>554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80</v>
      </c>
      <c r="S238">
        <v>560</v>
      </c>
      <c r="V238">
        <v>1</v>
      </c>
      <c r="W238" t="s">
        <v>555</v>
      </c>
    </row>
    <row r="239" spans="1:23" x14ac:dyDescent="0.25">
      <c r="H239" t="s">
        <v>556</v>
      </c>
    </row>
    <row r="240" spans="1:23" x14ac:dyDescent="0.25">
      <c r="A240">
        <v>117</v>
      </c>
      <c r="B240">
        <v>3308</v>
      </c>
      <c r="C240" t="s">
        <v>557</v>
      </c>
      <c r="D240" t="s">
        <v>382</v>
      </c>
      <c r="E240" t="s">
        <v>299</v>
      </c>
      <c r="F240" t="s">
        <v>558</v>
      </c>
      <c r="G240" t="str">
        <f>"201511041334"</f>
        <v>201511041334</v>
      </c>
      <c r="H240" t="s">
        <v>559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84</v>
      </c>
      <c r="S240">
        <v>588</v>
      </c>
      <c r="V240">
        <v>1</v>
      </c>
      <c r="W240" t="s">
        <v>560</v>
      </c>
    </row>
    <row r="241" spans="1:23" x14ac:dyDescent="0.25">
      <c r="H241" t="s">
        <v>561</v>
      </c>
    </row>
    <row r="242" spans="1:23" x14ac:dyDescent="0.25">
      <c r="A242">
        <v>118</v>
      </c>
      <c r="B242">
        <v>3714</v>
      </c>
      <c r="C242" t="s">
        <v>562</v>
      </c>
      <c r="D242" t="s">
        <v>563</v>
      </c>
      <c r="E242" t="s">
        <v>20</v>
      </c>
      <c r="F242" t="s">
        <v>564</v>
      </c>
      <c r="G242" t="str">
        <f>"201511024805"</f>
        <v>201511024805</v>
      </c>
      <c r="H242" t="s">
        <v>565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212</v>
      </c>
      <c r="S242">
        <v>588</v>
      </c>
      <c r="V242">
        <v>1</v>
      </c>
      <c r="W242" t="s">
        <v>566</v>
      </c>
    </row>
    <row r="243" spans="1:23" x14ac:dyDescent="0.25">
      <c r="H243" t="s">
        <v>567</v>
      </c>
    </row>
    <row r="244" spans="1:23" x14ac:dyDescent="0.25">
      <c r="A244">
        <v>119</v>
      </c>
      <c r="B244">
        <v>10498</v>
      </c>
      <c r="C244" t="s">
        <v>568</v>
      </c>
      <c r="D244" t="s">
        <v>172</v>
      </c>
      <c r="E244" t="s">
        <v>56</v>
      </c>
      <c r="F244" t="s">
        <v>569</v>
      </c>
      <c r="G244" t="str">
        <f>"201103000133"</f>
        <v>201103000133</v>
      </c>
      <c r="H244">
        <v>990</v>
      </c>
      <c r="I244">
        <v>150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44</v>
      </c>
      <c r="S244">
        <v>308</v>
      </c>
      <c r="V244">
        <v>1</v>
      </c>
      <c r="W244">
        <v>1448</v>
      </c>
    </row>
    <row r="245" spans="1:23" x14ac:dyDescent="0.25">
      <c r="H245" t="s">
        <v>570</v>
      </c>
    </row>
    <row r="246" spans="1:23" x14ac:dyDescent="0.25">
      <c r="A246">
        <v>120</v>
      </c>
      <c r="B246">
        <v>7303</v>
      </c>
      <c r="C246" t="s">
        <v>571</v>
      </c>
      <c r="D246" t="s">
        <v>172</v>
      </c>
      <c r="E246" t="s">
        <v>80</v>
      </c>
      <c r="F246" t="s">
        <v>572</v>
      </c>
      <c r="G246" t="str">
        <f>"00095028"</f>
        <v>00095028</v>
      </c>
      <c r="H246" t="s">
        <v>573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55</v>
      </c>
      <c r="S246">
        <v>385</v>
      </c>
      <c r="V246">
        <v>1</v>
      </c>
      <c r="W246" t="s">
        <v>574</v>
      </c>
    </row>
    <row r="247" spans="1:23" x14ac:dyDescent="0.25">
      <c r="H247" t="s">
        <v>575</v>
      </c>
    </row>
    <row r="248" spans="1:23" x14ac:dyDescent="0.25">
      <c r="A248">
        <v>121</v>
      </c>
      <c r="B248">
        <v>2845</v>
      </c>
      <c r="C248" t="s">
        <v>576</v>
      </c>
      <c r="D248" t="s">
        <v>276</v>
      </c>
      <c r="E248" t="s">
        <v>184</v>
      </c>
      <c r="F248" t="s">
        <v>577</v>
      </c>
      <c r="G248" t="str">
        <f>"201502003837"</f>
        <v>201502003837</v>
      </c>
      <c r="H248">
        <v>704</v>
      </c>
      <c r="I248">
        <v>150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119</v>
      </c>
      <c r="S248">
        <v>588</v>
      </c>
      <c r="V248">
        <v>1</v>
      </c>
      <c r="W248">
        <v>1442</v>
      </c>
    </row>
    <row r="249" spans="1:23" x14ac:dyDescent="0.25">
      <c r="H249" t="s">
        <v>578</v>
      </c>
    </row>
    <row r="250" spans="1:23" x14ac:dyDescent="0.25">
      <c r="A250">
        <v>122</v>
      </c>
      <c r="B250">
        <v>6088</v>
      </c>
      <c r="C250" t="s">
        <v>579</v>
      </c>
      <c r="D250" t="s">
        <v>37</v>
      </c>
      <c r="E250" t="s">
        <v>154</v>
      </c>
      <c r="F250" t="s">
        <v>580</v>
      </c>
      <c r="G250" t="str">
        <f>"201401000771"</f>
        <v>201401000771</v>
      </c>
      <c r="H250" t="s">
        <v>581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112</v>
      </c>
      <c r="S250">
        <v>588</v>
      </c>
      <c r="V250">
        <v>1</v>
      </c>
      <c r="W250" t="s">
        <v>582</v>
      </c>
    </row>
    <row r="251" spans="1:23" x14ac:dyDescent="0.25">
      <c r="H251" t="s">
        <v>583</v>
      </c>
    </row>
    <row r="252" spans="1:23" x14ac:dyDescent="0.25">
      <c r="A252">
        <v>123</v>
      </c>
      <c r="B252">
        <v>5598</v>
      </c>
      <c r="C252" t="s">
        <v>584</v>
      </c>
      <c r="D252" t="s">
        <v>128</v>
      </c>
      <c r="E252" t="s">
        <v>20</v>
      </c>
      <c r="F252" t="s">
        <v>585</v>
      </c>
      <c r="G252" t="str">
        <f>"201511039777"</f>
        <v>201511039777</v>
      </c>
      <c r="H252">
        <v>847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245</v>
      </c>
      <c r="S252">
        <v>588</v>
      </c>
      <c r="V252">
        <v>1</v>
      </c>
      <c r="W252">
        <v>1435</v>
      </c>
    </row>
    <row r="253" spans="1:23" x14ac:dyDescent="0.25">
      <c r="H253" t="s">
        <v>586</v>
      </c>
    </row>
    <row r="254" spans="1:23" x14ac:dyDescent="0.25">
      <c r="A254">
        <v>124</v>
      </c>
      <c r="B254">
        <v>1522</v>
      </c>
      <c r="C254" t="s">
        <v>587</v>
      </c>
      <c r="D254" t="s">
        <v>588</v>
      </c>
      <c r="E254" t="s">
        <v>154</v>
      </c>
      <c r="F254" t="s">
        <v>589</v>
      </c>
      <c r="G254" t="str">
        <f>"201511021587"</f>
        <v>201511021587</v>
      </c>
      <c r="H254">
        <v>847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171</v>
      </c>
      <c r="S254">
        <v>588</v>
      </c>
      <c r="V254">
        <v>1</v>
      </c>
      <c r="W254">
        <v>1435</v>
      </c>
    </row>
    <row r="255" spans="1:23" x14ac:dyDescent="0.25">
      <c r="H255" t="s">
        <v>590</v>
      </c>
    </row>
    <row r="256" spans="1:23" x14ac:dyDescent="0.25">
      <c r="A256">
        <v>125</v>
      </c>
      <c r="B256">
        <v>4028</v>
      </c>
      <c r="C256" t="s">
        <v>429</v>
      </c>
      <c r="D256" t="s">
        <v>208</v>
      </c>
      <c r="E256" t="s">
        <v>276</v>
      </c>
      <c r="F256" t="s">
        <v>591</v>
      </c>
      <c r="G256" t="str">
        <f>"00041887"</f>
        <v>00041887</v>
      </c>
      <c r="H256" t="s">
        <v>592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110</v>
      </c>
      <c r="S256">
        <v>588</v>
      </c>
      <c r="V256">
        <v>1</v>
      </c>
      <c r="W256" t="s">
        <v>593</v>
      </c>
    </row>
    <row r="257" spans="1:23" x14ac:dyDescent="0.25">
      <c r="H257" t="s">
        <v>594</v>
      </c>
    </row>
    <row r="258" spans="1:23" x14ac:dyDescent="0.25">
      <c r="A258">
        <v>126</v>
      </c>
      <c r="B258">
        <v>5331</v>
      </c>
      <c r="C258" t="s">
        <v>595</v>
      </c>
      <c r="D258" t="s">
        <v>392</v>
      </c>
      <c r="E258" t="s">
        <v>596</v>
      </c>
      <c r="F258" t="s">
        <v>597</v>
      </c>
      <c r="G258" t="str">
        <f>"201512001175"</f>
        <v>201512001175</v>
      </c>
      <c r="H258">
        <v>1034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57</v>
      </c>
      <c r="S258">
        <v>399</v>
      </c>
      <c r="V258">
        <v>3</v>
      </c>
      <c r="W258">
        <v>1433</v>
      </c>
    </row>
    <row r="259" spans="1:23" x14ac:dyDescent="0.25">
      <c r="H259" t="s">
        <v>598</v>
      </c>
    </row>
    <row r="260" spans="1:23" x14ac:dyDescent="0.25">
      <c r="A260">
        <v>127</v>
      </c>
      <c r="B260">
        <v>5331</v>
      </c>
      <c r="C260" t="s">
        <v>595</v>
      </c>
      <c r="D260" t="s">
        <v>392</v>
      </c>
      <c r="E260" t="s">
        <v>596</v>
      </c>
      <c r="F260" t="s">
        <v>597</v>
      </c>
      <c r="G260" t="str">
        <f>"201512001175"</f>
        <v>201512001175</v>
      </c>
      <c r="H260">
        <v>1034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57</v>
      </c>
      <c r="S260">
        <v>399</v>
      </c>
      <c r="T260">
        <v>8</v>
      </c>
      <c r="U260">
        <v>829</v>
      </c>
      <c r="V260">
        <v>3</v>
      </c>
      <c r="W260">
        <v>1433</v>
      </c>
    </row>
    <row r="261" spans="1:23" x14ac:dyDescent="0.25">
      <c r="H261" t="s">
        <v>598</v>
      </c>
    </row>
    <row r="262" spans="1:23" x14ac:dyDescent="0.25">
      <c r="A262">
        <v>128</v>
      </c>
      <c r="B262">
        <v>10414</v>
      </c>
      <c r="C262" t="s">
        <v>446</v>
      </c>
      <c r="D262" t="s">
        <v>115</v>
      </c>
      <c r="E262" t="s">
        <v>37</v>
      </c>
      <c r="F262" t="s">
        <v>599</v>
      </c>
      <c r="G262" t="str">
        <f>"00088290"</f>
        <v>00088290</v>
      </c>
      <c r="H262" t="s">
        <v>600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74</v>
      </c>
      <c r="S262">
        <v>518</v>
      </c>
      <c r="V262">
        <v>1</v>
      </c>
      <c r="W262" t="s">
        <v>601</v>
      </c>
    </row>
    <row r="263" spans="1:23" x14ac:dyDescent="0.25">
      <c r="H263" t="s">
        <v>602</v>
      </c>
    </row>
    <row r="264" spans="1:23" x14ac:dyDescent="0.25">
      <c r="A264">
        <v>129</v>
      </c>
      <c r="B264">
        <v>6651</v>
      </c>
      <c r="C264" t="s">
        <v>603</v>
      </c>
      <c r="D264" t="s">
        <v>122</v>
      </c>
      <c r="E264" t="s">
        <v>37</v>
      </c>
      <c r="F264" t="s">
        <v>604</v>
      </c>
      <c r="G264" t="str">
        <f>"00069037"</f>
        <v>00069037</v>
      </c>
      <c r="H264" t="s">
        <v>605</v>
      </c>
      <c r="I264">
        <v>150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89</v>
      </c>
      <c r="S264">
        <v>588</v>
      </c>
      <c r="V264">
        <v>1</v>
      </c>
      <c r="W264" t="s">
        <v>601</v>
      </c>
    </row>
    <row r="265" spans="1:23" x14ac:dyDescent="0.25">
      <c r="H265">
        <v>817</v>
      </c>
    </row>
    <row r="266" spans="1:23" x14ac:dyDescent="0.25">
      <c r="A266">
        <v>130</v>
      </c>
      <c r="B266">
        <v>4108</v>
      </c>
      <c r="C266" t="s">
        <v>606</v>
      </c>
      <c r="D266" t="s">
        <v>172</v>
      </c>
      <c r="E266" t="s">
        <v>71</v>
      </c>
      <c r="F266" t="s">
        <v>607</v>
      </c>
      <c r="G266" t="str">
        <f>"201511039696"</f>
        <v>201511039696</v>
      </c>
      <c r="H266" t="s">
        <v>592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82</v>
      </c>
      <c r="S266">
        <v>574</v>
      </c>
      <c r="V266">
        <v>1</v>
      </c>
      <c r="W266" t="s">
        <v>608</v>
      </c>
    </row>
    <row r="267" spans="1:23" x14ac:dyDescent="0.25">
      <c r="H267" t="s">
        <v>609</v>
      </c>
    </row>
    <row r="268" spans="1:23" x14ac:dyDescent="0.25">
      <c r="A268">
        <v>131</v>
      </c>
      <c r="B268">
        <v>465</v>
      </c>
      <c r="C268" t="s">
        <v>610</v>
      </c>
      <c r="D268" t="s">
        <v>611</v>
      </c>
      <c r="E268" t="s">
        <v>30</v>
      </c>
      <c r="F268" t="s">
        <v>612</v>
      </c>
      <c r="G268" t="str">
        <f>"201511015628"</f>
        <v>201511015628</v>
      </c>
      <c r="H268">
        <v>1056</v>
      </c>
      <c r="I268">
        <v>150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30</v>
      </c>
      <c r="S268">
        <v>210</v>
      </c>
      <c r="V268">
        <v>1</v>
      </c>
      <c r="W268">
        <v>1416</v>
      </c>
    </row>
    <row r="269" spans="1:23" x14ac:dyDescent="0.25">
      <c r="H269" t="s">
        <v>613</v>
      </c>
    </row>
    <row r="270" spans="1:23" x14ac:dyDescent="0.25">
      <c r="A270">
        <v>132</v>
      </c>
      <c r="B270">
        <v>7130</v>
      </c>
      <c r="C270" t="s">
        <v>614</v>
      </c>
      <c r="D270" t="s">
        <v>465</v>
      </c>
      <c r="E270" t="s">
        <v>37</v>
      </c>
      <c r="F270" t="s">
        <v>615</v>
      </c>
      <c r="G270" t="str">
        <f>"201511010317"</f>
        <v>201511010317</v>
      </c>
      <c r="H270">
        <v>825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155</v>
      </c>
      <c r="S270">
        <v>588</v>
      </c>
      <c r="V270">
        <v>1</v>
      </c>
      <c r="W270">
        <v>1413</v>
      </c>
    </row>
    <row r="271" spans="1:23" x14ac:dyDescent="0.25">
      <c r="H271" t="s">
        <v>616</v>
      </c>
    </row>
    <row r="272" spans="1:23" x14ac:dyDescent="0.25">
      <c r="A272">
        <v>133</v>
      </c>
      <c r="B272">
        <v>4323</v>
      </c>
      <c r="C272" t="s">
        <v>617</v>
      </c>
      <c r="D272" t="s">
        <v>51</v>
      </c>
      <c r="E272" t="s">
        <v>474</v>
      </c>
      <c r="F272" t="s">
        <v>618</v>
      </c>
      <c r="G272" t="str">
        <f>"00019315"</f>
        <v>00019315</v>
      </c>
      <c r="H272">
        <v>825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97</v>
      </c>
      <c r="S272">
        <v>588</v>
      </c>
      <c r="V272">
        <v>1</v>
      </c>
      <c r="W272">
        <v>1413</v>
      </c>
    </row>
    <row r="273" spans="1:23" x14ac:dyDescent="0.25">
      <c r="H273" t="s">
        <v>619</v>
      </c>
    </row>
    <row r="274" spans="1:23" x14ac:dyDescent="0.25">
      <c r="A274">
        <v>134</v>
      </c>
      <c r="B274">
        <v>8656</v>
      </c>
      <c r="C274" t="s">
        <v>620</v>
      </c>
      <c r="D274" t="s">
        <v>51</v>
      </c>
      <c r="E274" t="s">
        <v>184</v>
      </c>
      <c r="F274" t="s">
        <v>621</v>
      </c>
      <c r="G274" t="str">
        <f>"201511033739"</f>
        <v>201511033739</v>
      </c>
      <c r="H274">
        <v>825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110</v>
      </c>
      <c r="S274">
        <v>588</v>
      </c>
      <c r="V274">
        <v>1</v>
      </c>
      <c r="W274">
        <v>1413</v>
      </c>
    </row>
    <row r="275" spans="1:23" x14ac:dyDescent="0.25">
      <c r="H275" t="s">
        <v>622</v>
      </c>
    </row>
    <row r="276" spans="1:23" x14ac:dyDescent="0.25">
      <c r="A276">
        <v>135</v>
      </c>
      <c r="B276">
        <v>8551</v>
      </c>
      <c r="C276" t="s">
        <v>623</v>
      </c>
      <c r="D276" t="s">
        <v>56</v>
      </c>
      <c r="E276" t="s">
        <v>20</v>
      </c>
      <c r="F276" t="s">
        <v>624</v>
      </c>
      <c r="G276" t="str">
        <f>"00074930"</f>
        <v>00074930</v>
      </c>
      <c r="H276" t="s">
        <v>625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152</v>
      </c>
      <c r="S276">
        <v>588</v>
      </c>
      <c r="V276">
        <v>1</v>
      </c>
      <c r="W276" t="s">
        <v>626</v>
      </c>
    </row>
    <row r="277" spans="1:23" x14ac:dyDescent="0.25">
      <c r="H277" t="s">
        <v>627</v>
      </c>
    </row>
    <row r="278" spans="1:23" x14ac:dyDescent="0.25">
      <c r="A278">
        <v>136</v>
      </c>
      <c r="B278">
        <v>1169</v>
      </c>
      <c r="C278" t="s">
        <v>628</v>
      </c>
      <c r="D278" t="s">
        <v>351</v>
      </c>
      <c r="E278" t="s">
        <v>37</v>
      </c>
      <c r="F278" t="s">
        <v>629</v>
      </c>
      <c r="G278" t="str">
        <f>"201511023478"</f>
        <v>201511023478</v>
      </c>
      <c r="H278" t="s">
        <v>573</v>
      </c>
      <c r="I278">
        <v>150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28</v>
      </c>
      <c r="S278">
        <v>196</v>
      </c>
      <c r="V278">
        <v>1</v>
      </c>
      <c r="W278" t="s">
        <v>630</v>
      </c>
    </row>
    <row r="279" spans="1:23" x14ac:dyDescent="0.25">
      <c r="H279" t="s">
        <v>631</v>
      </c>
    </row>
    <row r="280" spans="1:23" x14ac:dyDescent="0.25">
      <c r="A280">
        <v>137</v>
      </c>
      <c r="B280">
        <v>330</v>
      </c>
      <c r="C280" t="s">
        <v>632</v>
      </c>
      <c r="D280" t="s">
        <v>51</v>
      </c>
      <c r="E280" t="s">
        <v>57</v>
      </c>
      <c r="F280" t="s">
        <v>633</v>
      </c>
      <c r="G280" t="str">
        <f>"201511009247"</f>
        <v>201511009247</v>
      </c>
      <c r="H280">
        <v>1001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58</v>
      </c>
      <c r="S280">
        <v>406</v>
      </c>
      <c r="V280">
        <v>1</v>
      </c>
      <c r="W280">
        <v>1407</v>
      </c>
    </row>
    <row r="281" spans="1:23" x14ac:dyDescent="0.25">
      <c r="H281" t="s">
        <v>634</v>
      </c>
    </row>
    <row r="282" spans="1:23" x14ac:dyDescent="0.25">
      <c r="A282">
        <v>138</v>
      </c>
      <c r="B282">
        <v>5848</v>
      </c>
      <c r="C282" t="s">
        <v>635</v>
      </c>
      <c r="D282" t="s">
        <v>465</v>
      </c>
      <c r="E282" t="s">
        <v>276</v>
      </c>
      <c r="F282" t="s">
        <v>636</v>
      </c>
      <c r="G282" t="str">
        <f>"00048053"</f>
        <v>00048053</v>
      </c>
      <c r="H282">
        <v>1067</v>
      </c>
      <c r="I282">
        <v>150</v>
      </c>
      <c r="J282">
        <v>30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22</v>
      </c>
      <c r="S282">
        <v>154</v>
      </c>
      <c r="V282">
        <v>1</v>
      </c>
      <c r="W282">
        <v>1401</v>
      </c>
    </row>
    <row r="283" spans="1:23" x14ac:dyDescent="0.25">
      <c r="H283" t="s">
        <v>637</v>
      </c>
    </row>
    <row r="284" spans="1:23" x14ac:dyDescent="0.25">
      <c r="A284">
        <v>139</v>
      </c>
      <c r="B284">
        <v>6314</v>
      </c>
      <c r="C284" t="s">
        <v>638</v>
      </c>
      <c r="D284" t="s">
        <v>639</v>
      </c>
      <c r="E284" t="s">
        <v>158</v>
      </c>
      <c r="F284" t="s">
        <v>640</v>
      </c>
      <c r="G284" t="str">
        <f>"201511024151"</f>
        <v>201511024151</v>
      </c>
      <c r="H284" t="s">
        <v>286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61</v>
      </c>
      <c r="S284">
        <v>427</v>
      </c>
      <c r="V284">
        <v>1</v>
      </c>
      <c r="W284" t="s">
        <v>641</v>
      </c>
    </row>
    <row r="285" spans="1:23" x14ac:dyDescent="0.25">
      <c r="H285" t="s">
        <v>642</v>
      </c>
    </row>
    <row r="286" spans="1:23" x14ac:dyDescent="0.25">
      <c r="A286">
        <v>140</v>
      </c>
      <c r="B286">
        <v>412</v>
      </c>
      <c r="C286" t="s">
        <v>643</v>
      </c>
      <c r="D286" t="s">
        <v>213</v>
      </c>
      <c r="E286" t="s">
        <v>20</v>
      </c>
      <c r="F286" t="s">
        <v>644</v>
      </c>
      <c r="G286" t="str">
        <f>"201502004040"</f>
        <v>201502004040</v>
      </c>
      <c r="H286" t="s">
        <v>600</v>
      </c>
      <c r="I286">
        <v>150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49</v>
      </c>
      <c r="S286">
        <v>343</v>
      </c>
      <c r="V286">
        <v>1</v>
      </c>
      <c r="W286" t="s">
        <v>641</v>
      </c>
    </row>
    <row r="287" spans="1:23" x14ac:dyDescent="0.25">
      <c r="H287" t="s">
        <v>645</v>
      </c>
    </row>
    <row r="288" spans="1:23" x14ac:dyDescent="0.25">
      <c r="A288">
        <v>141</v>
      </c>
      <c r="B288">
        <v>6861</v>
      </c>
      <c r="C288" t="s">
        <v>646</v>
      </c>
      <c r="D288" t="s">
        <v>647</v>
      </c>
      <c r="E288" t="s">
        <v>648</v>
      </c>
      <c r="F288" t="s">
        <v>649</v>
      </c>
      <c r="G288" t="str">
        <f>"00029631"</f>
        <v>00029631</v>
      </c>
      <c r="H288" t="s">
        <v>301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138</v>
      </c>
      <c r="S288">
        <v>588</v>
      </c>
      <c r="V288">
        <v>1</v>
      </c>
      <c r="W288" t="s">
        <v>650</v>
      </c>
    </row>
    <row r="289" spans="1:23" x14ac:dyDescent="0.25">
      <c r="H289" t="s">
        <v>651</v>
      </c>
    </row>
    <row r="290" spans="1:23" x14ac:dyDescent="0.25">
      <c r="A290">
        <v>142</v>
      </c>
      <c r="B290">
        <v>1414</v>
      </c>
      <c r="C290" t="s">
        <v>652</v>
      </c>
      <c r="D290" t="s">
        <v>235</v>
      </c>
      <c r="E290" t="s">
        <v>276</v>
      </c>
      <c r="F290" t="s">
        <v>653</v>
      </c>
      <c r="G290" t="str">
        <f>"201511033759"</f>
        <v>201511033759</v>
      </c>
      <c r="H290" t="s">
        <v>264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147</v>
      </c>
      <c r="S290">
        <v>588</v>
      </c>
      <c r="V290">
        <v>1</v>
      </c>
      <c r="W290" t="s">
        <v>654</v>
      </c>
    </row>
    <row r="291" spans="1:23" x14ac:dyDescent="0.25">
      <c r="H291" t="s">
        <v>655</v>
      </c>
    </row>
    <row r="292" spans="1:23" x14ac:dyDescent="0.25">
      <c r="A292">
        <v>143</v>
      </c>
      <c r="B292">
        <v>1962</v>
      </c>
      <c r="C292" t="s">
        <v>656</v>
      </c>
      <c r="D292" t="s">
        <v>154</v>
      </c>
      <c r="E292" t="s">
        <v>327</v>
      </c>
      <c r="F292" t="s">
        <v>657</v>
      </c>
      <c r="G292" t="str">
        <f>"200806000136"</f>
        <v>200806000136</v>
      </c>
      <c r="H292">
        <v>990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58</v>
      </c>
      <c r="S292">
        <v>406</v>
      </c>
      <c r="V292">
        <v>1</v>
      </c>
      <c r="W292">
        <v>1396</v>
      </c>
    </row>
    <row r="293" spans="1:23" x14ac:dyDescent="0.25">
      <c r="H293" t="s">
        <v>658</v>
      </c>
    </row>
    <row r="294" spans="1:23" x14ac:dyDescent="0.25">
      <c r="A294">
        <v>144</v>
      </c>
      <c r="B294">
        <v>6405</v>
      </c>
      <c r="C294" t="s">
        <v>659</v>
      </c>
      <c r="D294" t="s">
        <v>190</v>
      </c>
      <c r="E294" t="s">
        <v>20</v>
      </c>
      <c r="F294" t="s">
        <v>660</v>
      </c>
      <c r="G294" t="str">
        <f>"00003223"</f>
        <v>00003223</v>
      </c>
      <c r="H294" t="s">
        <v>661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203</v>
      </c>
      <c r="S294">
        <v>588</v>
      </c>
      <c r="V294">
        <v>1</v>
      </c>
      <c r="W294" t="s">
        <v>662</v>
      </c>
    </row>
    <row r="295" spans="1:23" x14ac:dyDescent="0.25">
      <c r="H295">
        <v>817</v>
      </c>
    </row>
    <row r="296" spans="1:23" x14ac:dyDescent="0.25">
      <c r="A296">
        <v>145</v>
      </c>
      <c r="B296">
        <v>817</v>
      </c>
      <c r="C296" t="s">
        <v>663</v>
      </c>
      <c r="D296" t="s">
        <v>51</v>
      </c>
      <c r="E296" t="s">
        <v>664</v>
      </c>
      <c r="F296" t="s">
        <v>665</v>
      </c>
      <c r="G296" t="str">
        <f>"201511041015"</f>
        <v>201511041015</v>
      </c>
      <c r="H296" t="s">
        <v>661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133</v>
      </c>
      <c r="S296">
        <v>588</v>
      </c>
      <c r="V296">
        <v>3</v>
      </c>
      <c r="W296" t="s">
        <v>662</v>
      </c>
    </row>
    <row r="297" spans="1:23" x14ac:dyDescent="0.25">
      <c r="H297" t="s">
        <v>666</v>
      </c>
    </row>
    <row r="298" spans="1:23" x14ac:dyDescent="0.25">
      <c r="A298">
        <v>146</v>
      </c>
      <c r="B298">
        <v>9589</v>
      </c>
      <c r="C298" t="s">
        <v>493</v>
      </c>
      <c r="D298" t="s">
        <v>667</v>
      </c>
      <c r="E298" t="s">
        <v>158</v>
      </c>
      <c r="F298" t="s">
        <v>668</v>
      </c>
      <c r="G298" t="str">
        <f>"00080981"</f>
        <v>00080981</v>
      </c>
      <c r="H298" t="s">
        <v>669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175</v>
      </c>
      <c r="S298">
        <v>588</v>
      </c>
      <c r="V298">
        <v>1</v>
      </c>
      <c r="W298" t="s">
        <v>670</v>
      </c>
    </row>
    <row r="299" spans="1:23" x14ac:dyDescent="0.25">
      <c r="H299" t="s">
        <v>671</v>
      </c>
    </row>
    <row r="300" spans="1:23" x14ac:dyDescent="0.25">
      <c r="A300">
        <v>147</v>
      </c>
      <c r="B300">
        <v>3162</v>
      </c>
      <c r="C300" t="s">
        <v>672</v>
      </c>
      <c r="D300" t="s">
        <v>673</v>
      </c>
      <c r="E300" t="s">
        <v>474</v>
      </c>
      <c r="F300" t="s">
        <v>674</v>
      </c>
      <c r="G300" t="str">
        <f>"00042257"</f>
        <v>00042257</v>
      </c>
      <c r="H300">
        <v>1100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41</v>
      </c>
      <c r="S300">
        <v>287</v>
      </c>
      <c r="V300">
        <v>1</v>
      </c>
      <c r="W300">
        <v>1387</v>
      </c>
    </row>
    <row r="301" spans="1:23" x14ac:dyDescent="0.25">
      <c r="H301" t="s">
        <v>675</v>
      </c>
    </row>
    <row r="302" spans="1:23" x14ac:dyDescent="0.25">
      <c r="A302">
        <v>148</v>
      </c>
      <c r="B302">
        <v>9660</v>
      </c>
      <c r="C302" t="s">
        <v>676</v>
      </c>
      <c r="D302" t="s">
        <v>465</v>
      </c>
      <c r="E302" t="s">
        <v>71</v>
      </c>
      <c r="F302" t="s">
        <v>677</v>
      </c>
      <c r="G302" t="str">
        <f>"201511042842"</f>
        <v>201511042842</v>
      </c>
      <c r="H302" t="s">
        <v>286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59</v>
      </c>
      <c r="S302">
        <v>413</v>
      </c>
      <c r="V302">
        <v>1</v>
      </c>
      <c r="W302" t="s">
        <v>678</v>
      </c>
    </row>
    <row r="303" spans="1:23" x14ac:dyDescent="0.25">
      <c r="H303" t="s">
        <v>679</v>
      </c>
    </row>
    <row r="304" spans="1:23" x14ac:dyDescent="0.25">
      <c r="A304">
        <v>149</v>
      </c>
      <c r="B304">
        <v>7469</v>
      </c>
      <c r="C304" t="s">
        <v>680</v>
      </c>
      <c r="D304" t="s">
        <v>681</v>
      </c>
      <c r="E304" t="s">
        <v>15</v>
      </c>
      <c r="F304" t="s">
        <v>682</v>
      </c>
      <c r="G304" t="str">
        <f>"201511043178"</f>
        <v>201511043178</v>
      </c>
      <c r="H304" t="s">
        <v>264</v>
      </c>
      <c r="I304">
        <v>150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61</v>
      </c>
      <c r="S304">
        <v>427</v>
      </c>
      <c r="V304">
        <v>1</v>
      </c>
      <c r="W304" t="s">
        <v>683</v>
      </c>
    </row>
    <row r="305" spans="1:23" x14ac:dyDescent="0.25">
      <c r="H305" t="s">
        <v>684</v>
      </c>
    </row>
    <row r="306" spans="1:23" x14ac:dyDescent="0.25">
      <c r="A306">
        <v>150</v>
      </c>
      <c r="B306">
        <v>4823</v>
      </c>
      <c r="C306" t="s">
        <v>685</v>
      </c>
      <c r="D306" t="s">
        <v>686</v>
      </c>
      <c r="E306" t="s">
        <v>284</v>
      </c>
      <c r="F306" t="s">
        <v>687</v>
      </c>
      <c r="G306" t="str">
        <f>"200712004468"</f>
        <v>200712004468</v>
      </c>
      <c r="H306">
        <v>880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72</v>
      </c>
      <c r="S306">
        <v>504</v>
      </c>
      <c r="V306">
        <v>1</v>
      </c>
      <c r="W306">
        <v>1384</v>
      </c>
    </row>
    <row r="307" spans="1:23" x14ac:dyDescent="0.25">
      <c r="H307">
        <v>818</v>
      </c>
    </row>
    <row r="308" spans="1:23" x14ac:dyDescent="0.25">
      <c r="A308">
        <v>151</v>
      </c>
      <c r="B308">
        <v>6645</v>
      </c>
      <c r="C308" t="s">
        <v>688</v>
      </c>
      <c r="D308" t="s">
        <v>96</v>
      </c>
      <c r="E308" t="s">
        <v>276</v>
      </c>
      <c r="F308" t="s">
        <v>689</v>
      </c>
      <c r="G308" t="str">
        <f>"201511027084"</f>
        <v>201511027084</v>
      </c>
      <c r="H308">
        <v>979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57</v>
      </c>
      <c r="S308">
        <v>399</v>
      </c>
      <c r="V308">
        <v>3</v>
      </c>
      <c r="W308">
        <v>1378</v>
      </c>
    </row>
    <row r="309" spans="1:23" x14ac:dyDescent="0.25">
      <c r="H309" t="s">
        <v>690</v>
      </c>
    </row>
    <row r="310" spans="1:23" x14ac:dyDescent="0.25">
      <c r="A310">
        <v>152</v>
      </c>
      <c r="B310">
        <v>8515</v>
      </c>
      <c r="C310" t="s">
        <v>691</v>
      </c>
      <c r="D310" t="s">
        <v>37</v>
      </c>
      <c r="E310" t="s">
        <v>129</v>
      </c>
      <c r="F310" t="s">
        <v>692</v>
      </c>
      <c r="G310" t="str">
        <f>"201511013571"</f>
        <v>201511013571</v>
      </c>
      <c r="H310" t="s">
        <v>693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48</v>
      </c>
      <c r="S310">
        <v>336</v>
      </c>
      <c r="V310">
        <v>1</v>
      </c>
      <c r="W310" t="s">
        <v>694</v>
      </c>
    </row>
    <row r="311" spans="1:23" x14ac:dyDescent="0.25">
      <c r="H311" t="s">
        <v>695</v>
      </c>
    </row>
    <row r="312" spans="1:23" x14ac:dyDescent="0.25">
      <c r="A312">
        <v>153</v>
      </c>
      <c r="B312">
        <v>6034</v>
      </c>
      <c r="C312" t="s">
        <v>696</v>
      </c>
      <c r="D312" t="s">
        <v>183</v>
      </c>
      <c r="E312" t="s">
        <v>37</v>
      </c>
      <c r="F312" t="s">
        <v>697</v>
      </c>
      <c r="G312" t="str">
        <f>"201511022265"</f>
        <v>201511022265</v>
      </c>
      <c r="H312" t="s">
        <v>698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112</v>
      </c>
      <c r="S312">
        <v>588</v>
      </c>
      <c r="V312">
        <v>1</v>
      </c>
      <c r="W312" t="s">
        <v>699</v>
      </c>
    </row>
    <row r="313" spans="1:23" x14ac:dyDescent="0.25">
      <c r="H313" t="s">
        <v>700</v>
      </c>
    </row>
    <row r="314" spans="1:23" x14ac:dyDescent="0.25">
      <c r="A314">
        <v>154</v>
      </c>
      <c r="B314">
        <v>4643</v>
      </c>
      <c r="C314" t="s">
        <v>456</v>
      </c>
      <c r="D314" t="s">
        <v>299</v>
      </c>
      <c r="E314" t="s">
        <v>37</v>
      </c>
      <c r="F314" t="s">
        <v>701</v>
      </c>
      <c r="G314" t="str">
        <f>"201511041582"</f>
        <v>201511041582</v>
      </c>
      <c r="H314">
        <v>803</v>
      </c>
      <c r="I314">
        <v>150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60</v>
      </c>
      <c r="S314">
        <v>420</v>
      </c>
      <c r="V314">
        <v>1</v>
      </c>
      <c r="W314">
        <v>1373</v>
      </c>
    </row>
    <row r="315" spans="1:23" x14ac:dyDescent="0.25">
      <c r="H315" t="s">
        <v>702</v>
      </c>
    </row>
    <row r="316" spans="1:23" x14ac:dyDescent="0.25">
      <c r="A316">
        <v>155</v>
      </c>
      <c r="B316">
        <v>8859</v>
      </c>
      <c r="C316" t="s">
        <v>703</v>
      </c>
      <c r="D316" t="s">
        <v>224</v>
      </c>
      <c r="E316" t="s">
        <v>229</v>
      </c>
      <c r="F316" t="s">
        <v>704</v>
      </c>
      <c r="G316" t="str">
        <f>"201511030042"</f>
        <v>201511030042</v>
      </c>
      <c r="H316" t="s">
        <v>47</v>
      </c>
      <c r="I316">
        <v>150</v>
      </c>
      <c r="J316">
        <v>30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17</v>
      </c>
      <c r="S316">
        <v>119</v>
      </c>
      <c r="V316">
        <v>1</v>
      </c>
      <c r="W316" t="s">
        <v>705</v>
      </c>
    </row>
    <row r="317" spans="1:23" x14ac:dyDescent="0.25">
      <c r="H317" t="s">
        <v>706</v>
      </c>
    </row>
    <row r="318" spans="1:23" x14ac:dyDescent="0.25">
      <c r="A318">
        <v>156</v>
      </c>
      <c r="B318">
        <v>5910</v>
      </c>
      <c r="C318" t="s">
        <v>707</v>
      </c>
      <c r="D318" t="s">
        <v>368</v>
      </c>
      <c r="E318" t="s">
        <v>708</v>
      </c>
      <c r="F318" t="s">
        <v>709</v>
      </c>
      <c r="G318" t="str">
        <f>"201510000897"</f>
        <v>201510000897</v>
      </c>
      <c r="H318" t="s">
        <v>710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40</v>
      </c>
      <c r="S318">
        <v>280</v>
      </c>
      <c r="V318">
        <v>3</v>
      </c>
      <c r="W318" t="s">
        <v>711</v>
      </c>
    </row>
    <row r="319" spans="1:23" x14ac:dyDescent="0.25">
      <c r="H319" t="s">
        <v>712</v>
      </c>
    </row>
    <row r="320" spans="1:23" x14ac:dyDescent="0.25">
      <c r="A320">
        <v>157</v>
      </c>
      <c r="B320">
        <v>5803</v>
      </c>
      <c r="C320" t="s">
        <v>713</v>
      </c>
      <c r="D320" t="s">
        <v>714</v>
      </c>
      <c r="E320" t="s">
        <v>154</v>
      </c>
      <c r="F320" t="s">
        <v>715</v>
      </c>
      <c r="G320" t="str">
        <f>"201510000135"</f>
        <v>201510000135</v>
      </c>
      <c r="H320">
        <v>957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59</v>
      </c>
      <c r="S320">
        <v>413</v>
      </c>
      <c r="V320">
        <v>1</v>
      </c>
      <c r="W320">
        <v>1370</v>
      </c>
    </row>
    <row r="321" spans="1:23" x14ac:dyDescent="0.25">
      <c r="H321" t="s">
        <v>716</v>
      </c>
    </row>
    <row r="322" spans="1:23" x14ac:dyDescent="0.25">
      <c r="A322">
        <v>158</v>
      </c>
      <c r="B322">
        <v>3181</v>
      </c>
      <c r="C322" t="s">
        <v>717</v>
      </c>
      <c r="D322" t="s">
        <v>718</v>
      </c>
      <c r="E322" t="s">
        <v>45</v>
      </c>
      <c r="F322" t="s">
        <v>719</v>
      </c>
      <c r="G322" t="str">
        <f>"200806000135"</f>
        <v>200806000135</v>
      </c>
      <c r="H322" t="s">
        <v>573</v>
      </c>
      <c r="I322">
        <v>0</v>
      </c>
      <c r="J322">
        <v>70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34</v>
      </c>
      <c r="S322">
        <v>238</v>
      </c>
      <c r="V322">
        <v>1</v>
      </c>
      <c r="W322" t="s">
        <v>720</v>
      </c>
    </row>
    <row r="323" spans="1:23" x14ac:dyDescent="0.25">
      <c r="H323" t="s">
        <v>721</v>
      </c>
    </row>
    <row r="324" spans="1:23" x14ac:dyDescent="0.25">
      <c r="A324">
        <v>159</v>
      </c>
      <c r="B324">
        <v>9542</v>
      </c>
      <c r="C324" t="s">
        <v>722</v>
      </c>
      <c r="D324" t="s">
        <v>539</v>
      </c>
      <c r="E324" t="s">
        <v>20</v>
      </c>
      <c r="F324" t="s">
        <v>723</v>
      </c>
      <c r="G324" t="str">
        <f>"201511035688"</f>
        <v>201511035688</v>
      </c>
      <c r="H324" t="s">
        <v>724</v>
      </c>
      <c r="I324">
        <v>150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66</v>
      </c>
      <c r="S324">
        <v>462</v>
      </c>
      <c r="V324">
        <v>1</v>
      </c>
      <c r="W324" t="s">
        <v>725</v>
      </c>
    </row>
    <row r="325" spans="1:23" x14ac:dyDescent="0.25">
      <c r="H325" t="s">
        <v>726</v>
      </c>
    </row>
    <row r="326" spans="1:23" x14ac:dyDescent="0.25">
      <c r="A326">
        <v>160</v>
      </c>
      <c r="B326">
        <v>3988</v>
      </c>
      <c r="C326" t="s">
        <v>347</v>
      </c>
      <c r="D326" t="s">
        <v>128</v>
      </c>
      <c r="E326" t="s">
        <v>154</v>
      </c>
      <c r="F326" t="s">
        <v>348</v>
      </c>
      <c r="G326" t="str">
        <f>"201511008018"</f>
        <v>201511008018</v>
      </c>
      <c r="H326">
        <v>1001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52</v>
      </c>
      <c r="S326">
        <v>364</v>
      </c>
      <c r="V326">
        <v>1</v>
      </c>
      <c r="W326">
        <v>1365</v>
      </c>
    </row>
    <row r="327" spans="1:23" x14ac:dyDescent="0.25">
      <c r="H327" t="s">
        <v>349</v>
      </c>
    </row>
    <row r="328" spans="1:23" x14ac:dyDescent="0.25">
      <c r="A328">
        <v>161</v>
      </c>
      <c r="B328">
        <v>9856</v>
      </c>
      <c r="C328" t="s">
        <v>727</v>
      </c>
      <c r="D328" t="s">
        <v>51</v>
      </c>
      <c r="E328" t="s">
        <v>276</v>
      </c>
      <c r="F328" t="s">
        <v>728</v>
      </c>
      <c r="G328" t="str">
        <f>"201511023369"</f>
        <v>201511023369</v>
      </c>
      <c r="H328">
        <v>935</v>
      </c>
      <c r="I328">
        <v>150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40</v>
      </c>
      <c r="S328">
        <v>280</v>
      </c>
      <c r="V328">
        <v>1</v>
      </c>
      <c r="W328">
        <v>1365</v>
      </c>
    </row>
    <row r="329" spans="1:23" x14ac:dyDescent="0.25">
      <c r="H329">
        <v>830</v>
      </c>
    </row>
    <row r="330" spans="1:23" x14ac:dyDescent="0.25">
      <c r="A330">
        <v>162</v>
      </c>
      <c r="B330">
        <v>10333</v>
      </c>
      <c r="C330" t="s">
        <v>729</v>
      </c>
      <c r="D330" t="s">
        <v>66</v>
      </c>
      <c r="E330" t="s">
        <v>298</v>
      </c>
      <c r="F330" t="s">
        <v>730</v>
      </c>
      <c r="G330" t="str">
        <f>"00086701"</f>
        <v>00086701</v>
      </c>
      <c r="H330" t="s">
        <v>731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60</v>
      </c>
      <c r="S330">
        <v>420</v>
      </c>
      <c r="V330">
        <v>1</v>
      </c>
      <c r="W330" t="s">
        <v>732</v>
      </c>
    </row>
    <row r="331" spans="1:23" x14ac:dyDescent="0.25">
      <c r="H331" t="s">
        <v>733</v>
      </c>
    </row>
    <row r="332" spans="1:23" x14ac:dyDescent="0.25">
      <c r="A332">
        <v>163</v>
      </c>
      <c r="B332">
        <v>4376</v>
      </c>
      <c r="C332" t="s">
        <v>734</v>
      </c>
      <c r="D332" t="s">
        <v>351</v>
      </c>
      <c r="E332" t="s">
        <v>52</v>
      </c>
      <c r="F332" t="s">
        <v>735</v>
      </c>
      <c r="G332" t="str">
        <f>"201511011457"</f>
        <v>201511011457</v>
      </c>
      <c r="H332">
        <v>1100</v>
      </c>
      <c r="I332">
        <v>150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16</v>
      </c>
      <c r="S332">
        <v>112</v>
      </c>
      <c r="V332">
        <v>3</v>
      </c>
      <c r="W332">
        <v>1362</v>
      </c>
    </row>
    <row r="333" spans="1:23" x14ac:dyDescent="0.25">
      <c r="H333" t="s">
        <v>736</v>
      </c>
    </row>
    <row r="334" spans="1:23" x14ac:dyDescent="0.25">
      <c r="A334">
        <v>164</v>
      </c>
      <c r="B334">
        <v>8292</v>
      </c>
      <c r="C334" t="s">
        <v>737</v>
      </c>
      <c r="D334" t="s">
        <v>229</v>
      </c>
      <c r="E334" t="s">
        <v>80</v>
      </c>
      <c r="F334" t="s">
        <v>738</v>
      </c>
      <c r="G334" t="str">
        <f>"201511041694"</f>
        <v>201511041694</v>
      </c>
      <c r="H334" t="s">
        <v>47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41</v>
      </c>
      <c r="S334">
        <v>287</v>
      </c>
      <c r="V334">
        <v>1</v>
      </c>
      <c r="W334" t="s">
        <v>739</v>
      </c>
    </row>
    <row r="335" spans="1:23" x14ac:dyDescent="0.25">
      <c r="H335" t="s">
        <v>740</v>
      </c>
    </row>
    <row r="336" spans="1:23" x14ac:dyDescent="0.25">
      <c r="A336">
        <v>165</v>
      </c>
      <c r="B336">
        <v>6988</v>
      </c>
      <c r="C336" t="s">
        <v>741</v>
      </c>
      <c r="D336" t="s">
        <v>275</v>
      </c>
      <c r="E336" t="s">
        <v>56</v>
      </c>
      <c r="F336" t="s">
        <v>742</v>
      </c>
      <c r="G336" t="str">
        <f>"201511018452"</f>
        <v>201511018452</v>
      </c>
      <c r="H336">
        <v>770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134</v>
      </c>
      <c r="S336">
        <v>588</v>
      </c>
      <c r="V336">
        <v>1</v>
      </c>
      <c r="W336">
        <v>1358</v>
      </c>
    </row>
    <row r="337" spans="1:23" x14ac:dyDescent="0.25">
      <c r="H337" t="s">
        <v>743</v>
      </c>
    </row>
    <row r="338" spans="1:23" x14ac:dyDescent="0.25">
      <c r="A338">
        <v>166</v>
      </c>
      <c r="B338">
        <v>7444</v>
      </c>
      <c r="C338" t="s">
        <v>744</v>
      </c>
      <c r="D338" t="s">
        <v>122</v>
      </c>
      <c r="E338" t="s">
        <v>80</v>
      </c>
      <c r="F338" t="s">
        <v>745</v>
      </c>
      <c r="G338" t="str">
        <f>"00070264"</f>
        <v>00070264</v>
      </c>
      <c r="H338">
        <v>770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143</v>
      </c>
      <c r="S338">
        <v>588</v>
      </c>
      <c r="V338">
        <v>1</v>
      </c>
      <c r="W338">
        <v>1358</v>
      </c>
    </row>
    <row r="339" spans="1:23" x14ac:dyDescent="0.25">
      <c r="H339" t="s">
        <v>746</v>
      </c>
    </row>
    <row r="340" spans="1:23" x14ac:dyDescent="0.25">
      <c r="A340">
        <v>167</v>
      </c>
      <c r="B340">
        <v>3029</v>
      </c>
      <c r="C340" t="s">
        <v>747</v>
      </c>
      <c r="D340" t="s">
        <v>382</v>
      </c>
      <c r="E340" t="s">
        <v>20</v>
      </c>
      <c r="F340" t="s">
        <v>748</v>
      </c>
      <c r="G340" t="str">
        <f>"201511034400"</f>
        <v>201511034400</v>
      </c>
      <c r="H340">
        <v>770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112</v>
      </c>
      <c r="S340">
        <v>588</v>
      </c>
      <c r="V340">
        <v>1</v>
      </c>
      <c r="W340">
        <v>1358</v>
      </c>
    </row>
    <row r="341" spans="1:23" x14ac:dyDescent="0.25">
      <c r="H341" t="s">
        <v>749</v>
      </c>
    </row>
    <row r="342" spans="1:23" x14ac:dyDescent="0.25">
      <c r="A342">
        <v>168</v>
      </c>
      <c r="B342">
        <v>10451</v>
      </c>
      <c r="C342" t="s">
        <v>750</v>
      </c>
      <c r="D342" t="s">
        <v>172</v>
      </c>
      <c r="E342" t="s">
        <v>327</v>
      </c>
      <c r="F342" t="s">
        <v>751</v>
      </c>
      <c r="G342" t="str">
        <f>"00102328"</f>
        <v>00102328</v>
      </c>
      <c r="H342" t="s">
        <v>752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80</v>
      </c>
      <c r="S342">
        <v>560</v>
      </c>
      <c r="V342">
        <v>1</v>
      </c>
      <c r="W342" t="s">
        <v>753</v>
      </c>
    </row>
    <row r="343" spans="1:23" x14ac:dyDescent="0.25">
      <c r="H343" t="s">
        <v>754</v>
      </c>
    </row>
    <row r="344" spans="1:23" x14ac:dyDescent="0.25">
      <c r="A344">
        <v>169</v>
      </c>
      <c r="B344">
        <v>549</v>
      </c>
      <c r="C344" t="s">
        <v>755</v>
      </c>
      <c r="D344" t="s">
        <v>714</v>
      </c>
      <c r="E344" t="s">
        <v>756</v>
      </c>
      <c r="F344" t="s">
        <v>757</v>
      </c>
      <c r="G344" t="str">
        <f>"201511012521"</f>
        <v>201511012521</v>
      </c>
      <c r="H344">
        <v>814</v>
      </c>
      <c r="I344">
        <v>150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56</v>
      </c>
      <c r="S344">
        <v>392</v>
      </c>
      <c r="V344">
        <v>1</v>
      </c>
      <c r="W344">
        <v>1356</v>
      </c>
    </row>
    <row r="345" spans="1:23" x14ac:dyDescent="0.25">
      <c r="H345" t="s">
        <v>758</v>
      </c>
    </row>
    <row r="346" spans="1:23" x14ac:dyDescent="0.25">
      <c r="A346">
        <v>170</v>
      </c>
      <c r="B346">
        <v>10473</v>
      </c>
      <c r="C346" t="s">
        <v>759</v>
      </c>
      <c r="D346" t="s">
        <v>56</v>
      </c>
      <c r="E346" t="s">
        <v>276</v>
      </c>
      <c r="F346" t="s">
        <v>760</v>
      </c>
      <c r="G346" t="str">
        <f>"201511034055"</f>
        <v>201511034055</v>
      </c>
      <c r="H346" t="s">
        <v>761</v>
      </c>
      <c r="I346">
        <v>150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59</v>
      </c>
      <c r="S346">
        <v>413</v>
      </c>
      <c r="V346">
        <v>1</v>
      </c>
      <c r="W346" t="s">
        <v>762</v>
      </c>
    </row>
    <row r="347" spans="1:23" x14ac:dyDescent="0.25">
      <c r="H347" t="s">
        <v>763</v>
      </c>
    </row>
    <row r="348" spans="1:23" x14ac:dyDescent="0.25">
      <c r="A348">
        <v>171</v>
      </c>
      <c r="B348">
        <v>8785</v>
      </c>
      <c r="C348" t="s">
        <v>764</v>
      </c>
      <c r="D348" t="s">
        <v>20</v>
      </c>
      <c r="E348" t="s">
        <v>765</v>
      </c>
      <c r="F348" t="s">
        <v>766</v>
      </c>
      <c r="G348" t="str">
        <f>"201511029999"</f>
        <v>201511029999</v>
      </c>
      <c r="H348" t="s">
        <v>767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84</v>
      </c>
      <c r="S348">
        <v>588</v>
      </c>
      <c r="V348">
        <v>1</v>
      </c>
      <c r="W348" t="s">
        <v>768</v>
      </c>
    </row>
    <row r="349" spans="1:23" x14ac:dyDescent="0.25">
      <c r="H349" t="s">
        <v>769</v>
      </c>
    </row>
    <row r="350" spans="1:23" x14ac:dyDescent="0.25">
      <c r="A350">
        <v>172</v>
      </c>
      <c r="B350">
        <v>8439</v>
      </c>
      <c r="C350" t="s">
        <v>770</v>
      </c>
      <c r="D350" t="s">
        <v>340</v>
      </c>
      <c r="E350" t="s">
        <v>276</v>
      </c>
      <c r="F350" t="s">
        <v>771</v>
      </c>
      <c r="G350" t="str">
        <f>"00044215"</f>
        <v>00044215</v>
      </c>
      <c r="H350" t="s">
        <v>554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65</v>
      </c>
      <c r="S350">
        <v>455</v>
      </c>
      <c r="V350">
        <v>1</v>
      </c>
      <c r="W350" t="s">
        <v>772</v>
      </c>
    </row>
    <row r="351" spans="1:23" x14ac:dyDescent="0.25">
      <c r="H351" t="s">
        <v>773</v>
      </c>
    </row>
    <row r="352" spans="1:23" x14ac:dyDescent="0.25">
      <c r="A352">
        <v>173</v>
      </c>
      <c r="B352">
        <v>1076</v>
      </c>
      <c r="C352" t="s">
        <v>774</v>
      </c>
      <c r="D352" t="s">
        <v>775</v>
      </c>
      <c r="E352" t="s">
        <v>158</v>
      </c>
      <c r="F352" t="s">
        <v>776</v>
      </c>
      <c r="G352" t="str">
        <f>"201511040070"</f>
        <v>201511040070</v>
      </c>
      <c r="H352" t="s">
        <v>777</v>
      </c>
      <c r="I352">
        <v>150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60</v>
      </c>
      <c r="S352">
        <v>420</v>
      </c>
      <c r="V352">
        <v>1</v>
      </c>
      <c r="W352" t="s">
        <v>778</v>
      </c>
    </row>
    <row r="353" spans="1:23" x14ac:dyDescent="0.25">
      <c r="H353" t="s">
        <v>779</v>
      </c>
    </row>
    <row r="354" spans="1:23" x14ac:dyDescent="0.25">
      <c r="A354">
        <v>174</v>
      </c>
      <c r="B354">
        <v>4404</v>
      </c>
      <c r="C354" t="s">
        <v>780</v>
      </c>
      <c r="D354" t="s">
        <v>781</v>
      </c>
      <c r="E354" t="s">
        <v>154</v>
      </c>
      <c r="F354" t="s">
        <v>782</v>
      </c>
      <c r="G354" t="str">
        <f>"201511022668"</f>
        <v>201511022668</v>
      </c>
      <c r="H354" t="s">
        <v>693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44</v>
      </c>
      <c r="S354">
        <v>308</v>
      </c>
      <c r="V354">
        <v>1</v>
      </c>
      <c r="W354" t="s">
        <v>783</v>
      </c>
    </row>
    <row r="355" spans="1:23" x14ac:dyDescent="0.25">
      <c r="H355" t="s">
        <v>784</v>
      </c>
    </row>
    <row r="356" spans="1:23" x14ac:dyDescent="0.25">
      <c r="A356">
        <v>175</v>
      </c>
      <c r="B356">
        <v>3999</v>
      </c>
      <c r="C356" t="s">
        <v>785</v>
      </c>
      <c r="D356" t="s">
        <v>351</v>
      </c>
      <c r="E356" t="s">
        <v>509</v>
      </c>
      <c r="F356" t="s">
        <v>786</v>
      </c>
      <c r="G356" t="str">
        <f>"201511029925"</f>
        <v>201511029925</v>
      </c>
      <c r="H356">
        <v>770</v>
      </c>
      <c r="I356">
        <v>0</v>
      </c>
      <c r="J356">
        <v>30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78</v>
      </c>
      <c r="S356">
        <v>546</v>
      </c>
      <c r="V356">
        <v>3</v>
      </c>
      <c r="W356">
        <v>1346</v>
      </c>
    </row>
    <row r="357" spans="1:23" x14ac:dyDescent="0.25">
      <c r="H357" t="s">
        <v>787</v>
      </c>
    </row>
    <row r="358" spans="1:23" x14ac:dyDescent="0.25">
      <c r="A358">
        <v>176</v>
      </c>
      <c r="B358">
        <v>7982</v>
      </c>
      <c r="C358" t="s">
        <v>788</v>
      </c>
      <c r="D358" t="s">
        <v>172</v>
      </c>
      <c r="E358" t="s">
        <v>154</v>
      </c>
      <c r="F358" t="s">
        <v>789</v>
      </c>
      <c r="G358" t="str">
        <f>"201511038914"</f>
        <v>201511038914</v>
      </c>
      <c r="H358">
        <v>869</v>
      </c>
      <c r="I358">
        <v>150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46</v>
      </c>
      <c r="S358">
        <v>322</v>
      </c>
      <c r="V358">
        <v>1</v>
      </c>
      <c r="W358">
        <v>1341</v>
      </c>
    </row>
    <row r="359" spans="1:23" x14ac:dyDescent="0.25">
      <c r="H359" t="s">
        <v>790</v>
      </c>
    </row>
    <row r="360" spans="1:23" x14ac:dyDescent="0.25">
      <c r="A360">
        <v>177</v>
      </c>
      <c r="B360">
        <v>9238</v>
      </c>
      <c r="C360" t="s">
        <v>791</v>
      </c>
      <c r="D360" t="s">
        <v>539</v>
      </c>
      <c r="E360" t="s">
        <v>792</v>
      </c>
      <c r="F360" t="s">
        <v>793</v>
      </c>
      <c r="G360" t="str">
        <f>"201510000499"</f>
        <v>201510000499</v>
      </c>
      <c r="H360" t="s">
        <v>794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191</v>
      </c>
      <c r="S360">
        <v>588</v>
      </c>
      <c r="V360">
        <v>1</v>
      </c>
      <c r="W360" t="s">
        <v>795</v>
      </c>
    </row>
    <row r="361" spans="1:23" x14ac:dyDescent="0.25">
      <c r="H361" t="s">
        <v>796</v>
      </c>
    </row>
    <row r="362" spans="1:23" x14ac:dyDescent="0.25">
      <c r="A362">
        <v>178</v>
      </c>
      <c r="B362">
        <v>7868</v>
      </c>
      <c r="C362" t="s">
        <v>797</v>
      </c>
      <c r="D362" t="s">
        <v>798</v>
      </c>
      <c r="E362" t="s">
        <v>284</v>
      </c>
      <c r="F362" t="s">
        <v>799</v>
      </c>
      <c r="G362" t="str">
        <f>"201511035104"</f>
        <v>201511035104</v>
      </c>
      <c r="H362">
        <v>1045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42</v>
      </c>
      <c r="S362">
        <v>294</v>
      </c>
      <c r="V362">
        <v>1</v>
      </c>
      <c r="W362">
        <v>1339</v>
      </c>
    </row>
    <row r="363" spans="1:23" x14ac:dyDescent="0.25">
      <c r="H363" t="s">
        <v>800</v>
      </c>
    </row>
    <row r="364" spans="1:23" x14ac:dyDescent="0.25">
      <c r="A364">
        <v>179</v>
      </c>
      <c r="B364">
        <v>1680</v>
      </c>
      <c r="C364" t="s">
        <v>801</v>
      </c>
      <c r="D364" t="s">
        <v>802</v>
      </c>
      <c r="E364" t="s">
        <v>52</v>
      </c>
      <c r="F364" t="s">
        <v>803</v>
      </c>
      <c r="G364" t="str">
        <f>"00040874"</f>
        <v>00040874</v>
      </c>
      <c r="H364" t="s">
        <v>804</v>
      </c>
      <c r="I364">
        <v>0</v>
      </c>
      <c r="J364">
        <v>50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147</v>
      </c>
      <c r="S364">
        <v>588</v>
      </c>
      <c r="V364">
        <v>1</v>
      </c>
      <c r="W364" t="s">
        <v>805</v>
      </c>
    </row>
    <row r="365" spans="1:23" x14ac:dyDescent="0.25">
      <c r="H365" t="s">
        <v>806</v>
      </c>
    </row>
    <row r="366" spans="1:23" x14ac:dyDescent="0.25">
      <c r="A366">
        <v>180</v>
      </c>
      <c r="B366">
        <v>3819</v>
      </c>
      <c r="C366" t="s">
        <v>807</v>
      </c>
      <c r="D366" t="s">
        <v>172</v>
      </c>
      <c r="E366" t="s">
        <v>276</v>
      </c>
      <c r="F366" t="s">
        <v>808</v>
      </c>
      <c r="G366" t="str">
        <f>"00017412"</f>
        <v>00017412</v>
      </c>
      <c r="H366">
        <v>748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106</v>
      </c>
      <c r="S366">
        <v>588</v>
      </c>
      <c r="V366">
        <v>1</v>
      </c>
      <c r="W366">
        <v>1336</v>
      </c>
    </row>
    <row r="367" spans="1:23" x14ac:dyDescent="0.25">
      <c r="H367" t="s">
        <v>809</v>
      </c>
    </row>
    <row r="368" spans="1:23" x14ac:dyDescent="0.25">
      <c r="A368">
        <v>181</v>
      </c>
      <c r="B368">
        <v>4266</v>
      </c>
      <c r="C368" t="s">
        <v>810</v>
      </c>
      <c r="D368" t="s">
        <v>183</v>
      </c>
      <c r="E368" t="s">
        <v>154</v>
      </c>
      <c r="F368" t="s">
        <v>811</v>
      </c>
      <c r="G368" t="str">
        <f>"00075391"</f>
        <v>00075391</v>
      </c>
      <c r="H368" t="s">
        <v>812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88</v>
      </c>
      <c r="S368">
        <v>588</v>
      </c>
      <c r="V368">
        <v>1</v>
      </c>
      <c r="W368" t="s">
        <v>813</v>
      </c>
    </row>
    <row r="369" spans="1:23" x14ac:dyDescent="0.25">
      <c r="H369" t="s">
        <v>814</v>
      </c>
    </row>
    <row r="370" spans="1:23" x14ac:dyDescent="0.25">
      <c r="A370">
        <v>182</v>
      </c>
      <c r="B370">
        <v>9941</v>
      </c>
      <c r="C370" t="s">
        <v>713</v>
      </c>
      <c r="D370" t="s">
        <v>686</v>
      </c>
      <c r="E370" t="s">
        <v>62</v>
      </c>
      <c r="F370" t="s">
        <v>815</v>
      </c>
      <c r="G370" t="str">
        <f>"201511017035"</f>
        <v>201511017035</v>
      </c>
      <c r="H370">
        <v>715</v>
      </c>
      <c r="I370">
        <v>0</v>
      </c>
      <c r="J370">
        <v>0</v>
      </c>
      <c r="K370">
        <v>30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140</v>
      </c>
      <c r="S370">
        <v>588</v>
      </c>
      <c r="V370">
        <v>1</v>
      </c>
      <c r="W370">
        <v>1333</v>
      </c>
    </row>
    <row r="371" spans="1:23" x14ac:dyDescent="0.25">
      <c r="H371" t="s">
        <v>816</v>
      </c>
    </row>
    <row r="372" spans="1:23" x14ac:dyDescent="0.25">
      <c r="A372">
        <v>183</v>
      </c>
      <c r="B372">
        <v>6248</v>
      </c>
      <c r="C372" t="s">
        <v>817</v>
      </c>
      <c r="D372" t="s">
        <v>51</v>
      </c>
      <c r="E372" t="s">
        <v>818</v>
      </c>
      <c r="F372" t="s">
        <v>819</v>
      </c>
      <c r="G372" t="str">
        <f>"00083269"</f>
        <v>00083269</v>
      </c>
      <c r="H372" t="s">
        <v>820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70</v>
      </c>
      <c r="S372">
        <v>490</v>
      </c>
      <c r="V372">
        <v>1</v>
      </c>
      <c r="W372" t="s">
        <v>821</v>
      </c>
    </row>
    <row r="373" spans="1:23" x14ac:dyDescent="0.25">
      <c r="H373" t="s">
        <v>822</v>
      </c>
    </row>
    <row r="374" spans="1:23" x14ac:dyDescent="0.25">
      <c r="A374">
        <v>184</v>
      </c>
      <c r="B374">
        <v>5710</v>
      </c>
      <c r="C374" t="s">
        <v>823</v>
      </c>
      <c r="D374" t="s">
        <v>465</v>
      </c>
      <c r="E374" t="s">
        <v>824</v>
      </c>
      <c r="F374" t="s">
        <v>825</v>
      </c>
      <c r="G374" t="str">
        <f>"00093286"</f>
        <v>00093286</v>
      </c>
      <c r="H374">
        <v>1100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33</v>
      </c>
      <c r="S374">
        <v>231</v>
      </c>
      <c r="V374">
        <v>1</v>
      </c>
      <c r="W374">
        <v>1331</v>
      </c>
    </row>
    <row r="375" spans="1:23" x14ac:dyDescent="0.25">
      <c r="H375" t="s">
        <v>94</v>
      </c>
    </row>
    <row r="376" spans="1:23" x14ac:dyDescent="0.25">
      <c r="A376">
        <v>185</v>
      </c>
      <c r="B376">
        <v>4814</v>
      </c>
      <c r="C376" t="s">
        <v>826</v>
      </c>
      <c r="D376" t="s">
        <v>827</v>
      </c>
      <c r="E376" t="s">
        <v>509</v>
      </c>
      <c r="F376" t="s">
        <v>828</v>
      </c>
      <c r="G376" t="str">
        <f>"201512001235"</f>
        <v>201512001235</v>
      </c>
      <c r="H376" t="s">
        <v>829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88</v>
      </c>
      <c r="S376">
        <v>588</v>
      </c>
      <c r="V376">
        <v>1</v>
      </c>
      <c r="W376" t="s">
        <v>830</v>
      </c>
    </row>
    <row r="377" spans="1:23" x14ac:dyDescent="0.25">
      <c r="H377" t="s">
        <v>831</v>
      </c>
    </row>
    <row r="378" spans="1:23" x14ac:dyDescent="0.25">
      <c r="A378">
        <v>186</v>
      </c>
      <c r="B378">
        <v>2613</v>
      </c>
      <c r="C378" t="s">
        <v>832</v>
      </c>
      <c r="D378" t="s">
        <v>172</v>
      </c>
      <c r="E378" t="s">
        <v>20</v>
      </c>
      <c r="F378" t="s">
        <v>833</v>
      </c>
      <c r="G378" t="str">
        <f>"201511039567"</f>
        <v>201511039567</v>
      </c>
      <c r="H378" t="s">
        <v>834</v>
      </c>
      <c r="I378">
        <v>150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65</v>
      </c>
      <c r="S378">
        <v>455</v>
      </c>
      <c r="V378">
        <v>1</v>
      </c>
      <c r="W378" t="s">
        <v>835</v>
      </c>
    </row>
    <row r="379" spans="1:23" x14ac:dyDescent="0.25">
      <c r="H379" t="s">
        <v>836</v>
      </c>
    </row>
    <row r="380" spans="1:23" x14ac:dyDescent="0.25">
      <c r="A380">
        <v>187</v>
      </c>
      <c r="B380">
        <v>4590</v>
      </c>
      <c r="C380" t="s">
        <v>837</v>
      </c>
      <c r="D380" t="s">
        <v>382</v>
      </c>
      <c r="E380" t="s">
        <v>154</v>
      </c>
      <c r="F380" t="s">
        <v>838</v>
      </c>
      <c r="G380" t="str">
        <f>"201511006726"</f>
        <v>201511006726</v>
      </c>
      <c r="H380">
        <v>1067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37</v>
      </c>
      <c r="S380">
        <v>259</v>
      </c>
      <c r="V380">
        <v>1</v>
      </c>
      <c r="W380">
        <v>1326</v>
      </c>
    </row>
    <row r="381" spans="1:23" x14ac:dyDescent="0.25">
      <c r="H381" t="s">
        <v>839</v>
      </c>
    </row>
    <row r="382" spans="1:23" x14ac:dyDescent="0.25">
      <c r="A382">
        <v>188</v>
      </c>
      <c r="B382">
        <v>8173</v>
      </c>
      <c r="C382" t="s">
        <v>840</v>
      </c>
      <c r="D382" t="s">
        <v>841</v>
      </c>
      <c r="E382" t="s">
        <v>154</v>
      </c>
      <c r="F382" t="s">
        <v>842</v>
      </c>
      <c r="G382" t="str">
        <f>"201511028422"</f>
        <v>201511028422</v>
      </c>
      <c r="H382">
        <v>990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48</v>
      </c>
      <c r="S382">
        <v>336</v>
      </c>
      <c r="V382">
        <v>1</v>
      </c>
      <c r="W382">
        <v>1326</v>
      </c>
    </row>
    <row r="383" spans="1:23" x14ac:dyDescent="0.25">
      <c r="H383" t="s">
        <v>843</v>
      </c>
    </row>
    <row r="384" spans="1:23" x14ac:dyDescent="0.25">
      <c r="A384">
        <v>189</v>
      </c>
      <c r="B384">
        <v>1957</v>
      </c>
      <c r="C384" t="s">
        <v>844</v>
      </c>
      <c r="D384" t="s">
        <v>172</v>
      </c>
      <c r="E384" t="s">
        <v>845</v>
      </c>
      <c r="F384" t="s">
        <v>846</v>
      </c>
      <c r="G384" t="str">
        <f>"200801008458"</f>
        <v>200801008458</v>
      </c>
      <c r="H384">
        <v>550</v>
      </c>
      <c r="I384">
        <v>150</v>
      </c>
      <c r="J384">
        <v>30</v>
      </c>
      <c r="K384">
        <v>50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78</v>
      </c>
      <c r="S384">
        <v>546</v>
      </c>
      <c r="V384">
        <v>1</v>
      </c>
      <c r="W384">
        <v>1326</v>
      </c>
    </row>
    <row r="385" spans="1:23" x14ac:dyDescent="0.25">
      <c r="H385" t="s">
        <v>847</v>
      </c>
    </row>
    <row r="386" spans="1:23" x14ac:dyDescent="0.25">
      <c r="A386">
        <v>190</v>
      </c>
      <c r="B386">
        <v>9507</v>
      </c>
      <c r="C386" t="s">
        <v>848</v>
      </c>
      <c r="D386" t="s">
        <v>29</v>
      </c>
      <c r="E386" t="s">
        <v>71</v>
      </c>
      <c r="F386" t="s">
        <v>849</v>
      </c>
      <c r="G386" t="str">
        <f>"201512000709"</f>
        <v>201512000709</v>
      </c>
      <c r="H386">
        <v>737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91</v>
      </c>
      <c r="S386">
        <v>588</v>
      </c>
      <c r="V386">
        <v>1</v>
      </c>
      <c r="W386">
        <v>1325</v>
      </c>
    </row>
    <row r="387" spans="1:23" x14ac:dyDescent="0.25">
      <c r="H387" t="s">
        <v>850</v>
      </c>
    </row>
    <row r="388" spans="1:23" x14ac:dyDescent="0.25">
      <c r="A388">
        <v>191</v>
      </c>
      <c r="B388">
        <v>5551</v>
      </c>
      <c r="C388" t="s">
        <v>851</v>
      </c>
      <c r="D388" t="s">
        <v>852</v>
      </c>
      <c r="E388" t="s">
        <v>664</v>
      </c>
      <c r="F388" t="s">
        <v>853</v>
      </c>
      <c r="G388" t="str">
        <f>"201508000122"</f>
        <v>201508000122</v>
      </c>
      <c r="H388" t="s">
        <v>854</v>
      </c>
      <c r="I388">
        <v>150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30</v>
      </c>
      <c r="S388">
        <v>210</v>
      </c>
      <c r="V388">
        <v>1</v>
      </c>
      <c r="W388" t="s">
        <v>855</v>
      </c>
    </row>
    <row r="389" spans="1:23" x14ac:dyDescent="0.25">
      <c r="H389" t="s">
        <v>856</v>
      </c>
    </row>
    <row r="390" spans="1:23" x14ac:dyDescent="0.25">
      <c r="A390">
        <v>192</v>
      </c>
      <c r="B390">
        <v>5551</v>
      </c>
      <c r="C390" t="s">
        <v>851</v>
      </c>
      <c r="D390" t="s">
        <v>852</v>
      </c>
      <c r="E390" t="s">
        <v>664</v>
      </c>
      <c r="F390" t="s">
        <v>853</v>
      </c>
      <c r="G390" t="str">
        <f>"201508000122"</f>
        <v>201508000122</v>
      </c>
      <c r="H390" t="s">
        <v>854</v>
      </c>
      <c r="I390">
        <v>150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30</v>
      </c>
      <c r="S390">
        <v>210</v>
      </c>
      <c r="T390">
        <v>8</v>
      </c>
      <c r="U390" t="s">
        <v>548</v>
      </c>
      <c r="V390">
        <v>1</v>
      </c>
      <c r="W390" t="s">
        <v>855</v>
      </c>
    </row>
    <row r="391" spans="1:23" x14ac:dyDescent="0.25">
      <c r="H391" t="s">
        <v>856</v>
      </c>
    </row>
    <row r="392" spans="1:23" x14ac:dyDescent="0.25">
      <c r="A392">
        <v>193</v>
      </c>
      <c r="B392">
        <v>3283</v>
      </c>
      <c r="C392" t="s">
        <v>857</v>
      </c>
      <c r="D392" t="s">
        <v>208</v>
      </c>
      <c r="E392" t="s">
        <v>858</v>
      </c>
      <c r="F392" t="s">
        <v>859</v>
      </c>
      <c r="G392" t="str">
        <f>"201102000453"</f>
        <v>201102000453</v>
      </c>
      <c r="H392">
        <v>1089</v>
      </c>
      <c r="I392">
        <v>150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12</v>
      </c>
      <c r="S392">
        <v>84</v>
      </c>
      <c r="V392">
        <v>1</v>
      </c>
      <c r="W392">
        <v>1323</v>
      </c>
    </row>
    <row r="393" spans="1:23" x14ac:dyDescent="0.25">
      <c r="H393" t="s">
        <v>860</v>
      </c>
    </row>
    <row r="394" spans="1:23" x14ac:dyDescent="0.25">
      <c r="A394">
        <v>194</v>
      </c>
      <c r="B394">
        <v>7332</v>
      </c>
      <c r="C394" t="s">
        <v>861</v>
      </c>
      <c r="D394" t="s">
        <v>862</v>
      </c>
      <c r="E394" t="s">
        <v>158</v>
      </c>
      <c r="F394" t="s">
        <v>863</v>
      </c>
      <c r="G394" t="str">
        <f>"201511019720"</f>
        <v>201511019720</v>
      </c>
      <c r="H394" t="s">
        <v>476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95</v>
      </c>
      <c r="S394">
        <v>588</v>
      </c>
      <c r="V394">
        <v>1</v>
      </c>
      <c r="W394" t="s">
        <v>864</v>
      </c>
    </row>
    <row r="395" spans="1:23" x14ac:dyDescent="0.25">
      <c r="H395" t="s">
        <v>865</v>
      </c>
    </row>
    <row r="396" spans="1:23" x14ac:dyDescent="0.25">
      <c r="A396">
        <v>195</v>
      </c>
      <c r="B396">
        <v>10405</v>
      </c>
      <c r="C396" t="s">
        <v>866</v>
      </c>
      <c r="D396" t="s">
        <v>154</v>
      </c>
      <c r="E396" t="s">
        <v>191</v>
      </c>
      <c r="F396" t="s">
        <v>867</v>
      </c>
      <c r="G396" t="str">
        <f>"201511036596"</f>
        <v>201511036596</v>
      </c>
      <c r="H396" t="s">
        <v>476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96</v>
      </c>
      <c r="S396">
        <v>588</v>
      </c>
      <c r="V396">
        <v>1</v>
      </c>
      <c r="W396" t="s">
        <v>864</v>
      </c>
    </row>
    <row r="397" spans="1:23" x14ac:dyDescent="0.25">
      <c r="H397" t="s">
        <v>868</v>
      </c>
    </row>
    <row r="398" spans="1:23" x14ac:dyDescent="0.25">
      <c r="A398">
        <v>196</v>
      </c>
      <c r="B398">
        <v>3109</v>
      </c>
      <c r="C398" t="s">
        <v>869</v>
      </c>
      <c r="D398" t="s">
        <v>172</v>
      </c>
      <c r="E398" t="s">
        <v>37</v>
      </c>
      <c r="F398" t="s">
        <v>870</v>
      </c>
      <c r="G398" t="str">
        <f>"201511039262"</f>
        <v>201511039262</v>
      </c>
      <c r="H398" t="s">
        <v>99</v>
      </c>
      <c r="I398">
        <v>150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31</v>
      </c>
      <c r="S398">
        <v>217</v>
      </c>
      <c r="V398">
        <v>1</v>
      </c>
      <c r="W398" t="s">
        <v>871</v>
      </c>
    </row>
    <row r="399" spans="1:23" x14ac:dyDescent="0.25">
      <c r="H399" t="s">
        <v>872</v>
      </c>
    </row>
    <row r="400" spans="1:23" x14ac:dyDescent="0.25">
      <c r="A400">
        <v>197</v>
      </c>
      <c r="B400">
        <v>1851</v>
      </c>
      <c r="C400" t="s">
        <v>873</v>
      </c>
      <c r="D400" t="s">
        <v>351</v>
      </c>
      <c r="E400" t="s">
        <v>37</v>
      </c>
      <c r="F400" t="s">
        <v>874</v>
      </c>
      <c r="G400" t="str">
        <f>"201511025271"</f>
        <v>201511025271</v>
      </c>
      <c r="H400">
        <v>1045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39</v>
      </c>
      <c r="S400">
        <v>273</v>
      </c>
      <c r="V400">
        <v>1</v>
      </c>
      <c r="W400">
        <v>1318</v>
      </c>
    </row>
    <row r="401" spans="1:23" x14ac:dyDescent="0.25">
      <c r="H401" t="s">
        <v>875</v>
      </c>
    </row>
    <row r="402" spans="1:23" x14ac:dyDescent="0.25">
      <c r="A402">
        <v>198</v>
      </c>
      <c r="B402">
        <v>1370</v>
      </c>
      <c r="C402" t="s">
        <v>876</v>
      </c>
      <c r="D402" t="s">
        <v>96</v>
      </c>
      <c r="E402" t="s">
        <v>262</v>
      </c>
      <c r="F402" t="s">
        <v>877</v>
      </c>
      <c r="G402" t="str">
        <f>"201409000046"</f>
        <v>201409000046</v>
      </c>
      <c r="H402" t="s">
        <v>878</v>
      </c>
      <c r="I402">
        <v>150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12</v>
      </c>
      <c r="S402">
        <v>84</v>
      </c>
      <c r="V402">
        <v>1</v>
      </c>
      <c r="W402" t="s">
        <v>879</v>
      </c>
    </row>
    <row r="403" spans="1:23" x14ac:dyDescent="0.25">
      <c r="H403">
        <v>818</v>
      </c>
    </row>
    <row r="404" spans="1:23" x14ac:dyDescent="0.25">
      <c r="A404">
        <v>199</v>
      </c>
      <c r="B404">
        <v>6447</v>
      </c>
      <c r="C404" t="s">
        <v>880</v>
      </c>
      <c r="D404" t="s">
        <v>183</v>
      </c>
      <c r="E404" t="s">
        <v>37</v>
      </c>
      <c r="F404" t="s">
        <v>881</v>
      </c>
      <c r="G404" t="str">
        <f>"00042136"</f>
        <v>00042136</v>
      </c>
      <c r="H404">
        <v>825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70</v>
      </c>
      <c r="S404">
        <v>490</v>
      </c>
      <c r="V404">
        <v>1</v>
      </c>
      <c r="W404">
        <v>1315</v>
      </c>
    </row>
    <row r="405" spans="1:23" x14ac:dyDescent="0.25">
      <c r="H405" t="s">
        <v>882</v>
      </c>
    </row>
    <row r="406" spans="1:23" x14ac:dyDescent="0.25">
      <c r="A406">
        <v>200</v>
      </c>
      <c r="B406">
        <v>9632</v>
      </c>
      <c r="C406" t="s">
        <v>883</v>
      </c>
      <c r="D406" t="s">
        <v>51</v>
      </c>
      <c r="E406" t="s">
        <v>344</v>
      </c>
      <c r="F406" t="s">
        <v>884</v>
      </c>
      <c r="G406" t="str">
        <f>"201511017068"</f>
        <v>201511017068</v>
      </c>
      <c r="H406" t="s">
        <v>40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33</v>
      </c>
      <c r="S406">
        <v>231</v>
      </c>
      <c r="V406">
        <v>1</v>
      </c>
      <c r="W406" t="s">
        <v>885</v>
      </c>
    </row>
    <row r="407" spans="1:23" x14ac:dyDescent="0.25">
      <c r="H407" t="s">
        <v>886</v>
      </c>
    </row>
    <row r="408" spans="1:23" x14ac:dyDescent="0.25">
      <c r="A408">
        <v>201</v>
      </c>
      <c r="B408">
        <v>7971</v>
      </c>
      <c r="C408" t="s">
        <v>887</v>
      </c>
      <c r="D408" t="s">
        <v>57</v>
      </c>
      <c r="E408" t="s">
        <v>888</v>
      </c>
      <c r="F408" t="s">
        <v>889</v>
      </c>
      <c r="G408" t="str">
        <f>"201412003372"</f>
        <v>201412003372</v>
      </c>
      <c r="H408">
        <v>990</v>
      </c>
      <c r="I408">
        <v>0</v>
      </c>
      <c r="J408">
        <v>50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39</v>
      </c>
      <c r="S408">
        <v>273</v>
      </c>
      <c r="V408">
        <v>1</v>
      </c>
      <c r="W408">
        <v>1313</v>
      </c>
    </row>
    <row r="409" spans="1:23" x14ac:dyDescent="0.25">
      <c r="H409" t="s">
        <v>890</v>
      </c>
    </row>
    <row r="410" spans="1:23" x14ac:dyDescent="0.25">
      <c r="A410">
        <v>202</v>
      </c>
      <c r="B410">
        <v>5597</v>
      </c>
      <c r="C410" t="s">
        <v>891</v>
      </c>
      <c r="D410" t="s">
        <v>153</v>
      </c>
      <c r="E410" t="s">
        <v>344</v>
      </c>
      <c r="F410" t="s">
        <v>892</v>
      </c>
      <c r="G410" t="str">
        <f>"201511040885"</f>
        <v>201511040885</v>
      </c>
      <c r="H410" t="s">
        <v>893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126</v>
      </c>
      <c r="S410">
        <v>588</v>
      </c>
      <c r="V410">
        <v>3</v>
      </c>
      <c r="W410" t="s">
        <v>894</v>
      </c>
    </row>
    <row r="411" spans="1:23" x14ac:dyDescent="0.25">
      <c r="H411" t="s">
        <v>895</v>
      </c>
    </row>
    <row r="412" spans="1:23" x14ac:dyDescent="0.25">
      <c r="A412">
        <v>203</v>
      </c>
      <c r="B412">
        <v>3784</v>
      </c>
      <c r="C412" t="s">
        <v>896</v>
      </c>
      <c r="D412" t="s">
        <v>382</v>
      </c>
      <c r="E412" t="s">
        <v>158</v>
      </c>
      <c r="F412" t="s">
        <v>897</v>
      </c>
      <c r="G412" t="str">
        <f>"201511031397"</f>
        <v>201511031397</v>
      </c>
      <c r="H412">
        <v>1045</v>
      </c>
      <c r="I412">
        <v>150</v>
      </c>
      <c r="J412">
        <v>30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12</v>
      </c>
      <c r="S412">
        <v>84</v>
      </c>
      <c r="V412">
        <v>1</v>
      </c>
      <c r="W412">
        <v>1309</v>
      </c>
    </row>
    <row r="413" spans="1:23" x14ac:dyDescent="0.25">
      <c r="H413" t="s">
        <v>898</v>
      </c>
    </row>
    <row r="414" spans="1:23" x14ac:dyDescent="0.25">
      <c r="A414">
        <v>204</v>
      </c>
      <c r="B414">
        <v>4209</v>
      </c>
      <c r="C414" t="s">
        <v>899</v>
      </c>
      <c r="D414" t="s">
        <v>900</v>
      </c>
      <c r="E414" t="s">
        <v>154</v>
      </c>
      <c r="F414" t="s">
        <v>901</v>
      </c>
      <c r="G414" t="str">
        <f>"201511011910"</f>
        <v>201511011910</v>
      </c>
      <c r="H414" t="s">
        <v>407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62</v>
      </c>
      <c r="S414">
        <v>434</v>
      </c>
      <c r="V414">
        <v>1</v>
      </c>
      <c r="W414" t="s">
        <v>902</v>
      </c>
    </row>
    <row r="415" spans="1:23" x14ac:dyDescent="0.25">
      <c r="H415" t="s">
        <v>903</v>
      </c>
    </row>
    <row r="416" spans="1:23" x14ac:dyDescent="0.25">
      <c r="A416">
        <v>205</v>
      </c>
      <c r="B416">
        <v>10454</v>
      </c>
      <c r="C416" t="s">
        <v>904</v>
      </c>
      <c r="D416" t="s">
        <v>61</v>
      </c>
      <c r="E416" t="s">
        <v>276</v>
      </c>
      <c r="F416" t="s">
        <v>905</v>
      </c>
      <c r="G416" t="str">
        <f>"00087364"</f>
        <v>00087364</v>
      </c>
      <c r="H416" t="s">
        <v>906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88</v>
      </c>
      <c r="S416">
        <v>588</v>
      </c>
      <c r="V416">
        <v>1</v>
      </c>
      <c r="W416" t="s">
        <v>902</v>
      </c>
    </row>
    <row r="417" spans="1:23" x14ac:dyDescent="0.25">
      <c r="H417" t="s">
        <v>907</v>
      </c>
    </row>
    <row r="418" spans="1:23" x14ac:dyDescent="0.25">
      <c r="A418">
        <v>206</v>
      </c>
      <c r="B418">
        <v>4887</v>
      </c>
      <c r="C418" t="s">
        <v>908</v>
      </c>
      <c r="D418" t="s">
        <v>909</v>
      </c>
      <c r="E418" t="s">
        <v>910</v>
      </c>
      <c r="F418" t="s">
        <v>911</v>
      </c>
      <c r="G418" t="str">
        <f>"201511016971"</f>
        <v>201511016971</v>
      </c>
      <c r="H418" t="s">
        <v>912</v>
      </c>
      <c r="I418">
        <v>150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22</v>
      </c>
      <c r="S418">
        <v>154</v>
      </c>
      <c r="V418">
        <v>1</v>
      </c>
      <c r="W418" t="s">
        <v>913</v>
      </c>
    </row>
    <row r="419" spans="1:23" x14ac:dyDescent="0.25">
      <c r="H419" t="s">
        <v>914</v>
      </c>
    </row>
    <row r="420" spans="1:23" x14ac:dyDescent="0.25">
      <c r="A420">
        <v>207</v>
      </c>
      <c r="B420">
        <v>7017</v>
      </c>
      <c r="C420" t="s">
        <v>915</v>
      </c>
      <c r="D420" t="s">
        <v>916</v>
      </c>
      <c r="E420" t="s">
        <v>57</v>
      </c>
      <c r="F420" t="s">
        <v>917</v>
      </c>
      <c r="G420" t="str">
        <f>"201511030954"</f>
        <v>201511030954</v>
      </c>
      <c r="H420" t="s">
        <v>918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110</v>
      </c>
      <c r="S420">
        <v>588</v>
      </c>
      <c r="V420">
        <v>1</v>
      </c>
      <c r="W420" t="s">
        <v>919</v>
      </c>
    </row>
    <row r="421" spans="1:23" x14ac:dyDescent="0.25">
      <c r="H421" t="s">
        <v>920</v>
      </c>
    </row>
    <row r="422" spans="1:23" x14ac:dyDescent="0.25">
      <c r="A422">
        <v>208</v>
      </c>
      <c r="B422">
        <v>9928</v>
      </c>
      <c r="C422" t="s">
        <v>713</v>
      </c>
      <c r="D422" t="s">
        <v>388</v>
      </c>
      <c r="E422" t="s">
        <v>276</v>
      </c>
      <c r="F422" t="s">
        <v>921</v>
      </c>
      <c r="G422" t="str">
        <f>"00098533"</f>
        <v>00098533</v>
      </c>
      <c r="H422" t="s">
        <v>918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102</v>
      </c>
      <c r="S422">
        <v>588</v>
      </c>
      <c r="V422">
        <v>1</v>
      </c>
      <c r="W422" t="s">
        <v>919</v>
      </c>
    </row>
    <row r="423" spans="1:23" x14ac:dyDescent="0.25">
      <c r="H423" t="s">
        <v>922</v>
      </c>
    </row>
    <row r="424" spans="1:23" x14ac:dyDescent="0.25">
      <c r="A424">
        <v>209</v>
      </c>
      <c r="B424">
        <v>2623</v>
      </c>
      <c r="C424" t="s">
        <v>923</v>
      </c>
      <c r="D424" t="s">
        <v>157</v>
      </c>
      <c r="E424" t="s">
        <v>154</v>
      </c>
      <c r="F424" t="s">
        <v>924</v>
      </c>
      <c r="G424" t="str">
        <f>"201511029008"</f>
        <v>201511029008</v>
      </c>
      <c r="H424" t="s">
        <v>47</v>
      </c>
      <c r="I424">
        <v>150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12</v>
      </c>
      <c r="S424">
        <v>84</v>
      </c>
      <c r="V424">
        <v>1</v>
      </c>
      <c r="W424" t="s">
        <v>925</v>
      </c>
    </row>
    <row r="425" spans="1:23" x14ac:dyDescent="0.25">
      <c r="H425" t="s">
        <v>926</v>
      </c>
    </row>
    <row r="426" spans="1:23" x14ac:dyDescent="0.25">
      <c r="A426">
        <v>210</v>
      </c>
      <c r="B426">
        <v>1623</v>
      </c>
      <c r="C426" t="s">
        <v>927</v>
      </c>
      <c r="D426" t="s">
        <v>351</v>
      </c>
      <c r="E426" t="s">
        <v>509</v>
      </c>
      <c r="F426" t="s">
        <v>928</v>
      </c>
      <c r="G426" t="str">
        <f>"201511037241"</f>
        <v>201511037241</v>
      </c>
      <c r="H426" t="s">
        <v>929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46</v>
      </c>
      <c r="S426">
        <v>322</v>
      </c>
      <c r="V426">
        <v>1</v>
      </c>
      <c r="W426" t="s">
        <v>925</v>
      </c>
    </row>
    <row r="427" spans="1:23" x14ac:dyDescent="0.25">
      <c r="H427" t="s">
        <v>472</v>
      </c>
    </row>
    <row r="428" spans="1:23" x14ac:dyDescent="0.25">
      <c r="A428">
        <v>211</v>
      </c>
      <c r="B428">
        <v>7244</v>
      </c>
      <c r="C428" t="s">
        <v>930</v>
      </c>
      <c r="D428" t="s">
        <v>351</v>
      </c>
      <c r="E428" t="s">
        <v>154</v>
      </c>
      <c r="F428" t="s">
        <v>931</v>
      </c>
      <c r="G428" t="str">
        <f>"201511036075"</f>
        <v>201511036075</v>
      </c>
      <c r="H428">
        <v>1100</v>
      </c>
      <c r="I428">
        <v>150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8</v>
      </c>
      <c r="S428">
        <v>56</v>
      </c>
      <c r="V428">
        <v>3</v>
      </c>
      <c r="W428">
        <v>1306</v>
      </c>
    </row>
    <row r="429" spans="1:23" x14ac:dyDescent="0.25">
      <c r="H429" t="s">
        <v>932</v>
      </c>
    </row>
    <row r="430" spans="1:23" x14ac:dyDescent="0.25">
      <c r="A430">
        <v>212</v>
      </c>
      <c r="B430">
        <v>3915</v>
      </c>
      <c r="C430" t="s">
        <v>933</v>
      </c>
      <c r="D430" t="s">
        <v>934</v>
      </c>
      <c r="E430" t="s">
        <v>56</v>
      </c>
      <c r="F430" t="s">
        <v>935</v>
      </c>
      <c r="G430" t="str">
        <f>"201510000290"</f>
        <v>201510000290</v>
      </c>
      <c r="H430">
        <v>803</v>
      </c>
      <c r="I430">
        <v>150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50</v>
      </c>
      <c r="S430">
        <v>350</v>
      </c>
      <c r="V430">
        <v>1</v>
      </c>
      <c r="W430">
        <v>1303</v>
      </c>
    </row>
    <row r="431" spans="1:23" x14ac:dyDescent="0.25">
      <c r="H431" t="s">
        <v>936</v>
      </c>
    </row>
    <row r="432" spans="1:23" x14ac:dyDescent="0.25">
      <c r="A432">
        <v>213</v>
      </c>
      <c r="B432">
        <v>9621</v>
      </c>
      <c r="C432" t="s">
        <v>937</v>
      </c>
      <c r="D432" t="s">
        <v>938</v>
      </c>
      <c r="E432" t="s">
        <v>939</v>
      </c>
      <c r="F432" t="s">
        <v>940</v>
      </c>
      <c r="G432" t="str">
        <f>"201511040862"</f>
        <v>201511040862</v>
      </c>
      <c r="H432">
        <v>715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109</v>
      </c>
      <c r="S432">
        <v>588</v>
      </c>
      <c r="V432">
        <v>1</v>
      </c>
      <c r="W432">
        <v>1303</v>
      </c>
    </row>
    <row r="433" spans="1:23" x14ac:dyDescent="0.25">
      <c r="H433" t="s">
        <v>941</v>
      </c>
    </row>
    <row r="434" spans="1:23" x14ac:dyDescent="0.25">
      <c r="A434">
        <v>214</v>
      </c>
      <c r="B434">
        <v>9846</v>
      </c>
      <c r="C434" t="s">
        <v>942</v>
      </c>
      <c r="D434" t="s">
        <v>943</v>
      </c>
      <c r="E434" t="s">
        <v>52</v>
      </c>
      <c r="F434" t="s">
        <v>944</v>
      </c>
      <c r="G434" t="str">
        <f>"201511042978"</f>
        <v>201511042978</v>
      </c>
      <c r="H434">
        <v>715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164</v>
      </c>
      <c r="S434">
        <v>588</v>
      </c>
      <c r="V434">
        <v>1</v>
      </c>
      <c r="W434">
        <v>1303</v>
      </c>
    </row>
    <row r="435" spans="1:23" x14ac:dyDescent="0.25">
      <c r="H435" t="s">
        <v>945</v>
      </c>
    </row>
    <row r="436" spans="1:23" x14ac:dyDescent="0.25">
      <c r="A436">
        <v>215</v>
      </c>
      <c r="B436">
        <v>6639</v>
      </c>
      <c r="C436" t="s">
        <v>946</v>
      </c>
      <c r="D436" t="s">
        <v>686</v>
      </c>
      <c r="E436" t="s">
        <v>80</v>
      </c>
      <c r="F436" t="s">
        <v>947</v>
      </c>
      <c r="G436" t="str">
        <f>"201511029844"</f>
        <v>201511029844</v>
      </c>
      <c r="H436">
        <v>715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91</v>
      </c>
      <c r="S436">
        <v>588</v>
      </c>
      <c r="V436">
        <v>1</v>
      </c>
      <c r="W436">
        <v>1303</v>
      </c>
    </row>
    <row r="437" spans="1:23" x14ac:dyDescent="0.25">
      <c r="H437" t="s">
        <v>948</v>
      </c>
    </row>
    <row r="438" spans="1:23" x14ac:dyDescent="0.25">
      <c r="A438">
        <v>216</v>
      </c>
      <c r="B438">
        <v>5361</v>
      </c>
      <c r="C438" t="s">
        <v>949</v>
      </c>
      <c r="D438" t="s">
        <v>208</v>
      </c>
      <c r="E438" t="s">
        <v>639</v>
      </c>
      <c r="F438" t="s">
        <v>950</v>
      </c>
      <c r="G438" t="str">
        <f>"00070809"</f>
        <v>00070809</v>
      </c>
      <c r="H438" t="s">
        <v>752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72</v>
      </c>
      <c r="S438">
        <v>504</v>
      </c>
      <c r="V438">
        <v>1</v>
      </c>
      <c r="W438" t="s">
        <v>951</v>
      </c>
    </row>
    <row r="439" spans="1:23" x14ac:dyDescent="0.25">
      <c r="H439" t="s">
        <v>952</v>
      </c>
    </row>
    <row r="440" spans="1:23" x14ac:dyDescent="0.25">
      <c r="A440">
        <v>217</v>
      </c>
      <c r="B440">
        <v>1787</v>
      </c>
      <c r="C440" t="s">
        <v>953</v>
      </c>
      <c r="D440" t="s">
        <v>392</v>
      </c>
      <c r="E440" t="s">
        <v>37</v>
      </c>
      <c r="F440" t="s">
        <v>954</v>
      </c>
      <c r="G440" t="str">
        <f>"201605000190"</f>
        <v>201605000190</v>
      </c>
      <c r="H440" t="s">
        <v>573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34</v>
      </c>
      <c r="S440">
        <v>238</v>
      </c>
      <c r="V440">
        <v>3</v>
      </c>
      <c r="W440" t="s">
        <v>955</v>
      </c>
    </row>
    <row r="441" spans="1:23" x14ac:dyDescent="0.25">
      <c r="H441" t="s">
        <v>956</v>
      </c>
    </row>
    <row r="442" spans="1:23" x14ac:dyDescent="0.25">
      <c r="A442">
        <v>218</v>
      </c>
      <c r="B442">
        <v>2286</v>
      </c>
      <c r="C442" t="s">
        <v>957</v>
      </c>
      <c r="D442" t="s">
        <v>208</v>
      </c>
      <c r="E442" t="s">
        <v>62</v>
      </c>
      <c r="F442" t="s">
        <v>958</v>
      </c>
      <c r="G442" t="str">
        <f>"201511029204"</f>
        <v>201511029204</v>
      </c>
      <c r="H442">
        <v>1089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30</v>
      </c>
      <c r="S442">
        <v>210</v>
      </c>
      <c r="V442">
        <v>1</v>
      </c>
      <c r="W442">
        <v>1299</v>
      </c>
    </row>
    <row r="443" spans="1:23" x14ac:dyDescent="0.25">
      <c r="H443" t="s">
        <v>959</v>
      </c>
    </row>
    <row r="444" spans="1:23" x14ac:dyDescent="0.25">
      <c r="A444">
        <v>219</v>
      </c>
      <c r="B444">
        <v>5790</v>
      </c>
      <c r="C444" t="s">
        <v>960</v>
      </c>
      <c r="D444" t="s">
        <v>202</v>
      </c>
      <c r="E444" t="s">
        <v>154</v>
      </c>
      <c r="F444" t="s">
        <v>961</v>
      </c>
      <c r="G444" t="str">
        <f>"201511014558"</f>
        <v>201511014558</v>
      </c>
      <c r="H444">
        <v>979</v>
      </c>
      <c r="I444">
        <v>150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24</v>
      </c>
      <c r="S444">
        <v>168</v>
      </c>
      <c r="V444">
        <v>1</v>
      </c>
      <c r="W444">
        <v>1297</v>
      </c>
    </row>
    <row r="445" spans="1:23" x14ac:dyDescent="0.25">
      <c r="H445" t="s">
        <v>962</v>
      </c>
    </row>
    <row r="446" spans="1:23" x14ac:dyDescent="0.25">
      <c r="A446">
        <v>220</v>
      </c>
      <c r="B446">
        <v>1899</v>
      </c>
      <c r="C446" t="s">
        <v>963</v>
      </c>
      <c r="D446" t="s">
        <v>235</v>
      </c>
      <c r="E446" t="s">
        <v>964</v>
      </c>
      <c r="F446" t="s">
        <v>965</v>
      </c>
      <c r="G446" t="str">
        <f>"201511040592"</f>
        <v>201511040592</v>
      </c>
      <c r="H446" t="s">
        <v>143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43</v>
      </c>
      <c r="S446">
        <v>301</v>
      </c>
      <c r="V446">
        <v>1</v>
      </c>
      <c r="W446" t="s">
        <v>966</v>
      </c>
    </row>
    <row r="447" spans="1:23" x14ac:dyDescent="0.25">
      <c r="H447" t="s">
        <v>967</v>
      </c>
    </row>
    <row r="448" spans="1:23" x14ac:dyDescent="0.25">
      <c r="A448">
        <v>221</v>
      </c>
      <c r="B448">
        <v>1069</v>
      </c>
      <c r="C448" t="s">
        <v>968</v>
      </c>
      <c r="D448" t="s">
        <v>969</v>
      </c>
      <c r="E448" t="s">
        <v>56</v>
      </c>
      <c r="F448" t="s">
        <v>970</v>
      </c>
      <c r="G448" t="str">
        <f>"201512001564"</f>
        <v>201512001564</v>
      </c>
      <c r="H448">
        <v>715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83</v>
      </c>
      <c r="S448">
        <v>581</v>
      </c>
      <c r="V448">
        <v>1</v>
      </c>
      <c r="W448">
        <v>1296</v>
      </c>
    </row>
    <row r="449" spans="1:23" x14ac:dyDescent="0.25">
      <c r="H449" t="s">
        <v>971</v>
      </c>
    </row>
    <row r="450" spans="1:23" x14ac:dyDescent="0.25">
      <c r="A450">
        <v>222</v>
      </c>
      <c r="B450">
        <v>3608</v>
      </c>
      <c r="C450" t="s">
        <v>972</v>
      </c>
      <c r="D450" t="s">
        <v>934</v>
      </c>
      <c r="E450" t="s">
        <v>276</v>
      </c>
      <c r="F450" t="s">
        <v>973</v>
      </c>
      <c r="G450" t="str">
        <f>"201511029775"</f>
        <v>201511029775</v>
      </c>
      <c r="H450" t="s">
        <v>974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43</v>
      </c>
      <c r="S450">
        <v>301</v>
      </c>
      <c r="V450">
        <v>3</v>
      </c>
      <c r="W450" t="s">
        <v>975</v>
      </c>
    </row>
    <row r="451" spans="1:23" x14ac:dyDescent="0.25">
      <c r="H451" t="s">
        <v>976</v>
      </c>
    </row>
    <row r="452" spans="1:23" x14ac:dyDescent="0.25">
      <c r="A452">
        <v>223</v>
      </c>
      <c r="B452">
        <v>6594</v>
      </c>
      <c r="C452" t="s">
        <v>977</v>
      </c>
      <c r="D452" t="s">
        <v>115</v>
      </c>
      <c r="E452" t="s">
        <v>37</v>
      </c>
      <c r="F452" t="s">
        <v>978</v>
      </c>
      <c r="G452" t="str">
        <f>"00085025"</f>
        <v>00085025</v>
      </c>
      <c r="H452" t="s">
        <v>979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142</v>
      </c>
      <c r="S452">
        <v>588</v>
      </c>
      <c r="V452">
        <v>1</v>
      </c>
      <c r="W452" t="s">
        <v>980</v>
      </c>
    </row>
    <row r="453" spans="1:23" x14ac:dyDescent="0.25">
      <c r="H453" t="s">
        <v>981</v>
      </c>
    </row>
    <row r="454" spans="1:23" x14ac:dyDescent="0.25">
      <c r="A454">
        <v>224</v>
      </c>
      <c r="B454">
        <v>679</v>
      </c>
      <c r="C454" t="s">
        <v>982</v>
      </c>
      <c r="D454" t="s">
        <v>368</v>
      </c>
      <c r="E454" t="s">
        <v>80</v>
      </c>
      <c r="F454" t="s">
        <v>983</v>
      </c>
      <c r="G454" t="str">
        <f>"201007000083"</f>
        <v>201007000083</v>
      </c>
      <c r="H454" t="s">
        <v>984</v>
      </c>
      <c r="I454">
        <v>150</v>
      </c>
      <c r="J454">
        <v>50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39</v>
      </c>
      <c r="S454">
        <v>273</v>
      </c>
      <c r="V454">
        <v>1</v>
      </c>
      <c r="W454" t="s">
        <v>985</v>
      </c>
    </row>
    <row r="455" spans="1:23" x14ac:dyDescent="0.25">
      <c r="H455" t="s">
        <v>986</v>
      </c>
    </row>
    <row r="456" spans="1:23" x14ac:dyDescent="0.25">
      <c r="A456">
        <v>225</v>
      </c>
      <c r="B456">
        <v>4200</v>
      </c>
      <c r="C456" t="s">
        <v>987</v>
      </c>
      <c r="D456" t="s">
        <v>988</v>
      </c>
      <c r="E456" t="s">
        <v>80</v>
      </c>
      <c r="F456" t="s">
        <v>989</v>
      </c>
      <c r="G456" t="str">
        <f>"201511012299"</f>
        <v>201511012299</v>
      </c>
      <c r="H456">
        <v>979</v>
      </c>
      <c r="I456">
        <v>150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23</v>
      </c>
      <c r="S456">
        <v>161</v>
      </c>
      <c r="V456">
        <v>1</v>
      </c>
      <c r="W456">
        <v>1290</v>
      </c>
    </row>
    <row r="457" spans="1:23" x14ac:dyDescent="0.25">
      <c r="H457" t="s">
        <v>990</v>
      </c>
    </row>
    <row r="458" spans="1:23" x14ac:dyDescent="0.25">
      <c r="A458">
        <v>226</v>
      </c>
      <c r="B458">
        <v>10255</v>
      </c>
      <c r="C458" t="s">
        <v>991</v>
      </c>
      <c r="D458" t="s">
        <v>275</v>
      </c>
      <c r="E458" t="s">
        <v>37</v>
      </c>
      <c r="F458" t="s">
        <v>992</v>
      </c>
      <c r="G458" t="str">
        <f>"00036199"</f>
        <v>00036199</v>
      </c>
      <c r="H458">
        <v>550</v>
      </c>
      <c r="I458">
        <v>150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108</v>
      </c>
      <c r="S458">
        <v>588</v>
      </c>
      <c r="V458">
        <v>1</v>
      </c>
      <c r="W458">
        <v>1288</v>
      </c>
    </row>
    <row r="459" spans="1:23" x14ac:dyDescent="0.25">
      <c r="H459" t="s">
        <v>993</v>
      </c>
    </row>
    <row r="460" spans="1:23" x14ac:dyDescent="0.25">
      <c r="A460">
        <v>227</v>
      </c>
      <c r="B460">
        <v>8876</v>
      </c>
      <c r="C460" t="s">
        <v>994</v>
      </c>
      <c r="D460" t="s">
        <v>29</v>
      </c>
      <c r="E460" t="s">
        <v>276</v>
      </c>
      <c r="F460" t="s">
        <v>995</v>
      </c>
      <c r="G460" t="str">
        <f>"201511020220"</f>
        <v>201511020220</v>
      </c>
      <c r="H460">
        <v>1100</v>
      </c>
      <c r="I460">
        <v>150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5</v>
      </c>
      <c r="S460">
        <v>35</v>
      </c>
      <c r="V460">
        <v>1</v>
      </c>
      <c r="W460">
        <v>1285</v>
      </c>
    </row>
    <row r="461" spans="1:23" x14ac:dyDescent="0.25">
      <c r="H461" t="s">
        <v>996</v>
      </c>
    </row>
    <row r="462" spans="1:23" x14ac:dyDescent="0.25">
      <c r="A462">
        <v>228</v>
      </c>
      <c r="B462">
        <v>1685</v>
      </c>
      <c r="C462" t="s">
        <v>997</v>
      </c>
      <c r="D462" t="s">
        <v>172</v>
      </c>
      <c r="E462" t="s">
        <v>229</v>
      </c>
      <c r="F462" t="s">
        <v>998</v>
      </c>
      <c r="G462" t="str">
        <f>"201512001313"</f>
        <v>201512001313</v>
      </c>
      <c r="H462">
        <v>935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50</v>
      </c>
      <c r="S462">
        <v>350</v>
      </c>
      <c r="V462">
        <v>1</v>
      </c>
      <c r="W462">
        <v>1285</v>
      </c>
    </row>
    <row r="463" spans="1:23" x14ac:dyDescent="0.25">
      <c r="H463" t="s">
        <v>999</v>
      </c>
    </row>
    <row r="464" spans="1:23" x14ac:dyDescent="0.25">
      <c r="A464">
        <v>229</v>
      </c>
      <c r="B464">
        <v>4334</v>
      </c>
      <c r="C464" t="s">
        <v>1000</v>
      </c>
      <c r="D464" t="s">
        <v>1001</v>
      </c>
      <c r="E464" t="s">
        <v>70</v>
      </c>
      <c r="F464" t="s">
        <v>1002</v>
      </c>
      <c r="G464" t="str">
        <f>"201511029371"</f>
        <v>201511029371</v>
      </c>
      <c r="H464" t="s">
        <v>453</v>
      </c>
      <c r="I464">
        <v>150</v>
      </c>
      <c r="J464">
        <v>30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36</v>
      </c>
      <c r="S464">
        <v>252</v>
      </c>
      <c r="V464">
        <v>1</v>
      </c>
      <c r="W464" t="s">
        <v>1003</v>
      </c>
    </row>
    <row r="465" spans="1:23" x14ac:dyDescent="0.25">
      <c r="H465" t="s">
        <v>1004</v>
      </c>
    </row>
    <row r="466" spans="1:23" x14ac:dyDescent="0.25">
      <c r="A466">
        <v>230</v>
      </c>
      <c r="B466">
        <v>7558</v>
      </c>
      <c r="C466" t="s">
        <v>1005</v>
      </c>
      <c r="D466" t="s">
        <v>1006</v>
      </c>
      <c r="E466" t="s">
        <v>57</v>
      </c>
      <c r="F466" t="s">
        <v>1007</v>
      </c>
      <c r="G466" t="str">
        <f>"201511043646"</f>
        <v>201511043646</v>
      </c>
      <c r="H466" t="s">
        <v>1008</v>
      </c>
      <c r="I466">
        <v>150</v>
      </c>
      <c r="J466">
        <v>30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39</v>
      </c>
      <c r="S466">
        <v>273</v>
      </c>
      <c r="V466">
        <v>1</v>
      </c>
      <c r="W466" t="s">
        <v>1009</v>
      </c>
    </row>
    <row r="467" spans="1:23" x14ac:dyDescent="0.25">
      <c r="H467" t="s">
        <v>1010</v>
      </c>
    </row>
    <row r="468" spans="1:23" x14ac:dyDescent="0.25">
      <c r="A468">
        <v>231</v>
      </c>
      <c r="B468">
        <v>1549</v>
      </c>
      <c r="C468" t="s">
        <v>1011</v>
      </c>
      <c r="D468" t="s">
        <v>1012</v>
      </c>
      <c r="E468" t="s">
        <v>1013</v>
      </c>
      <c r="F468" t="s">
        <v>1014</v>
      </c>
      <c r="G468" t="str">
        <f>"201410012607"</f>
        <v>201410012607</v>
      </c>
      <c r="H468" t="s">
        <v>1015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60</v>
      </c>
      <c r="S468">
        <v>420</v>
      </c>
      <c r="V468">
        <v>1</v>
      </c>
      <c r="W468" t="s">
        <v>1016</v>
      </c>
    </row>
    <row r="469" spans="1:23" x14ac:dyDescent="0.25">
      <c r="H469" t="s">
        <v>1017</v>
      </c>
    </row>
    <row r="470" spans="1:23" x14ac:dyDescent="0.25">
      <c r="A470">
        <v>232</v>
      </c>
      <c r="B470">
        <v>9121</v>
      </c>
      <c r="C470" t="s">
        <v>1018</v>
      </c>
      <c r="D470" t="s">
        <v>122</v>
      </c>
      <c r="E470" t="s">
        <v>154</v>
      </c>
      <c r="F470" t="s">
        <v>1019</v>
      </c>
      <c r="G470" t="str">
        <f>"200811000814"</f>
        <v>200811000814</v>
      </c>
      <c r="H470" t="s">
        <v>220</v>
      </c>
      <c r="I470">
        <v>0</v>
      </c>
      <c r="J470">
        <v>30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32</v>
      </c>
      <c r="S470">
        <v>224</v>
      </c>
      <c r="V470">
        <v>1</v>
      </c>
      <c r="W470" t="s">
        <v>1020</v>
      </c>
    </row>
    <row r="471" spans="1:23" x14ac:dyDescent="0.25">
      <c r="H471" t="s">
        <v>1021</v>
      </c>
    </row>
    <row r="472" spans="1:23" x14ac:dyDescent="0.25">
      <c r="A472">
        <v>233</v>
      </c>
      <c r="B472">
        <v>8052</v>
      </c>
      <c r="C472" t="s">
        <v>1022</v>
      </c>
      <c r="D472" t="s">
        <v>433</v>
      </c>
      <c r="E472" t="s">
        <v>158</v>
      </c>
      <c r="F472" t="s">
        <v>1023</v>
      </c>
      <c r="G472" t="str">
        <f>"00050172"</f>
        <v>00050172</v>
      </c>
      <c r="H472">
        <v>1100</v>
      </c>
      <c r="I472">
        <v>150</v>
      </c>
      <c r="J472">
        <v>30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V472">
        <v>1</v>
      </c>
      <c r="W472">
        <v>1280</v>
      </c>
    </row>
    <row r="473" spans="1:23" x14ac:dyDescent="0.25">
      <c r="H473" t="s">
        <v>1024</v>
      </c>
    </row>
    <row r="474" spans="1:23" x14ac:dyDescent="0.25">
      <c r="A474">
        <v>234</v>
      </c>
      <c r="B474">
        <v>6028</v>
      </c>
      <c r="C474" t="s">
        <v>1025</v>
      </c>
      <c r="D474" t="s">
        <v>943</v>
      </c>
      <c r="E474" t="s">
        <v>37</v>
      </c>
      <c r="F474" t="s">
        <v>1026</v>
      </c>
      <c r="G474" t="str">
        <f>"201511028619"</f>
        <v>201511028619</v>
      </c>
      <c r="H474">
        <v>1100</v>
      </c>
      <c r="I474">
        <v>150</v>
      </c>
      <c r="J474">
        <v>30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V474">
        <v>1</v>
      </c>
      <c r="W474">
        <v>1280</v>
      </c>
    </row>
    <row r="475" spans="1:23" x14ac:dyDescent="0.25">
      <c r="H475" t="s">
        <v>1027</v>
      </c>
    </row>
    <row r="476" spans="1:23" x14ac:dyDescent="0.25">
      <c r="A476">
        <v>235</v>
      </c>
      <c r="B476">
        <v>5788</v>
      </c>
      <c r="C476" t="s">
        <v>1028</v>
      </c>
      <c r="D476" t="s">
        <v>1029</v>
      </c>
      <c r="E476" t="s">
        <v>154</v>
      </c>
      <c r="F476" t="s">
        <v>1030</v>
      </c>
      <c r="G476" t="str">
        <f>"201511034803"</f>
        <v>201511034803</v>
      </c>
      <c r="H476" t="s">
        <v>131</v>
      </c>
      <c r="I476">
        <v>150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5</v>
      </c>
      <c r="S476">
        <v>35</v>
      </c>
      <c r="V476">
        <v>1</v>
      </c>
      <c r="W476" t="s">
        <v>1031</v>
      </c>
    </row>
    <row r="477" spans="1:23" x14ac:dyDescent="0.25">
      <c r="H477">
        <v>897</v>
      </c>
    </row>
    <row r="478" spans="1:23" x14ac:dyDescent="0.25">
      <c r="A478">
        <v>236</v>
      </c>
      <c r="B478">
        <v>2890</v>
      </c>
      <c r="C478" t="s">
        <v>1032</v>
      </c>
      <c r="D478" t="s">
        <v>351</v>
      </c>
      <c r="E478" t="s">
        <v>20</v>
      </c>
      <c r="F478" t="s">
        <v>1033</v>
      </c>
      <c r="G478" t="str">
        <f>"201511028058"</f>
        <v>201511028058</v>
      </c>
      <c r="H478" t="s">
        <v>47</v>
      </c>
      <c r="I478">
        <v>150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8</v>
      </c>
      <c r="S478">
        <v>56</v>
      </c>
      <c r="V478">
        <v>1</v>
      </c>
      <c r="W478" t="s">
        <v>1034</v>
      </c>
    </row>
    <row r="479" spans="1:23" x14ac:dyDescent="0.25">
      <c r="H479" t="s">
        <v>1035</v>
      </c>
    </row>
    <row r="480" spans="1:23" x14ac:dyDescent="0.25">
      <c r="A480">
        <v>237</v>
      </c>
      <c r="B480">
        <v>5425</v>
      </c>
      <c r="C480" t="s">
        <v>1036</v>
      </c>
      <c r="D480" t="s">
        <v>1037</v>
      </c>
      <c r="E480" t="s">
        <v>1038</v>
      </c>
      <c r="F480" t="s">
        <v>1039</v>
      </c>
      <c r="G480" t="str">
        <f>"201103000006"</f>
        <v>201103000006</v>
      </c>
      <c r="H480">
        <v>935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49</v>
      </c>
      <c r="S480">
        <v>343</v>
      </c>
      <c r="V480">
        <v>3</v>
      </c>
      <c r="W480">
        <v>1278</v>
      </c>
    </row>
    <row r="481" spans="1:23" x14ac:dyDescent="0.25">
      <c r="H481" t="s">
        <v>1040</v>
      </c>
    </row>
    <row r="482" spans="1:23" x14ac:dyDescent="0.25">
      <c r="A482">
        <v>238</v>
      </c>
      <c r="B482">
        <v>2393</v>
      </c>
      <c r="C482" t="s">
        <v>1041</v>
      </c>
      <c r="D482" t="s">
        <v>344</v>
      </c>
      <c r="E482" t="s">
        <v>158</v>
      </c>
      <c r="F482" t="s">
        <v>1042</v>
      </c>
      <c r="G482" t="str">
        <f>"201511026263"</f>
        <v>201511026263</v>
      </c>
      <c r="H482" t="s">
        <v>1043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84</v>
      </c>
      <c r="S482">
        <v>588</v>
      </c>
      <c r="V482">
        <v>1</v>
      </c>
      <c r="W482" t="s">
        <v>1044</v>
      </c>
    </row>
    <row r="483" spans="1:23" x14ac:dyDescent="0.25">
      <c r="H483" t="s">
        <v>1045</v>
      </c>
    </row>
    <row r="484" spans="1:23" x14ac:dyDescent="0.25">
      <c r="A484">
        <v>239</v>
      </c>
      <c r="B484">
        <v>3644</v>
      </c>
      <c r="C484" t="s">
        <v>1046</v>
      </c>
      <c r="D484" t="s">
        <v>1047</v>
      </c>
      <c r="E484" t="s">
        <v>37</v>
      </c>
      <c r="F484" t="s">
        <v>1048</v>
      </c>
      <c r="G484" t="str">
        <f>"00022817"</f>
        <v>00022817</v>
      </c>
      <c r="H484" t="s">
        <v>693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34</v>
      </c>
      <c r="S484">
        <v>238</v>
      </c>
      <c r="V484">
        <v>1</v>
      </c>
      <c r="W484" t="s">
        <v>1049</v>
      </c>
    </row>
    <row r="485" spans="1:23" x14ac:dyDescent="0.25">
      <c r="H485" t="s">
        <v>1050</v>
      </c>
    </row>
    <row r="486" spans="1:23" x14ac:dyDescent="0.25">
      <c r="A486">
        <v>240</v>
      </c>
      <c r="B486">
        <v>2966</v>
      </c>
      <c r="C486" t="s">
        <v>223</v>
      </c>
      <c r="D486" t="s">
        <v>172</v>
      </c>
      <c r="E486" t="s">
        <v>533</v>
      </c>
      <c r="F486" t="s">
        <v>1051</v>
      </c>
      <c r="G486" t="str">
        <f>"201510004543"</f>
        <v>201510004543</v>
      </c>
      <c r="H486">
        <v>1100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25</v>
      </c>
      <c r="S486">
        <v>175</v>
      </c>
      <c r="V486">
        <v>1</v>
      </c>
      <c r="W486">
        <v>1275</v>
      </c>
    </row>
    <row r="487" spans="1:23" x14ac:dyDescent="0.25">
      <c r="H487" t="s">
        <v>1052</v>
      </c>
    </row>
    <row r="488" spans="1:23" x14ac:dyDescent="0.25">
      <c r="A488">
        <v>241</v>
      </c>
      <c r="B488">
        <v>4353</v>
      </c>
      <c r="C488" t="s">
        <v>1053</v>
      </c>
      <c r="D488" t="s">
        <v>115</v>
      </c>
      <c r="E488" t="s">
        <v>1054</v>
      </c>
      <c r="F488" t="s">
        <v>1055</v>
      </c>
      <c r="G488" t="str">
        <f>"201511041558"</f>
        <v>201511041558</v>
      </c>
      <c r="H488" t="s">
        <v>332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35</v>
      </c>
      <c r="S488">
        <v>245</v>
      </c>
      <c r="V488">
        <v>1</v>
      </c>
      <c r="W488" t="s">
        <v>1056</v>
      </c>
    </row>
    <row r="489" spans="1:23" x14ac:dyDescent="0.25">
      <c r="H489" t="s">
        <v>1057</v>
      </c>
    </row>
    <row r="490" spans="1:23" x14ac:dyDescent="0.25">
      <c r="A490">
        <v>242</v>
      </c>
      <c r="B490">
        <v>102</v>
      </c>
      <c r="C490" t="s">
        <v>1058</v>
      </c>
      <c r="D490" t="s">
        <v>382</v>
      </c>
      <c r="E490" t="s">
        <v>57</v>
      </c>
      <c r="F490" t="s">
        <v>1059</v>
      </c>
      <c r="G490" t="str">
        <f>"201510000706"</f>
        <v>201510000706</v>
      </c>
      <c r="H490">
        <v>1078</v>
      </c>
      <c r="I490">
        <v>150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6</v>
      </c>
      <c r="S490">
        <v>42</v>
      </c>
      <c r="V490">
        <v>3</v>
      </c>
      <c r="W490">
        <v>1270</v>
      </c>
    </row>
    <row r="491" spans="1:23" x14ac:dyDescent="0.25">
      <c r="H491" t="s">
        <v>1060</v>
      </c>
    </row>
    <row r="492" spans="1:23" x14ac:dyDescent="0.25">
      <c r="A492">
        <v>243</v>
      </c>
      <c r="B492">
        <v>2150</v>
      </c>
      <c r="C492" t="s">
        <v>1061</v>
      </c>
      <c r="D492" t="s">
        <v>172</v>
      </c>
      <c r="E492" t="s">
        <v>1062</v>
      </c>
      <c r="F492" t="s">
        <v>1063</v>
      </c>
      <c r="G492" t="str">
        <f>"201310000092"</f>
        <v>201310000092</v>
      </c>
      <c r="H492">
        <v>770</v>
      </c>
      <c r="I492">
        <v>150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50</v>
      </c>
      <c r="S492">
        <v>350</v>
      </c>
      <c r="V492">
        <v>1</v>
      </c>
      <c r="W492">
        <v>1270</v>
      </c>
    </row>
    <row r="493" spans="1:23" x14ac:dyDescent="0.25">
      <c r="H493" t="s">
        <v>1064</v>
      </c>
    </row>
    <row r="494" spans="1:23" x14ac:dyDescent="0.25">
      <c r="A494">
        <v>244</v>
      </c>
      <c r="B494">
        <v>8704</v>
      </c>
      <c r="C494" t="s">
        <v>1065</v>
      </c>
      <c r="D494" t="s">
        <v>1066</v>
      </c>
      <c r="E494" t="s">
        <v>1067</v>
      </c>
      <c r="F494" t="s">
        <v>1068</v>
      </c>
      <c r="G494" t="str">
        <f>"00016757"</f>
        <v>00016757</v>
      </c>
      <c r="H494" t="s">
        <v>40</v>
      </c>
      <c r="I494">
        <v>150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5</v>
      </c>
      <c r="S494">
        <v>35</v>
      </c>
      <c r="V494">
        <v>1</v>
      </c>
      <c r="W494" t="s">
        <v>1069</v>
      </c>
    </row>
    <row r="495" spans="1:23" x14ac:dyDescent="0.25">
      <c r="H495" t="s">
        <v>1070</v>
      </c>
    </row>
    <row r="496" spans="1:23" x14ac:dyDescent="0.25">
      <c r="A496">
        <v>245</v>
      </c>
      <c r="B496">
        <v>3676</v>
      </c>
      <c r="C496" t="s">
        <v>1071</v>
      </c>
      <c r="D496" t="s">
        <v>351</v>
      </c>
      <c r="E496" t="s">
        <v>20</v>
      </c>
      <c r="F496" t="s">
        <v>1072</v>
      </c>
      <c r="G496" t="str">
        <f>"201511035211"</f>
        <v>201511035211</v>
      </c>
      <c r="H496" t="s">
        <v>179</v>
      </c>
      <c r="I496">
        <v>150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31</v>
      </c>
      <c r="S496">
        <v>217</v>
      </c>
      <c r="V496">
        <v>1</v>
      </c>
      <c r="W496" t="s">
        <v>1073</v>
      </c>
    </row>
    <row r="497" spans="1:23" x14ac:dyDescent="0.25">
      <c r="H497" t="s">
        <v>1074</v>
      </c>
    </row>
    <row r="498" spans="1:23" x14ac:dyDescent="0.25">
      <c r="A498">
        <v>246</v>
      </c>
      <c r="B498">
        <v>3135</v>
      </c>
      <c r="C498" t="s">
        <v>1075</v>
      </c>
      <c r="D498" t="s">
        <v>382</v>
      </c>
      <c r="E498" t="s">
        <v>158</v>
      </c>
      <c r="F498" t="s">
        <v>1076</v>
      </c>
      <c r="G498" t="str">
        <f>"201511013793"</f>
        <v>201511013793</v>
      </c>
      <c r="H498" t="s">
        <v>573</v>
      </c>
      <c r="I498">
        <v>150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8</v>
      </c>
      <c r="S498">
        <v>56</v>
      </c>
      <c r="V498">
        <v>1</v>
      </c>
      <c r="W498" t="s">
        <v>1077</v>
      </c>
    </row>
    <row r="499" spans="1:23" x14ac:dyDescent="0.25">
      <c r="H499" t="s">
        <v>1078</v>
      </c>
    </row>
    <row r="500" spans="1:23" x14ac:dyDescent="0.25">
      <c r="A500">
        <v>247</v>
      </c>
      <c r="B500">
        <v>3596</v>
      </c>
      <c r="C500" t="s">
        <v>1079</v>
      </c>
      <c r="D500" t="s">
        <v>96</v>
      </c>
      <c r="E500" t="s">
        <v>57</v>
      </c>
      <c r="F500" t="s">
        <v>1080</v>
      </c>
      <c r="G500" t="str">
        <f>"201511034347"</f>
        <v>201511034347</v>
      </c>
      <c r="H500" t="s">
        <v>40</v>
      </c>
      <c r="I500">
        <v>150</v>
      </c>
      <c r="J500">
        <v>30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V500">
        <v>1</v>
      </c>
      <c r="W500" t="s">
        <v>1081</v>
      </c>
    </row>
    <row r="501" spans="1:23" x14ac:dyDescent="0.25">
      <c r="H501">
        <v>843</v>
      </c>
    </row>
    <row r="502" spans="1:23" x14ac:dyDescent="0.25">
      <c r="A502">
        <v>248</v>
      </c>
      <c r="B502">
        <v>10077</v>
      </c>
      <c r="C502" t="s">
        <v>1082</v>
      </c>
      <c r="D502" t="s">
        <v>51</v>
      </c>
      <c r="E502" t="s">
        <v>56</v>
      </c>
      <c r="F502" t="s">
        <v>1083</v>
      </c>
      <c r="G502" t="str">
        <f>"00098780"</f>
        <v>00098780</v>
      </c>
      <c r="H502" t="s">
        <v>40</v>
      </c>
      <c r="I502">
        <v>150</v>
      </c>
      <c r="J502">
        <v>30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V502">
        <v>1</v>
      </c>
      <c r="W502" t="s">
        <v>1081</v>
      </c>
    </row>
    <row r="503" spans="1:23" x14ac:dyDescent="0.25">
      <c r="H503" t="s">
        <v>1084</v>
      </c>
    </row>
    <row r="504" spans="1:23" x14ac:dyDescent="0.25">
      <c r="A504">
        <v>249</v>
      </c>
      <c r="B504">
        <v>3514</v>
      </c>
      <c r="C504" t="s">
        <v>1085</v>
      </c>
      <c r="D504" t="s">
        <v>183</v>
      </c>
      <c r="E504" t="s">
        <v>1086</v>
      </c>
      <c r="F504" t="s">
        <v>1087</v>
      </c>
      <c r="G504" t="str">
        <f>"201511034305"</f>
        <v>201511034305</v>
      </c>
      <c r="H504" t="s">
        <v>554</v>
      </c>
      <c r="I504">
        <v>0</v>
      </c>
      <c r="J504">
        <v>30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48</v>
      </c>
      <c r="S504">
        <v>336</v>
      </c>
      <c r="V504">
        <v>1</v>
      </c>
      <c r="W504" t="s">
        <v>1088</v>
      </c>
    </row>
    <row r="505" spans="1:23" x14ac:dyDescent="0.25">
      <c r="H505" t="s">
        <v>1089</v>
      </c>
    </row>
    <row r="506" spans="1:23" x14ac:dyDescent="0.25">
      <c r="A506">
        <v>250</v>
      </c>
      <c r="B506">
        <v>2784</v>
      </c>
      <c r="C506" t="s">
        <v>1090</v>
      </c>
      <c r="D506" t="s">
        <v>57</v>
      </c>
      <c r="E506" t="s">
        <v>1091</v>
      </c>
      <c r="F506" t="s">
        <v>1092</v>
      </c>
      <c r="G506" t="str">
        <f>"201511006132"</f>
        <v>201511006132</v>
      </c>
      <c r="H506" t="s">
        <v>573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28</v>
      </c>
      <c r="S506">
        <v>196</v>
      </c>
      <c r="V506">
        <v>1</v>
      </c>
      <c r="W506" t="s">
        <v>1093</v>
      </c>
    </row>
    <row r="507" spans="1:23" x14ac:dyDescent="0.25">
      <c r="H507" t="s">
        <v>1094</v>
      </c>
    </row>
    <row r="508" spans="1:23" x14ac:dyDescent="0.25">
      <c r="A508">
        <v>251</v>
      </c>
      <c r="B508">
        <v>5905</v>
      </c>
      <c r="C508" t="s">
        <v>1095</v>
      </c>
      <c r="D508" t="s">
        <v>37</v>
      </c>
      <c r="E508" t="s">
        <v>158</v>
      </c>
      <c r="F508" t="s">
        <v>1096</v>
      </c>
      <c r="G508" t="str">
        <f>"201511040278"</f>
        <v>201511040278</v>
      </c>
      <c r="H508" t="s">
        <v>286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40</v>
      </c>
      <c r="S508">
        <v>280</v>
      </c>
      <c r="V508">
        <v>1</v>
      </c>
      <c r="W508" t="s">
        <v>1097</v>
      </c>
    </row>
    <row r="509" spans="1:23" x14ac:dyDescent="0.25">
      <c r="H509" t="s">
        <v>1098</v>
      </c>
    </row>
    <row r="510" spans="1:23" x14ac:dyDescent="0.25">
      <c r="A510">
        <v>252</v>
      </c>
      <c r="B510">
        <v>4406</v>
      </c>
      <c r="C510" t="s">
        <v>1099</v>
      </c>
      <c r="D510" t="s">
        <v>57</v>
      </c>
      <c r="E510" t="s">
        <v>154</v>
      </c>
      <c r="F510" t="s">
        <v>1100</v>
      </c>
      <c r="G510" t="str">
        <f>"00073473"</f>
        <v>00073473</v>
      </c>
      <c r="H510" t="s">
        <v>1101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84</v>
      </c>
      <c r="S510">
        <v>588</v>
      </c>
      <c r="V510">
        <v>1</v>
      </c>
      <c r="W510" t="s">
        <v>1097</v>
      </c>
    </row>
    <row r="511" spans="1:23" x14ac:dyDescent="0.25">
      <c r="H511" t="s">
        <v>1102</v>
      </c>
    </row>
    <row r="512" spans="1:23" x14ac:dyDescent="0.25">
      <c r="A512">
        <v>253</v>
      </c>
      <c r="B512">
        <v>9414</v>
      </c>
      <c r="C512" t="s">
        <v>1103</v>
      </c>
      <c r="D512" t="s">
        <v>96</v>
      </c>
      <c r="E512" t="s">
        <v>1104</v>
      </c>
      <c r="F512" t="s">
        <v>1105</v>
      </c>
      <c r="G512" t="str">
        <f>"201511042718"</f>
        <v>201511042718</v>
      </c>
      <c r="H512" t="s">
        <v>854</v>
      </c>
      <c r="I512">
        <v>0</v>
      </c>
      <c r="J512">
        <v>50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34</v>
      </c>
      <c r="S512">
        <v>238</v>
      </c>
      <c r="V512">
        <v>1</v>
      </c>
      <c r="W512" t="s">
        <v>1106</v>
      </c>
    </row>
    <row r="513" spans="1:23" x14ac:dyDescent="0.25">
      <c r="H513" t="s">
        <v>310</v>
      </c>
    </row>
    <row r="514" spans="1:23" x14ac:dyDescent="0.25">
      <c r="A514">
        <v>254</v>
      </c>
      <c r="B514">
        <v>837</v>
      </c>
      <c r="C514" t="s">
        <v>1107</v>
      </c>
      <c r="D514" t="s">
        <v>208</v>
      </c>
      <c r="E514" t="s">
        <v>20</v>
      </c>
      <c r="F514" t="s">
        <v>1108</v>
      </c>
      <c r="G514" t="str">
        <f>"201511028135"</f>
        <v>201511028135</v>
      </c>
      <c r="H514" t="s">
        <v>1109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24</v>
      </c>
      <c r="S514">
        <v>168</v>
      </c>
      <c r="V514">
        <v>1</v>
      </c>
      <c r="W514" t="s">
        <v>1110</v>
      </c>
    </row>
    <row r="515" spans="1:23" x14ac:dyDescent="0.25">
      <c r="H515">
        <v>850</v>
      </c>
    </row>
    <row r="516" spans="1:23" x14ac:dyDescent="0.25">
      <c r="A516">
        <v>255</v>
      </c>
      <c r="B516">
        <v>2513</v>
      </c>
      <c r="C516" t="s">
        <v>1111</v>
      </c>
      <c r="D516" t="s">
        <v>351</v>
      </c>
      <c r="E516" t="s">
        <v>80</v>
      </c>
      <c r="F516" t="s">
        <v>1112</v>
      </c>
      <c r="G516" t="str">
        <f>"201511035234"</f>
        <v>201511035234</v>
      </c>
      <c r="H516" t="s">
        <v>1113</v>
      </c>
      <c r="I516">
        <v>150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20</v>
      </c>
      <c r="S516">
        <v>140</v>
      </c>
      <c r="V516">
        <v>1</v>
      </c>
      <c r="W516" t="s">
        <v>1114</v>
      </c>
    </row>
    <row r="517" spans="1:23" x14ac:dyDescent="0.25">
      <c r="H517" t="s">
        <v>1115</v>
      </c>
    </row>
    <row r="518" spans="1:23" x14ac:dyDescent="0.25">
      <c r="A518">
        <v>256</v>
      </c>
      <c r="B518">
        <v>347</v>
      </c>
      <c r="C518" t="s">
        <v>1116</v>
      </c>
      <c r="D518" t="s">
        <v>368</v>
      </c>
      <c r="E518" t="s">
        <v>56</v>
      </c>
      <c r="F518" t="s">
        <v>1117</v>
      </c>
      <c r="G518" t="str">
        <f>"201511027314"</f>
        <v>201511027314</v>
      </c>
      <c r="H518">
        <v>891</v>
      </c>
      <c r="I518">
        <v>150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30</v>
      </c>
      <c r="S518">
        <v>210</v>
      </c>
      <c r="V518">
        <v>1</v>
      </c>
      <c r="W518">
        <v>1251</v>
      </c>
    </row>
    <row r="519" spans="1:23" x14ac:dyDescent="0.25">
      <c r="H519" t="s">
        <v>1118</v>
      </c>
    </row>
    <row r="520" spans="1:23" x14ac:dyDescent="0.25">
      <c r="A520">
        <v>257</v>
      </c>
      <c r="B520">
        <v>1316</v>
      </c>
      <c r="C520" t="s">
        <v>1119</v>
      </c>
      <c r="D520" t="s">
        <v>29</v>
      </c>
      <c r="E520" t="s">
        <v>15</v>
      </c>
      <c r="F520" t="s">
        <v>1120</v>
      </c>
      <c r="G520" t="str">
        <f>"201511014225"</f>
        <v>201511014225</v>
      </c>
      <c r="H520" t="s">
        <v>143</v>
      </c>
      <c r="I520">
        <v>150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15</v>
      </c>
      <c r="S520">
        <v>105</v>
      </c>
      <c r="V520">
        <v>1</v>
      </c>
      <c r="W520" t="s">
        <v>1121</v>
      </c>
    </row>
    <row r="521" spans="1:23" x14ac:dyDescent="0.25">
      <c r="H521" t="s">
        <v>1122</v>
      </c>
    </row>
    <row r="522" spans="1:23" x14ac:dyDescent="0.25">
      <c r="A522">
        <v>258</v>
      </c>
      <c r="B522">
        <v>6945</v>
      </c>
      <c r="C522" t="s">
        <v>1123</v>
      </c>
      <c r="D522" t="s">
        <v>96</v>
      </c>
      <c r="E522" t="s">
        <v>1124</v>
      </c>
      <c r="F522" t="s">
        <v>1125</v>
      </c>
      <c r="G522" t="str">
        <f>"201402012530"</f>
        <v>201402012530</v>
      </c>
      <c r="H522">
        <v>1100</v>
      </c>
      <c r="I522">
        <v>150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V522">
        <v>1</v>
      </c>
      <c r="W522">
        <v>1250</v>
      </c>
    </row>
    <row r="523" spans="1:23" x14ac:dyDescent="0.25">
      <c r="H523" t="s">
        <v>1126</v>
      </c>
    </row>
    <row r="524" spans="1:23" x14ac:dyDescent="0.25">
      <c r="A524">
        <v>259</v>
      </c>
      <c r="B524">
        <v>3745</v>
      </c>
      <c r="C524" t="s">
        <v>1127</v>
      </c>
      <c r="D524" t="s">
        <v>96</v>
      </c>
      <c r="E524" t="s">
        <v>37</v>
      </c>
      <c r="F524" t="s">
        <v>1128</v>
      </c>
      <c r="G524" t="str">
        <f>"201511028705"</f>
        <v>201511028705</v>
      </c>
      <c r="H524">
        <v>1100</v>
      </c>
      <c r="I524">
        <v>150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V524">
        <v>1</v>
      </c>
      <c r="W524">
        <v>1250</v>
      </c>
    </row>
    <row r="525" spans="1:23" x14ac:dyDescent="0.25">
      <c r="H525" t="s">
        <v>1129</v>
      </c>
    </row>
    <row r="526" spans="1:23" x14ac:dyDescent="0.25">
      <c r="A526">
        <v>260</v>
      </c>
      <c r="B526">
        <v>6604</v>
      </c>
      <c r="C526" t="s">
        <v>1130</v>
      </c>
      <c r="D526" t="s">
        <v>1131</v>
      </c>
      <c r="E526" t="s">
        <v>37</v>
      </c>
      <c r="F526" t="s">
        <v>1132</v>
      </c>
      <c r="G526" t="str">
        <f>"201511036649"</f>
        <v>201511036649</v>
      </c>
      <c r="H526">
        <v>1100</v>
      </c>
      <c r="I526">
        <v>150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V526">
        <v>1</v>
      </c>
      <c r="W526">
        <v>1250</v>
      </c>
    </row>
    <row r="527" spans="1:23" x14ac:dyDescent="0.25">
      <c r="H527" t="s">
        <v>1133</v>
      </c>
    </row>
    <row r="528" spans="1:23" x14ac:dyDescent="0.25">
      <c r="A528">
        <v>261</v>
      </c>
      <c r="B528">
        <v>2988</v>
      </c>
      <c r="C528" t="s">
        <v>1134</v>
      </c>
      <c r="D528" t="s">
        <v>157</v>
      </c>
      <c r="E528" t="s">
        <v>1135</v>
      </c>
      <c r="F528" t="s">
        <v>1136</v>
      </c>
      <c r="G528" t="str">
        <f>"201512001614"</f>
        <v>201512001614</v>
      </c>
      <c r="H528">
        <v>1100</v>
      </c>
      <c r="I528">
        <v>150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V528">
        <v>1</v>
      </c>
      <c r="W528">
        <v>1250</v>
      </c>
    </row>
    <row r="529" spans="1:23" x14ac:dyDescent="0.25">
      <c r="H529" t="s">
        <v>1137</v>
      </c>
    </row>
    <row r="530" spans="1:23" x14ac:dyDescent="0.25">
      <c r="A530">
        <v>262</v>
      </c>
      <c r="B530">
        <v>7875</v>
      </c>
      <c r="C530" t="s">
        <v>1138</v>
      </c>
      <c r="D530" t="s">
        <v>351</v>
      </c>
      <c r="E530" t="s">
        <v>80</v>
      </c>
      <c r="F530" t="s">
        <v>1139</v>
      </c>
      <c r="G530" t="str">
        <f>"00041190"</f>
        <v>00041190</v>
      </c>
      <c r="H530">
        <v>968</v>
      </c>
      <c r="I530">
        <v>0</v>
      </c>
      <c r="J530">
        <v>30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36</v>
      </c>
      <c r="S530">
        <v>252</v>
      </c>
      <c r="V530">
        <v>1</v>
      </c>
      <c r="W530">
        <v>1250</v>
      </c>
    </row>
    <row r="531" spans="1:23" x14ac:dyDescent="0.25">
      <c r="H531">
        <v>843</v>
      </c>
    </row>
    <row r="532" spans="1:23" x14ac:dyDescent="0.25">
      <c r="A532">
        <v>263</v>
      </c>
      <c r="B532">
        <v>1613</v>
      </c>
      <c r="C532" t="s">
        <v>343</v>
      </c>
      <c r="D532" t="s">
        <v>1140</v>
      </c>
      <c r="E532" t="s">
        <v>80</v>
      </c>
      <c r="F532" t="s">
        <v>1141</v>
      </c>
      <c r="G532" t="str">
        <f>"201511033210"</f>
        <v>201511033210</v>
      </c>
      <c r="H532">
        <v>1056</v>
      </c>
      <c r="I532">
        <v>150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6</v>
      </c>
      <c r="S532">
        <v>42</v>
      </c>
      <c r="V532">
        <v>1</v>
      </c>
      <c r="W532">
        <v>1248</v>
      </c>
    </row>
    <row r="533" spans="1:23" x14ac:dyDescent="0.25">
      <c r="H533" t="s">
        <v>1142</v>
      </c>
    </row>
    <row r="534" spans="1:23" x14ac:dyDescent="0.25">
      <c r="A534">
        <v>264</v>
      </c>
      <c r="B534">
        <v>4048</v>
      </c>
      <c r="C534" t="s">
        <v>1143</v>
      </c>
      <c r="D534" t="s">
        <v>275</v>
      </c>
      <c r="E534" t="s">
        <v>20</v>
      </c>
      <c r="F534" t="s">
        <v>1144</v>
      </c>
      <c r="G534" t="str">
        <f>"201511015274"</f>
        <v>201511015274</v>
      </c>
      <c r="H534">
        <v>660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132</v>
      </c>
      <c r="S534">
        <v>588</v>
      </c>
      <c r="V534">
        <v>1</v>
      </c>
      <c r="W534">
        <v>1248</v>
      </c>
    </row>
    <row r="535" spans="1:23" x14ac:dyDescent="0.25">
      <c r="H535" t="s">
        <v>1145</v>
      </c>
    </row>
    <row r="536" spans="1:23" x14ac:dyDescent="0.25">
      <c r="A536">
        <v>265</v>
      </c>
      <c r="B536">
        <v>8983</v>
      </c>
      <c r="C536" t="s">
        <v>1146</v>
      </c>
      <c r="D536" t="s">
        <v>275</v>
      </c>
      <c r="E536" t="s">
        <v>20</v>
      </c>
      <c r="F536" t="s">
        <v>1147</v>
      </c>
      <c r="G536" t="str">
        <f>"201511040912"</f>
        <v>201511040912</v>
      </c>
      <c r="H536" t="s">
        <v>47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25</v>
      </c>
      <c r="S536">
        <v>175</v>
      </c>
      <c r="V536">
        <v>1</v>
      </c>
      <c r="W536" t="s">
        <v>1148</v>
      </c>
    </row>
    <row r="537" spans="1:23" x14ac:dyDescent="0.25">
      <c r="H537" t="s">
        <v>472</v>
      </c>
    </row>
    <row r="538" spans="1:23" x14ac:dyDescent="0.25">
      <c r="A538">
        <v>266</v>
      </c>
      <c r="B538">
        <v>7146</v>
      </c>
      <c r="C538" t="s">
        <v>1149</v>
      </c>
      <c r="D538" t="s">
        <v>61</v>
      </c>
      <c r="E538" t="s">
        <v>198</v>
      </c>
      <c r="F538" t="s">
        <v>1150</v>
      </c>
      <c r="G538" t="str">
        <f>"201511005589"</f>
        <v>201511005589</v>
      </c>
      <c r="H538" t="s">
        <v>554</v>
      </c>
      <c r="I538">
        <v>0</v>
      </c>
      <c r="J538">
        <v>50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43</v>
      </c>
      <c r="S538">
        <v>301</v>
      </c>
      <c r="V538">
        <v>1</v>
      </c>
      <c r="W538" t="s">
        <v>1148</v>
      </c>
    </row>
    <row r="539" spans="1:23" x14ac:dyDescent="0.25">
      <c r="H539" t="s">
        <v>1151</v>
      </c>
    </row>
    <row r="540" spans="1:23" x14ac:dyDescent="0.25">
      <c r="A540">
        <v>267</v>
      </c>
      <c r="B540">
        <v>2385</v>
      </c>
      <c r="C540" t="s">
        <v>1152</v>
      </c>
      <c r="D540" t="s">
        <v>1153</v>
      </c>
      <c r="E540" t="s">
        <v>57</v>
      </c>
      <c r="F540" t="s">
        <v>1154</v>
      </c>
      <c r="G540" t="str">
        <f>"00041720"</f>
        <v>00041720</v>
      </c>
      <c r="H540" t="s">
        <v>407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53</v>
      </c>
      <c r="S540">
        <v>371</v>
      </c>
      <c r="V540">
        <v>1</v>
      </c>
      <c r="W540" t="s">
        <v>1155</v>
      </c>
    </row>
    <row r="541" spans="1:23" x14ac:dyDescent="0.25">
      <c r="H541" t="s">
        <v>1156</v>
      </c>
    </row>
    <row r="542" spans="1:23" x14ac:dyDescent="0.25">
      <c r="A542">
        <v>268</v>
      </c>
      <c r="B542">
        <v>8933</v>
      </c>
      <c r="C542" t="s">
        <v>1157</v>
      </c>
      <c r="D542" t="s">
        <v>103</v>
      </c>
      <c r="E542" t="s">
        <v>56</v>
      </c>
      <c r="F542" t="s">
        <v>1158</v>
      </c>
      <c r="G542" t="str">
        <f>"200910000252"</f>
        <v>200910000252</v>
      </c>
      <c r="H542" t="s">
        <v>131</v>
      </c>
      <c r="I542">
        <v>150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V542">
        <v>1</v>
      </c>
      <c r="W542" t="s">
        <v>1159</v>
      </c>
    </row>
    <row r="543" spans="1:23" x14ac:dyDescent="0.25">
      <c r="H543" t="s">
        <v>1160</v>
      </c>
    </row>
    <row r="544" spans="1:23" x14ac:dyDescent="0.25">
      <c r="A544">
        <v>269</v>
      </c>
      <c r="B544">
        <v>2428</v>
      </c>
      <c r="C544" t="s">
        <v>1161</v>
      </c>
      <c r="D544" t="s">
        <v>465</v>
      </c>
      <c r="E544" t="s">
        <v>56</v>
      </c>
      <c r="F544" t="s">
        <v>1162</v>
      </c>
      <c r="G544" t="str">
        <f>"201511040883"</f>
        <v>201511040883</v>
      </c>
      <c r="H544" t="s">
        <v>131</v>
      </c>
      <c r="I544">
        <v>150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V544">
        <v>3</v>
      </c>
      <c r="W544" t="s">
        <v>1159</v>
      </c>
    </row>
    <row r="545" spans="1:23" x14ac:dyDescent="0.25">
      <c r="H545" t="s">
        <v>1163</v>
      </c>
    </row>
    <row r="546" spans="1:23" x14ac:dyDescent="0.25">
      <c r="A546">
        <v>270</v>
      </c>
      <c r="B546">
        <v>1280</v>
      </c>
      <c r="C546" t="s">
        <v>1164</v>
      </c>
      <c r="D546" t="s">
        <v>491</v>
      </c>
      <c r="E546" t="s">
        <v>1067</v>
      </c>
      <c r="F546" t="s">
        <v>1165</v>
      </c>
      <c r="G546" t="str">
        <f>"201511034266"</f>
        <v>201511034266</v>
      </c>
      <c r="H546">
        <v>1034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30</v>
      </c>
      <c r="S546">
        <v>210</v>
      </c>
      <c r="V546">
        <v>1</v>
      </c>
      <c r="W546">
        <v>1244</v>
      </c>
    </row>
    <row r="547" spans="1:23" x14ac:dyDescent="0.25">
      <c r="H547" t="s">
        <v>1166</v>
      </c>
    </row>
    <row r="548" spans="1:23" x14ac:dyDescent="0.25">
      <c r="A548">
        <v>271</v>
      </c>
      <c r="B548">
        <v>3529</v>
      </c>
      <c r="C548" t="s">
        <v>1167</v>
      </c>
      <c r="D548" t="s">
        <v>351</v>
      </c>
      <c r="E548" t="s">
        <v>80</v>
      </c>
      <c r="F548" t="s">
        <v>1168</v>
      </c>
      <c r="G548" t="str">
        <f>"201410010188"</f>
        <v>201410010188</v>
      </c>
      <c r="H548" t="s">
        <v>1169</v>
      </c>
      <c r="I548">
        <v>150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9</v>
      </c>
      <c r="S548">
        <v>63</v>
      </c>
      <c r="V548">
        <v>1</v>
      </c>
      <c r="W548" t="s">
        <v>1170</v>
      </c>
    </row>
    <row r="549" spans="1:23" x14ac:dyDescent="0.25">
      <c r="H549" t="s">
        <v>1171</v>
      </c>
    </row>
    <row r="550" spans="1:23" x14ac:dyDescent="0.25">
      <c r="A550">
        <v>272</v>
      </c>
      <c r="B550">
        <v>7725</v>
      </c>
      <c r="C550" t="s">
        <v>1172</v>
      </c>
      <c r="D550" t="s">
        <v>465</v>
      </c>
      <c r="E550" t="s">
        <v>56</v>
      </c>
      <c r="F550" t="s">
        <v>1173</v>
      </c>
      <c r="G550" t="str">
        <f>"00045883"</f>
        <v>00045883</v>
      </c>
      <c r="H550" t="s">
        <v>1174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25</v>
      </c>
      <c r="S550">
        <v>175</v>
      </c>
      <c r="V550">
        <v>1</v>
      </c>
      <c r="W550" t="s">
        <v>1175</v>
      </c>
    </row>
    <row r="551" spans="1:23" x14ac:dyDescent="0.25">
      <c r="H551" t="s">
        <v>1176</v>
      </c>
    </row>
    <row r="552" spans="1:23" x14ac:dyDescent="0.25">
      <c r="A552">
        <v>273</v>
      </c>
      <c r="B552">
        <v>4130</v>
      </c>
      <c r="C552" t="s">
        <v>1177</v>
      </c>
      <c r="D552" t="s">
        <v>969</v>
      </c>
      <c r="E552" t="s">
        <v>37</v>
      </c>
      <c r="F552" t="s">
        <v>1178</v>
      </c>
      <c r="G552" t="str">
        <f>"201511037793"</f>
        <v>201511037793</v>
      </c>
      <c r="H552" t="s">
        <v>1179</v>
      </c>
      <c r="I552">
        <v>150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13</v>
      </c>
      <c r="S552">
        <v>91</v>
      </c>
      <c r="V552">
        <v>1</v>
      </c>
      <c r="W552" t="s">
        <v>1175</v>
      </c>
    </row>
    <row r="553" spans="1:23" x14ac:dyDescent="0.25">
      <c r="H553" t="s">
        <v>1180</v>
      </c>
    </row>
    <row r="554" spans="1:23" x14ac:dyDescent="0.25">
      <c r="A554">
        <v>274</v>
      </c>
      <c r="B554">
        <v>1089</v>
      </c>
      <c r="C554" t="s">
        <v>1181</v>
      </c>
      <c r="D554" t="s">
        <v>275</v>
      </c>
      <c r="E554" t="s">
        <v>80</v>
      </c>
      <c r="F554" t="s">
        <v>1182</v>
      </c>
      <c r="G554" t="str">
        <f>"201511031011"</f>
        <v>201511031011</v>
      </c>
      <c r="H554" t="s">
        <v>1183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48</v>
      </c>
      <c r="S554">
        <v>336</v>
      </c>
      <c r="V554">
        <v>1</v>
      </c>
      <c r="W554" t="s">
        <v>1184</v>
      </c>
    </row>
    <row r="555" spans="1:23" x14ac:dyDescent="0.25">
      <c r="H555" t="s">
        <v>1185</v>
      </c>
    </row>
    <row r="556" spans="1:23" x14ac:dyDescent="0.25">
      <c r="A556">
        <v>275</v>
      </c>
      <c r="B556">
        <v>7632</v>
      </c>
      <c r="C556" t="s">
        <v>1186</v>
      </c>
      <c r="D556" t="s">
        <v>465</v>
      </c>
      <c r="E556" t="s">
        <v>37</v>
      </c>
      <c r="F556" t="s">
        <v>1187</v>
      </c>
      <c r="G556" t="str">
        <f>"201511027332"</f>
        <v>201511027332</v>
      </c>
      <c r="H556">
        <v>1089</v>
      </c>
      <c r="I556">
        <v>150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V556">
        <v>1</v>
      </c>
      <c r="W556">
        <v>1239</v>
      </c>
    </row>
    <row r="557" spans="1:23" x14ac:dyDescent="0.25">
      <c r="H557" t="s">
        <v>1188</v>
      </c>
    </row>
    <row r="558" spans="1:23" x14ac:dyDescent="0.25">
      <c r="A558">
        <v>276</v>
      </c>
      <c r="B558">
        <v>4688</v>
      </c>
      <c r="C558" t="s">
        <v>672</v>
      </c>
      <c r="D558" t="s">
        <v>1189</v>
      </c>
      <c r="E558" t="s">
        <v>500</v>
      </c>
      <c r="F558" t="s">
        <v>1190</v>
      </c>
      <c r="G558" t="str">
        <f>"00075792"</f>
        <v>00075792</v>
      </c>
      <c r="H558">
        <v>770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67</v>
      </c>
      <c r="S558">
        <v>469</v>
      </c>
      <c r="V558">
        <v>1</v>
      </c>
      <c r="W558">
        <v>1239</v>
      </c>
    </row>
    <row r="559" spans="1:23" x14ac:dyDescent="0.25">
      <c r="H559" t="s">
        <v>1191</v>
      </c>
    </row>
    <row r="560" spans="1:23" x14ac:dyDescent="0.25">
      <c r="A560">
        <v>277</v>
      </c>
      <c r="B560">
        <v>2881</v>
      </c>
      <c r="C560" t="s">
        <v>212</v>
      </c>
      <c r="D560" t="s">
        <v>1192</v>
      </c>
      <c r="E560" t="s">
        <v>80</v>
      </c>
      <c r="F560" t="s">
        <v>1193</v>
      </c>
      <c r="G560" t="str">
        <f>"201511043093"</f>
        <v>201511043093</v>
      </c>
      <c r="H560" t="s">
        <v>693</v>
      </c>
      <c r="I560">
        <v>150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7</v>
      </c>
      <c r="S560">
        <v>49</v>
      </c>
      <c r="V560">
        <v>1</v>
      </c>
      <c r="W560" t="s">
        <v>1194</v>
      </c>
    </row>
    <row r="561" spans="1:23" x14ac:dyDescent="0.25">
      <c r="H561">
        <v>862</v>
      </c>
    </row>
    <row r="562" spans="1:23" x14ac:dyDescent="0.25">
      <c r="A562">
        <v>278</v>
      </c>
      <c r="B562">
        <v>7431</v>
      </c>
      <c r="C562" t="s">
        <v>1195</v>
      </c>
      <c r="D562" t="s">
        <v>115</v>
      </c>
      <c r="E562" t="s">
        <v>20</v>
      </c>
      <c r="F562" t="s">
        <v>1196</v>
      </c>
      <c r="G562" t="str">
        <f>"201510000089"</f>
        <v>201510000089</v>
      </c>
      <c r="H562" t="s">
        <v>1197</v>
      </c>
      <c r="I562">
        <v>0</v>
      </c>
      <c r="J562">
        <v>30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38</v>
      </c>
      <c r="S562">
        <v>266</v>
      </c>
      <c r="V562">
        <v>3</v>
      </c>
      <c r="W562" t="s">
        <v>1198</v>
      </c>
    </row>
    <row r="563" spans="1:23" x14ac:dyDescent="0.25">
      <c r="H563" t="s">
        <v>1199</v>
      </c>
    </row>
    <row r="564" spans="1:23" x14ac:dyDescent="0.25">
      <c r="A564">
        <v>279</v>
      </c>
      <c r="B564">
        <v>3704</v>
      </c>
      <c r="C564" t="s">
        <v>1200</v>
      </c>
      <c r="D564" t="s">
        <v>1192</v>
      </c>
      <c r="E564" t="s">
        <v>284</v>
      </c>
      <c r="F564" t="s">
        <v>1201</v>
      </c>
      <c r="G564" t="str">
        <f>"201511036264"</f>
        <v>201511036264</v>
      </c>
      <c r="H564">
        <v>792</v>
      </c>
      <c r="I564">
        <v>0</v>
      </c>
      <c r="J564">
        <v>30</v>
      </c>
      <c r="K564">
        <v>0</v>
      </c>
      <c r="L564">
        <v>30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55</v>
      </c>
      <c r="S564">
        <v>385</v>
      </c>
      <c r="V564">
        <v>1</v>
      </c>
      <c r="W564">
        <v>1237</v>
      </c>
    </row>
    <row r="565" spans="1:23" x14ac:dyDescent="0.25">
      <c r="H565" t="s">
        <v>1202</v>
      </c>
    </row>
    <row r="566" spans="1:23" x14ac:dyDescent="0.25">
      <c r="A566">
        <v>280</v>
      </c>
      <c r="B566">
        <v>1676</v>
      </c>
      <c r="C566" t="s">
        <v>1203</v>
      </c>
      <c r="D566" t="s">
        <v>351</v>
      </c>
      <c r="E566" t="s">
        <v>1135</v>
      </c>
      <c r="F566" t="s">
        <v>1204</v>
      </c>
      <c r="G566" t="str">
        <f>"00021596"</f>
        <v>00021596</v>
      </c>
      <c r="H566">
        <v>649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84</v>
      </c>
      <c r="S566">
        <v>588</v>
      </c>
      <c r="V566">
        <v>1</v>
      </c>
      <c r="W566">
        <v>1237</v>
      </c>
    </row>
    <row r="567" spans="1:23" x14ac:dyDescent="0.25">
      <c r="H567">
        <v>853</v>
      </c>
    </row>
    <row r="568" spans="1:23" x14ac:dyDescent="0.25">
      <c r="A568">
        <v>281</v>
      </c>
      <c r="B568">
        <v>2585</v>
      </c>
      <c r="C568" t="s">
        <v>1205</v>
      </c>
      <c r="D568" t="s">
        <v>51</v>
      </c>
      <c r="E568" t="s">
        <v>1062</v>
      </c>
      <c r="F568" t="s">
        <v>1206</v>
      </c>
      <c r="G568" t="str">
        <f>"201511005888"</f>
        <v>201511005888</v>
      </c>
      <c r="H568" t="s">
        <v>1207</v>
      </c>
      <c r="I568">
        <v>150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V568">
        <v>1</v>
      </c>
      <c r="W568" t="s">
        <v>1208</v>
      </c>
    </row>
    <row r="569" spans="1:23" x14ac:dyDescent="0.25">
      <c r="H569" t="s">
        <v>1209</v>
      </c>
    </row>
    <row r="570" spans="1:23" x14ac:dyDescent="0.25">
      <c r="A570">
        <v>282</v>
      </c>
      <c r="B570">
        <v>7914</v>
      </c>
      <c r="C570" t="s">
        <v>1210</v>
      </c>
      <c r="D570" t="s">
        <v>351</v>
      </c>
      <c r="E570" t="s">
        <v>1211</v>
      </c>
      <c r="F570" t="s">
        <v>1212</v>
      </c>
      <c r="G570" t="str">
        <f>"201511019256"</f>
        <v>201511019256</v>
      </c>
      <c r="H570" t="s">
        <v>47</v>
      </c>
      <c r="I570">
        <v>150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2</v>
      </c>
      <c r="S570">
        <v>14</v>
      </c>
      <c r="V570">
        <v>1</v>
      </c>
      <c r="W570" t="s">
        <v>1213</v>
      </c>
    </row>
    <row r="571" spans="1:23" x14ac:dyDescent="0.25">
      <c r="H571">
        <v>862</v>
      </c>
    </row>
    <row r="572" spans="1:23" x14ac:dyDescent="0.25">
      <c r="A572">
        <v>283</v>
      </c>
      <c r="B572">
        <v>5819</v>
      </c>
      <c r="C572" t="s">
        <v>1214</v>
      </c>
      <c r="D572" t="s">
        <v>1215</v>
      </c>
      <c r="E572" t="s">
        <v>184</v>
      </c>
      <c r="F572" t="s">
        <v>1216</v>
      </c>
      <c r="G572" t="str">
        <f>"201511042743"</f>
        <v>201511042743</v>
      </c>
      <c r="H572" t="s">
        <v>1217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56</v>
      </c>
      <c r="S572">
        <v>392</v>
      </c>
      <c r="V572">
        <v>1</v>
      </c>
      <c r="W572" t="s">
        <v>1218</v>
      </c>
    </row>
    <row r="573" spans="1:23" x14ac:dyDescent="0.25">
      <c r="H573" t="s">
        <v>1219</v>
      </c>
    </row>
    <row r="574" spans="1:23" x14ac:dyDescent="0.25">
      <c r="A574">
        <v>284</v>
      </c>
      <c r="B574">
        <v>6444</v>
      </c>
      <c r="C574" t="s">
        <v>1220</v>
      </c>
      <c r="D574" t="s">
        <v>1221</v>
      </c>
      <c r="E574" t="s">
        <v>500</v>
      </c>
      <c r="F574" t="s">
        <v>1222</v>
      </c>
      <c r="G574" t="str">
        <f>"201511021486"</f>
        <v>201511021486</v>
      </c>
      <c r="H574" t="s">
        <v>131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20</v>
      </c>
      <c r="S574">
        <v>140</v>
      </c>
      <c r="V574">
        <v>1</v>
      </c>
      <c r="W574" t="s">
        <v>1223</v>
      </c>
    </row>
    <row r="575" spans="1:23" x14ac:dyDescent="0.25">
      <c r="H575" t="s">
        <v>1224</v>
      </c>
    </row>
    <row r="576" spans="1:23" x14ac:dyDescent="0.25">
      <c r="A576">
        <v>285</v>
      </c>
      <c r="B576">
        <v>5606</v>
      </c>
      <c r="C576" t="s">
        <v>1225</v>
      </c>
      <c r="D576" t="s">
        <v>56</v>
      </c>
      <c r="E576" t="s">
        <v>648</v>
      </c>
      <c r="F576" t="s">
        <v>1226</v>
      </c>
      <c r="G576" t="str">
        <f>"201511006390"</f>
        <v>201511006390</v>
      </c>
      <c r="H576">
        <v>1045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27</v>
      </c>
      <c r="S576">
        <v>189</v>
      </c>
      <c r="V576">
        <v>1</v>
      </c>
      <c r="W576">
        <v>1234</v>
      </c>
    </row>
    <row r="577" spans="1:23" x14ac:dyDescent="0.25">
      <c r="H577" t="s">
        <v>1227</v>
      </c>
    </row>
    <row r="578" spans="1:23" x14ac:dyDescent="0.25">
      <c r="A578">
        <v>286</v>
      </c>
      <c r="B578">
        <v>2409</v>
      </c>
      <c r="C578" t="s">
        <v>1228</v>
      </c>
      <c r="D578" t="s">
        <v>491</v>
      </c>
      <c r="E578" t="s">
        <v>154</v>
      </c>
      <c r="F578" t="s">
        <v>1229</v>
      </c>
      <c r="G578" t="str">
        <f>"201103000246"</f>
        <v>201103000246</v>
      </c>
      <c r="H578" t="s">
        <v>40</v>
      </c>
      <c r="I578">
        <v>150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V578">
        <v>1</v>
      </c>
      <c r="W578" t="s">
        <v>1230</v>
      </c>
    </row>
    <row r="579" spans="1:23" x14ac:dyDescent="0.25">
      <c r="H579" t="s">
        <v>1231</v>
      </c>
    </row>
    <row r="580" spans="1:23" x14ac:dyDescent="0.25">
      <c r="A580">
        <v>287</v>
      </c>
      <c r="B580">
        <v>6534</v>
      </c>
      <c r="C580" t="s">
        <v>1232</v>
      </c>
      <c r="D580" t="s">
        <v>340</v>
      </c>
      <c r="E580" t="s">
        <v>184</v>
      </c>
      <c r="F580" t="s">
        <v>1233</v>
      </c>
      <c r="G580" t="str">
        <f>"201511015530"</f>
        <v>201511015530</v>
      </c>
      <c r="H580">
        <v>1100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19</v>
      </c>
      <c r="S580">
        <v>133</v>
      </c>
      <c r="V580">
        <v>1</v>
      </c>
      <c r="W580">
        <v>1233</v>
      </c>
    </row>
    <row r="581" spans="1:23" x14ac:dyDescent="0.25">
      <c r="H581" t="s">
        <v>1234</v>
      </c>
    </row>
    <row r="582" spans="1:23" x14ac:dyDescent="0.25">
      <c r="A582">
        <v>288</v>
      </c>
      <c r="B582">
        <v>6781</v>
      </c>
      <c r="C582" t="s">
        <v>1235</v>
      </c>
      <c r="D582" t="s">
        <v>513</v>
      </c>
      <c r="E582" t="s">
        <v>37</v>
      </c>
      <c r="F582" t="s">
        <v>1236</v>
      </c>
      <c r="G582" t="str">
        <f>"201511006480"</f>
        <v>201511006480</v>
      </c>
      <c r="H582">
        <v>847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55</v>
      </c>
      <c r="S582">
        <v>385</v>
      </c>
      <c r="V582">
        <v>1</v>
      </c>
      <c r="W582">
        <v>1232</v>
      </c>
    </row>
    <row r="583" spans="1:23" x14ac:dyDescent="0.25">
      <c r="H583" t="s">
        <v>1237</v>
      </c>
    </row>
    <row r="584" spans="1:23" x14ac:dyDescent="0.25">
      <c r="A584">
        <v>289</v>
      </c>
      <c r="B584">
        <v>5368</v>
      </c>
      <c r="C584" t="s">
        <v>1238</v>
      </c>
      <c r="D584" t="s">
        <v>1239</v>
      </c>
      <c r="E584" t="s">
        <v>57</v>
      </c>
      <c r="F584" t="s">
        <v>1240</v>
      </c>
      <c r="G584" t="str">
        <f>"201511013238"</f>
        <v>201511013238</v>
      </c>
      <c r="H584">
        <v>1089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20</v>
      </c>
      <c r="S584">
        <v>140</v>
      </c>
      <c r="V584">
        <v>1</v>
      </c>
      <c r="W584">
        <v>1229</v>
      </c>
    </row>
    <row r="585" spans="1:23" x14ac:dyDescent="0.25">
      <c r="H585" t="s">
        <v>1241</v>
      </c>
    </row>
    <row r="586" spans="1:23" x14ac:dyDescent="0.25">
      <c r="A586">
        <v>290</v>
      </c>
      <c r="B586">
        <v>6746</v>
      </c>
      <c r="C586" t="s">
        <v>1242</v>
      </c>
      <c r="D586" t="s">
        <v>1243</v>
      </c>
      <c r="E586" t="s">
        <v>158</v>
      </c>
      <c r="F586" t="s">
        <v>1244</v>
      </c>
      <c r="G586" t="str">
        <f>"00068939"</f>
        <v>00068939</v>
      </c>
      <c r="H586">
        <v>847</v>
      </c>
      <c r="I586">
        <v>150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33</v>
      </c>
      <c r="S586">
        <v>231</v>
      </c>
      <c r="V586">
        <v>1</v>
      </c>
      <c r="W586">
        <v>1228</v>
      </c>
    </row>
    <row r="587" spans="1:23" x14ac:dyDescent="0.25">
      <c r="H587" t="s">
        <v>1245</v>
      </c>
    </row>
    <row r="588" spans="1:23" x14ac:dyDescent="0.25">
      <c r="A588">
        <v>291</v>
      </c>
      <c r="B588">
        <v>6656</v>
      </c>
      <c r="C588" t="s">
        <v>1246</v>
      </c>
      <c r="D588" t="s">
        <v>433</v>
      </c>
      <c r="E588" t="s">
        <v>158</v>
      </c>
      <c r="F588" t="s">
        <v>1247</v>
      </c>
      <c r="G588" t="str">
        <f>"201511040599"</f>
        <v>201511040599</v>
      </c>
      <c r="H588">
        <v>1100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18</v>
      </c>
      <c r="S588">
        <v>126</v>
      </c>
      <c r="V588">
        <v>1</v>
      </c>
      <c r="W588">
        <v>1226</v>
      </c>
    </row>
    <row r="589" spans="1:23" x14ac:dyDescent="0.25">
      <c r="H589" t="s">
        <v>1248</v>
      </c>
    </row>
    <row r="590" spans="1:23" x14ac:dyDescent="0.25">
      <c r="A590">
        <v>292</v>
      </c>
      <c r="B590">
        <v>9185</v>
      </c>
      <c r="C590" t="s">
        <v>189</v>
      </c>
      <c r="D590" t="s">
        <v>1037</v>
      </c>
      <c r="E590" t="s">
        <v>57</v>
      </c>
      <c r="F590" t="s">
        <v>1249</v>
      </c>
      <c r="G590" t="str">
        <f>"201511010650"</f>
        <v>201511010650</v>
      </c>
      <c r="H590">
        <v>715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73</v>
      </c>
      <c r="S590">
        <v>511</v>
      </c>
      <c r="V590">
        <v>1</v>
      </c>
      <c r="W590">
        <v>1226</v>
      </c>
    </row>
    <row r="591" spans="1:23" x14ac:dyDescent="0.25">
      <c r="H591" t="s">
        <v>1250</v>
      </c>
    </row>
    <row r="592" spans="1:23" x14ac:dyDescent="0.25">
      <c r="A592">
        <v>293</v>
      </c>
      <c r="B592">
        <v>7336</v>
      </c>
      <c r="C592" t="s">
        <v>1251</v>
      </c>
      <c r="D592" t="s">
        <v>351</v>
      </c>
      <c r="E592" t="s">
        <v>1252</v>
      </c>
      <c r="F592" t="s">
        <v>1253</v>
      </c>
      <c r="G592" t="str">
        <f>"00077948"</f>
        <v>00077948</v>
      </c>
      <c r="H592">
        <v>979</v>
      </c>
      <c r="I592">
        <v>0</v>
      </c>
      <c r="J592">
        <v>50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28</v>
      </c>
      <c r="S592">
        <v>196</v>
      </c>
      <c r="V592">
        <v>1</v>
      </c>
      <c r="W592">
        <v>1225</v>
      </c>
    </row>
    <row r="593" spans="1:23" x14ac:dyDescent="0.25">
      <c r="H593">
        <v>876</v>
      </c>
    </row>
    <row r="594" spans="1:23" x14ac:dyDescent="0.25">
      <c r="A594">
        <v>294</v>
      </c>
      <c r="B594">
        <v>1257</v>
      </c>
      <c r="C594" t="s">
        <v>1254</v>
      </c>
      <c r="D594" t="s">
        <v>351</v>
      </c>
      <c r="E594" t="s">
        <v>56</v>
      </c>
      <c r="F594" t="s">
        <v>1255</v>
      </c>
      <c r="G594" t="str">
        <f>"201510002813"</f>
        <v>201510002813</v>
      </c>
      <c r="H594">
        <v>880</v>
      </c>
      <c r="I594">
        <v>0</v>
      </c>
      <c r="J594">
        <v>30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45</v>
      </c>
      <c r="S594">
        <v>315</v>
      </c>
      <c r="V594">
        <v>3</v>
      </c>
      <c r="W594">
        <v>1225</v>
      </c>
    </row>
    <row r="595" spans="1:23" x14ac:dyDescent="0.25">
      <c r="H595" t="s">
        <v>1256</v>
      </c>
    </row>
    <row r="596" spans="1:23" x14ac:dyDescent="0.25">
      <c r="A596">
        <v>295</v>
      </c>
      <c r="B596">
        <v>2923</v>
      </c>
      <c r="C596" t="s">
        <v>365</v>
      </c>
      <c r="D596" t="s">
        <v>1257</v>
      </c>
      <c r="E596" t="s">
        <v>56</v>
      </c>
      <c r="F596" t="s">
        <v>1258</v>
      </c>
      <c r="G596" t="str">
        <f>"200801007656"</f>
        <v>200801007656</v>
      </c>
      <c r="H596">
        <v>759</v>
      </c>
      <c r="I596">
        <v>150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45</v>
      </c>
      <c r="S596">
        <v>315</v>
      </c>
      <c r="V596">
        <v>1</v>
      </c>
      <c r="W596">
        <v>1224</v>
      </c>
    </row>
    <row r="597" spans="1:23" x14ac:dyDescent="0.25">
      <c r="H597" t="s">
        <v>1259</v>
      </c>
    </row>
    <row r="598" spans="1:23" x14ac:dyDescent="0.25">
      <c r="A598">
        <v>296</v>
      </c>
      <c r="B598">
        <v>2664</v>
      </c>
      <c r="C598" t="s">
        <v>1260</v>
      </c>
      <c r="D598" t="s">
        <v>61</v>
      </c>
      <c r="E598" t="s">
        <v>20</v>
      </c>
      <c r="F598" t="s">
        <v>1261</v>
      </c>
      <c r="G598" t="str">
        <f>"201510004565"</f>
        <v>201510004565</v>
      </c>
      <c r="H598">
        <v>880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49</v>
      </c>
      <c r="S598">
        <v>343</v>
      </c>
      <c r="V598">
        <v>1</v>
      </c>
      <c r="W598">
        <v>1223</v>
      </c>
    </row>
    <row r="599" spans="1:23" x14ac:dyDescent="0.25">
      <c r="H599" t="s">
        <v>1262</v>
      </c>
    </row>
    <row r="600" spans="1:23" x14ac:dyDescent="0.25">
      <c r="A600">
        <v>297</v>
      </c>
      <c r="B600">
        <v>6770</v>
      </c>
      <c r="C600" t="s">
        <v>252</v>
      </c>
      <c r="D600" t="s">
        <v>208</v>
      </c>
      <c r="E600" t="s">
        <v>276</v>
      </c>
      <c r="F600" t="s">
        <v>1263</v>
      </c>
      <c r="G600" t="str">
        <f>"201511018093"</f>
        <v>201511018093</v>
      </c>
      <c r="H600" t="s">
        <v>1264</v>
      </c>
      <c r="I600">
        <v>0</v>
      </c>
      <c r="J600">
        <v>30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26</v>
      </c>
      <c r="S600">
        <v>182</v>
      </c>
      <c r="V600">
        <v>1</v>
      </c>
      <c r="W600" t="s">
        <v>1265</v>
      </c>
    </row>
    <row r="601" spans="1:23" x14ac:dyDescent="0.25">
      <c r="H601" t="s">
        <v>1266</v>
      </c>
    </row>
    <row r="602" spans="1:23" x14ac:dyDescent="0.25">
      <c r="A602">
        <v>298</v>
      </c>
      <c r="B602">
        <v>2623</v>
      </c>
      <c r="C602" t="s">
        <v>923</v>
      </c>
      <c r="D602" t="s">
        <v>157</v>
      </c>
      <c r="E602" t="s">
        <v>154</v>
      </c>
      <c r="F602" t="s">
        <v>924</v>
      </c>
      <c r="G602" t="str">
        <f>"201511029008"</f>
        <v>201511029008</v>
      </c>
      <c r="H602" t="s">
        <v>47</v>
      </c>
      <c r="I602">
        <v>150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V602">
        <v>1</v>
      </c>
      <c r="W602" t="s">
        <v>1267</v>
      </c>
    </row>
    <row r="603" spans="1:23" x14ac:dyDescent="0.25">
      <c r="H603" t="s">
        <v>926</v>
      </c>
    </row>
    <row r="604" spans="1:23" x14ac:dyDescent="0.25">
      <c r="A604">
        <v>299</v>
      </c>
      <c r="B604">
        <v>8111</v>
      </c>
      <c r="C604" t="s">
        <v>1268</v>
      </c>
      <c r="D604" t="s">
        <v>351</v>
      </c>
      <c r="E604" t="s">
        <v>56</v>
      </c>
      <c r="F604" t="s">
        <v>1269</v>
      </c>
      <c r="G604" t="str">
        <f>"201511035891"</f>
        <v>201511035891</v>
      </c>
      <c r="H604" t="s">
        <v>1270</v>
      </c>
      <c r="I604">
        <v>150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V604">
        <v>1</v>
      </c>
      <c r="W604" t="s">
        <v>1271</v>
      </c>
    </row>
    <row r="605" spans="1:23" x14ac:dyDescent="0.25">
      <c r="H605" t="s">
        <v>1272</v>
      </c>
    </row>
    <row r="606" spans="1:23" x14ac:dyDescent="0.25">
      <c r="A606">
        <v>300</v>
      </c>
      <c r="B606">
        <v>7379</v>
      </c>
      <c r="C606" t="s">
        <v>1273</v>
      </c>
      <c r="D606" t="s">
        <v>96</v>
      </c>
      <c r="E606" t="s">
        <v>1274</v>
      </c>
      <c r="F606" t="s">
        <v>1275</v>
      </c>
      <c r="G606" t="str">
        <f>"00039748"</f>
        <v>00039748</v>
      </c>
      <c r="H606">
        <v>1100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17</v>
      </c>
      <c r="S606">
        <v>119</v>
      </c>
      <c r="V606">
        <v>3</v>
      </c>
      <c r="W606">
        <v>1219</v>
      </c>
    </row>
    <row r="607" spans="1:23" x14ac:dyDescent="0.25">
      <c r="H607" t="s">
        <v>1276</v>
      </c>
    </row>
    <row r="608" spans="1:23" x14ac:dyDescent="0.25">
      <c r="A608">
        <v>301</v>
      </c>
      <c r="B608">
        <v>9235</v>
      </c>
      <c r="C608" t="s">
        <v>1277</v>
      </c>
      <c r="D608" t="s">
        <v>157</v>
      </c>
      <c r="E608" t="s">
        <v>80</v>
      </c>
      <c r="F608" t="s">
        <v>1278</v>
      </c>
      <c r="G608" t="str">
        <f>"201511033598"</f>
        <v>201511033598</v>
      </c>
      <c r="H608">
        <v>1034</v>
      </c>
      <c r="I608">
        <v>150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5</v>
      </c>
      <c r="S608">
        <v>35</v>
      </c>
      <c r="V608">
        <v>1</v>
      </c>
      <c r="W608">
        <v>1219</v>
      </c>
    </row>
    <row r="609" spans="1:23" x14ac:dyDescent="0.25">
      <c r="H609" t="s">
        <v>1279</v>
      </c>
    </row>
    <row r="610" spans="1:23" x14ac:dyDescent="0.25">
      <c r="A610">
        <v>302</v>
      </c>
      <c r="B610">
        <v>4103</v>
      </c>
      <c r="C610" t="s">
        <v>1280</v>
      </c>
      <c r="D610" t="s">
        <v>351</v>
      </c>
      <c r="E610" t="s">
        <v>1281</v>
      </c>
      <c r="F610" t="s">
        <v>1282</v>
      </c>
      <c r="G610" t="str">
        <f>"00069707"</f>
        <v>00069707</v>
      </c>
      <c r="H610" t="s">
        <v>1283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49</v>
      </c>
      <c r="S610">
        <v>343</v>
      </c>
      <c r="V610">
        <v>1</v>
      </c>
      <c r="W610" t="s">
        <v>1284</v>
      </c>
    </row>
    <row r="611" spans="1:23" x14ac:dyDescent="0.25">
      <c r="H611" t="s">
        <v>1285</v>
      </c>
    </row>
    <row r="612" spans="1:23" x14ac:dyDescent="0.25">
      <c r="A612">
        <v>303</v>
      </c>
      <c r="B612">
        <v>6347</v>
      </c>
      <c r="C612" t="s">
        <v>1286</v>
      </c>
      <c r="D612" t="s">
        <v>29</v>
      </c>
      <c r="E612" t="s">
        <v>276</v>
      </c>
      <c r="F612" t="s">
        <v>1287</v>
      </c>
      <c r="G612" t="str">
        <f>"00017129"</f>
        <v>00017129</v>
      </c>
      <c r="H612">
        <v>781</v>
      </c>
      <c r="I612">
        <v>150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41</v>
      </c>
      <c r="S612">
        <v>287</v>
      </c>
      <c r="V612">
        <v>1</v>
      </c>
      <c r="W612">
        <v>1218</v>
      </c>
    </row>
    <row r="613" spans="1:23" x14ac:dyDescent="0.25">
      <c r="H613" t="s">
        <v>1288</v>
      </c>
    </row>
    <row r="614" spans="1:23" x14ac:dyDescent="0.25">
      <c r="A614">
        <v>304</v>
      </c>
      <c r="B614">
        <v>2615</v>
      </c>
      <c r="C614" t="s">
        <v>1289</v>
      </c>
      <c r="D614" t="s">
        <v>208</v>
      </c>
      <c r="E614" t="s">
        <v>37</v>
      </c>
      <c r="F614" t="s">
        <v>1290</v>
      </c>
      <c r="G614" t="str">
        <f>"201406004809"</f>
        <v>201406004809</v>
      </c>
      <c r="H614">
        <v>990</v>
      </c>
      <c r="I614">
        <v>150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11</v>
      </c>
      <c r="S614">
        <v>77</v>
      </c>
      <c r="V614">
        <v>1</v>
      </c>
      <c r="W614">
        <v>1217</v>
      </c>
    </row>
    <row r="615" spans="1:23" x14ac:dyDescent="0.25">
      <c r="H615" t="s">
        <v>1291</v>
      </c>
    </row>
    <row r="616" spans="1:23" x14ac:dyDescent="0.25">
      <c r="A616">
        <v>305</v>
      </c>
      <c r="B616">
        <v>7328</v>
      </c>
      <c r="C616" t="s">
        <v>1292</v>
      </c>
      <c r="D616" t="s">
        <v>1293</v>
      </c>
      <c r="E616" t="s">
        <v>1294</v>
      </c>
      <c r="F616" t="s">
        <v>1295</v>
      </c>
      <c r="G616" t="str">
        <f>"201512000054"</f>
        <v>201512000054</v>
      </c>
      <c r="H616" t="s">
        <v>370</v>
      </c>
      <c r="I616">
        <v>150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21</v>
      </c>
      <c r="S616">
        <v>147</v>
      </c>
      <c r="V616">
        <v>1</v>
      </c>
      <c r="W616" t="s">
        <v>1296</v>
      </c>
    </row>
    <row r="617" spans="1:23" x14ac:dyDescent="0.25">
      <c r="H617" t="s">
        <v>472</v>
      </c>
    </row>
    <row r="618" spans="1:23" x14ac:dyDescent="0.25">
      <c r="A618">
        <v>306</v>
      </c>
      <c r="B618">
        <v>952</v>
      </c>
      <c r="C618" t="s">
        <v>1297</v>
      </c>
      <c r="D618" t="s">
        <v>128</v>
      </c>
      <c r="E618" t="s">
        <v>37</v>
      </c>
      <c r="F618" t="s">
        <v>1298</v>
      </c>
      <c r="G618" t="str">
        <f>"201312000073"</f>
        <v>201312000073</v>
      </c>
      <c r="H618" t="s">
        <v>1299</v>
      </c>
      <c r="I618">
        <v>150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48</v>
      </c>
      <c r="S618">
        <v>336</v>
      </c>
      <c r="V618">
        <v>1</v>
      </c>
      <c r="W618" t="s">
        <v>1300</v>
      </c>
    </row>
    <row r="619" spans="1:23" x14ac:dyDescent="0.25">
      <c r="H619" t="s">
        <v>1301</v>
      </c>
    </row>
    <row r="620" spans="1:23" x14ac:dyDescent="0.25">
      <c r="A620">
        <v>307</v>
      </c>
      <c r="B620">
        <v>9411</v>
      </c>
      <c r="C620" t="s">
        <v>1302</v>
      </c>
      <c r="D620" t="s">
        <v>934</v>
      </c>
      <c r="E620" t="s">
        <v>158</v>
      </c>
      <c r="F620" t="s">
        <v>1303</v>
      </c>
      <c r="G620" t="str">
        <f>"201511039247"</f>
        <v>201511039247</v>
      </c>
      <c r="H620" t="s">
        <v>1304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23</v>
      </c>
      <c r="S620">
        <v>161</v>
      </c>
      <c r="V620">
        <v>1</v>
      </c>
      <c r="W620" t="s">
        <v>1305</v>
      </c>
    </row>
    <row r="621" spans="1:23" x14ac:dyDescent="0.25">
      <c r="H621">
        <v>843</v>
      </c>
    </row>
    <row r="622" spans="1:23" x14ac:dyDescent="0.25">
      <c r="A622">
        <v>308</v>
      </c>
      <c r="B622">
        <v>3646</v>
      </c>
      <c r="C622" t="s">
        <v>1306</v>
      </c>
      <c r="D622" t="s">
        <v>235</v>
      </c>
      <c r="E622" t="s">
        <v>20</v>
      </c>
      <c r="F622" t="s">
        <v>1307</v>
      </c>
      <c r="G622" t="str">
        <f>"201511015672"</f>
        <v>201511015672</v>
      </c>
      <c r="H622" t="s">
        <v>573</v>
      </c>
      <c r="I622">
        <v>150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V622">
        <v>1</v>
      </c>
      <c r="W622" t="s">
        <v>1308</v>
      </c>
    </row>
    <row r="623" spans="1:23" x14ac:dyDescent="0.25">
      <c r="H623" t="s">
        <v>1309</v>
      </c>
    </row>
    <row r="624" spans="1:23" x14ac:dyDescent="0.25">
      <c r="A624">
        <v>309</v>
      </c>
      <c r="B624">
        <v>9044</v>
      </c>
      <c r="C624" t="s">
        <v>1310</v>
      </c>
      <c r="D624" t="s">
        <v>229</v>
      </c>
      <c r="E624" t="s">
        <v>62</v>
      </c>
      <c r="F624" t="s">
        <v>1311</v>
      </c>
      <c r="G624" t="str">
        <f>"201005000033"</f>
        <v>201005000033</v>
      </c>
      <c r="H624" t="s">
        <v>40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18</v>
      </c>
      <c r="S624">
        <v>126</v>
      </c>
      <c r="V624">
        <v>1</v>
      </c>
      <c r="W624" t="s">
        <v>1312</v>
      </c>
    </row>
    <row r="625" spans="1:23" x14ac:dyDescent="0.25">
      <c r="H625" t="s">
        <v>1313</v>
      </c>
    </row>
    <row r="626" spans="1:23" x14ac:dyDescent="0.25">
      <c r="A626">
        <v>310</v>
      </c>
      <c r="B626">
        <v>5528</v>
      </c>
      <c r="C626" t="s">
        <v>415</v>
      </c>
      <c r="D626" t="s">
        <v>1314</v>
      </c>
      <c r="E626" t="s">
        <v>276</v>
      </c>
      <c r="F626" t="s">
        <v>1315</v>
      </c>
      <c r="G626" t="str">
        <f>"201511042403"</f>
        <v>201511042403</v>
      </c>
      <c r="H626" t="s">
        <v>1316</v>
      </c>
      <c r="I626">
        <v>150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17</v>
      </c>
      <c r="S626">
        <v>119</v>
      </c>
      <c r="V626">
        <v>1</v>
      </c>
      <c r="W626" t="s">
        <v>1312</v>
      </c>
    </row>
    <row r="627" spans="1:23" x14ac:dyDescent="0.25">
      <c r="H627" t="s">
        <v>1317</v>
      </c>
    </row>
    <row r="628" spans="1:23" x14ac:dyDescent="0.25">
      <c r="A628">
        <v>311</v>
      </c>
      <c r="B628">
        <v>8298</v>
      </c>
      <c r="C628" t="s">
        <v>1318</v>
      </c>
      <c r="D628" t="s">
        <v>500</v>
      </c>
      <c r="E628" t="s">
        <v>80</v>
      </c>
      <c r="F628" t="s">
        <v>1319</v>
      </c>
      <c r="G628" t="str">
        <f>"201511036459"</f>
        <v>201511036459</v>
      </c>
      <c r="H628">
        <v>550</v>
      </c>
      <c r="I628">
        <v>0</v>
      </c>
      <c r="J628">
        <v>70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96</v>
      </c>
      <c r="S628">
        <v>588</v>
      </c>
      <c r="V628">
        <v>1</v>
      </c>
      <c r="W628">
        <v>1208</v>
      </c>
    </row>
    <row r="629" spans="1:23" x14ac:dyDescent="0.25">
      <c r="H629" t="s">
        <v>1320</v>
      </c>
    </row>
    <row r="630" spans="1:23" x14ac:dyDescent="0.25">
      <c r="A630">
        <v>312</v>
      </c>
      <c r="B630">
        <v>8376</v>
      </c>
      <c r="C630" t="s">
        <v>1321</v>
      </c>
      <c r="D630" t="s">
        <v>61</v>
      </c>
      <c r="E630" t="s">
        <v>154</v>
      </c>
      <c r="F630" t="s">
        <v>1322</v>
      </c>
      <c r="G630" t="str">
        <f>"00024160"</f>
        <v>00024160</v>
      </c>
      <c r="H630">
        <v>902</v>
      </c>
      <c r="I630">
        <v>0</v>
      </c>
      <c r="J630">
        <v>30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39</v>
      </c>
      <c r="S630">
        <v>273</v>
      </c>
      <c r="V630">
        <v>1</v>
      </c>
      <c r="W630">
        <v>1205</v>
      </c>
    </row>
    <row r="631" spans="1:23" x14ac:dyDescent="0.25">
      <c r="H631" t="s">
        <v>1323</v>
      </c>
    </row>
    <row r="632" spans="1:23" x14ac:dyDescent="0.25">
      <c r="A632">
        <v>313</v>
      </c>
      <c r="B632">
        <v>4059</v>
      </c>
      <c r="C632" t="s">
        <v>1324</v>
      </c>
      <c r="D632" t="s">
        <v>351</v>
      </c>
      <c r="E632" t="s">
        <v>276</v>
      </c>
      <c r="F632" t="s">
        <v>1325</v>
      </c>
      <c r="G632" t="str">
        <f>"201511036394"</f>
        <v>201511036394</v>
      </c>
      <c r="H632" t="s">
        <v>186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18</v>
      </c>
      <c r="S632">
        <v>126</v>
      </c>
      <c r="V632">
        <v>1</v>
      </c>
      <c r="W632" t="s">
        <v>1326</v>
      </c>
    </row>
    <row r="633" spans="1:23" x14ac:dyDescent="0.25">
      <c r="H633" t="s">
        <v>1327</v>
      </c>
    </row>
    <row r="634" spans="1:23" x14ac:dyDescent="0.25">
      <c r="A634">
        <v>314</v>
      </c>
      <c r="B634">
        <v>4138</v>
      </c>
      <c r="C634" t="s">
        <v>1328</v>
      </c>
      <c r="D634" t="s">
        <v>351</v>
      </c>
      <c r="E634" t="s">
        <v>158</v>
      </c>
      <c r="F634" t="s">
        <v>1329</v>
      </c>
      <c r="G634" t="str">
        <f>"201511011118"</f>
        <v>201511011118</v>
      </c>
      <c r="H634" t="s">
        <v>1330</v>
      </c>
      <c r="I634">
        <v>150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0</v>
      </c>
      <c r="V634">
        <v>1</v>
      </c>
      <c r="W634" t="s">
        <v>1331</v>
      </c>
    </row>
    <row r="635" spans="1:23" x14ac:dyDescent="0.25">
      <c r="H635" t="s">
        <v>1332</v>
      </c>
    </row>
    <row r="636" spans="1:23" x14ac:dyDescent="0.25">
      <c r="A636">
        <v>315</v>
      </c>
      <c r="B636">
        <v>1846</v>
      </c>
      <c r="C636" t="s">
        <v>1333</v>
      </c>
      <c r="D636" t="s">
        <v>327</v>
      </c>
      <c r="E636" t="s">
        <v>80</v>
      </c>
      <c r="F636" t="s">
        <v>1334</v>
      </c>
      <c r="G636" t="str">
        <f>"00019130"</f>
        <v>00019130</v>
      </c>
      <c r="H636" t="s">
        <v>1330</v>
      </c>
      <c r="I636">
        <v>150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V636">
        <v>1</v>
      </c>
      <c r="W636" t="s">
        <v>1331</v>
      </c>
    </row>
    <row r="637" spans="1:23" x14ac:dyDescent="0.25">
      <c r="H637" t="s">
        <v>1335</v>
      </c>
    </row>
    <row r="638" spans="1:23" x14ac:dyDescent="0.25">
      <c r="A638">
        <v>316</v>
      </c>
      <c r="B638">
        <v>8958</v>
      </c>
      <c r="C638" t="s">
        <v>1336</v>
      </c>
      <c r="D638" t="s">
        <v>539</v>
      </c>
      <c r="E638" t="s">
        <v>284</v>
      </c>
      <c r="F638" t="s">
        <v>1337</v>
      </c>
      <c r="G638" t="str">
        <f>"201511024978"</f>
        <v>201511024978</v>
      </c>
      <c r="H638">
        <v>1045</v>
      </c>
      <c r="I638">
        <v>0</v>
      </c>
      <c r="J638">
        <v>50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15</v>
      </c>
      <c r="S638">
        <v>105</v>
      </c>
      <c r="V638">
        <v>1</v>
      </c>
      <c r="W638">
        <v>1200</v>
      </c>
    </row>
    <row r="639" spans="1:23" x14ac:dyDescent="0.25">
      <c r="H639" t="s">
        <v>1338</v>
      </c>
    </row>
    <row r="640" spans="1:23" x14ac:dyDescent="0.25">
      <c r="A640">
        <v>317</v>
      </c>
      <c r="B640">
        <v>4724</v>
      </c>
      <c r="C640" t="s">
        <v>1339</v>
      </c>
      <c r="D640" t="s">
        <v>235</v>
      </c>
      <c r="E640" t="s">
        <v>500</v>
      </c>
      <c r="F640" t="s">
        <v>1340</v>
      </c>
      <c r="G640" t="str">
        <f>"201511042806"</f>
        <v>201511042806</v>
      </c>
      <c r="H640" t="s">
        <v>1341</v>
      </c>
      <c r="I640">
        <v>150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35</v>
      </c>
      <c r="S640">
        <v>245</v>
      </c>
      <c r="V640">
        <v>1</v>
      </c>
      <c r="W640" t="s">
        <v>1342</v>
      </c>
    </row>
    <row r="641" spans="1:23" x14ac:dyDescent="0.25">
      <c r="H641" t="s">
        <v>1343</v>
      </c>
    </row>
    <row r="642" spans="1:23" x14ac:dyDescent="0.25">
      <c r="A642">
        <v>318</v>
      </c>
      <c r="B642">
        <v>6710</v>
      </c>
      <c r="C642" t="s">
        <v>1344</v>
      </c>
      <c r="D642" t="s">
        <v>96</v>
      </c>
      <c r="E642" t="s">
        <v>1345</v>
      </c>
      <c r="F642" t="s">
        <v>1346</v>
      </c>
      <c r="G642" t="str">
        <f>"201511007478"</f>
        <v>201511007478</v>
      </c>
      <c r="H642">
        <v>957</v>
      </c>
      <c r="I642">
        <v>150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13</v>
      </c>
      <c r="S642">
        <v>91</v>
      </c>
      <c r="V642">
        <v>1</v>
      </c>
      <c r="W642">
        <v>1198</v>
      </c>
    </row>
    <row r="643" spans="1:23" x14ac:dyDescent="0.25">
      <c r="H643" t="s">
        <v>1347</v>
      </c>
    </row>
    <row r="644" spans="1:23" x14ac:dyDescent="0.25">
      <c r="A644">
        <v>319</v>
      </c>
      <c r="B644">
        <v>6495</v>
      </c>
      <c r="C644" t="s">
        <v>1348</v>
      </c>
      <c r="D644" t="s">
        <v>484</v>
      </c>
      <c r="E644" t="s">
        <v>80</v>
      </c>
      <c r="F644" t="s">
        <v>1349</v>
      </c>
      <c r="G644" t="str">
        <f>"201512001273"</f>
        <v>201512001273</v>
      </c>
      <c r="H644">
        <v>715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69</v>
      </c>
      <c r="S644">
        <v>483</v>
      </c>
      <c r="V644">
        <v>1</v>
      </c>
      <c r="W644">
        <v>1198</v>
      </c>
    </row>
    <row r="645" spans="1:23" x14ac:dyDescent="0.25">
      <c r="H645" t="s">
        <v>1350</v>
      </c>
    </row>
    <row r="646" spans="1:23" x14ac:dyDescent="0.25">
      <c r="A646">
        <v>320</v>
      </c>
      <c r="B646">
        <v>2302</v>
      </c>
      <c r="C646" t="s">
        <v>1351</v>
      </c>
      <c r="D646" t="s">
        <v>1352</v>
      </c>
      <c r="E646" t="s">
        <v>80</v>
      </c>
      <c r="F646" t="s">
        <v>1353</v>
      </c>
      <c r="G646" t="str">
        <f>"200903000292"</f>
        <v>200903000292</v>
      </c>
      <c r="H646" t="s">
        <v>1354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26</v>
      </c>
      <c r="S646">
        <v>182</v>
      </c>
      <c r="V646">
        <v>1</v>
      </c>
      <c r="W646" t="s">
        <v>1355</v>
      </c>
    </row>
    <row r="647" spans="1:23" x14ac:dyDescent="0.25">
      <c r="H647" t="s">
        <v>754</v>
      </c>
    </row>
    <row r="648" spans="1:23" x14ac:dyDescent="0.25">
      <c r="A648">
        <v>321</v>
      </c>
      <c r="B648">
        <v>3038</v>
      </c>
      <c r="C648" t="s">
        <v>1356</v>
      </c>
      <c r="D648" t="s">
        <v>1357</v>
      </c>
      <c r="E648" t="s">
        <v>858</v>
      </c>
      <c r="F648" t="s">
        <v>1358</v>
      </c>
      <c r="G648" t="str">
        <f>"201511005617"</f>
        <v>201511005617</v>
      </c>
      <c r="H648" t="s">
        <v>354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28</v>
      </c>
      <c r="S648">
        <v>196</v>
      </c>
      <c r="V648">
        <v>1</v>
      </c>
      <c r="W648" t="s">
        <v>1359</v>
      </c>
    </row>
    <row r="649" spans="1:23" x14ac:dyDescent="0.25">
      <c r="H649" t="s">
        <v>1360</v>
      </c>
    </row>
    <row r="650" spans="1:23" x14ac:dyDescent="0.25">
      <c r="A650">
        <v>322</v>
      </c>
      <c r="B650">
        <v>7939</v>
      </c>
      <c r="C650" t="s">
        <v>1361</v>
      </c>
      <c r="D650" t="s">
        <v>1362</v>
      </c>
      <c r="E650" t="s">
        <v>184</v>
      </c>
      <c r="F650" t="s">
        <v>1363</v>
      </c>
      <c r="G650" t="str">
        <f>"201511034080"</f>
        <v>201511034080</v>
      </c>
      <c r="H650">
        <v>1089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15</v>
      </c>
      <c r="S650">
        <v>105</v>
      </c>
      <c r="V650">
        <v>1</v>
      </c>
      <c r="W650">
        <v>1194</v>
      </c>
    </row>
    <row r="651" spans="1:23" x14ac:dyDescent="0.25">
      <c r="H651" t="s">
        <v>1364</v>
      </c>
    </row>
    <row r="652" spans="1:23" x14ac:dyDescent="0.25">
      <c r="A652">
        <v>323</v>
      </c>
      <c r="B652">
        <v>9537</v>
      </c>
      <c r="C652" t="s">
        <v>1365</v>
      </c>
      <c r="D652" t="s">
        <v>1366</v>
      </c>
      <c r="E652" t="s">
        <v>70</v>
      </c>
      <c r="F652" t="s">
        <v>1367</v>
      </c>
      <c r="G652" t="str">
        <f>"201511025303"</f>
        <v>201511025303</v>
      </c>
      <c r="H652">
        <v>935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37</v>
      </c>
      <c r="S652">
        <v>259</v>
      </c>
      <c r="V652">
        <v>1</v>
      </c>
      <c r="W652">
        <v>1194</v>
      </c>
    </row>
    <row r="653" spans="1:23" x14ac:dyDescent="0.25">
      <c r="H653" t="s">
        <v>1368</v>
      </c>
    </row>
    <row r="654" spans="1:23" x14ac:dyDescent="0.25">
      <c r="A654">
        <v>324</v>
      </c>
      <c r="B654">
        <v>8349</v>
      </c>
      <c r="C654" t="s">
        <v>1369</v>
      </c>
      <c r="D654" t="s">
        <v>128</v>
      </c>
      <c r="E654" t="s">
        <v>80</v>
      </c>
      <c r="F654" t="s">
        <v>1370</v>
      </c>
      <c r="G654" t="str">
        <f>"201511007746"</f>
        <v>201511007746</v>
      </c>
      <c r="H654">
        <v>770</v>
      </c>
      <c r="I654">
        <v>150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39</v>
      </c>
      <c r="S654">
        <v>273</v>
      </c>
      <c r="V654">
        <v>1</v>
      </c>
      <c r="W654">
        <v>1193</v>
      </c>
    </row>
    <row r="655" spans="1:23" x14ac:dyDescent="0.25">
      <c r="H655" t="s">
        <v>1371</v>
      </c>
    </row>
    <row r="656" spans="1:23" x14ac:dyDescent="0.25">
      <c r="A656">
        <v>325</v>
      </c>
      <c r="B656">
        <v>928</v>
      </c>
      <c r="C656" t="s">
        <v>1372</v>
      </c>
      <c r="D656" t="s">
        <v>1373</v>
      </c>
      <c r="E656" t="s">
        <v>57</v>
      </c>
      <c r="F656" t="s">
        <v>1374</v>
      </c>
      <c r="G656" t="str">
        <f>"00079787"</f>
        <v>00079787</v>
      </c>
      <c r="H656">
        <v>605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166</v>
      </c>
      <c r="S656">
        <v>588</v>
      </c>
      <c r="V656">
        <v>1</v>
      </c>
      <c r="W656">
        <v>1193</v>
      </c>
    </row>
    <row r="657" spans="1:23" x14ac:dyDescent="0.25">
      <c r="H657" t="s">
        <v>1375</v>
      </c>
    </row>
    <row r="658" spans="1:23" x14ac:dyDescent="0.25">
      <c r="A658">
        <v>326</v>
      </c>
      <c r="B658">
        <v>2832</v>
      </c>
      <c r="C658" t="s">
        <v>628</v>
      </c>
      <c r="D658" t="s">
        <v>275</v>
      </c>
      <c r="E658" t="s">
        <v>158</v>
      </c>
      <c r="F658" t="s">
        <v>1376</v>
      </c>
      <c r="G658" t="str">
        <f>"201511023400"</f>
        <v>201511023400</v>
      </c>
      <c r="H658">
        <v>605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141</v>
      </c>
      <c r="S658">
        <v>588</v>
      </c>
      <c r="V658">
        <v>1</v>
      </c>
      <c r="W658">
        <v>1193</v>
      </c>
    </row>
    <row r="659" spans="1:23" x14ac:dyDescent="0.25">
      <c r="H659" t="s">
        <v>1377</v>
      </c>
    </row>
    <row r="660" spans="1:23" x14ac:dyDescent="0.25">
      <c r="A660">
        <v>327</v>
      </c>
      <c r="B660">
        <v>2864</v>
      </c>
      <c r="C660" t="s">
        <v>1378</v>
      </c>
      <c r="D660" t="s">
        <v>158</v>
      </c>
      <c r="E660" t="s">
        <v>862</v>
      </c>
      <c r="F660" t="s">
        <v>1379</v>
      </c>
      <c r="G660" t="str">
        <f>"201502003324"</f>
        <v>201502003324</v>
      </c>
      <c r="H660" t="s">
        <v>752</v>
      </c>
      <c r="I660">
        <v>150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35</v>
      </c>
      <c r="S660">
        <v>245</v>
      </c>
      <c r="V660">
        <v>1</v>
      </c>
      <c r="W660" t="s">
        <v>1380</v>
      </c>
    </row>
    <row r="661" spans="1:23" x14ac:dyDescent="0.25">
      <c r="H661" t="s">
        <v>472</v>
      </c>
    </row>
    <row r="662" spans="1:23" x14ac:dyDescent="0.25">
      <c r="A662">
        <v>328</v>
      </c>
      <c r="B662">
        <v>2113</v>
      </c>
      <c r="C662" t="s">
        <v>1381</v>
      </c>
      <c r="D662" t="s">
        <v>382</v>
      </c>
      <c r="E662" t="s">
        <v>845</v>
      </c>
      <c r="F662" t="s">
        <v>1382</v>
      </c>
      <c r="G662" t="str">
        <f>"201511013242"</f>
        <v>201511013242</v>
      </c>
      <c r="H662">
        <v>1045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21</v>
      </c>
      <c r="S662">
        <v>147</v>
      </c>
      <c r="V662">
        <v>1</v>
      </c>
      <c r="W662">
        <v>1192</v>
      </c>
    </row>
    <row r="663" spans="1:23" x14ac:dyDescent="0.25">
      <c r="H663">
        <v>839</v>
      </c>
    </row>
    <row r="664" spans="1:23" x14ac:dyDescent="0.25">
      <c r="A664">
        <v>329</v>
      </c>
      <c r="B664">
        <v>4511</v>
      </c>
      <c r="C664" t="s">
        <v>1383</v>
      </c>
      <c r="D664" t="s">
        <v>1384</v>
      </c>
      <c r="E664" t="s">
        <v>1067</v>
      </c>
      <c r="F664" t="s">
        <v>1385</v>
      </c>
      <c r="G664" t="str">
        <f>"201511040282"</f>
        <v>201511040282</v>
      </c>
      <c r="H664">
        <v>814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54</v>
      </c>
      <c r="S664">
        <v>378</v>
      </c>
      <c r="V664">
        <v>1</v>
      </c>
      <c r="W664">
        <v>1192</v>
      </c>
    </row>
    <row r="665" spans="1:23" x14ac:dyDescent="0.25">
      <c r="H665" t="s">
        <v>1386</v>
      </c>
    </row>
    <row r="666" spans="1:23" x14ac:dyDescent="0.25">
      <c r="A666">
        <v>330</v>
      </c>
      <c r="B666">
        <v>2639</v>
      </c>
      <c r="C666" t="s">
        <v>1387</v>
      </c>
      <c r="D666" t="s">
        <v>75</v>
      </c>
      <c r="E666" t="s">
        <v>57</v>
      </c>
      <c r="F666" t="s">
        <v>1388</v>
      </c>
      <c r="G666" t="str">
        <f>"201510000938"</f>
        <v>201510000938</v>
      </c>
      <c r="H666" t="s">
        <v>1389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23</v>
      </c>
      <c r="S666">
        <v>161</v>
      </c>
      <c r="V666">
        <v>1</v>
      </c>
      <c r="W666" t="s">
        <v>1390</v>
      </c>
    </row>
    <row r="667" spans="1:23" x14ac:dyDescent="0.25">
      <c r="H667" t="s">
        <v>1391</v>
      </c>
    </row>
    <row r="668" spans="1:23" x14ac:dyDescent="0.25">
      <c r="A668">
        <v>331</v>
      </c>
      <c r="B668">
        <v>8002</v>
      </c>
      <c r="C668" t="s">
        <v>1392</v>
      </c>
      <c r="D668" t="s">
        <v>1393</v>
      </c>
      <c r="E668" t="s">
        <v>80</v>
      </c>
      <c r="F668" t="s">
        <v>1394</v>
      </c>
      <c r="G668" t="str">
        <f>"201510003340"</f>
        <v>201510003340</v>
      </c>
      <c r="H668">
        <v>1100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13</v>
      </c>
      <c r="S668">
        <v>91</v>
      </c>
      <c r="V668">
        <v>1</v>
      </c>
      <c r="W668">
        <v>1191</v>
      </c>
    </row>
    <row r="669" spans="1:23" x14ac:dyDescent="0.25">
      <c r="H669" t="s">
        <v>1395</v>
      </c>
    </row>
    <row r="670" spans="1:23" x14ac:dyDescent="0.25">
      <c r="A670">
        <v>332</v>
      </c>
      <c r="B670">
        <v>5690</v>
      </c>
      <c r="C670" t="s">
        <v>1143</v>
      </c>
      <c r="D670" t="s">
        <v>1221</v>
      </c>
      <c r="E670" t="s">
        <v>80</v>
      </c>
      <c r="F670" t="s">
        <v>1396</v>
      </c>
      <c r="G670" t="str">
        <f>"201511041025"</f>
        <v>201511041025</v>
      </c>
      <c r="H670">
        <v>1023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24</v>
      </c>
      <c r="S670">
        <v>168</v>
      </c>
      <c r="V670">
        <v>1</v>
      </c>
      <c r="W670">
        <v>1191</v>
      </c>
    </row>
    <row r="671" spans="1:23" x14ac:dyDescent="0.25">
      <c r="H671" t="s">
        <v>1397</v>
      </c>
    </row>
    <row r="672" spans="1:23" x14ac:dyDescent="0.25">
      <c r="A672">
        <v>333</v>
      </c>
      <c r="B672">
        <v>609</v>
      </c>
      <c r="C672" t="s">
        <v>1398</v>
      </c>
      <c r="D672" t="s">
        <v>122</v>
      </c>
      <c r="E672" t="s">
        <v>37</v>
      </c>
      <c r="F672" t="s">
        <v>1399</v>
      </c>
      <c r="G672" t="str">
        <f>"201511030357"</f>
        <v>201511030357</v>
      </c>
      <c r="H672">
        <v>1078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16</v>
      </c>
      <c r="S672">
        <v>112</v>
      </c>
      <c r="V672">
        <v>1</v>
      </c>
      <c r="W672">
        <v>1190</v>
      </c>
    </row>
    <row r="673" spans="1:23" x14ac:dyDescent="0.25">
      <c r="H673" t="s">
        <v>1400</v>
      </c>
    </row>
    <row r="674" spans="1:23" x14ac:dyDescent="0.25">
      <c r="A674">
        <v>334</v>
      </c>
      <c r="B674">
        <v>3018</v>
      </c>
      <c r="C674" t="s">
        <v>1401</v>
      </c>
      <c r="D674" t="s">
        <v>157</v>
      </c>
      <c r="E674" t="s">
        <v>104</v>
      </c>
      <c r="F674" t="s">
        <v>1402</v>
      </c>
      <c r="G674" t="str">
        <f>"201511031605"</f>
        <v>201511031605</v>
      </c>
      <c r="H674" t="s">
        <v>693</v>
      </c>
      <c r="I674">
        <v>150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V674">
        <v>1</v>
      </c>
      <c r="W674" t="s">
        <v>1403</v>
      </c>
    </row>
    <row r="675" spans="1:23" x14ac:dyDescent="0.25">
      <c r="H675" t="s">
        <v>49</v>
      </c>
    </row>
    <row r="676" spans="1:23" x14ac:dyDescent="0.25">
      <c r="A676">
        <v>335</v>
      </c>
      <c r="B676">
        <v>6365</v>
      </c>
      <c r="C676" t="s">
        <v>1404</v>
      </c>
      <c r="D676" t="s">
        <v>1405</v>
      </c>
      <c r="E676" t="s">
        <v>1406</v>
      </c>
      <c r="F676" t="s">
        <v>1407</v>
      </c>
      <c r="G676" t="str">
        <f>"201511020963"</f>
        <v>201511020963</v>
      </c>
      <c r="H676">
        <v>902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41</v>
      </c>
      <c r="S676">
        <v>287</v>
      </c>
      <c r="V676">
        <v>1</v>
      </c>
      <c r="W676">
        <v>1189</v>
      </c>
    </row>
    <row r="677" spans="1:23" x14ac:dyDescent="0.25">
      <c r="H677" t="s">
        <v>1408</v>
      </c>
    </row>
    <row r="678" spans="1:23" x14ac:dyDescent="0.25">
      <c r="A678">
        <v>336</v>
      </c>
      <c r="B678">
        <v>8327</v>
      </c>
      <c r="C678" t="s">
        <v>1409</v>
      </c>
      <c r="D678" t="s">
        <v>1410</v>
      </c>
      <c r="E678" t="s">
        <v>284</v>
      </c>
      <c r="F678" t="s">
        <v>1411</v>
      </c>
      <c r="G678" t="str">
        <f>"201511014767"</f>
        <v>201511014767</v>
      </c>
      <c r="H678">
        <v>1067</v>
      </c>
      <c r="I678">
        <v>0</v>
      </c>
      <c r="J678">
        <v>30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13</v>
      </c>
      <c r="S678">
        <v>91</v>
      </c>
      <c r="V678">
        <v>1</v>
      </c>
      <c r="W678">
        <v>1188</v>
      </c>
    </row>
    <row r="679" spans="1:23" x14ac:dyDescent="0.25">
      <c r="H679" t="s">
        <v>1412</v>
      </c>
    </row>
    <row r="680" spans="1:23" x14ac:dyDescent="0.25">
      <c r="A680">
        <v>337</v>
      </c>
      <c r="B680">
        <v>8591</v>
      </c>
      <c r="C680" t="s">
        <v>1413</v>
      </c>
      <c r="D680" t="s">
        <v>208</v>
      </c>
      <c r="E680" t="s">
        <v>276</v>
      </c>
      <c r="F680" t="s">
        <v>1414</v>
      </c>
      <c r="G680" t="str">
        <f>"201511019838"</f>
        <v>201511019838</v>
      </c>
      <c r="H680" t="s">
        <v>143</v>
      </c>
      <c r="I680">
        <v>150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6</v>
      </c>
      <c r="S680">
        <v>42</v>
      </c>
      <c r="V680">
        <v>1</v>
      </c>
      <c r="W680" t="s">
        <v>1415</v>
      </c>
    </row>
    <row r="681" spans="1:23" x14ac:dyDescent="0.25">
      <c r="H681" t="s">
        <v>1416</v>
      </c>
    </row>
    <row r="682" spans="1:23" x14ac:dyDescent="0.25">
      <c r="A682">
        <v>338</v>
      </c>
      <c r="B682">
        <v>7713</v>
      </c>
      <c r="C682" t="s">
        <v>1417</v>
      </c>
      <c r="D682" t="s">
        <v>51</v>
      </c>
      <c r="E682" t="s">
        <v>80</v>
      </c>
      <c r="F682" t="s">
        <v>1418</v>
      </c>
      <c r="G682" t="str">
        <f>"201511038912"</f>
        <v>201511038912</v>
      </c>
      <c r="H682">
        <v>935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36</v>
      </c>
      <c r="S682">
        <v>252</v>
      </c>
      <c r="V682">
        <v>1</v>
      </c>
      <c r="W682">
        <v>1187</v>
      </c>
    </row>
    <row r="683" spans="1:23" x14ac:dyDescent="0.25">
      <c r="H683" t="s">
        <v>1419</v>
      </c>
    </row>
    <row r="684" spans="1:23" x14ac:dyDescent="0.25">
      <c r="A684">
        <v>339</v>
      </c>
      <c r="B684">
        <v>9849</v>
      </c>
      <c r="C684" t="s">
        <v>1420</v>
      </c>
      <c r="D684" t="s">
        <v>382</v>
      </c>
      <c r="E684" t="s">
        <v>80</v>
      </c>
      <c r="F684" t="s">
        <v>1421</v>
      </c>
      <c r="G684" t="str">
        <f>"201511014303"</f>
        <v>201511014303</v>
      </c>
      <c r="H684">
        <v>935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36</v>
      </c>
      <c r="S684">
        <v>252</v>
      </c>
      <c r="V684">
        <v>1</v>
      </c>
      <c r="W684">
        <v>1187</v>
      </c>
    </row>
    <row r="685" spans="1:23" x14ac:dyDescent="0.25">
      <c r="H685" t="s">
        <v>1422</v>
      </c>
    </row>
    <row r="686" spans="1:23" x14ac:dyDescent="0.25">
      <c r="A686">
        <v>340</v>
      </c>
      <c r="B686">
        <v>275</v>
      </c>
      <c r="C686" t="s">
        <v>1423</v>
      </c>
      <c r="D686" t="s">
        <v>539</v>
      </c>
      <c r="E686" t="s">
        <v>276</v>
      </c>
      <c r="F686" t="s">
        <v>1424</v>
      </c>
      <c r="G686" t="str">
        <f>"201510000446"</f>
        <v>201510000446</v>
      </c>
      <c r="H686">
        <v>1100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12</v>
      </c>
      <c r="S686">
        <v>84</v>
      </c>
      <c r="V686">
        <v>1</v>
      </c>
      <c r="W686">
        <v>1184</v>
      </c>
    </row>
    <row r="687" spans="1:23" x14ac:dyDescent="0.25">
      <c r="H687" t="s">
        <v>1425</v>
      </c>
    </row>
    <row r="688" spans="1:23" x14ac:dyDescent="0.25">
      <c r="A688">
        <v>341</v>
      </c>
      <c r="B688">
        <v>2321</v>
      </c>
      <c r="C688" t="s">
        <v>1426</v>
      </c>
      <c r="D688" t="s">
        <v>157</v>
      </c>
      <c r="E688" t="s">
        <v>158</v>
      </c>
      <c r="F688" t="s">
        <v>1427</v>
      </c>
      <c r="G688" t="str">
        <f>"201511025679"</f>
        <v>201511025679</v>
      </c>
      <c r="H688" t="s">
        <v>204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17</v>
      </c>
      <c r="S688">
        <v>119</v>
      </c>
      <c r="V688">
        <v>1</v>
      </c>
      <c r="W688" t="s">
        <v>1428</v>
      </c>
    </row>
    <row r="689" spans="1:23" x14ac:dyDescent="0.25">
      <c r="H689" t="s">
        <v>1429</v>
      </c>
    </row>
    <row r="690" spans="1:23" x14ac:dyDescent="0.25">
      <c r="A690">
        <v>342</v>
      </c>
      <c r="B690">
        <v>10417</v>
      </c>
      <c r="C690" t="s">
        <v>1430</v>
      </c>
      <c r="D690" t="s">
        <v>1431</v>
      </c>
      <c r="E690" t="s">
        <v>37</v>
      </c>
      <c r="F690" t="s">
        <v>1432</v>
      </c>
      <c r="G690" t="str">
        <f>"00045402"</f>
        <v>00045402</v>
      </c>
      <c r="H690">
        <v>803</v>
      </c>
      <c r="I690">
        <v>0</v>
      </c>
      <c r="J690">
        <v>30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50</v>
      </c>
      <c r="S690">
        <v>350</v>
      </c>
      <c r="V690">
        <v>1</v>
      </c>
      <c r="W690">
        <v>1183</v>
      </c>
    </row>
    <row r="691" spans="1:23" x14ac:dyDescent="0.25">
      <c r="H691" t="s">
        <v>1433</v>
      </c>
    </row>
    <row r="692" spans="1:23" x14ac:dyDescent="0.25">
      <c r="A692">
        <v>343</v>
      </c>
      <c r="B692">
        <v>1978</v>
      </c>
      <c r="C692" t="s">
        <v>1434</v>
      </c>
      <c r="D692" t="s">
        <v>51</v>
      </c>
      <c r="E692" t="s">
        <v>37</v>
      </c>
      <c r="F692" t="s">
        <v>1435</v>
      </c>
      <c r="G692" t="str">
        <f>"00079325"</f>
        <v>00079325</v>
      </c>
      <c r="H692" t="s">
        <v>1436</v>
      </c>
      <c r="I692">
        <v>0</v>
      </c>
      <c r="J692">
        <v>70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15</v>
      </c>
      <c r="S692">
        <v>105</v>
      </c>
      <c r="V692">
        <v>1</v>
      </c>
      <c r="W692" t="s">
        <v>1437</v>
      </c>
    </row>
    <row r="693" spans="1:23" x14ac:dyDescent="0.25">
      <c r="H693" t="s">
        <v>1438</v>
      </c>
    </row>
    <row r="694" spans="1:23" x14ac:dyDescent="0.25">
      <c r="A694">
        <v>344</v>
      </c>
      <c r="B694">
        <v>6837</v>
      </c>
      <c r="C694" t="s">
        <v>1439</v>
      </c>
      <c r="D694" t="s">
        <v>392</v>
      </c>
      <c r="E694" t="s">
        <v>276</v>
      </c>
      <c r="F694" t="s">
        <v>1440</v>
      </c>
      <c r="G694" t="str">
        <f>"201511026805"</f>
        <v>201511026805</v>
      </c>
      <c r="H694" t="s">
        <v>1441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22</v>
      </c>
      <c r="S694">
        <v>154</v>
      </c>
      <c r="V694">
        <v>1</v>
      </c>
      <c r="W694" t="s">
        <v>1442</v>
      </c>
    </row>
    <row r="695" spans="1:23" x14ac:dyDescent="0.25">
      <c r="H695" t="s">
        <v>1443</v>
      </c>
    </row>
    <row r="696" spans="1:23" x14ac:dyDescent="0.25">
      <c r="A696">
        <v>345</v>
      </c>
      <c r="B696">
        <v>4715</v>
      </c>
      <c r="C696" t="s">
        <v>1444</v>
      </c>
      <c r="D696" t="s">
        <v>1445</v>
      </c>
      <c r="E696" t="s">
        <v>57</v>
      </c>
      <c r="F696" t="s">
        <v>1446</v>
      </c>
      <c r="G696" t="str">
        <f>"201511016236"</f>
        <v>201511016236</v>
      </c>
      <c r="H696" t="s">
        <v>92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18</v>
      </c>
      <c r="S696">
        <v>126</v>
      </c>
      <c r="V696">
        <v>3</v>
      </c>
      <c r="W696" t="s">
        <v>1447</v>
      </c>
    </row>
    <row r="697" spans="1:23" x14ac:dyDescent="0.25">
      <c r="H697" t="s">
        <v>1448</v>
      </c>
    </row>
    <row r="698" spans="1:23" x14ac:dyDescent="0.25">
      <c r="A698">
        <v>346</v>
      </c>
      <c r="B698">
        <v>3515</v>
      </c>
      <c r="C698" t="s">
        <v>1449</v>
      </c>
      <c r="D698" t="s">
        <v>96</v>
      </c>
      <c r="E698" t="s">
        <v>80</v>
      </c>
      <c r="F698" t="s">
        <v>1450</v>
      </c>
      <c r="G698" t="str">
        <f>"00019600"</f>
        <v>00019600</v>
      </c>
      <c r="H698">
        <v>1056</v>
      </c>
      <c r="I698">
        <v>0</v>
      </c>
      <c r="J698">
        <v>30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13</v>
      </c>
      <c r="S698">
        <v>91</v>
      </c>
      <c r="V698">
        <v>1</v>
      </c>
      <c r="W698">
        <v>1177</v>
      </c>
    </row>
    <row r="699" spans="1:23" x14ac:dyDescent="0.25">
      <c r="H699" t="s">
        <v>754</v>
      </c>
    </row>
    <row r="700" spans="1:23" x14ac:dyDescent="0.25">
      <c r="A700">
        <v>347</v>
      </c>
      <c r="B700">
        <v>6856</v>
      </c>
      <c r="C700" t="s">
        <v>1451</v>
      </c>
      <c r="D700" t="s">
        <v>351</v>
      </c>
      <c r="E700" t="s">
        <v>97</v>
      </c>
      <c r="F700" t="s">
        <v>1452</v>
      </c>
      <c r="G700" t="str">
        <f>"201512002489"</f>
        <v>201512002489</v>
      </c>
      <c r="H700">
        <v>913</v>
      </c>
      <c r="I700">
        <v>150</v>
      </c>
      <c r="J700">
        <v>30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12</v>
      </c>
      <c r="S700">
        <v>84</v>
      </c>
      <c r="V700">
        <v>1</v>
      </c>
      <c r="W700">
        <v>1177</v>
      </c>
    </row>
    <row r="701" spans="1:23" x14ac:dyDescent="0.25">
      <c r="H701" t="s">
        <v>1453</v>
      </c>
    </row>
    <row r="702" spans="1:23" x14ac:dyDescent="0.25">
      <c r="A702">
        <v>348</v>
      </c>
      <c r="B702">
        <v>1141</v>
      </c>
      <c r="C702" t="s">
        <v>1454</v>
      </c>
      <c r="D702" t="s">
        <v>729</v>
      </c>
      <c r="E702" t="s">
        <v>1067</v>
      </c>
      <c r="F702" t="s">
        <v>1455</v>
      </c>
      <c r="G702" t="str">
        <f>"00021819"</f>
        <v>00021819</v>
      </c>
      <c r="H702">
        <v>1078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14</v>
      </c>
      <c r="S702">
        <v>98</v>
      </c>
      <c r="V702">
        <v>1</v>
      </c>
      <c r="W702">
        <v>1176</v>
      </c>
    </row>
    <row r="703" spans="1:23" x14ac:dyDescent="0.25">
      <c r="H703" t="s">
        <v>1456</v>
      </c>
    </row>
    <row r="704" spans="1:23" x14ac:dyDescent="0.25">
      <c r="A704">
        <v>349</v>
      </c>
      <c r="B704">
        <v>10526</v>
      </c>
      <c r="C704" t="s">
        <v>1457</v>
      </c>
      <c r="D704" t="s">
        <v>128</v>
      </c>
      <c r="E704" t="s">
        <v>56</v>
      </c>
      <c r="F704" t="s">
        <v>1458</v>
      </c>
      <c r="G704" t="str">
        <f>"00042386"</f>
        <v>00042386</v>
      </c>
      <c r="H704">
        <v>1023</v>
      </c>
      <c r="I704">
        <v>150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V704">
        <v>1</v>
      </c>
      <c r="W704">
        <v>1173</v>
      </c>
    </row>
    <row r="705" spans="1:23" x14ac:dyDescent="0.25">
      <c r="H705" t="s">
        <v>1459</v>
      </c>
    </row>
    <row r="706" spans="1:23" x14ac:dyDescent="0.25">
      <c r="A706">
        <v>350</v>
      </c>
      <c r="B706">
        <v>3952</v>
      </c>
      <c r="C706" t="s">
        <v>1460</v>
      </c>
      <c r="D706" t="s">
        <v>51</v>
      </c>
      <c r="E706" t="s">
        <v>276</v>
      </c>
      <c r="F706" t="s">
        <v>1461</v>
      </c>
      <c r="G706" t="str">
        <f>"201502001029"</f>
        <v>201502001029</v>
      </c>
      <c r="H706">
        <v>1012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23</v>
      </c>
      <c r="S706">
        <v>161</v>
      </c>
      <c r="V706">
        <v>1</v>
      </c>
      <c r="W706">
        <v>1173</v>
      </c>
    </row>
    <row r="707" spans="1:23" x14ac:dyDescent="0.25">
      <c r="H707" t="s">
        <v>1462</v>
      </c>
    </row>
    <row r="708" spans="1:23" x14ac:dyDescent="0.25">
      <c r="A708">
        <v>351</v>
      </c>
      <c r="B708">
        <v>3856</v>
      </c>
      <c r="C708" t="s">
        <v>1463</v>
      </c>
      <c r="D708" t="s">
        <v>1464</v>
      </c>
      <c r="E708" t="s">
        <v>20</v>
      </c>
      <c r="F708" t="s">
        <v>1465</v>
      </c>
      <c r="G708" t="str">
        <f>"00021267"</f>
        <v>00021267</v>
      </c>
      <c r="H708">
        <v>913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37</v>
      </c>
      <c r="S708">
        <v>259</v>
      </c>
      <c r="V708">
        <v>1</v>
      </c>
      <c r="W708">
        <v>1172</v>
      </c>
    </row>
    <row r="709" spans="1:23" x14ac:dyDescent="0.25">
      <c r="H709" t="s">
        <v>1466</v>
      </c>
    </row>
    <row r="710" spans="1:23" x14ac:dyDescent="0.25">
      <c r="A710">
        <v>352</v>
      </c>
      <c r="B710">
        <v>10362</v>
      </c>
      <c r="C710" t="s">
        <v>1467</v>
      </c>
      <c r="D710" t="s">
        <v>427</v>
      </c>
      <c r="E710" t="s">
        <v>56</v>
      </c>
      <c r="F710" t="s">
        <v>1468</v>
      </c>
      <c r="G710" t="str">
        <f>"201511033994"</f>
        <v>201511033994</v>
      </c>
      <c r="H710">
        <v>1045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18</v>
      </c>
      <c r="S710">
        <v>126</v>
      </c>
      <c r="V710">
        <v>1</v>
      </c>
      <c r="W710">
        <v>1171</v>
      </c>
    </row>
    <row r="711" spans="1:23" x14ac:dyDescent="0.25">
      <c r="H711" t="s">
        <v>1469</v>
      </c>
    </row>
    <row r="712" spans="1:23" x14ac:dyDescent="0.25">
      <c r="A712">
        <v>353</v>
      </c>
      <c r="B712">
        <v>1142</v>
      </c>
      <c r="C712" t="s">
        <v>1470</v>
      </c>
      <c r="D712" t="s">
        <v>1471</v>
      </c>
      <c r="E712" t="s">
        <v>30</v>
      </c>
      <c r="F712" t="s">
        <v>1472</v>
      </c>
      <c r="G712" t="str">
        <f>"201511022219"</f>
        <v>201511022219</v>
      </c>
      <c r="H712" t="s">
        <v>370</v>
      </c>
      <c r="I712">
        <v>150</v>
      </c>
      <c r="J712">
        <v>30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10</v>
      </c>
      <c r="S712">
        <v>70</v>
      </c>
      <c r="V712">
        <v>1</v>
      </c>
      <c r="W712" t="s">
        <v>1473</v>
      </c>
    </row>
    <row r="713" spans="1:23" x14ac:dyDescent="0.25">
      <c r="H713" t="s">
        <v>1474</v>
      </c>
    </row>
    <row r="714" spans="1:23" x14ac:dyDescent="0.25">
      <c r="A714">
        <v>354</v>
      </c>
      <c r="B714">
        <v>853</v>
      </c>
      <c r="C714" t="s">
        <v>1475</v>
      </c>
      <c r="D714" t="s">
        <v>1393</v>
      </c>
      <c r="E714" t="s">
        <v>37</v>
      </c>
      <c r="F714" t="s">
        <v>1476</v>
      </c>
      <c r="G714" t="str">
        <f>"201511006758"</f>
        <v>201511006758</v>
      </c>
      <c r="H714" t="s">
        <v>131</v>
      </c>
      <c r="I714">
        <v>0</v>
      </c>
      <c r="J714">
        <v>70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V714">
        <v>1</v>
      </c>
      <c r="W714" t="s">
        <v>1477</v>
      </c>
    </row>
    <row r="715" spans="1:23" x14ac:dyDescent="0.25">
      <c r="H715" t="s">
        <v>1478</v>
      </c>
    </row>
    <row r="716" spans="1:23" x14ac:dyDescent="0.25">
      <c r="A716">
        <v>355</v>
      </c>
      <c r="B716">
        <v>3808</v>
      </c>
      <c r="C716" t="s">
        <v>1479</v>
      </c>
      <c r="D716" t="s">
        <v>1480</v>
      </c>
      <c r="E716" t="s">
        <v>56</v>
      </c>
      <c r="F716" t="s">
        <v>1481</v>
      </c>
      <c r="G716" t="str">
        <f>"201511024882"</f>
        <v>201511024882</v>
      </c>
      <c r="H716" t="s">
        <v>131</v>
      </c>
      <c r="I716">
        <v>0</v>
      </c>
      <c r="J716">
        <v>70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V716">
        <v>1</v>
      </c>
      <c r="W716" t="s">
        <v>1477</v>
      </c>
    </row>
    <row r="717" spans="1:23" x14ac:dyDescent="0.25">
      <c r="H717" t="s">
        <v>1482</v>
      </c>
    </row>
    <row r="718" spans="1:23" x14ac:dyDescent="0.25">
      <c r="A718">
        <v>356</v>
      </c>
      <c r="B718">
        <v>5778</v>
      </c>
      <c r="C718" t="s">
        <v>1483</v>
      </c>
      <c r="D718" t="s">
        <v>1464</v>
      </c>
      <c r="E718" t="s">
        <v>393</v>
      </c>
      <c r="F718" t="s">
        <v>1484</v>
      </c>
      <c r="G718" t="str">
        <f>"201511036879"</f>
        <v>201511036879</v>
      </c>
      <c r="H718" t="s">
        <v>559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43</v>
      </c>
      <c r="S718">
        <v>301</v>
      </c>
      <c r="V718">
        <v>1</v>
      </c>
      <c r="W718" t="s">
        <v>1477</v>
      </c>
    </row>
    <row r="719" spans="1:23" x14ac:dyDescent="0.25">
      <c r="H719">
        <v>818</v>
      </c>
    </row>
    <row r="720" spans="1:23" x14ac:dyDescent="0.25">
      <c r="A720">
        <v>357</v>
      </c>
      <c r="B720">
        <v>9256</v>
      </c>
      <c r="C720" t="s">
        <v>1485</v>
      </c>
      <c r="D720" t="s">
        <v>122</v>
      </c>
      <c r="E720" t="s">
        <v>80</v>
      </c>
      <c r="F720" t="s">
        <v>1486</v>
      </c>
      <c r="G720" t="str">
        <f>"00077950"</f>
        <v>00077950</v>
      </c>
      <c r="H720">
        <v>1100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9</v>
      </c>
      <c r="S720">
        <v>63</v>
      </c>
      <c r="V720">
        <v>1</v>
      </c>
      <c r="W720">
        <v>1163</v>
      </c>
    </row>
    <row r="721" spans="1:23" x14ac:dyDescent="0.25">
      <c r="H721" t="s">
        <v>1487</v>
      </c>
    </row>
    <row r="722" spans="1:23" x14ac:dyDescent="0.25">
      <c r="A722">
        <v>358</v>
      </c>
      <c r="B722">
        <v>6297</v>
      </c>
      <c r="C722" t="s">
        <v>1488</v>
      </c>
      <c r="D722" t="s">
        <v>158</v>
      </c>
      <c r="E722" t="s">
        <v>344</v>
      </c>
      <c r="F722" t="s">
        <v>1489</v>
      </c>
      <c r="G722" t="str">
        <f>"201511025084"</f>
        <v>201511025084</v>
      </c>
      <c r="H722">
        <v>770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56</v>
      </c>
      <c r="S722">
        <v>392</v>
      </c>
      <c r="V722">
        <v>1</v>
      </c>
      <c r="W722">
        <v>1162</v>
      </c>
    </row>
    <row r="723" spans="1:23" x14ac:dyDescent="0.25">
      <c r="H723" t="s">
        <v>1490</v>
      </c>
    </row>
    <row r="724" spans="1:23" x14ac:dyDescent="0.25">
      <c r="A724">
        <v>359</v>
      </c>
      <c r="B724">
        <v>7361</v>
      </c>
      <c r="C724" t="s">
        <v>1491</v>
      </c>
      <c r="D724" t="s">
        <v>19</v>
      </c>
      <c r="E724" t="s">
        <v>298</v>
      </c>
      <c r="F724" t="s">
        <v>1492</v>
      </c>
      <c r="G724" t="str">
        <f>"201102000511"</f>
        <v>201102000511</v>
      </c>
      <c r="H724" t="s">
        <v>1493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16</v>
      </c>
      <c r="S724">
        <v>112</v>
      </c>
      <c r="V724">
        <v>1</v>
      </c>
      <c r="W724" t="s">
        <v>1494</v>
      </c>
    </row>
    <row r="725" spans="1:23" x14ac:dyDescent="0.25">
      <c r="H725" t="s">
        <v>1495</v>
      </c>
    </row>
    <row r="726" spans="1:23" x14ac:dyDescent="0.25">
      <c r="A726">
        <v>360</v>
      </c>
      <c r="B726">
        <v>5202</v>
      </c>
      <c r="C726" t="s">
        <v>1496</v>
      </c>
      <c r="D726" t="s">
        <v>128</v>
      </c>
      <c r="E726" t="s">
        <v>57</v>
      </c>
      <c r="F726" t="s">
        <v>1497</v>
      </c>
      <c r="G726" t="str">
        <f>"200802009024"</f>
        <v>200802009024</v>
      </c>
      <c r="H726" t="s">
        <v>131</v>
      </c>
      <c r="I726">
        <v>0</v>
      </c>
      <c r="J726">
        <v>30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5</v>
      </c>
      <c r="S726">
        <v>35</v>
      </c>
      <c r="V726">
        <v>1</v>
      </c>
      <c r="W726" t="s">
        <v>1498</v>
      </c>
    </row>
    <row r="727" spans="1:23" x14ac:dyDescent="0.25">
      <c r="H727" t="s">
        <v>1499</v>
      </c>
    </row>
    <row r="728" spans="1:23" x14ac:dyDescent="0.25">
      <c r="A728">
        <v>361</v>
      </c>
      <c r="B728">
        <v>1439</v>
      </c>
      <c r="C728" t="s">
        <v>1500</v>
      </c>
      <c r="D728" t="s">
        <v>351</v>
      </c>
      <c r="E728" t="s">
        <v>158</v>
      </c>
      <c r="F728" t="s">
        <v>1501</v>
      </c>
      <c r="G728" t="str">
        <f>"201406005950"</f>
        <v>201406005950</v>
      </c>
      <c r="H728">
        <v>1089</v>
      </c>
      <c r="I728">
        <v>0</v>
      </c>
      <c r="J728">
        <v>70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V728">
        <v>1</v>
      </c>
      <c r="W728">
        <v>1159</v>
      </c>
    </row>
    <row r="729" spans="1:23" x14ac:dyDescent="0.25">
      <c r="H729" t="s">
        <v>1502</v>
      </c>
    </row>
    <row r="730" spans="1:23" x14ac:dyDescent="0.25">
      <c r="A730">
        <v>362</v>
      </c>
      <c r="B730">
        <v>7676</v>
      </c>
      <c r="C730" t="s">
        <v>381</v>
      </c>
      <c r="D730" t="s">
        <v>51</v>
      </c>
      <c r="E730" t="s">
        <v>184</v>
      </c>
      <c r="F730" t="s">
        <v>1503</v>
      </c>
      <c r="G730" t="str">
        <f>"201512001080"</f>
        <v>201512001080</v>
      </c>
      <c r="H730">
        <v>990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24</v>
      </c>
      <c r="S730">
        <v>168</v>
      </c>
      <c r="V730">
        <v>1</v>
      </c>
      <c r="W730">
        <v>1158</v>
      </c>
    </row>
    <row r="731" spans="1:23" x14ac:dyDescent="0.25">
      <c r="H731" t="s">
        <v>1504</v>
      </c>
    </row>
    <row r="732" spans="1:23" x14ac:dyDescent="0.25">
      <c r="A732">
        <v>363</v>
      </c>
      <c r="B732">
        <v>5708</v>
      </c>
      <c r="C732" t="s">
        <v>1505</v>
      </c>
      <c r="D732" t="s">
        <v>79</v>
      </c>
      <c r="E732" t="s">
        <v>664</v>
      </c>
      <c r="F732" t="s">
        <v>1506</v>
      </c>
      <c r="G732" t="str">
        <f>"201508000105"</f>
        <v>201508000105</v>
      </c>
      <c r="H732">
        <v>880</v>
      </c>
      <c r="I732">
        <v>150</v>
      </c>
      <c r="J732">
        <v>30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14</v>
      </c>
      <c r="S732">
        <v>98</v>
      </c>
      <c r="V732">
        <v>1</v>
      </c>
      <c r="W732">
        <v>1158</v>
      </c>
    </row>
    <row r="733" spans="1:23" x14ac:dyDescent="0.25">
      <c r="H733" t="s">
        <v>856</v>
      </c>
    </row>
    <row r="734" spans="1:23" x14ac:dyDescent="0.25">
      <c r="A734">
        <v>364</v>
      </c>
      <c r="B734">
        <v>503</v>
      </c>
      <c r="C734" t="s">
        <v>1507</v>
      </c>
      <c r="D734" t="s">
        <v>1471</v>
      </c>
      <c r="E734" t="s">
        <v>1508</v>
      </c>
      <c r="F734" t="s">
        <v>1509</v>
      </c>
      <c r="G734" t="str">
        <f>"201504000044"</f>
        <v>201504000044</v>
      </c>
      <c r="H734">
        <v>1100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8</v>
      </c>
      <c r="S734">
        <v>56</v>
      </c>
      <c r="V734">
        <v>1</v>
      </c>
      <c r="W734">
        <v>1156</v>
      </c>
    </row>
    <row r="735" spans="1:23" x14ac:dyDescent="0.25">
      <c r="H735" t="s">
        <v>1510</v>
      </c>
    </row>
    <row r="736" spans="1:23" x14ac:dyDescent="0.25">
      <c r="A736">
        <v>365</v>
      </c>
      <c r="B736">
        <v>7270</v>
      </c>
      <c r="C736" t="s">
        <v>1146</v>
      </c>
      <c r="D736" t="s">
        <v>75</v>
      </c>
      <c r="E736" t="s">
        <v>191</v>
      </c>
      <c r="F736" t="s">
        <v>1511</v>
      </c>
      <c r="G736" t="str">
        <f>"201511022469"</f>
        <v>201511022469</v>
      </c>
      <c r="H736">
        <v>1023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19</v>
      </c>
      <c r="S736">
        <v>133</v>
      </c>
      <c r="V736">
        <v>1</v>
      </c>
      <c r="W736">
        <v>1156</v>
      </c>
    </row>
    <row r="737" spans="1:23" x14ac:dyDescent="0.25">
      <c r="H737" t="s">
        <v>1512</v>
      </c>
    </row>
    <row r="738" spans="1:23" x14ac:dyDescent="0.25">
      <c r="A738">
        <v>366</v>
      </c>
      <c r="B738">
        <v>9627</v>
      </c>
      <c r="C738" t="s">
        <v>1513</v>
      </c>
      <c r="D738" t="s">
        <v>37</v>
      </c>
      <c r="E738" t="s">
        <v>56</v>
      </c>
      <c r="F738" t="s">
        <v>1514</v>
      </c>
      <c r="G738" t="str">
        <f>"201511020774"</f>
        <v>201511020774</v>
      </c>
      <c r="H738" t="s">
        <v>1515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53</v>
      </c>
      <c r="S738">
        <v>371</v>
      </c>
      <c r="V738">
        <v>1</v>
      </c>
      <c r="W738" t="s">
        <v>1516</v>
      </c>
    </row>
    <row r="739" spans="1:23" x14ac:dyDescent="0.25">
      <c r="H739">
        <v>897</v>
      </c>
    </row>
    <row r="740" spans="1:23" x14ac:dyDescent="0.25">
      <c r="A740">
        <v>367</v>
      </c>
      <c r="B740">
        <v>4803</v>
      </c>
      <c r="C740" t="s">
        <v>1517</v>
      </c>
      <c r="D740" t="s">
        <v>427</v>
      </c>
      <c r="E740" t="s">
        <v>37</v>
      </c>
      <c r="F740" t="s">
        <v>1518</v>
      </c>
      <c r="G740" t="str">
        <f>"201511042373"</f>
        <v>201511042373</v>
      </c>
      <c r="H740" t="s">
        <v>332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18</v>
      </c>
      <c r="S740">
        <v>126</v>
      </c>
      <c r="V740">
        <v>1</v>
      </c>
      <c r="W740" t="s">
        <v>1519</v>
      </c>
    </row>
    <row r="741" spans="1:23" x14ac:dyDescent="0.25">
      <c r="H741" t="s">
        <v>1520</v>
      </c>
    </row>
    <row r="742" spans="1:23" x14ac:dyDescent="0.25">
      <c r="A742">
        <v>368</v>
      </c>
      <c r="B742">
        <v>8840</v>
      </c>
      <c r="C742" t="s">
        <v>1521</v>
      </c>
      <c r="D742" t="s">
        <v>1522</v>
      </c>
      <c r="E742" t="s">
        <v>1523</v>
      </c>
      <c r="F742" t="s">
        <v>1524</v>
      </c>
      <c r="G742" t="str">
        <f>"00093873"</f>
        <v>00093873</v>
      </c>
      <c r="H742">
        <v>935</v>
      </c>
      <c r="I742">
        <v>0</v>
      </c>
      <c r="J742">
        <v>30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27</v>
      </c>
      <c r="S742">
        <v>189</v>
      </c>
      <c r="V742">
        <v>1</v>
      </c>
      <c r="W742">
        <v>1154</v>
      </c>
    </row>
    <row r="743" spans="1:23" x14ac:dyDescent="0.25">
      <c r="H743" t="s">
        <v>1525</v>
      </c>
    </row>
    <row r="744" spans="1:23" x14ac:dyDescent="0.25">
      <c r="A744">
        <v>369</v>
      </c>
      <c r="B744">
        <v>377</v>
      </c>
      <c r="C744" t="s">
        <v>1526</v>
      </c>
      <c r="D744" t="s">
        <v>183</v>
      </c>
      <c r="E744" t="s">
        <v>1086</v>
      </c>
      <c r="F744" t="s">
        <v>1527</v>
      </c>
      <c r="G744" t="str">
        <f>"201511035793"</f>
        <v>201511035793</v>
      </c>
      <c r="H744" t="s">
        <v>111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13</v>
      </c>
      <c r="S744">
        <v>91</v>
      </c>
      <c r="V744">
        <v>1</v>
      </c>
      <c r="W744" t="s">
        <v>1528</v>
      </c>
    </row>
    <row r="745" spans="1:23" x14ac:dyDescent="0.25">
      <c r="H745" t="s">
        <v>1529</v>
      </c>
    </row>
    <row r="746" spans="1:23" x14ac:dyDescent="0.25">
      <c r="A746">
        <v>370</v>
      </c>
      <c r="B746">
        <v>9510</v>
      </c>
      <c r="C746" t="s">
        <v>1530</v>
      </c>
      <c r="D746" t="s">
        <v>128</v>
      </c>
      <c r="E746" t="s">
        <v>37</v>
      </c>
      <c r="F746" t="s">
        <v>1531</v>
      </c>
      <c r="G746" t="str">
        <f>"201511029323"</f>
        <v>201511029323</v>
      </c>
      <c r="H746" t="s">
        <v>573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13</v>
      </c>
      <c r="S746">
        <v>91</v>
      </c>
      <c r="V746">
        <v>1</v>
      </c>
      <c r="W746" t="s">
        <v>1532</v>
      </c>
    </row>
    <row r="747" spans="1:23" x14ac:dyDescent="0.25">
      <c r="H747" t="s">
        <v>1533</v>
      </c>
    </row>
    <row r="748" spans="1:23" x14ac:dyDescent="0.25">
      <c r="A748">
        <v>371</v>
      </c>
      <c r="B748">
        <v>6544</v>
      </c>
      <c r="C748" t="s">
        <v>1534</v>
      </c>
      <c r="D748" t="s">
        <v>122</v>
      </c>
      <c r="E748" t="s">
        <v>37</v>
      </c>
      <c r="F748" t="s">
        <v>1535</v>
      </c>
      <c r="G748" t="str">
        <f>"201511032387"</f>
        <v>201511032387</v>
      </c>
      <c r="H748" t="s">
        <v>1008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46</v>
      </c>
      <c r="S748">
        <v>322</v>
      </c>
      <c r="V748">
        <v>1</v>
      </c>
      <c r="W748" t="s">
        <v>1532</v>
      </c>
    </row>
    <row r="749" spans="1:23" x14ac:dyDescent="0.25">
      <c r="H749" t="s">
        <v>1536</v>
      </c>
    </row>
    <row r="750" spans="1:23" x14ac:dyDescent="0.25">
      <c r="A750">
        <v>372</v>
      </c>
      <c r="B750">
        <v>9527</v>
      </c>
      <c r="C750" t="s">
        <v>1537</v>
      </c>
      <c r="D750" t="s">
        <v>351</v>
      </c>
      <c r="E750" t="s">
        <v>62</v>
      </c>
      <c r="F750" t="s">
        <v>1538</v>
      </c>
      <c r="G750" t="str">
        <f>"201511041949"</f>
        <v>201511041949</v>
      </c>
      <c r="H750">
        <v>1100</v>
      </c>
      <c r="I750">
        <v>0</v>
      </c>
      <c r="J750">
        <v>30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3</v>
      </c>
      <c r="S750">
        <v>21</v>
      </c>
      <c r="V750">
        <v>1</v>
      </c>
      <c r="W750">
        <v>1151</v>
      </c>
    </row>
    <row r="751" spans="1:23" x14ac:dyDescent="0.25">
      <c r="H751" t="s">
        <v>1539</v>
      </c>
    </row>
    <row r="752" spans="1:23" x14ac:dyDescent="0.25">
      <c r="A752">
        <v>373</v>
      </c>
      <c r="B752">
        <v>1950</v>
      </c>
      <c r="C752" t="s">
        <v>182</v>
      </c>
      <c r="D752" t="s">
        <v>96</v>
      </c>
      <c r="E752" t="s">
        <v>1540</v>
      </c>
      <c r="F752" t="s">
        <v>1541</v>
      </c>
      <c r="G752" t="str">
        <f>"201109000026"</f>
        <v>201109000026</v>
      </c>
      <c r="H752">
        <v>1100</v>
      </c>
      <c r="I752">
        <v>0</v>
      </c>
      <c r="J752">
        <v>50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V752">
        <v>1</v>
      </c>
      <c r="W752">
        <v>1150</v>
      </c>
    </row>
    <row r="753" spans="1:23" x14ac:dyDescent="0.25">
      <c r="H753" t="s">
        <v>1542</v>
      </c>
    </row>
    <row r="754" spans="1:23" x14ac:dyDescent="0.25">
      <c r="A754">
        <v>374</v>
      </c>
      <c r="B754">
        <v>4127</v>
      </c>
      <c r="C754" t="s">
        <v>1543</v>
      </c>
      <c r="D754" t="s">
        <v>351</v>
      </c>
      <c r="E754" t="s">
        <v>154</v>
      </c>
      <c r="F754" t="s">
        <v>1544</v>
      </c>
      <c r="G754" t="str">
        <f>"201511040752"</f>
        <v>201511040752</v>
      </c>
      <c r="H754" t="s">
        <v>131</v>
      </c>
      <c r="I754">
        <v>0</v>
      </c>
      <c r="J754">
        <v>30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3</v>
      </c>
      <c r="S754">
        <v>21</v>
      </c>
      <c r="V754">
        <v>1</v>
      </c>
      <c r="W754" t="s">
        <v>1545</v>
      </c>
    </row>
    <row r="755" spans="1:23" x14ac:dyDescent="0.25">
      <c r="H755" t="s">
        <v>1546</v>
      </c>
    </row>
    <row r="756" spans="1:23" x14ac:dyDescent="0.25">
      <c r="A756">
        <v>375</v>
      </c>
      <c r="B756">
        <v>6166</v>
      </c>
      <c r="C756" t="s">
        <v>1547</v>
      </c>
      <c r="D756" t="s">
        <v>275</v>
      </c>
      <c r="E756" t="s">
        <v>62</v>
      </c>
      <c r="F756" t="s">
        <v>1548</v>
      </c>
      <c r="G756" t="str">
        <f>"201511039146"</f>
        <v>201511039146</v>
      </c>
      <c r="H756" t="s">
        <v>1283</v>
      </c>
      <c r="I756">
        <v>150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17</v>
      </c>
      <c r="S756">
        <v>119</v>
      </c>
      <c r="V756">
        <v>1</v>
      </c>
      <c r="W756" t="s">
        <v>1549</v>
      </c>
    </row>
    <row r="757" spans="1:23" x14ac:dyDescent="0.25">
      <c r="H757" t="s">
        <v>1550</v>
      </c>
    </row>
    <row r="758" spans="1:23" x14ac:dyDescent="0.25">
      <c r="A758">
        <v>376</v>
      </c>
      <c r="B758">
        <v>4839</v>
      </c>
      <c r="C758" t="s">
        <v>713</v>
      </c>
      <c r="D758" t="s">
        <v>103</v>
      </c>
      <c r="E758" t="s">
        <v>37</v>
      </c>
      <c r="F758" t="s">
        <v>1551</v>
      </c>
      <c r="G758" t="str">
        <f>"00101803"</f>
        <v>00101803</v>
      </c>
      <c r="H758" t="s">
        <v>693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15</v>
      </c>
      <c r="S758">
        <v>105</v>
      </c>
      <c r="V758">
        <v>1</v>
      </c>
      <c r="W758" t="s">
        <v>1552</v>
      </c>
    </row>
    <row r="759" spans="1:23" x14ac:dyDescent="0.25">
      <c r="H759" t="s">
        <v>1553</v>
      </c>
    </row>
    <row r="760" spans="1:23" x14ac:dyDescent="0.25">
      <c r="A760">
        <v>377</v>
      </c>
      <c r="B760">
        <v>1158</v>
      </c>
      <c r="C760" t="s">
        <v>1554</v>
      </c>
      <c r="D760" t="s">
        <v>351</v>
      </c>
      <c r="E760" t="s">
        <v>56</v>
      </c>
      <c r="F760" t="s">
        <v>1555</v>
      </c>
      <c r="G760" t="str">
        <f>"201406006521"</f>
        <v>201406006521</v>
      </c>
      <c r="H760" t="s">
        <v>407</v>
      </c>
      <c r="I760">
        <v>150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17</v>
      </c>
      <c r="S760">
        <v>119</v>
      </c>
      <c r="V760">
        <v>1</v>
      </c>
      <c r="W760" t="s">
        <v>1556</v>
      </c>
    </row>
    <row r="761" spans="1:23" x14ac:dyDescent="0.25">
      <c r="H761" t="s">
        <v>1557</v>
      </c>
    </row>
    <row r="762" spans="1:23" x14ac:dyDescent="0.25">
      <c r="A762">
        <v>378</v>
      </c>
      <c r="B762">
        <v>1998</v>
      </c>
      <c r="C762" t="s">
        <v>1558</v>
      </c>
      <c r="D762" t="s">
        <v>1522</v>
      </c>
      <c r="E762" t="s">
        <v>80</v>
      </c>
      <c r="F762" t="s">
        <v>1559</v>
      </c>
      <c r="G762" t="str">
        <f>"201511015437"</f>
        <v>201511015437</v>
      </c>
      <c r="H762">
        <v>1100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6</v>
      </c>
      <c r="S762">
        <v>42</v>
      </c>
      <c r="V762">
        <v>1</v>
      </c>
      <c r="W762">
        <v>1142</v>
      </c>
    </row>
    <row r="763" spans="1:23" x14ac:dyDescent="0.25">
      <c r="H763" t="s">
        <v>1560</v>
      </c>
    </row>
    <row r="764" spans="1:23" x14ac:dyDescent="0.25">
      <c r="A764">
        <v>379</v>
      </c>
      <c r="B764">
        <v>6703</v>
      </c>
      <c r="C764" t="s">
        <v>1561</v>
      </c>
      <c r="D764" t="s">
        <v>96</v>
      </c>
      <c r="E764" t="s">
        <v>276</v>
      </c>
      <c r="F764" t="s">
        <v>1562</v>
      </c>
      <c r="G764" t="str">
        <f>"00102196"</f>
        <v>00102196</v>
      </c>
      <c r="H764">
        <v>924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31</v>
      </c>
      <c r="S764">
        <v>217</v>
      </c>
      <c r="V764">
        <v>1</v>
      </c>
      <c r="W764">
        <v>1141</v>
      </c>
    </row>
    <row r="765" spans="1:23" x14ac:dyDescent="0.25">
      <c r="H765" t="s">
        <v>1563</v>
      </c>
    </row>
    <row r="766" spans="1:23" x14ac:dyDescent="0.25">
      <c r="A766">
        <v>380</v>
      </c>
      <c r="B766">
        <v>8663</v>
      </c>
      <c r="C766" t="s">
        <v>1564</v>
      </c>
      <c r="D766" t="s">
        <v>1471</v>
      </c>
      <c r="E766" t="s">
        <v>1104</v>
      </c>
      <c r="F766" t="s">
        <v>1565</v>
      </c>
      <c r="G766" t="str">
        <f>"201511016881"</f>
        <v>201511016881</v>
      </c>
      <c r="H766" t="s">
        <v>332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70</v>
      </c>
      <c r="P766">
        <v>0</v>
      </c>
      <c r="Q766">
        <v>0</v>
      </c>
      <c r="R766">
        <v>6</v>
      </c>
      <c r="S766">
        <v>42</v>
      </c>
      <c r="V766">
        <v>1</v>
      </c>
      <c r="W766" t="s">
        <v>1566</v>
      </c>
    </row>
    <row r="767" spans="1:23" x14ac:dyDescent="0.25">
      <c r="H767" t="s">
        <v>1567</v>
      </c>
    </row>
    <row r="768" spans="1:23" x14ac:dyDescent="0.25">
      <c r="A768">
        <v>381</v>
      </c>
      <c r="B768">
        <v>4569</v>
      </c>
      <c r="C768" t="s">
        <v>1568</v>
      </c>
      <c r="D768" t="s">
        <v>465</v>
      </c>
      <c r="E768" t="s">
        <v>37</v>
      </c>
      <c r="F768" t="s">
        <v>1569</v>
      </c>
      <c r="G768" t="str">
        <f>"00080976"</f>
        <v>00080976</v>
      </c>
      <c r="H768" t="s">
        <v>1570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54</v>
      </c>
      <c r="S768">
        <v>378</v>
      </c>
      <c r="V768">
        <v>1</v>
      </c>
      <c r="W768" t="s">
        <v>1571</v>
      </c>
    </row>
    <row r="769" spans="1:23" x14ac:dyDescent="0.25">
      <c r="H769" t="s">
        <v>1572</v>
      </c>
    </row>
    <row r="770" spans="1:23" x14ac:dyDescent="0.25">
      <c r="A770">
        <v>382</v>
      </c>
      <c r="B770">
        <v>5263</v>
      </c>
      <c r="C770" t="s">
        <v>396</v>
      </c>
      <c r="D770" t="s">
        <v>392</v>
      </c>
      <c r="E770" t="s">
        <v>80</v>
      </c>
      <c r="F770" t="s">
        <v>1573</v>
      </c>
      <c r="G770" t="str">
        <f>"200801003673"</f>
        <v>200801003673</v>
      </c>
      <c r="H770">
        <v>550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87</v>
      </c>
      <c r="S770">
        <v>588</v>
      </c>
      <c r="V770">
        <v>1</v>
      </c>
      <c r="W770">
        <v>1138</v>
      </c>
    </row>
    <row r="771" spans="1:23" x14ac:dyDescent="0.25">
      <c r="H771">
        <v>843</v>
      </c>
    </row>
    <row r="772" spans="1:23" x14ac:dyDescent="0.25">
      <c r="A772">
        <v>383</v>
      </c>
      <c r="B772">
        <v>1095</v>
      </c>
      <c r="C772" t="s">
        <v>1574</v>
      </c>
      <c r="D772" t="s">
        <v>1575</v>
      </c>
      <c r="E772" t="s">
        <v>1576</v>
      </c>
      <c r="F772" t="s">
        <v>1577</v>
      </c>
      <c r="G772" t="str">
        <f>"201511038145"</f>
        <v>201511038145</v>
      </c>
      <c r="H772">
        <v>550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90</v>
      </c>
      <c r="S772">
        <v>588</v>
      </c>
      <c r="V772">
        <v>1</v>
      </c>
      <c r="W772">
        <v>1138</v>
      </c>
    </row>
    <row r="773" spans="1:23" x14ac:dyDescent="0.25">
      <c r="H773" t="s">
        <v>1578</v>
      </c>
    </row>
    <row r="774" spans="1:23" x14ac:dyDescent="0.25">
      <c r="A774">
        <v>384</v>
      </c>
      <c r="B774">
        <v>3734</v>
      </c>
      <c r="C774" t="s">
        <v>1579</v>
      </c>
      <c r="D774" t="s">
        <v>1580</v>
      </c>
      <c r="E774" t="s">
        <v>37</v>
      </c>
      <c r="F774" t="s">
        <v>1581</v>
      </c>
      <c r="G774" t="str">
        <f>"201511030206"</f>
        <v>201511030206</v>
      </c>
      <c r="H774" t="s">
        <v>1582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36</v>
      </c>
      <c r="S774">
        <v>252</v>
      </c>
      <c r="V774">
        <v>1</v>
      </c>
      <c r="W774" t="s">
        <v>1583</v>
      </c>
    </row>
    <row r="775" spans="1:23" x14ac:dyDescent="0.25">
      <c r="H775" t="s">
        <v>1584</v>
      </c>
    </row>
    <row r="776" spans="1:23" x14ac:dyDescent="0.25">
      <c r="A776">
        <v>385</v>
      </c>
      <c r="B776">
        <v>2147</v>
      </c>
      <c r="C776" t="s">
        <v>1585</v>
      </c>
      <c r="D776" t="s">
        <v>934</v>
      </c>
      <c r="E776" t="s">
        <v>37</v>
      </c>
      <c r="F776" t="s">
        <v>1586</v>
      </c>
      <c r="G776" t="str">
        <f>"201511016715"</f>
        <v>201511016715</v>
      </c>
      <c r="H776" t="s">
        <v>1587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11</v>
      </c>
      <c r="S776">
        <v>77</v>
      </c>
      <c r="V776">
        <v>1</v>
      </c>
      <c r="W776" t="s">
        <v>1588</v>
      </c>
    </row>
    <row r="777" spans="1:23" x14ac:dyDescent="0.25">
      <c r="H777" t="s">
        <v>1589</v>
      </c>
    </row>
    <row r="778" spans="1:23" x14ac:dyDescent="0.25">
      <c r="A778">
        <v>386</v>
      </c>
      <c r="B778">
        <v>9947</v>
      </c>
      <c r="C778" t="s">
        <v>387</v>
      </c>
      <c r="D778" t="s">
        <v>51</v>
      </c>
      <c r="E778" t="s">
        <v>648</v>
      </c>
      <c r="F778" t="s">
        <v>1590</v>
      </c>
      <c r="G778" t="str">
        <f>"201511035585"</f>
        <v>201511035585</v>
      </c>
      <c r="H778" t="s">
        <v>131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6</v>
      </c>
      <c r="S778">
        <v>42</v>
      </c>
      <c r="V778">
        <v>1</v>
      </c>
      <c r="W778" t="s">
        <v>1591</v>
      </c>
    </row>
    <row r="779" spans="1:23" x14ac:dyDescent="0.25">
      <c r="H779" t="s">
        <v>1592</v>
      </c>
    </row>
    <row r="780" spans="1:23" x14ac:dyDescent="0.25">
      <c r="A780">
        <v>387</v>
      </c>
      <c r="B780">
        <v>10238</v>
      </c>
      <c r="C780" t="s">
        <v>1593</v>
      </c>
      <c r="D780" t="s">
        <v>513</v>
      </c>
      <c r="E780" t="s">
        <v>229</v>
      </c>
      <c r="F780" t="s">
        <v>1594</v>
      </c>
      <c r="G780" t="str">
        <f>"201511020263"</f>
        <v>201511020263</v>
      </c>
      <c r="H780" t="s">
        <v>131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6</v>
      </c>
      <c r="S780">
        <v>42</v>
      </c>
      <c r="V780">
        <v>1</v>
      </c>
      <c r="W780" t="s">
        <v>1591</v>
      </c>
    </row>
    <row r="781" spans="1:23" x14ac:dyDescent="0.25">
      <c r="H781" t="s">
        <v>1595</v>
      </c>
    </row>
    <row r="782" spans="1:23" x14ac:dyDescent="0.25">
      <c r="A782">
        <v>388</v>
      </c>
      <c r="B782">
        <v>1289</v>
      </c>
      <c r="C782" t="s">
        <v>1596</v>
      </c>
      <c r="D782" t="s">
        <v>122</v>
      </c>
      <c r="E782" t="s">
        <v>1406</v>
      </c>
      <c r="F782" t="s">
        <v>1597</v>
      </c>
      <c r="G782" t="str">
        <f>"201511040032"</f>
        <v>201511040032</v>
      </c>
      <c r="H782" t="s">
        <v>131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6</v>
      </c>
      <c r="S782">
        <v>42</v>
      </c>
      <c r="V782">
        <v>1</v>
      </c>
      <c r="W782" t="s">
        <v>1591</v>
      </c>
    </row>
    <row r="783" spans="1:23" x14ac:dyDescent="0.25">
      <c r="H783" t="s">
        <v>1598</v>
      </c>
    </row>
    <row r="784" spans="1:23" x14ac:dyDescent="0.25">
      <c r="A784">
        <v>389</v>
      </c>
      <c r="B784">
        <v>3642</v>
      </c>
      <c r="C784" t="s">
        <v>1599</v>
      </c>
      <c r="D784" t="s">
        <v>351</v>
      </c>
      <c r="E784" t="s">
        <v>57</v>
      </c>
      <c r="F784" t="s">
        <v>1600</v>
      </c>
      <c r="G784" t="str">
        <f>"201409003186"</f>
        <v>201409003186</v>
      </c>
      <c r="H784" t="s">
        <v>131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6</v>
      </c>
      <c r="S784">
        <v>42</v>
      </c>
      <c r="V784">
        <v>1</v>
      </c>
      <c r="W784" t="s">
        <v>1591</v>
      </c>
    </row>
    <row r="785" spans="1:23" x14ac:dyDescent="0.25">
      <c r="H785" t="s">
        <v>1601</v>
      </c>
    </row>
    <row r="786" spans="1:23" x14ac:dyDescent="0.25">
      <c r="A786">
        <v>390</v>
      </c>
      <c r="B786">
        <v>9271</v>
      </c>
      <c r="C786" t="s">
        <v>1602</v>
      </c>
      <c r="D786" t="s">
        <v>1603</v>
      </c>
      <c r="E786" t="s">
        <v>327</v>
      </c>
      <c r="F786" t="s">
        <v>1604</v>
      </c>
      <c r="G786" t="str">
        <f>"00019805"</f>
        <v>00019805</v>
      </c>
      <c r="H786" t="s">
        <v>1330</v>
      </c>
      <c r="I786">
        <v>0</v>
      </c>
      <c r="J786">
        <v>30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8</v>
      </c>
      <c r="S786">
        <v>56</v>
      </c>
      <c r="V786">
        <v>1</v>
      </c>
      <c r="W786" t="s">
        <v>1591</v>
      </c>
    </row>
    <row r="787" spans="1:23" x14ac:dyDescent="0.25">
      <c r="H787" t="s">
        <v>310</v>
      </c>
    </row>
    <row r="788" spans="1:23" x14ac:dyDescent="0.25">
      <c r="A788">
        <v>391</v>
      </c>
      <c r="B788">
        <v>1491</v>
      </c>
      <c r="C788" t="s">
        <v>713</v>
      </c>
      <c r="D788" t="s">
        <v>96</v>
      </c>
      <c r="E788" t="s">
        <v>154</v>
      </c>
      <c r="F788" t="s">
        <v>1605</v>
      </c>
      <c r="G788" t="str">
        <f>"201511029261"</f>
        <v>201511029261</v>
      </c>
      <c r="H788" t="s">
        <v>99</v>
      </c>
      <c r="I788">
        <v>150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5</v>
      </c>
      <c r="S788">
        <v>35</v>
      </c>
      <c r="V788">
        <v>1</v>
      </c>
      <c r="W788" t="s">
        <v>1591</v>
      </c>
    </row>
    <row r="789" spans="1:23" x14ac:dyDescent="0.25">
      <c r="H789" t="s">
        <v>1606</v>
      </c>
    </row>
    <row r="790" spans="1:23" x14ac:dyDescent="0.25">
      <c r="A790">
        <v>392</v>
      </c>
      <c r="B790">
        <v>280</v>
      </c>
      <c r="C790" t="s">
        <v>1607</v>
      </c>
      <c r="D790" t="s">
        <v>934</v>
      </c>
      <c r="E790" t="s">
        <v>284</v>
      </c>
      <c r="F790" t="s">
        <v>1608</v>
      </c>
      <c r="G790" t="str">
        <f>"201511026001"</f>
        <v>201511026001</v>
      </c>
      <c r="H790" t="s">
        <v>1609</v>
      </c>
      <c r="I790">
        <v>150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46</v>
      </c>
      <c r="S790">
        <v>322</v>
      </c>
      <c r="V790">
        <v>1</v>
      </c>
      <c r="W790" t="s">
        <v>1610</v>
      </c>
    </row>
    <row r="791" spans="1:23" x14ac:dyDescent="0.25">
      <c r="H791" t="s">
        <v>1611</v>
      </c>
    </row>
    <row r="792" spans="1:23" x14ac:dyDescent="0.25">
      <c r="A792">
        <v>393</v>
      </c>
      <c r="B792">
        <v>183</v>
      </c>
      <c r="C792" t="s">
        <v>1612</v>
      </c>
      <c r="D792" t="s">
        <v>1613</v>
      </c>
      <c r="E792" t="s">
        <v>20</v>
      </c>
      <c r="F792" t="s">
        <v>1614</v>
      </c>
      <c r="G792" t="str">
        <f>"200901000761"</f>
        <v>200901000761</v>
      </c>
      <c r="H792">
        <v>1100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5</v>
      </c>
      <c r="S792">
        <v>35</v>
      </c>
      <c r="V792">
        <v>1</v>
      </c>
      <c r="W792">
        <v>1135</v>
      </c>
    </row>
    <row r="793" spans="1:23" x14ac:dyDescent="0.25">
      <c r="H793">
        <v>843</v>
      </c>
    </row>
    <row r="794" spans="1:23" x14ac:dyDescent="0.25">
      <c r="A794">
        <v>394</v>
      </c>
      <c r="B794">
        <v>4790</v>
      </c>
      <c r="C794" t="s">
        <v>1615</v>
      </c>
      <c r="D794" t="s">
        <v>128</v>
      </c>
      <c r="E794" t="s">
        <v>37</v>
      </c>
      <c r="F794" t="s">
        <v>1616</v>
      </c>
      <c r="G794" t="str">
        <f>"201511025056"</f>
        <v>201511025056</v>
      </c>
      <c r="H794">
        <v>935</v>
      </c>
      <c r="I794">
        <v>150</v>
      </c>
      <c r="J794">
        <v>50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V794">
        <v>1</v>
      </c>
      <c r="W794">
        <v>1135</v>
      </c>
    </row>
    <row r="795" spans="1:23" x14ac:dyDescent="0.25">
      <c r="H795">
        <v>861</v>
      </c>
    </row>
    <row r="796" spans="1:23" x14ac:dyDescent="0.25">
      <c r="A796">
        <v>395</v>
      </c>
      <c r="B796">
        <v>6219</v>
      </c>
      <c r="C796" t="s">
        <v>1617</v>
      </c>
      <c r="D796" t="s">
        <v>51</v>
      </c>
      <c r="E796" t="s">
        <v>276</v>
      </c>
      <c r="F796" t="s">
        <v>1618</v>
      </c>
      <c r="G796" t="str">
        <f>"201511018131"</f>
        <v>201511018131</v>
      </c>
      <c r="H796" t="s">
        <v>693</v>
      </c>
      <c r="I796">
        <v>0</v>
      </c>
      <c r="J796">
        <v>30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9</v>
      </c>
      <c r="S796">
        <v>63</v>
      </c>
      <c r="V796">
        <v>1</v>
      </c>
      <c r="W796" t="s">
        <v>1619</v>
      </c>
    </row>
    <row r="797" spans="1:23" x14ac:dyDescent="0.25">
      <c r="H797" t="s">
        <v>1620</v>
      </c>
    </row>
    <row r="798" spans="1:23" x14ac:dyDescent="0.25">
      <c r="A798">
        <v>396</v>
      </c>
      <c r="B798">
        <v>5103</v>
      </c>
      <c r="C798" t="s">
        <v>1621</v>
      </c>
      <c r="D798" t="s">
        <v>275</v>
      </c>
      <c r="E798" t="s">
        <v>154</v>
      </c>
      <c r="F798" t="s">
        <v>1622</v>
      </c>
      <c r="G798" t="str">
        <f>"201511012340"</f>
        <v>201511012340</v>
      </c>
      <c r="H798">
        <v>1100</v>
      </c>
      <c r="I798">
        <v>0</v>
      </c>
      <c r="J798">
        <v>30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V798">
        <v>1</v>
      </c>
      <c r="W798">
        <v>1130</v>
      </c>
    </row>
    <row r="799" spans="1:23" x14ac:dyDescent="0.25">
      <c r="H799" t="s">
        <v>1623</v>
      </c>
    </row>
    <row r="800" spans="1:23" x14ac:dyDescent="0.25">
      <c r="A800">
        <v>397</v>
      </c>
      <c r="B800">
        <v>2314</v>
      </c>
      <c r="C800" t="s">
        <v>1624</v>
      </c>
      <c r="D800" t="s">
        <v>208</v>
      </c>
      <c r="E800" t="s">
        <v>30</v>
      </c>
      <c r="F800" t="s">
        <v>1625</v>
      </c>
      <c r="G800" t="str">
        <f>"201511017165"</f>
        <v>201511017165</v>
      </c>
      <c r="H800">
        <v>1100</v>
      </c>
      <c r="I800">
        <v>0</v>
      </c>
      <c r="J800">
        <v>30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V800">
        <v>1</v>
      </c>
      <c r="W800">
        <v>1130</v>
      </c>
    </row>
    <row r="801" spans="1:23" x14ac:dyDescent="0.25">
      <c r="H801" t="s">
        <v>1626</v>
      </c>
    </row>
    <row r="802" spans="1:23" x14ac:dyDescent="0.25">
      <c r="A802">
        <v>398</v>
      </c>
      <c r="B802">
        <v>7023</v>
      </c>
      <c r="C802" t="s">
        <v>1627</v>
      </c>
      <c r="D802" t="s">
        <v>122</v>
      </c>
      <c r="E802" t="s">
        <v>129</v>
      </c>
      <c r="F802" t="s">
        <v>1628</v>
      </c>
      <c r="G802" t="str">
        <f>"201510004505"</f>
        <v>201510004505</v>
      </c>
      <c r="H802">
        <v>1100</v>
      </c>
      <c r="I802">
        <v>0</v>
      </c>
      <c r="J802">
        <v>30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V802">
        <v>1</v>
      </c>
      <c r="W802">
        <v>1130</v>
      </c>
    </row>
    <row r="803" spans="1:23" x14ac:dyDescent="0.25">
      <c r="H803" t="s">
        <v>1629</v>
      </c>
    </row>
    <row r="804" spans="1:23" x14ac:dyDescent="0.25">
      <c r="A804">
        <v>399</v>
      </c>
      <c r="B804">
        <v>1017</v>
      </c>
      <c r="C804" t="s">
        <v>1630</v>
      </c>
      <c r="D804" t="s">
        <v>172</v>
      </c>
      <c r="E804" t="s">
        <v>71</v>
      </c>
      <c r="F804" t="s">
        <v>1631</v>
      </c>
      <c r="G804" t="str">
        <f>"201401000392"</f>
        <v>201401000392</v>
      </c>
      <c r="H804">
        <v>1100</v>
      </c>
      <c r="I804">
        <v>0</v>
      </c>
      <c r="J804">
        <v>30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V804">
        <v>1</v>
      </c>
      <c r="W804">
        <v>1130</v>
      </c>
    </row>
    <row r="805" spans="1:23" x14ac:dyDescent="0.25">
      <c r="H805" t="s">
        <v>1632</v>
      </c>
    </row>
    <row r="806" spans="1:23" x14ac:dyDescent="0.25">
      <c r="A806">
        <v>400</v>
      </c>
      <c r="B806">
        <v>472</v>
      </c>
      <c r="C806" t="s">
        <v>1633</v>
      </c>
      <c r="D806" t="s">
        <v>934</v>
      </c>
      <c r="E806" t="s">
        <v>1054</v>
      </c>
      <c r="F806" t="s">
        <v>1634</v>
      </c>
      <c r="G806" t="str">
        <f>"201511015270"</f>
        <v>201511015270</v>
      </c>
      <c r="H806">
        <v>1100</v>
      </c>
      <c r="I806">
        <v>0</v>
      </c>
      <c r="J806">
        <v>30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V806">
        <v>1</v>
      </c>
      <c r="W806">
        <v>1130</v>
      </c>
    </row>
    <row r="807" spans="1:23" x14ac:dyDescent="0.25">
      <c r="H807" t="s">
        <v>1635</v>
      </c>
    </row>
    <row r="808" spans="1:23" x14ac:dyDescent="0.25">
      <c r="A808">
        <v>401</v>
      </c>
      <c r="B808">
        <v>5020</v>
      </c>
      <c r="C808" t="s">
        <v>1636</v>
      </c>
      <c r="D808" t="s">
        <v>1637</v>
      </c>
      <c r="E808" t="s">
        <v>154</v>
      </c>
      <c r="F808" t="s">
        <v>1638</v>
      </c>
      <c r="G808" t="str">
        <f>"00023657"</f>
        <v>00023657</v>
      </c>
      <c r="H808">
        <v>990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20</v>
      </c>
      <c r="S808">
        <v>140</v>
      </c>
      <c r="V808">
        <v>1</v>
      </c>
      <c r="W808">
        <v>1130</v>
      </c>
    </row>
    <row r="809" spans="1:23" x14ac:dyDescent="0.25">
      <c r="H809" t="s">
        <v>1639</v>
      </c>
    </row>
    <row r="810" spans="1:23" x14ac:dyDescent="0.25">
      <c r="A810">
        <v>402</v>
      </c>
      <c r="B810">
        <v>6063</v>
      </c>
      <c r="C810" t="s">
        <v>1640</v>
      </c>
      <c r="D810" t="s">
        <v>172</v>
      </c>
      <c r="E810" t="s">
        <v>154</v>
      </c>
      <c r="F810" t="s">
        <v>1641</v>
      </c>
      <c r="G810" t="str">
        <f>"201510002362"</f>
        <v>201510002362</v>
      </c>
      <c r="H810" t="s">
        <v>204</v>
      </c>
      <c r="I810">
        <v>0</v>
      </c>
      <c r="J810">
        <v>30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5</v>
      </c>
      <c r="S810">
        <v>35</v>
      </c>
      <c r="V810">
        <v>1</v>
      </c>
      <c r="W810" t="s">
        <v>1642</v>
      </c>
    </row>
    <row r="811" spans="1:23" x14ac:dyDescent="0.25">
      <c r="H811" t="s">
        <v>1643</v>
      </c>
    </row>
    <row r="812" spans="1:23" x14ac:dyDescent="0.25">
      <c r="A812">
        <v>403</v>
      </c>
      <c r="B812">
        <v>1646</v>
      </c>
      <c r="C812" t="s">
        <v>1644</v>
      </c>
      <c r="D812" t="s">
        <v>351</v>
      </c>
      <c r="E812" t="s">
        <v>37</v>
      </c>
      <c r="F812" t="s">
        <v>1645</v>
      </c>
      <c r="G812" t="str">
        <f>"201511024501"</f>
        <v>201511024501</v>
      </c>
      <c r="H812" t="s">
        <v>131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5</v>
      </c>
      <c r="S812">
        <v>35</v>
      </c>
      <c r="V812">
        <v>1</v>
      </c>
      <c r="W812" t="s">
        <v>1646</v>
      </c>
    </row>
    <row r="813" spans="1:23" x14ac:dyDescent="0.25">
      <c r="H813" t="s">
        <v>1647</v>
      </c>
    </row>
    <row r="814" spans="1:23" x14ac:dyDescent="0.25">
      <c r="A814">
        <v>404</v>
      </c>
      <c r="B814">
        <v>7120</v>
      </c>
      <c r="C814" t="s">
        <v>1648</v>
      </c>
      <c r="D814" t="s">
        <v>1649</v>
      </c>
      <c r="E814" t="s">
        <v>57</v>
      </c>
      <c r="F814" t="s">
        <v>1650</v>
      </c>
      <c r="G814" t="str">
        <f>"201511036673"</f>
        <v>201511036673</v>
      </c>
      <c r="H814">
        <v>1045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12</v>
      </c>
      <c r="S814">
        <v>84</v>
      </c>
      <c r="V814">
        <v>1</v>
      </c>
      <c r="W814">
        <v>1129</v>
      </c>
    </row>
    <row r="815" spans="1:23" x14ac:dyDescent="0.25">
      <c r="H815" t="s">
        <v>1651</v>
      </c>
    </row>
    <row r="816" spans="1:23" x14ac:dyDescent="0.25">
      <c r="A816">
        <v>405</v>
      </c>
      <c r="B816">
        <v>5850</v>
      </c>
      <c r="C816" t="s">
        <v>1652</v>
      </c>
      <c r="D816" t="s">
        <v>1131</v>
      </c>
      <c r="E816" t="s">
        <v>104</v>
      </c>
      <c r="F816" t="s">
        <v>1653</v>
      </c>
      <c r="G816" t="str">
        <f>"201511038315"</f>
        <v>201511038315</v>
      </c>
      <c r="H816">
        <v>979</v>
      </c>
      <c r="I816">
        <v>150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V816">
        <v>1</v>
      </c>
      <c r="W816">
        <v>1129</v>
      </c>
    </row>
    <row r="817" spans="1:23" x14ac:dyDescent="0.25">
      <c r="H817" t="s">
        <v>1654</v>
      </c>
    </row>
    <row r="818" spans="1:23" x14ac:dyDescent="0.25">
      <c r="A818">
        <v>406</v>
      </c>
      <c r="B818">
        <v>5566</v>
      </c>
      <c r="C818" t="s">
        <v>1655</v>
      </c>
      <c r="D818" t="s">
        <v>1656</v>
      </c>
      <c r="E818" t="s">
        <v>276</v>
      </c>
      <c r="F818" t="s">
        <v>1657</v>
      </c>
      <c r="G818" t="str">
        <f>"00083840"</f>
        <v>00083840</v>
      </c>
      <c r="H818">
        <v>1001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18</v>
      </c>
      <c r="S818">
        <v>126</v>
      </c>
      <c r="V818">
        <v>1</v>
      </c>
      <c r="W818">
        <v>1127</v>
      </c>
    </row>
    <row r="819" spans="1:23" x14ac:dyDescent="0.25">
      <c r="H819" t="s">
        <v>1658</v>
      </c>
    </row>
    <row r="820" spans="1:23" x14ac:dyDescent="0.25">
      <c r="A820">
        <v>407</v>
      </c>
      <c r="B820">
        <v>2678</v>
      </c>
      <c r="C820" t="s">
        <v>1659</v>
      </c>
      <c r="D820" t="s">
        <v>89</v>
      </c>
      <c r="E820" t="s">
        <v>37</v>
      </c>
      <c r="F820" t="s">
        <v>1660</v>
      </c>
      <c r="G820" t="str">
        <f>"201103000051"</f>
        <v>201103000051</v>
      </c>
      <c r="H820" t="s">
        <v>1661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20</v>
      </c>
      <c r="S820">
        <v>140</v>
      </c>
      <c r="V820">
        <v>1</v>
      </c>
      <c r="W820" t="s">
        <v>1662</v>
      </c>
    </row>
    <row r="821" spans="1:23" x14ac:dyDescent="0.25">
      <c r="H821" t="s">
        <v>1663</v>
      </c>
    </row>
    <row r="822" spans="1:23" x14ac:dyDescent="0.25">
      <c r="A822">
        <v>408</v>
      </c>
      <c r="B822">
        <v>8509</v>
      </c>
      <c r="C822" t="s">
        <v>1664</v>
      </c>
      <c r="D822" t="s">
        <v>681</v>
      </c>
      <c r="E822" t="s">
        <v>276</v>
      </c>
      <c r="F822" t="s">
        <v>1665</v>
      </c>
      <c r="G822" t="str">
        <f>"201511036933"</f>
        <v>201511036933</v>
      </c>
      <c r="H822" t="s">
        <v>40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6</v>
      </c>
      <c r="S822">
        <v>42</v>
      </c>
      <c r="V822">
        <v>1</v>
      </c>
      <c r="W822" t="s">
        <v>1666</v>
      </c>
    </row>
    <row r="823" spans="1:23" x14ac:dyDescent="0.25">
      <c r="H823" t="s">
        <v>1667</v>
      </c>
    </row>
    <row r="824" spans="1:23" x14ac:dyDescent="0.25">
      <c r="A824">
        <v>409</v>
      </c>
      <c r="B824">
        <v>8020</v>
      </c>
      <c r="C824" t="s">
        <v>1668</v>
      </c>
      <c r="D824" t="s">
        <v>491</v>
      </c>
      <c r="E824" t="s">
        <v>104</v>
      </c>
      <c r="F824" t="s">
        <v>1669</v>
      </c>
      <c r="G824" t="str">
        <f>"201511019756"</f>
        <v>201511019756</v>
      </c>
      <c r="H824">
        <v>803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46</v>
      </c>
      <c r="S824">
        <v>322</v>
      </c>
      <c r="V824">
        <v>1</v>
      </c>
      <c r="W824">
        <v>1125</v>
      </c>
    </row>
    <row r="825" spans="1:23" x14ac:dyDescent="0.25">
      <c r="H825" t="s">
        <v>1670</v>
      </c>
    </row>
    <row r="826" spans="1:23" x14ac:dyDescent="0.25">
      <c r="A826">
        <v>410</v>
      </c>
      <c r="B826">
        <v>7539</v>
      </c>
      <c r="C826" t="s">
        <v>1671</v>
      </c>
      <c r="D826" t="s">
        <v>183</v>
      </c>
      <c r="E826" t="s">
        <v>374</v>
      </c>
      <c r="F826" t="s">
        <v>1672</v>
      </c>
      <c r="G826" t="str">
        <f>"201502002225"</f>
        <v>201502002225</v>
      </c>
      <c r="H826" t="s">
        <v>131</v>
      </c>
      <c r="I826">
        <v>0</v>
      </c>
      <c r="J826">
        <v>30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V826">
        <v>1</v>
      </c>
      <c r="W826" t="s">
        <v>1673</v>
      </c>
    </row>
    <row r="827" spans="1:23" x14ac:dyDescent="0.25">
      <c r="H827" t="s">
        <v>1674</v>
      </c>
    </row>
    <row r="828" spans="1:23" x14ac:dyDescent="0.25">
      <c r="A828">
        <v>411</v>
      </c>
      <c r="B828">
        <v>6072</v>
      </c>
      <c r="C828" t="s">
        <v>1675</v>
      </c>
      <c r="D828" t="s">
        <v>1676</v>
      </c>
      <c r="E828" t="s">
        <v>70</v>
      </c>
      <c r="F828" t="s">
        <v>1677</v>
      </c>
      <c r="G828" t="str">
        <f>"00092912"</f>
        <v>00092912</v>
      </c>
      <c r="H828" t="s">
        <v>131</v>
      </c>
      <c r="I828">
        <v>0</v>
      </c>
      <c r="J828">
        <v>0</v>
      </c>
      <c r="K828">
        <v>30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V828">
        <v>1</v>
      </c>
      <c r="W828" t="s">
        <v>1673</v>
      </c>
    </row>
    <row r="829" spans="1:23" x14ac:dyDescent="0.25">
      <c r="H829" t="s">
        <v>1678</v>
      </c>
    </row>
    <row r="830" spans="1:23" x14ac:dyDescent="0.25">
      <c r="A830">
        <v>412</v>
      </c>
      <c r="B830">
        <v>2405</v>
      </c>
      <c r="C830" t="s">
        <v>1679</v>
      </c>
      <c r="D830" t="s">
        <v>351</v>
      </c>
      <c r="E830" t="s">
        <v>80</v>
      </c>
      <c r="F830" t="s">
        <v>1680</v>
      </c>
      <c r="G830" t="str">
        <f>"200801004292"</f>
        <v>200801004292</v>
      </c>
      <c r="H830" t="s">
        <v>131</v>
      </c>
      <c r="I830">
        <v>0</v>
      </c>
      <c r="J830">
        <v>30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V830">
        <v>1</v>
      </c>
      <c r="W830" t="s">
        <v>1673</v>
      </c>
    </row>
    <row r="831" spans="1:23" x14ac:dyDescent="0.25">
      <c r="H831" t="s">
        <v>1681</v>
      </c>
    </row>
    <row r="832" spans="1:23" x14ac:dyDescent="0.25">
      <c r="A832">
        <v>413</v>
      </c>
      <c r="B832">
        <v>7268</v>
      </c>
      <c r="C832" t="s">
        <v>1682</v>
      </c>
      <c r="D832" t="s">
        <v>351</v>
      </c>
      <c r="E832" t="s">
        <v>104</v>
      </c>
      <c r="F832" t="s">
        <v>1683</v>
      </c>
      <c r="G832" t="str">
        <f>"201511021449"</f>
        <v>201511021449</v>
      </c>
      <c r="H832" t="s">
        <v>131</v>
      </c>
      <c r="I832">
        <v>0</v>
      </c>
      <c r="J832">
        <v>30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S832">
        <v>0</v>
      </c>
      <c r="V832">
        <v>1</v>
      </c>
      <c r="W832" t="s">
        <v>1673</v>
      </c>
    </row>
    <row r="833" spans="1:23" x14ac:dyDescent="0.25">
      <c r="H833" t="s">
        <v>1684</v>
      </c>
    </row>
    <row r="834" spans="1:23" x14ac:dyDescent="0.25">
      <c r="A834">
        <v>414</v>
      </c>
      <c r="B834">
        <v>5174</v>
      </c>
      <c r="C834" t="s">
        <v>1685</v>
      </c>
      <c r="D834" t="s">
        <v>128</v>
      </c>
      <c r="E834" t="s">
        <v>1686</v>
      </c>
      <c r="F834" t="s">
        <v>1687</v>
      </c>
      <c r="G834" t="str">
        <f>"201511043421"</f>
        <v>201511043421</v>
      </c>
      <c r="H834" t="s">
        <v>1688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43</v>
      </c>
      <c r="S834">
        <v>301</v>
      </c>
      <c r="V834">
        <v>1</v>
      </c>
      <c r="W834" t="s">
        <v>1689</v>
      </c>
    </row>
    <row r="835" spans="1:23" x14ac:dyDescent="0.25">
      <c r="H835" t="s">
        <v>1690</v>
      </c>
    </row>
    <row r="836" spans="1:23" x14ac:dyDescent="0.25">
      <c r="A836">
        <v>415</v>
      </c>
      <c r="B836">
        <v>5025</v>
      </c>
      <c r="C836" t="s">
        <v>1691</v>
      </c>
      <c r="D836" t="s">
        <v>1692</v>
      </c>
      <c r="E836" t="s">
        <v>500</v>
      </c>
      <c r="F836" t="s">
        <v>1693</v>
      </c>
      <c r="G836" t="str">
        <f>"00031510"</f>
        <v>00031510</v>
      </c>
      <c r="H836" t="s">
        <v>286</v>
      </c>
      <c r="I836">
        <v>150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v>0</v>
      </c>
      <c r="V836">
        <v>1</v>
      </c>
      <c r="W836" t="s">
        <v>1694</v>
      </c>
    </row>
    <row r="837" spans="1:23" x14ac:dyDescent="0.25">
      <c r="H837" t="s">
        <v>1695</v>
      </c>
    </row>
    <row r="838" spans="1:23" x14ac:dyDescent="0.25">
      <c r="A838">
        <v>416</v>
      </c>
      <c r="B838">
        <v>7562</v>
      </c>
      <c r="C838" t="s">
        <v>1696</v>
      </c>
      <c r="D838" t="s">
        <v>427</v>
      </c>
      <c r="E838" t="s">
        <v>1697</v>
      </c>
      <c r="F838" t="s">
        <v>1698</v>
      </c>
      <c r="G838" t="str">
        <f>"201511042249"</f>
        <v>201511042249</v>
      </c>
      <c r="H838" t="s">
        <v>226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15</v>
      </c>
      <c r="S838">
        <v>105</v>
      </c>
      <c r="V838">
        <v>1</v>
      </c>
      <c r="W838" t="s">
        <v>1699</v>
      </c>
    </row>
    <row r="839" spans="1:23" x14ac:dyDescent="0.25">
      <c r="H839" t="s">
        <v>1700</v>
      </c>
    </row>
    <row r="840" spans="1:23" x14ac:dyDescent="0.25">
      <c r="A840">
        <v>417</v>
      </c>
      <c r="B840">
        <v>10459</v>
      </c>
      <c r="C840" t="s">
        <v>1701</v>
      </c>
      <c r="D840" t="s">
        <v>96</v>
      </c>
      <c r="E840" t="s">
        <v>276</v>
      </c>
      <c r="F840" t="s">
        <v>1702</v>
      </c>
      <c r="G840" t="str">
        <f>"201512000761"</f>
        <v>201512000761</v>
      </c>
      <c r="H840">
        <v>968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22</v>
      </c>
      <c r="S840">
        <v>154</v>
      </c>
      <c r="V840">
        <v>1</v>
      </c>
      <c r="W840">
        <v>1122</v>
      </c>
    </row>
    <row r="841" spans="1:23" x14ac:dyDescent="0.25">
      <c r="H841" t="s">
        <v>1703</v>
      </c>
    </row>
    <row r="842" spans="1:23" x14ac:dyDescent="0.25">
      <c r="A842">
        <v>418</v>
      </c>
      <c r="B842">
        <v>4674</v>
      </c>
      <c r="C842" t="s">
        <v>1704</v>
      </c>
      <c r="D842" t="s">
        <v>1705</v>
      </c>
      <c r="E842" t="s">
        <v>80</v>
      </c>
      <c r="F842" t="s">
        <v>1706</v>
      </c>
      <c r="G842" t="str">
        <f>"201511033826"</f>
        <v>201511033826</v>
      </c>
      <c r="H842" t="s">
        <v>1436</v>
      </c>
      <c r="I842">
        <v>0</v>
      </c>
      <c r="J842">
        <v>50</v>
      </c>
      <c r="K842">
        <v>0</v>
      </c>
      <c r="L842">
        <v>0</v>
      </c>
      <c r="M842">
        <v>0</v>
      </c>
      <c r="N842">
        <v>30</v>
      </c>
      <c r="O842">
        <v>0</v>
      </c>
      <c r="P842">
        <v>0</v>
      </c>
      <c r="Q842">
        <v>0</v>
      </c>
      <c r="R842">
        <v>5</v>
      </c>
      <c r="S842">
        <v>35</v>
      </c>
      <c r="V842">
        <v>1</v>
      </c>
      <c r="W842" t="s">
        <v>1707</v>
      </c>
    </row>
    <row r="843" spans="1:23" x14ac:dyDescent="0.25">
      <c r="H843" t="s">
        <v>1708</v>
      </c>
    </row>
    <row r="844" spans="1:23" x14ac:dyDescent="0.25">
      <c r="A844">
        <v>419</v>
      </c>
      <c r="B844">
        <v>1695</v>
      </c>
      <c r="C844" t="s">
        <v>1709</v>
      </c>
      <c r="D844" t="s">
        <v>1710</v>
      </c>
      <c r="E844" t="s">
        <v>154</v>
      </c>
      <c r="F844" t="s">
        <v>1711</v>
      </c>
      <c r="G844" t="str">
        <f>"201511022255"</f>
        <v>201511022255</v>
      </c>
      <c r="H844" t="s">
        <v>370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29</v>
      </c>
      <c r="S844">
        <v>203</v>
      </c>
      <c r="V844">
        <v>1</v>
      </c>
      <c r="W844" t="s">
        <v>1707</v>
      </c>
    </row>
    <row r="845" spans="1:23" x14ac:dyDescent="0.25">
      <c r="H845" t="s">
        <v>1712</v>
      </c>
    </row>
    <row r="846" spans="1:23" x14ac:dyDescent="0.25">
      <c r="A846">
        <v>420</v>
      </c>
      <c r="B846">
        <v>44</v>
      </c>
      <c r="C846" t="s">
        <v>1713</v>
      </c>
      <c r="D846" t="s">
        <v>351</v>
      </c>
      <c r="E846" t="s">
        <v>37</v>
      </c>
      <c r="F846" t="s">
        <v>1714</v>
      </c>
      <c r="G846" t="str">
        <f>"00017157"</f>
        <v>00017157</v>
      </c>
      <c r="H846" t="s">
        <v>1715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26</v>
      </c>
      <c r="S846">
        <v>182</v>
      </c>
      <c r="V846">
        <v>1</v>
      </c>
      <c r="W846" t="s">
        <v>1716</v>
      </c>
    </row>
    <row r="847" spans="1:23" x14ac:dyDescent="0.25">
      <c r="H847">
        <v>843</v>
      </c>
    </row>
    <row r="848" spans="1:23" x14ac:dyDescent="0.25">
      <c r="A848">
        <v>421</v>
      </c>
      <c r="B848">
        <v>2982</v>
      </c>
      <c r="C848" t="s">
        <v>1717</v>
      </c>
      <c r="D848" t="s">
        <v>1066</v>
      </c>
      <c r="E848" t="s">
        <v>20</v>
      </c>
      <c r="F848" t="s">
        <v>1718</v>
      </c>
      <c r="G848" t="str">
        <f>"00030517"</f>
        <v>00030517</v>
      </c>
      <c r="H848">
        <v>1078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6</v>
      </c>
      <c r="S848">
        <v>42</v>
      </c>
      <c r="V848">
        <v>1</v>
      </c>
      <c r="W848">
        <v>1120</v>
      </c>
    </row>
    <row r="849" spans="1:23" x14ac:dyDescent="0.25">
      <c r="H849" t="s">
        <v>1719</v>
      </c>
    </row>
    <row r="850" spans="1:23" x14ac:dyDescent="0.25">
      <c r="A850">
        <v>422</v>
      </c>
      <c r="B850">
        <v>102</v>
      </c>
      <c r="C850" t="s">
        <v>1058</v>
      </c>
      <c r="D850" t="s">
        <v>382</v>
      </c>
      <c r="E850" t="s">
        <v>57</v>
      </c>
      <c r="F850" t="s">
        <v>1059</v>
      </c>
      <c r="G850" t="str">
        <f>"201510000706"</f>
        <v>201510000706</v>
      </c>
      <c r="H850">
        <v>1078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6</v>
      </c>
      <c r="S850">
        <v>42</v>
      </c>
      <c r="V850">
        <v>3</v>
      </c>
      <c r="W850">
        <v>1120</v>
      </c>
    </row>
    <row r="851" spans="1:23" x14ac:dyDescent="0.25">
      <c r="H851" t="s">
        <v>1060</v>
      </c>
    </row>
    <row r="852" spans="1:23" x14ac:dyDescent="0.25">
      <c r="A852">
        <v>423</v>
      </c>
      <c r="B852">
        <v>6273</v>
      </c>
      <c r="C852" t="s">
        <v>1720</v>
      </c>
      <c r="D852" t="s">
        <v>465</v>
      </c>
      <c r="E852" t="s">
        <v>57</v>
      </c>
      <c r="F852" t="s">
        <v>1721</v>
      </c>
      <c r="G852" t="str">
        <f>"00091230"</f>
        <v>00091230</v>
      </c>
      <c r="H852" t="s">
        <v>1722</v>
      </c>
      <c r="I852">
        <v>150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15</v>
      </c>
      <c r="S852">
        <v>105</v>
      </c>
      <c r="V852">
        <v>1</v>
      </c>
      <c r="W852" t="s">
        <v>1723</v>
      </c>
    </row>
    <row r="853" spans="1:23" x14ac:dyDescent="0.25">
      <c r="H853" t="s">
        <v>1724</v>
      </c>
    </row>
    <row r="854" spans="1:23" x14ac:dyDescent="0.25">
      <c r="A854">
        <v>424</v>
      </c>
      <c r="B854">
        <v>7052</v>
      </c>
      <c r="C854" t="s">
        <v>1725</v>
      </c>
      <c r="D854" t="s">
        <v>208</v>
      </c>
      <c r="E854" t="s">
        <v>154</v>
      </c>
      <c r="F854" t="s">
        <v>1726</v>
      </c>
      <c r="G854" t="str">
        <f>"00019412"</f>
        <v>00019412</v>
      </c>
      <c r="H854" t="s">
        <v>99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24</v>
      </c>
      <c r="S854">
        <v>168</v>
      </c>
      <c r="V854">
        <v>1</v>
      </c>
      <c r="W854" t="s">
        <v>1727</v>
      </c>
    </row>
    <row r="855" spans="1:23" x14ac:dyDescent="0.25">
      <c r="H855" t="s">
        <v>1728</v>
      </c>
    </row>
    <row r="856" spans="1:23" x14ac:dyDescent="0.25">
      <c r="A856">
        <v>425</v>
      </c>
      <c r="B856">
        <v>2529</v>
      </c>
      <c r="C856" t="s">
        <v>1729</v>
      </c>
      <c r="D856" t="s">
        <v>57</v>
      </c>
      <c r="E856" t="s">
        <v>56</v>
      </c>
      <c r="F856" t="s">
        <v>1730</v>
      </c>
      <c r="G856" t="str">
        <f>"201510004264"</f>
        <v>201510004264</v>
      </c>
      <c r="H856">
        <v>1089</v>
      </c>
      <c r="I856">
        <v>0</v>
      </c>
      <c r="J856">
        <v>30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V856">
        <v>1</v>
      </c>
      <c r="W856">
        <v>1119</v>
      </c>
    </row>
    <row r="857" spans="1:23" x14ac:dyDescent="0.25">
      <c r="H857" t="s">
        <v>1731</v>
      </c>
    </row>
    <row r="858" spans="1:23" x14ac:dyDescent="0.25">
      <c r="A858">
        <v>426</v>
      </c>
      <c r="B858">
        <v>2529</v>
      </c>
      <c r="C858" t="s">
        <v>1729</v>
      </c>
      <c r="D858" t="s">
        <v>57</v>
      </c>
      <c r="E858" t="s">
        <v>56</v>
      </c>
      <c r="F858" t="s">
        <v>1730</v>
      </c>
      <c r="G858" t="str">
        <f>"201510004264"</f>
        <v>201510004264</v>
      </c>
      <c r="H858">
        <v>1089</v>
      </c>
      <c r="I858">
        <v>0</v>
      </c>
      <c r="J858">
        <v>30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8</v>
      </c>
      <c r="U858" t="s">
        <v>1732</v>
      </c>
      <c r="V858">
        <v>1</v>
      </c>
      <c r="W858">
        <v>1119</v>
      </c>
    </row>
    <row r="859" spans="1:23" x14ac:dyDescent="0.25">
      <c r="H859" t="s">
        <v>1731</v>
      </c>
    </row>
    <row r="860" spans="1:23" x14ac:dyDescent="0.25">
      <c r="A860">
        <v>427</v>
      </c>
      <c r="B860">
        <v>9686</v>
      </c>
      <c r="C860" t="s">
        <v>1733</v>
      </c>
      <c r="D860" t="s">
        <v>1393</v>
      </c>
      <c r="E860" t="s">
        <v>20</v>
      </c>
      <c r="F860" t="s">
        <v>1734</v>
      </c>
      <c r="G860" t="str">
        <f>"201406011130"</f>
        <v>201406011130</v>
      </c>
      <c r="H860">
        <v>1089</v>
      </c>
      <c r="I860">
        <v>0</v>
      </c>
      <c r="J860">
        <v>30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V860">
        <v>1</v>
      </c>
      <c r="W860">
        <v>1119</v>
      </c>
    </row>
    <row r="861" spans="1:23" x14ac:dyDescent="0.25">
      <c r="H861" t="s">
        <v>1735</v>
      </c>
    </row>
    <row r="862" spans="1:23" x14ac:dyDescent="0.25">
      <c r="A862">
        <v>428</v>
      </c>
      <c r="B862">
        <v>531</v>
      </c>
      <c r="C862" t="s">
        <v>1736</v>
      </c>
      <c r="D862" t="s">
        <v>1737</v>
      </c>
      <c r="E862" t="s">
        <v>276</v>
      </c>
      <c r="F862" t="s">
        <v>1738</v>
      </c>
      <c r="G862" t="str">
        <f>"201511039532"</f>
        <v>201511039532</v>
      </c>
      <c r="H862" t="s">
        <v>40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5</v>
      </c>
      <c r="S862">
        <v>35</v>
      </c>
      <c r="V862">
        <v>3</v>
      </c>
      <c r="W862" t="s">
        <v>1739</v>
      </c>
    </row>
    <row r="863" spans="1:23" x14ac:dyDescent="0.25">
      <c r="H863" t="s">
        <v>1740</v>
      </c>
    </row>
    <row r="864" spans="1:23" x14ac:dyDescent="0.25">
      <c r="A864">
        <v>429</v>
      </c>
      <c r="B864">
        <v>1528</v>
      </c>
      <c r="C864" t="s">
        <v>1741</v>
      </c>
      <c r="D864" t="s">
        <v>382</v>
      </c>
      <c r="E864" t="s">
        <v>109</v>
      </c>
      <c r="F864" t="s">
        <v>1742</v>
      </c>
      <c r="G864" t="str">
        <f>"201101000028"</f>
        <v>201101000028</v>
      </c>
      <c r="H864">
        <v>968</v>
      </c>
      <c r="I864">
        <v>150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V864">
        <v>1</v>
      </c>
      <c r="W864">
        <v>1118</v>
      </c>
    </row>
    <row r="865" spans="1:23" x14ac:dyDescent="0.25">
      <c r="H865" t="s">
        <v>1743</v>
      </c>
    </row>
    <row r="866" spans="1:23" x14ac:dyDescent="0.25">
      <c r="A866">
        <v>430</v>
      </c>
      <c r="B866">
        <v>9099</v>
      </c>
      <c r="C866" t="s">
        <v>1744</v>
      </c>
      <c r="D866" t="s">
        <v>382</v>
      </c>
      <c r="E866" t="s">
        <v>104</v>
      </c>
      <c r="F866" t="s">
        <v>1745</v>
      </c>
      <c r="G866" t="str">
        <f>"00096807"</f>
        <v>00096807</v>
      </c>
      <c r="H866">
        <v>1012</v>
      </c>
      <c r="I866">
        <v>0</v>
      </c>
      <c r="J866">
        <v>70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5</v>
      </c>
      <c r="S866">
        <v>35</v>
      </c>
      <c r="V866">
        <v>1</v>
      </c>
      <c r="W866">
        <v>1117</v>
      </c>
    </row>
    <row r="867" spans="1:23" x14ac:dyDescent="0.25">
      <c r="H867">
        <v>818</v>
      </c>
    </row>
    <row r="868" spans="1:23" x14ac:dyDescent="0.25">
      <c r="A868">
        <v>431</v>
      </c>
      <c r="B868">
        <v>7376</v>
      </c>
      <c r="C868" t="s">
        <v>1746</v>
      </c>
      <c r="D868" t="s">
        <v>798</v>
      </c>
      <c r="E868" t="s">
        <v>1747</v>
      </c>
      <c r="F868" t="s">
        <v>1748</v>
      </c>
      <c r="G868" t="str">
        <f>"201511028620"</f>
        <v>201511028620</v>
      </c>
      <c r="H868" t="s">
        <v>1749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50</v>
      </c>
      <c r="S868">
        <v>350</v>
      </c>
      <c r="V868">
        <v>1</v>
      </c>
      <c r="W868" t="s">
        <v>1750</v>
      </c>
    </row>
    <row r="869" spans="1:23" x14ac:dyDescent="0.25">
      <c r="H869" t="s">
        <v>1751</v>
      </c>
    </row>
    <row r="870" spans="1:23" x14ac:dyDescent="0.25">
      <c r="A870">
        <v>432</v>
      </c>
      <c r="B870">
        <v>7684</v>
      </c>
      <c r="C870" t="s">
        <v>1752</v>
      </c>
      <c r="D870" t="s">
        <v>392</v>
      </c>
      <c r="E870" t="s">
        <v>184</v>
      </c>
      <c r="F870" t="s">
        <v>1753</v>
      </c>
      <c r="G870" t="str">
        <f>"201511038414"</f>
        <v>201511038414</v>
      </c>
      <c r="H870">
        <v>1067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7</v>
      </c>
      <c r="S870">
        <v>49</v>
      </c>
      <c r="V870">
        <v>1</v>
      </c>
      <c r="W870">
        <v>1116</v>
      </c>
    </row>
    <row r="871" spans="1:23" x14ac:dyDescent="0.25">
      <c r="H871" t="s">
        <v>310</v>
      </c>
    </row>
    <row r="872" spans="1:23" x14ac:dyDescent="0.25">
      <c r="A872">
        <v>433</v>
      </c>
      <c r="B872">
        <v>6367</v>
      </c>
      <c r="C872" t="s">
        <v>1754</v>
      </c>
      <c r="D872" t="s">
        <v>1037</v>
      </c>
      <c r="E872" t="s">
        <v>298</v>
      </c>
      <c r="F872" t="s">
        <v>1755</v>
      </c>
      <c r="G872" t="str">
        <f>"201511028651"</f>
        <v>201511028651</v>
      </c>
      <c r="H872" t="s">
        <v>131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3</v>
      </c>
      <c r="S872">
        <v>21</v>
      </c>
      <c r="V872">
        <v>1</v>
      </c>
      <c r="W872" t="s">
        <v>1756</v>
      </c>
    </row>
    <row r="873" spans="1:23" x14ac:dyDescent="0.25">
      <c r="H873" t="s">
        <v>1757</v>
      </c>
    </row>
    <row r="874" spans="1:23" x14ac:dyDescent="0.25">
      <c r="A874">
        <v>434</v>
      </c>
      <c r="B874">
        <v>4225</v>
      </c>
      <c r="C874" t="s">
        <v>1758</v>
      </c>
      <c r="D874" t="s">
        <v>1759</v>
      </c>
      <c r="E874" t="s">
        <v>862</v>
      </c>
      <c r="F874" t="s">
        <v>1760</v>
      </c>
      <c r="G874" t="str">
        <f>"200911000255"</f>
        <v>200911000255</v>
      </c>
      <c r="H874" t="s">
        <v>1761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16</v>
      </c>
      <c r="S874">
        <v>112</v>
      </c>
      <c r="V874">
        <v>1</v>
      </c>
      <c r="W874" t="s">
        <v>1762</v>
      </c>
    </row>
    <row r="875" spans="1:23" x14ac:dyDescent="0.25">
      <c r="H875" t="s">
        <v>1763</v>
      </c>
    </row>
    <row r="876" spans="1:23" x14ac:dyDescent="0.25">
      <c r="A876">
        <v>435</v>
      </c>
      <c r="B876">
        <v>2467</v>
      </c>
      <c r="C876" t="s">
        <v>325</v>
      </c>
      <c r="D876" t="s">
        <v>157</v>
      </c>
      <c r="E876" t="s">
        <v>327</v>
      </c>
      <c r="F876" t="s">
        <v>1764</v>
      </c>
      <c r="G876" t="str">
        <f>"201511012900"</f>
        <v>201511012900</v>
      </c>
      <c r="H876">
        <v>1078</v>
      </c>
      <c r="I876">
        <v>0</v>
      </c>
      <c r="J876">
        <v>30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1</v>
      </c>
      <c r="S876">
        <v>7</v>
      </c>
      <c r="V876">
        <v>1</v>
      </c>
      <c r="W876">
        <v>1115</v>
      </c>
    </row>
    <row r="877" spans="1:23" x14ac:dyDescent="0.25">
      <c r="H877" t="s">
        <v>1765</v>
      </c>
    </row>
    <row r="878" spans="1:23" x14ac:dyDescent="0.25">
      <c r="A878">
        <v>436</v>
      </c>
      <c r="B878">
        <v>9298</v>
      </c>
      <c r="C878" t="s">
        <v>1766</v>
      </c>
      <c r="D878" t="s">
        <v>103</v>
      </c>
      <c r="E878" t="s">
        <v>45</v>
      </c>
      <c r="F878" t="s">
        <v>1767</v>
      </c>
      <c r="G878" t="str">
        <f>"201511040093"</f>
        <v>201511040093</v>
      </c>
      <c r="H878">
        <v>1045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10</v>
      </c>
      <c r="S878">
        <v>70</v>
      </c>
      <c r="V878">
        <v>1</v>
      </c>
      <c r="W878">
        <v>1115</v>
      </c>
    </row>
    <row r="879" spans="1:23" x14ac:dyDescent="0.25">
      <c r="H879" t="s">
        <v>1768</v>
      </c>
    </row>
    <row r="880" spans="1:23" x14ac:dyDescent="0.25">
      <c r="A880">
        <v>437</v>
      </c>
      <c r="B880">
        <v>5119</v>
      </c>
      <c r="C880" t="s">
        <v>294</v>
      </c>
      <c r="D880" t="s">
        <v>1769</v>
      </c>
      <c r="E880" t="s">
        <v>62</v>
      </c>
      <c r="F880" t="s">
        <v>1770</v>
      </c>
      <c r="G880" t="str">
        <f>"201406011910"</f>
        <v>201406011910</v>
      </c>
      <c r="H880">
        <v>1045</v>
      </c>
      <c r="I880">
        <v>0</v>
      </c>
      <c r="J880">
        <v>70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V880">
        <v>1</v>
      </c>
      <c r="W880">
        <v>1115</v>
      </c>
    </row>
    <row r="881" spans="1:23" x14ac:dyDescent="0.25">
      <c r="H881" t="s">
        <v>1771</v>
      </c>
    </row>
    <row r="882" spans="1:23" x14ac:dyDescent="0.25">
      <c r="A882">
        <v>438</v>
      </c>
      <c r="B882">
        <v>9922</v>
      </c>
      <c r="C882" t="s">
        <v>1772</v>
      </c>
      <c r="D882" t="s">
        <v>686</v>
      </c>
      <c r="E882" t="s">
        <v>276</v>
      </c>
      <c r="F882" t="s">
        <v>1773</v>
      </c>
      <c r="G882" t="str">
        <f>"00085967"</f>
        <v>00085967</v>
      </c>
      <c r="H882">
        <v>1001</v>
      </c>
      <c r="I882">
        <v>0</v>
      </c>
      <c r="J882">
        <v>30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12</v>
      </c>
      <c r="S882">
        <v>84</v>
      </c>
      <c r="V882">
        <v>1</v>
      </c>
      <c r="W882">
        <v>1115</v>
      </c>
    </row>
    <row r="883" spans="1:23" x14ac:dyDescent="0.25">
      <c r="H883" t="s">
        <v>1774</v>
      </c>
    </row>
    <row r="884" spans="1:23" x14ac:dyDescent="0.25">
      <c r="A884">
        <v>439</v>
      </c>
      <c r="B884">
        <v>6757</v>
      </c>
      <c r="C884" t="s">
        <v>1167</v>
      </c>
      <c r="D884" t="s">
        <v>284</v>
      </c>
      <c r="E884" t="s">
        <v>1775</v>
      </c>
      <c r="F884" t="s">
        <v>1776</v>
      </c>
      <c r="G884" t="str">
        <f>"201510001849"</f>
        <v>201510001849</v>
      </c>
      <c r="H884">
        <v>891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32</v>
      </c>
      <c r="S884">
        <v>224</v>
      </c>
      <c r="V884">
        <v>1</v>
      </c>
      <c r="W884">
        <v>1115</v>
      </c>
    </row>
    <row r="885" spans="1:23" x14ac:dyDescent="0.25">
      <c r="H885" t="s">
        <v>1777</v>
      </c>
    </row>
    <row r="886" spans="1:23" x14ac:dyDescent="0.25">
      <c r="A886">
        <v>440</v>
      </c>
      <c r="B886">
        <v>4641</v>
      </c>
      <c r="C886" t="s">
        <v>1778</v>
      </c>
      <c r="D886" t="s">
        <v>96</v>
      </c>
      <c r="E886" t="s">
        <v>158</v>
      </c>
      <c r="F886" t="s">
        <v>1779</v>
      </c>
      <c r="G886" t="str">
        <f>"00037074"</f>
        <v>00037074</v>
      </c>
      <c r="H886" t="s">
        <v>854</v>
      </c>
      <c r="I886">
        <v>150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V886">
        <v>1</v>
      </c>
      <c r="W886" t="s">
        <v>1780</v>
      </c>
    </row>
    <row r="887" spans="1:23" x14ac:dyDescent="0.25">
      <c r="H887" t="s">
        <v>1781</v>
      </c>
    </row>
    <row r="888" spans="1:23" x14ac:dyDescent="0.25">
      <c r="A888">
        <v>441</v>
      </c>
      <c r="B888">
        <v>4992</v>
      </c>
      <c r="C888" t="s">
        <v>1782</v>
      </c>
      <c r="D888" t="s">
        <v>351</v>
      </c>
      <c r="E888" t="s">
        <v>298</v>
      </c>
      <c r="F888" t="s">
        <v>1783</v>
      </c>
      <c r="G888" t="str">
        <f>"00089071"</f>
        <v>00089071</v>
      </c>
      <c r="H888" t="s">
        <v>47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6</v>
      </c>
      <c r="S888">
        <v>42</v>
      </c>
      <c r="V888">
        <v>1</v>
      </c>
      <c r="W888" t="s">
        <v>1784</v>
      </c>
    </row>
    <row r="889" spans="1:23" x14ac:dyDescent="0.25">
      <c r="H889" t="s">
        <v>1785</v>
      </c>
    </row>
    <row r="890" spans="1:23" x14ac:dyDescent="0.25">
      <c r="A890">
        <v>442</v>
      </c>
      <c r="B890">
        <v>1872</v>
      </c>
      <c r="C890" t="s">
        <v>1786</v>
      </c>
      <c r="D890" t="s">
        <v>157</v>
      </c>
      <c r="E890" t="s">
        <v>305</v>
      </c>
      <c r="F890" t="s">
        <v>1787</v>
      </c>
      <c r="G890" t="str">
        <f>"201511042491"</f>
        <v>201511042491</v>
      </c>
      <c r="H890" t="s">
        <v>40</v>
      </c>
      <c r="I890">
        <v>0</v>
      </c>
      <c r="J890">
        <v>30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V890">
        <v>1</v>
      </c>
      <c r="W890" t="s">
        <v>1788</v>
      </c>
    </row>
    <row r="891" spans="1:23" x14ac:dyDescent="0.25">
      <c r="H891" t="s">
        <v>1789</v>
      </c>
    </row>
    <row r="892" spans="1:23" x14ac:dyDescent="0.25">
      <c r="A892">
        <v>443</v>
      </c>
      <c r="B892">
        <v>4020</v>
      </c>
      <c r="C892" t="s">
        <v>1790</v>
      </c>
      <c r="D892" t="s">
        <v>172</v>
      </c>
      <c r="E892" t="s">
        <v>374</v>
      </c>
      <c r="F892" t="s">
        <v>1791</v>
      </c>
      <c r="G892" t="str">
        <f>"00032505"</f>
        <v>00032505</v>
      </c>
      <c r="H892" t="s">
        <v>286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20</v>
      </c>
      <c r="S892">
        <v>140</v>
      </c>
      <c r="V892">
        <v>3</v>
      </c>
      <c r="W892" t="s">
        <v>1788</v>
      </c>
    </row>
    <row r="893" spans="1:23" x14ac:dyDescent="0.25">
      <c r="H893" t="s">
        <v>1792</v>
      </c>
    </row>
    <row r="894" spans="1:23" x14ac:dyDescent="0.25">
      <c r="A894">
        <v>444</v>
      </c>
      <c r="B894">
        <v>8639</v>
      </c>
      <c r="C894" t="s">
        <v>1793</v>
      </c>
      <c r="D894" t="s">
        <v>1794</v>
      </c>
      <c r="E894" t="s">
        <v>37</v>
      </c>
      <c r="F894" t="s">
        <v>1795</v>
      </c>
      <c r="G894" t="str">
        <f>"00078388"</f>
        <v>00078388</v>
      </c>
      <c r="H894">
        <v>1078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5</v>
      </c>
      <c r="S894">
        <v>35</v>
      </c>
      <c r="V894">
        <v>1</v>
      </c>
      <c r="W894">
        <v>1113</v>
      </c>
    </row>
    <row r="895" spans="1:23" x14ac:dyDescent="0.25">
      <c r="H895" t="s">
        <v>1796</v>
      </c>
    </row>
    <row r="896" spans="1:23" x14ac:dyDescent="0.25">
      <c r="A896">
        <v>445</v>
      </c>
      <c r="B896">
        <v>5771</v>
      </c>
      <c r="C896" t="s">
        <v>1797</v>
      </c>
      <c r="D896" t="s">
        <v>299</v>
      </c>
      <c r="E896" t="s">
        <v>56</v>
      </c>
      <c r="F896" t="s">
        <v>1798</v>
      </c>
      <c r="G896" t="str">
        <f>"201406007959"</f>
        <v>201406007959</v>
      </c>
      <c r="H896" t="s">
        <v>226</v>
      </c>
      <c r="I896">
        <v>0</v>
      </c>
      <c r="J896">
        <v>30</v>
      </c>
      <c r="K896">
        <v>30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5</v>
      </c>
      <c r="S896">
        <v>35</v>
      </c>
      <c r="V896">
        <v>1</v>
      </c>
      <c r="W896" t="s">
        <v>1799</v>
      </c>
    </row>
    <row r="897" spans="1:23" x14ac:dyDescent="0.25">
      <c r="H897" t="s">
        <v>1800</v>
      </c>
    </row>
    <row r="898" spans="1:23" x14ac:dyDescent="0.25">
      <c r="A898">
        <v>446</v>
      </c>
      <c r="B898">
        <v>7028</v>
      </c>
      <c r="C898" t="s">
        <v>1801</v>
      </c>
      <c r="D898" t="s">
        <v>190</v>
      </c>
      <c r="E898" t="s">
        <v>37</v>
      </c>
      <c r="F898" t="s">
        <v>1802</v>
      </c>
      <c r="G898" t="str">
        <f>"201511036854"</f>
        <v>201511036854</v>
      </c>
      <c r="H898">
        <v>979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19</v>
      </c>
      <c r="S898">
        <v>133</v>
      </c>
      <c r="V898">
        <v>1</v>
      </c>
      <c r="W898">
        <v>1112</v>
      </c>
    </row>
    <row r="899" spans="1:23" x14ac:dyDescent="0.25">
      <c r="H899" t="s">
        <v>1803</v>
      </c>
    </row>
    <row r="900" spans="1:23" x14ac:dyDescent="0.25">
      <c r="A900">
        <v>447</v>
      </c>
      <c r="B900">
        <v>1991</v>
      </c>
      <c r="C900" t="s">
        <v>1804</v>
      </c>
      <c r="D900" t="s">
        <v>427</v>
      </c>
      <c r="E900" t="s">
        <v>276</v>
      </c>
      <c r="F900" t="s">
        <v>1805</v>
      </c>
      <c r="G900" t="str">
        <f>"00070941"</f>
        <v>00070941</v>
      </c>
      <c r="H900" t="s">
        <v>40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4</v>
      </c>
      <c r="S900">
        <v>28</v>
      </c>
      <c r="V900">
        <v>1</v>
      </c>
      <c r="W900" t="s">
        <v>1806</v>
      </c>
    </row>
    <row r="901" spans="1:23" x14ac:dyDescent="0.25">
      <c r="H901" t="s">
        <v>1807</v>
      </c>
    </row>
    <row r="902" spans="1:23" x14ac:dyDescent="0.25">
      <c r="A902">
        <v>448</v>
      </c>
      <c r="B902">
        <v>7216</v>
      </c>
      <c r="C902" t="s">
        <v>1808</v>
      </c>
      <c r="D902" t="s">
        <v>1809</v>
      </c>
      <c r="E902" t="s">
        <v>198</v>
      </c>
      <c r="F902" t="s">
        <v>1810</v>
      </c>
      <c r="G902" t="str">
        <f>"201511029360"</f>
        <v>201511029360</v>
      </c>
      <c r="H902" t="s">
        <v>573</v>
      </c>
      <c r="I902">
        <v>0</v>
      </c>
      <c r="J902">
        <v>50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V902">
        <v>1</v>
      </c>
      <c r="W902" t="s">
        <v>1806</v>
      </c>
    </row>
    <row r="903" spans="1:23" x14ac:dyDescent="0.25">
      <c r="H903" t="s">
        <v>1811</v>
      </c>
    </row>
    <row r="904" spans="1:23" x14ac:dyDescent="0.25">
      <c r="A904">
        <v>449</v>
      </c>
      <c r="B904">
        <v>2435</v>
      </c>
      <c r="C904" t="s">
        <v>1812</v>
      </c>
      <c r="D904" t="s">
        <v>351</v>
      </c>
      <c r="E904" t="s">
        <v>500</v>
      </c>
      <c r="F904" t="s">
        <v>1813</v>
      </c>
      <c r="G904" t="str">
        <f>"201101000030"</f>
        <v>201101000030</v>
      </c>
      <c r="H904">
        <v>1012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14</v>
      </c>
      <c r="S904">
        <v>98</v>
      </c>
      <c r="V904">
        <v>1</v>
      </c>
      <c r="W904">
        <v>1110</v>
      </c>
    </row>
    <row r="905" spans="1:23" x14ac:dyDescent="0.25">
      <c r="H905" t="s">
        <v>310</v>
      </c>
    </row>
    <row r="906" spans="1:23" x14ac:dyDescent="0.25">
      <c r="A906">
        <v>450</v>
      </c>
      <c r="B906">
        <v>4722</v>
      </c>
      <c r="C906" t="s">
        <v>1814</v>
      </c>
      <c r="D906" t="s">
        <v>351</v>
      </c>
      <c r="E906" t="s">
        <v>80</v>
      </c>
      <c r="F906" t="s">
        <v>1815</v>
      </c>
      <c r="G906" t="str">
        <f>"00049643"</f>
        <v>00049643</v>
      </c>
      <c r="H906">
        <v>1078</v>
      </c>
      <c r="I906">
        <v>0</v>
      </c>
      <c r="J906">
        <v>30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V906">
        <v>3</v>
      </c>
      <c r="W906">
        <v>1108</v>
      </c>
    </row>
    <row r="907" spans="1:23" x14ac:dyDescent="0.25">
      <c r="H907" t="s">
        <v>754</v>
      </c>
    </row>
    <row r="908" spans="1:23" x14ac:dyDescent="0.25">
      <c r="A908">
        <v>451</v>
      </c>
      <c r="B908">
        <v>5127</v>
      </c>
      <c r="C908" t="s">
        <v>1816</v>
      </c>
      <c r="D908" t="s">
        <v>153</v>
      </c>
      <c r="E908" t="s">
        <v>56</v>
      </c>
      <c r="F908" t="s">
        <v>1817</v>
      </c>
      <c r="G908" t="str">
        <f>"201511010031"</f>
        <v>201511010031</v>
      </c>
      <c r="H908">
        <v>1045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9</v>
      </c>
      <c r="S908">
        <v>63</v>
      </c>
      <c r="V908">
        <v>1</v>
      </c>
      <c r="W908">
        <v>1108</v>
      </c>
    </row>
    <row r="909" spans="1:23" x14ac:dyDescent="0.25">
      <c r="H909" t="s">
        <v>1818</v>
      </c>
    </row>
    <row r="910" spans="1:23" x14ac:dyDescent="0.25">
      <c r="A910">
        <v>452</v>
      </c>
      <c r="B910">
        <v>2653</v>
      </c>
      <c r="C910" t="s">
        <v>1819</v>
      </c>
      <c r="D910" t="s">
        <v>474</v>
      </c>
      <c r="E910" t="s">
        <v>284</v>
      </c>
      <c r="F910" t="s">
        <v>1820</v>
      </c>
      <c r="G910" t="str">
        <f>"201511035260"</f>
        <v>201511035260</v>
      </c>
      <c r="H910">
        <v>1045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9</v>
      </c>
      <c r="S910">
        <v>63</v>
      </c>
      <c r="V910">
        <v>1</v>
      </c>
      <c r="W910">
        <v>1108</v>
      </c>
    </row>
    <row r="911" spans="1:23" x14ac:dyDescent="0.25">
      <c r="H911" t="s">
        <v>1821</v>
      </c>
    </row>
    <row r="912" spans="1:23" x14ac:dyDescent="0.25">
      <c r="A912">
        <v>453</v>
      </c>
      <c r="B912">
        <v>5869</v>
      </c>
      <c r="C912" t="s">
        <v>1822</v>
      </c>
      <c r="D912" t="s">
        <v>1405</v>
      </c>
      <c r="E912" t="s">
        <v>1067</v>
      </c>
      <c r="F912" t="s">
        <v>1823</v>
      </c>
      <c r="G912" t="str">
        <f>"201511039298"</f>
        <v>201511039298</v>
      </c>
      <c r="H912" t="s">
        <v>47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5</v>
      </c>
      <c r="S912">
        <v>35</v>
      </c>
      <c r="V912">
        <v>1</v>
      </c>
      <c r="W912" t="s">
        <v>1824</v>
      </c>
    </row>
    <row r="913" spans="1:23" x14ac:dyDescent="0.25">
      <c r="H913" t="s">
        <v>1825</v>
      </c>
    </row>
    <row r="914" spans="1:23" x14ac:dyDescent="0.25">
      <c r="A914">
        <v>454</v>
      </c>
      <c r="B914">
        <v>3804</v>
      </c>
      <c r="C914" t="s">
        <v>1826</v>
      </c>
      <c r="D914" t="s">
        <v>1827</v>
      </c>
      <c r="E914" t="s">
        <v>20</v>
      </c>
      <c r="F914" t="s">
        <v>1828</v>
      </c>
      <c r="G914" t="str">
        <f>"00017018"</f>
        <v>00017018</v>
      </c>
      <c r="H914" t="s">
        <v>47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5</v>
      </c>
      <c r="S914">
        <v>35</v>
      </c>
      <c r="V914">
        <v>1</v>
      </c>
      <c r="W914" t="s">
        <v>1824</v>
      </c>
    </row>
    <row r="915" spans="1:23" x14ac:dyDescent="0.25">
      <c r="H915" t="s">
        <v>1829</v>
      </c>
    </row>
    <row r="916" spans="1:23" x14ac:dyDescent="0.25">
      <c r="A916">
        <v>455</v>
      </c>
      <c r="B916">
        <v>4260</v>
      </c>
      <c r="C916" t="s">
        <v>1830</v>
      </c>
      <c r="D916" t="s">
        <v>56</v>
      </c>
      <c r="E916" t="s">
        <v>20</v>
      </c>
      <c r="F916" t="s">
        <v>1831</v>
      </c>
      <c r="G916" t="str">
        <f>"201508000124"</f>
        <v>201508000124</v>
      </c>
      <c r="H916" t="s">
        <v>40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3</v>
      </c>
      <c r="S916">
        <v>21</v>
      </c>
      <c r="V916">
        <v>1</v>
      </c>
      <c r="W916" t="s">
        <v>1832</v>
      </c>
    </row>
    <row r="917" spans="1:23" x14ac:dyDescent="0.25">
      <c r="H917" t="s">
        <v>1833</v>
      </c>
    </row>
    <row r="918" spans="1:23" x14ac:dyDescent="0.25">
      <c r="A918">
        <v>456</v>
      </c>
      <c r="B918">
        <v>5080</v>
      </c>
      <c r="C918" t="s">
        <v>1834</v>
      </c>
      <c r="D918" t="s">
        <v>465</v>
      </c>
      <c r="E918" t="s">
        <v>1135</v>
      </c>
      <c r="F918" t="s">
        <v>1835</v>
      </c>
      <c r="G918" t="str">
        <f>"00050608"</f>
        <v>00050608</v>
      </c>
      <c r="H918" t="s">
        <v>1836</v>
      </c>
      <c r="I918">
        <v>150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22</v>
      </c>
      <c r="S918">
        <v>154</v>
      </c>
      <c r="V918">
        <v>1</v>
      </c>
      <c r="W918" t="s">
        <v>1837</v>
      </c>
    </row>
    <row r="919" spans="1:23" x14ac:dyDescent="0.25">
      <c r="H919" t="s">
        <v>1838</v>
      </c>
    </row>
    <row r="920" spans="1:23" x14ac:dyDescent="0.25">
      <c r="A920">
        <v>457</v>
      </c>
      <c r="B920">
        <v>8123</v>
      </c>
      <c r="C920" t="s">
        <v>1839</v>
      </c>
      <c r="D920" t="s">
        <v>202</v>
      </c>
      <c r="E920" t="s">
        <v>298</v>
      </c>
      <c r="F920" t="s">
        <v>1840</v>
      </c>
      <c r="G920" t="str">
        <f>"201511022214"</f>
        <v>201511022214</v>
      </c>
      <c r="H920" t="s">
        <v>423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30</v>
      </c>
      <c r="S920">
        <v>210</v>
      </c>
      <c r="V920">
        <v>1</v>
      </c>
      <c r="W920" t="s">
        <v>1841</v>
      </c>
    </row>
    <row r="921" spans="1:23" x14ac:dyDescent="0.25">
      <c r="H921" t="s">
        <v>1842</v>
      </c>
    </row>
    <row r="922" spans="1:23" x14ac:dyDescent="0.25">
      <c r="A922">
        <v>458</v>
      </c>
      <c r="B922">
        <v>6906</v>
      </c>
      <c r="C922" t="s">
        <v>1843</v>
      </c>
      <c r="D922" t="s">
        <v>1710</v>
      </c>
      <c r="E922" t="s">
        <v>20</v>
      </c>
      <c r="F922" t="s">
        <v>1844</v>
      </c>
      <c r="G922" t="str">
        <f>"201511031201"</f>
        <v>201511031201</v>
      </c>
      <c r="H922" t="s">
        <v>47</v>
      </c>
      <c r="I922">
        <v>0</v>
      </c>
      <c r="J922">
        <v>30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V922">
        <v>1</v>
      </c>
      <c r="W922" t="s">
        <v>1845</v>
      </c>
    </row>
    <row r="923" spans="1:23" x14ac:dyDescent="0.25">
      <c r="H923" t="s">
        <v>1846</v>
      </c>
    </row>
    <row r="924" spans="1:23" x14ac:dyDescent="0.25">
      <c r="A924">
        <v>459</v>
      </c>
      <c r="B924">
        <v>3553</v>
      </c>
      <c r="C924" t="s">
        <v>1847</v>
      </c>
      <c r="D924" t="s">
        <v>275</v>
      </c>
      <c r="E924" t="s">
        <v>533</v>
      </c>
      <c r="F924" t="s">
        <v>1848</v>
      </c>
      <c r="G924" t="str">
        <f>"201511021258"</f>
        <v>201511021258</v>
      </c>
      <c r="H924" t="s">
        <v>47</v>
      </c>
      <c r="I924">
        <v>0</v>
      </c>
      <c r="J924">
        <v>30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V924">
        <v>1</v>
      </c>
      <c r="W924" t="s">
        <v>1845</v>
      </c>
    </row>
    <row r="925" spans="1:23" x14ac:dyDescent="0.25">
      <c r="H925" t="s">
        <v>1849</v>
      </c>
    </row>
    <row r="926" spans="1:23" x14ac:dyDescent="0.25">
      <c r="A926">
        <v>460</v>
      </c>
      <c r="B926">
        <v>9857</v>
      </c>
      <c r="C926" t="s">
        <v>1850</v>
      </c>
      <c r="D926" t="s">
        <v>275</v>
      </c>
      <c r="E926" t="s">
        <v>29</v>
      </c>
      <c r="F926" t="s">
        <v>1851</v>
      </c>
      <c r="G926" t="str">
        <f>"00038232"</f>
        <v>00038232</v>
      </c>
      <c r="H926" t="s">
        <v>99</v>
      </c>
      <c r="I926">
        <v>150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V926">
        <v>1</v>
      </c>
      <c r="W926" t="s">
        <v>1852</v>
      </c>
    </row>
    <row r="927" spans="1:23" x14ac:dyDescent="0.25">
      <c r="H927" t="s">
        <v>1853</v>
      </c>
    </row>
    <row r="928" spans="1:23" x14ac:dyDescent="0.25">
      <c r="A928">
        <v>461</v>
      </c>
      <c r="B928">
        <v>9197</v>
      </c>
      <c r="C928" t="s">
        <v>1854</v>
      </c>
      <c r="D928" t="s">
        <v>183</v>
      </c>
      <c r="E928" t="s">
        <v>451</v>
      </c>
      <c r="F928" t="s">
        <v>1855</v>
      </c>
      <c r="G928" t="str">
        <f>"201512000322"</f>
        <v>201512000322</v>
      </c>
      <c r="H928" t="s">
        <v>99</v>
      </c>
      <c r="I928">
        <v>150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V928">
        <v>1</v>
      </c>
      <c r="W928" t="s">
        <v>1852</v>
      </c>
    </row>
    <row r="929" spans="1:23" x14ac:dyDescent="0.25">
      <c r="H929" t="s">
        <v>1856</v>
      </c>
    </row>
    <row r="930" spans="1:23" x14ac:dyDescent="0.25">
      <c r="A930">
        <v>462</v>
      </c>
      <c r="B930">
        <v>7793</v>
      </c>
      <c r="C930" t="s">
        <v>1857</v>
      </c>
      <c r="D930" t="s">
        <v>1393</v>
      </c>
      <c r="E930" t="s">
        <v>90</v>
      </c>
      <c r="F930" t="s">
        <v>1858</v>
      </c>
      <c r="G930" t="str">
        <f>"201511007319"</f>
        <v>201511007319</v>
      </c>
      <c r="H930" t="s">
        <v>99</v>
      </c>
      <c r="I930">
        <v>150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V930">
        <v>3</v>
      </c>
      <c r="W930" t="s">
        <v>1852</v>
      </c>
    </row>
    <row r="931" spans="1:23" x14ac:dyDescent="0.25">
      <c r="H931" t="s">
        <v>1859</v>
      </c>
    </row>
    <row r="932" spans="1:23" x14ac:dyDescent="0.25">
      <c r="A932">
        <v>463</v>
      </c>
      <c r="B932">
        <v>7107</v>
      </c>
      <c r="C932" t="s">
        <v>1860</v>
      </c>
      <c r="D932" t="s">
        <v>427</v>
      </c>
      <c r="E932" t="s">
        <v>1861</v>
      </c>
      <c r="F932" t="s">
        <v>1862</v>
      </c>
      <c r="G932" t="str">
        <f>"00069256"</f>
        <v>00069256</v>
      </c>
      <c r="H932">
        <v>1045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8</v>
      </c>
      <c r="S932">
        <v>56</v>
      </c>
      <c r="V932">
        <v>1</v>
      </c>
      <c r="W932">
        <v>1101</v>
      </c>
    </row>
    <row r="933" spans="1:23" x14ac:dyDescent="0.25">
      <c r="H933" t="s">
        <v>1863</v>
      </c>
    </row>
    <row r="934" spans="1:23" x14ac:dyDescent="0.25">
      <c r="A934">
        <v>464</v>
      </c>
      <c r="B934">
        <v>1254</v>
      </c>
      <c r="C934" t="s">
        <v>1864</v>
      </c>
      <c r="D934" t="s">
        <v>1865</v>
      </c>
      <c r="E934" t="s">
        <v>1866</v>
      </c>
      <c r="F934" t="s">
        <v>1867</v>
      </c>
      <c r="G934" t="str">
        <f>"201502001661"</f>
        <v>201502001661</v>
      </c>
      <c r="H934">
        <v>1045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8</v>
      </c>
      <c r="S934">
        <v>56</v>
      </c>
      <c r="V934">
        <v>1</v>
      </c>
      <c r="W934">
        <v>1101</v>
      </c>
    </row>
    <row r="935" spans="1:23" x14ac:dyDescent="0.25">
      <c r="H935" t="s">
        <v>1868</v>
      </c>
    </row>
    <row r="936" spans="1:23" x14ac:dyDescent="0.25">
      <c r="A936">
        <v>465</v>
      </c>
      <c r="B936">
        <v>8776</v>
      </c>
      <c r="C936" t="s">
        <v>102</v>
      </c>
      <c r="D936" t="s">
        <v>96</v>
      </c>
      <c r="E936" t="s">
        <v>229</v>
      </c>
      <c r="F936" t="s">
        <v>1869</v>
      </c>
      <c r="G936" t="str">
        <f>"00101395"</f>
        <v>00101395</v>
      </c>
      <c r="H936">
        <v>1100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V936">
        <v>1</v>
      </c>
      <c r="W936">
        <v>1100</v>
      </c>
    </row>
    <row r="937" spans="1:23" x14ac:dyDescent="0.25">
      <c r="H937" t="s">
        <v>1870</v>
      </c>
    </row>
    <row r="938" spans="1:23" x14ac:dyDescent="0.25">
      <c r="A938">
        <v>466</v>
      </c>
      <c r="B938">
        <v>6163</v>
      </c>
      <c r="C938" t="s">
        <v>28</v>
      </c>
      <c r="D938" t="s">
        <v>543</v>
      </c>
      <c r="E938" t="s">
        <v>56</v>
      </c>
      <c r="F938" t="s">
        <v>1871</v>
      </c>
      <c r="G938" t="str">
        <f>"00088692"</f>
        <v>00088692</v>
      </c>
      <c r="H938">
        <v>1100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V938">
        <v>1</v>
      </c>
      <c r="W938">
        <v>1100</v>
      </c>
    </row>
    <row r="939" spans="1:23" x14ac:dyDescent="0.25">
      <c r="H939" t="s">
        <v>1872</v>
      </c>
    </row>
    <row r="940" spans="1:23" x14ac:dyDescent="0.25">
      <c r="A940">
        <v>467</v>
      </c>
      <c r="B940">
        <v>10041</v>
      </c>
      <c r="C940" t="s">
        <v>1873</v>
      </c>
      <c r="D940" t="s">
        <v>351</v>
      </c>
      <c r="E940" t="s">
        <v>1874</v>
      </c>
      <c r="F940" t="s">
        <v>1875</v>
      </c>
      <c r="G940" t="str">
        <f>"00071520"</f>
        <v>00071520</v>
      </c>
      <c r="H940">
        <v>1100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0</v>
      </c>
      <c r="V940">
        <v>1</v>
      </c>
      <c r="W940">
        <v>1100</v>
      </c>
    </row>
    <row r="941" spans="1:23" x14ac:dyDescent="0.25">
      <c r="H941" t="s">
        <v>1876</v>
      </c>
    </row>
    <row r="942" spans="1:23" x14ac:dyDescent="0.25">
      <c r="A942">
        <v>468</v>
      </c>
      <c r="B942">
        <v>5276</v>
      </c>
      <c r="C942" t="s">
        <v>1877</v>
      </c>
      <c r="D942" t="s">
        <v>1878</v>
      </c>
      <c r="E942" t="s">
        <v>213</v>
      </c>
      <c r="F942" t="s">
        <v>1879</v>
      </c>
      <c r="G942" t="str">
        <f>"200901001035"</f>
        <v>200901001035</v>
      </c>
      <c r="H942">
        <v>1100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V942">
        <v>1</v>
      </c>
      <c r="W942">
        <v>1100</v>
      </c>
    </row>
    <row r="943" spans="1:23" x14ac:dyDescent="0.25">
      <c r="H943" t="s">
        <v>1880</v>
      </c>
    </row>
    <row r="944" spans="1:23" x14ac:dyDescent="0.25">
      <c r="A944">
        <v>469</v>
      </c>
      <c r="B944">
        <v>4026</v>
      </c>
      <c r="C944" t="s">
        <v>1881</v>
      </c>
      <c r="D944" t="s">
        <v>1882</v>
      </c>
      <c r="E944" t="s">
        <v>20</v>
      </c>
      <c r="F944" t="s">
        <v>1883</v>
      </c>
      <c r="G944" t="str">
        <f>"00036816"</f>
        <v>00036816</v>
      </c>
      <c r="H944">
        <v>1100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V944">
        <v>1</v>
      </c>
      <c r="W944">
        <v>1100</v>
      </c>
    </row>
    <row r="945" spans="1:23" x14ac:dyDescent="0.25">
      <c r="H945" t="s">
        <v>1884</v>
      </c>
    </row>
    <row r="946" spans="1:23" x14ac:dyDescent="0.25">
      <c r="A946">
        <v>470</v>
      </c>
      <c r="B946">
        <v>417</v>
      </c>
      <c r="C946" t="s">
        <v>1885</v>
      </c>
      <c r="D946" t="s">
        <v>208</v>
      </c>
      <c r="E946" t="s">
        <v>80</v>
      </c>
      <c r="F946" t="s">
        <v>1886</v>
      </c>
      <c r="G946" t="str">
        <f>"201511015733"</f>
        <v>201511015733</v>
      </c>
      <c r="H946">
        <v>1100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V946">
        <v>1</v>
      </c>
      <c r="W946">
        <v>1100</v>
      </c>
    </row>
    <row r="947" spans="1:23" x14ac:dyDescent="0.25">
      <c r="H947" t="s">
        <v>1887</v>
      </c>
    </row>
    <row r="948" spans="1:23" x14ac:dyDescent="0.25">
      <c r="A948">
        <v>471</v>
      </c>
      <c r="B948">
        <v>7358</v>
      </c>
      <c r="C948" t="s">
        <v>1888</v>
      </c>
      <c r="D948" t="s">
        <v>1889</v>
      </c>
      <c r="E948" t="s">
        <v>158</v>
      </c>
      <c r="F948" t="s">
        <v>1890</v>
      </c>
      <c r="G948" t="str">
        <f>"201511035437"</f>
        <v>201511035437</v>
      </c>
      <c r="H948">
        <v>1100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V948">
        <v>1</v>
      </c>
      <c r="W948">
        <v>1100</v>
      </c>
    </row>
    <row r="949" spans="1:23" x14ac:dyDescent="0.25">
      <c r="H949" t="s">
        <v>1891</v>
      </c>
    </row>
    <row r="950" spans="1:23" x14ac:dyDescent="0.25">
      <c r="A950">
        <v>472</v>
      </c>
      <c r="B950">
        <v>7533</v>
      </c>
      <c r="C950" t="s">
        <v>1892</v>
      </c>
      <c r="D950" t="s">
        <v>1893</v>
      </c>
      <c r="E950" t="s">
        <v>20</v>
      </c>
      <c r="F950" t="s">
        <v>1894</v>
      </c>
      <c r="G950" t="str">
        <f>"201511029019"</f>
        <v>201511029019</v>
      </c>
      <c r="H950">
        <v>1100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V950">
        <v>1</v>
      </c>
      <c r="W950">
        <v>1100</v>
      </c>
    </row>
    <row r="951" spans="1:23" x14ac:dyDescent="0.25">
      <c r="H951" t="s">
        <v>1895</v>
      </c>
    </row>
    <row r="952" spans="1:23" x14ac:dyDescent="0.25">
      <c r="A952">
        <v>473</v>
      </c>
      <c r="B952">
        <v>5947</v>
      </c>
      <c r="C952" t="s">
        <v>1896</v>
      </c>
      <c r="D952" t="s">
        <v>1897</v>
      </c>
      <c r="E952" t="s">
        <v>298</v>
      </c>
      <c r="F952" t="s">
        <v>1898</v>
      </c>
      <c r="G952" t="str">
        <f>"201511015033"</f>
        <v>201511015033</v>
      </c>
      <c r="H952">
        <v>1100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V952">
        <v>1</v>
      </c>
      <c r="W952">
        <v>1100</v>
      </c>
    </row>
    <row r="953" spans="1:23" x14ac:dyDescent="0.25">
      <c r="H953" t="s">
        <v>1899</v>
      </c>
    </row>
    <row r="954" spans="1:23" x14ac:dyDescent="0.25">
      <c r="A954">
        <v>474</v>
      </c>
      <c r="B954">
        <v>559</v>
      </c>
      <c r="C954" t="s">
        <v>1900</v>
      </c>
      <c r="D954" t="s">
        <v>322</v>
      </c>
      <c r="E954" t="s">
        <v>80</v>
      </c>
      <c r="F954" t="s">
        <v>1901</v>
      </c>
      <c r="G954" t="str">
        <f>"201511028698"</f>
        <v>201511028698</v>
      </c>
      <c r="H954">
        <v>1100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V954">
        <v>1</v>
      </c>
      <c r="W954">
        <v>1100</v>
      </c>
    </row>
    <row r="955" spans="1:23" x14ac:dyDescent="0.25">
      <c r="H955" t="s">
        <v>1902</v>
      </c>
    </row>
    <row r="956" spans="1:23" x14ac:dyDescent="0.25">
      <c r="A956">
        <v>475</v>
      </c>
      <c r="B956">
        <v>9881</v>
      </c>
      <c r="C956" t="s">
        <v>1903</v>
      </c>
      <c r="D956" t="s">
        <v>51</v>
      </c>
      <c r="E956" t="s">
        <v>276</v>
      </c>
      <c r="F956" t="s">
        <v>1904</v>
      </c>
      <c r="G956" t="str">
        <f>"201511013912"</f>
        <v>201511013912</v>
      </c>
      <c r="H956">
        <v>1100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V956">
        <v>1</v>
      </c>
      <c r="W956">
        <v>1100</v>
      </c>
    </row>
    <row r="957" spans="1:23" x14ac:dyDescent="0.25">
      <c r="H957" t="s">
        <v>1905</v>
      </c>
    </row>
    <row r="958" spans="1:23" x14ac:dyDescent="0.25">
      <c r="A958">
        <v>476</v>
      </c>
      <c r="B958">
        <v>5824</v>
      </c>
      <c r="C958" t="s">
        <v>1906</v>
      </c>
      <c r="D958" t="s">
        <v>1907</v>
      </c>
      <c r="E958" t="s">
        <v>154</v>
      </c>
      <c r="F958" t="s">
        <v>1908</v>
      </c>
      <c r="G958" t="str">
        <f>"201511036806"</f>
        <v>201511036806</v>
      </c>
      <c r="H958">
        <v>1100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V958">
        <v>1</v>
      </c>
      <c r="W958">
        <v>1100</v>
      </c>
    </row>
    <row r="959" spans="1:23" x14ac:dyDescent="0.25">
      <c r="H959" t="s">
        <v>1909</v>
      </c>
    </row>
    <row r="960" spans="1:23" x14ac:dyDescent="0.25">
      <c r="A960">
        <v>477</v>
      </c>
      <c r="B960">
        <v>7545</v>
      </c>
      <c r="C960" t="s">
        <v>1910</v>
      </c>
      <c r="D960" t="s">
        <v>1911</v>
      </c>
      <c r="E960" t="s">
        <v>158</v>
      </c>
      <c r="F960" t="s">
        <v>1912</v>
      </c>
      <c r="G960" t="str">
        <f>"201511024921"</f>
        <v>201511024921</v>
      </c>
      <c r="H960">
        <v>1100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V960">
        <v>1</v>
      </c>
      <c r="W960">
        <v>1100</v>
      </c>
    </row>
    <row r="961" spans="1:23" x14ac:dyDescent="0.25">
      <c r="H961" t="s">
        <v>1913</v>
      </c>
    </row>
    <row r="962" spans="1:23" x14ac:dyDescent="0.25">
      <c r="A962">
        <v>478</v>
      </c>
      <c r="B962">
        <v>9207</v>
      </c>
      <c r="C962" t="s">
        <v>1914</v>
      </c>
      <c r="D962" t="s">
        <v>729</v>
      </c>
      <c r="E962" t="s">
        <v>37</v>
      </c>
      <c r="F962" t="s">
        <v>1915</v>
      </c>
      <c r="G962" t="str">
        <f>"201511040607"</f>
        <v>201511040607</v>
      </c>
      <c r="H962">
        <v>1100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V962">
        <v>1</v>
      </c>
      <c r="W962">
        <v>1100</v>
      </c>
    </row>
    <row r="963" spans="1:23" x14ac:dyDescent="0.25">
      <c r="H963" t="s">
        <v>1916</v>
      </c>
    </row>
    <row r="964" spans="1:23" x14ac:dyDescent="0.25">
      <c r="A964">
        <v>479</v>
      </c>
      <c r="B964">
        <v>674</v>
      </c>
      <c r="C964" t="s">
        <v>1822</v>
      </c>
      <c r="D964" t="s">
        <v>392</v>
      </c>
      <c r="E964" t="s">
        <v>57</v>
      </c>
      <c r="F964" t="s">
        <v>1917</v>
      </c>
      <c r="G964" t="str">
        <f>"201511020375"</f>
        <v>201511020375</v>
      </c>
      <c r="H964">
        <v>1100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V964">
        <v>1</v>
      </c>
      <c r="W964">
        <v>1100</v>
      </c>
    </row>
    <row r="965" spans="1:23" x14ac:dyDescent="0.25">
      <c r="H965" t="s">
        <v>1918</v>
      </c>
    </row>
    <row r="966" spans="1:23" x14ac:dyDescent="0.25">
      <c r="A966">
        <v>480</v>
      </c>
      <c r="B966">
        <v>7457</v>
      </c>
      <c r="C966" t="s">
        <v>1919</v>
      </c>
      <c r="D966" t="s">
        <v>51</v>
      </c>
      <c r="E966" t="s">
        <v>229</v>
      </c>
      <c r="F966" t="s">
        <v>1920</v>
      </c>
      <c r="G966" t="str">
        <f>"201511036773"</f>
        <v>201511036773</v>
      </c>
      <c r="H966">
        <v>1100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V966">
        <v>1</v>
      </c>
      <c r="W966">
        <v>1100</v>
      </c>
    </row>
    <row r="967" spans="1:23" x14ac:dyDescent="0.25">
      <c r="H967" t="s">
        <v>1921</v>
      </c>
    </row>
    <row r="968" spans="1:23" x14ac:dyDescent="0.25">
      <c r="A968">
        <v>481</v>
      </c>
      <c r="B968">
        <v>5015</v>
      </c>
      <c r="C968" t="s">
        <v>1922</v>
      </c>
      <c r="D968" t="s">
        <v>351</v>
      </c>
      <c r="E968" t="s">
        <v>37</v>
      </c>
      <c r="F968" t="s">
        <v>1923</v>
      </c>
      <c r="G968" t="str">
        <f>"00041253"</f>
        <v>00041253</v>
      </c>
      <c r="H968">
        <v>1100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V968">
        <v>1</v>
      </c>
      <c r="W968">
        <v>1100</v>
      </c>
    </row>
    <row r="969" spans="1:23" x14ac:dyDescent="0.25">
      <c r="H969" t="s">
        <v>1924</v>
      </c>
    </row>
    <row r="970" spans="1:23" x14ac:dyDescent="0.25">
      <c r="A970">
        <v>482</v>
      </c>
      <c r="B970">
        <v>6002</v>
      </c>
      <c r="C970" t="s">
        <v>1925</v>
      </c>
      <c r="D970" t="s">
        <v>1037</v>
      </c>
      <c r="E970" t="s">
        <v>344</v>
      </c>
      <c r="F970" t="s">
        <v>1926</v>
      </c>
      <c r="G970" t="str">
        <f>"201511041696"</f>
        <v>201511041696</v>
      </c>
      <c r="H970">
        <v>1100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V970">
        <v>1</v>
      </c>
      <c r="W970">
        <v>1100</v>
      </c>
    </row>
    <row r="971" spans="1:23" x14ac:dyDescent="0.25">
      <c r="H971">
        <v>818</v>
      </c>
    </row>
    <row r="972" spans="1:23" x14ac:dyDescent="0.25">
      <c r="A972">
        <v>483</v>
      </c>
      <c r="B972">
        <v>8885</v>
      </c>
      <c r="C972" t="s">
        <v>1082</v>
      </c>
      <c r="D972" t="s">
        <v>1927</v>
      </c>
      <c r="E972" t="s">
        <v>37</v>
      </c>
      <c r="F972" t="s">
        <v>1928</v>
      </c>
      <c r="G972" t="str">
        <f>"201511042914"</f>
        <v>201511042914</v>
      </c>
      <c r="H972">
        <v>1100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V972">
        <v>1</v>
      </c>
      <c r="W972">
        <v>1100</v>
      </c>
    </row>
    <row r="973" spans="1:23" x14ac:dyDescent="0.25">
      <c r="H973" t="s">
        <v>1929</v>
      </c>
    </row>
    <row r="974" spans="1:23" x14ac:dyDescent="0.25">
      <c r="A974">
        <v>484</v>
      </c>
      <c r="B974">
        <v>8559</v>
      </c>
      <c r="C974" t="s">
        <v>1930</v>
      </c>
      <c r="D974" t="s">
        <v>388</v>
      </c>
      <c r="E974" t="s">
        <v>20</v>
      </c>
      <c r="F974" t="s">
        <v>1931</v>
      </c>
      <c r="G974" t="str">
        <f>"201506004387"</f>
        <v>201506004387</v>
      </c>
      <c r="H974">
        <v>1100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V974">
        <v>1</v>
      </c>
      <c r="W974">
        <v>1100</v>
      </c>
    </row>
    <row r="975" spans="1:23" x14ac:dyDescent="0.25">
      <c r="H975" t="s">
        <v>1932</v>
      </c>
    </row>
    <row r="976" spans="1:23" x14ac:dyDescent="0.25">
      <c r="A976">
        <v>485</v>
      </c>
      <c r="B976">
        <v>101</v>
      </c>
      <c r="C976" t="s">
        <v>1933</v>
      </c>
      <c r="D976" t="s">
        <v>275</v>
      </c>
      <c r="E976" t="s">
        <v>218</v>
      </c>
      <c r="F976" t="s">
        <v>1934</v>
      </c>
      <c r="G976" t="str">
        <f>"201511033470"</f>
        <v>201511033470</v>
      </c>
      <c r="H976">
        <v>1100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V976">
        <v>1</v>
      </c>
      <c r="W976">
        <v>1100</v>
      </c>
    </row>
    <row r="977" spans="1:23" x14ac:dyDescent="0.25">
      <c r="H977" t="s">
        <v>1935</v>
      </c>
    </row>
    <row r="978" spans="1:23" x14ac:dyDescent="0.25">
      <c r="A978">
        <v>486</v>
      </c>
      <c r="B978">
        <v>4496</v>
      </c>
      <c r="C978" t="s">
        <v>1936</v>
      </c>
      <c r="D978" t="s">
        <v>351</v>
      </c>
      <c r="E978" t="s">
        <v>191</v>
      </c>
      <c r="F978" t="s">
        <v>1937</v>
      </c>
      <c r="G978" t="str">
        <f>"201511019465"</f>
        <v>201511019465</v>
      </c>
      <c r="H978">
        <v>1100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V978">
        <v>1</v>
      </c>
      <c r="W978">
        <v>1100</v>
      </c>
    </row>
    <row r="979" spans="1:23" x14ac:dyDescent="0.25">
      <c r="H979" t="s">
        <v>1938</v>
      </c>
    </row>
    <row r="980" spans="1:23" x14ac:dyDescent="0.25">
      <c r="A980">
        <v>487</v>
      </c>
      <c r="B980">
        <v>3757</v>
      </c>
      <c r="C980" t="s">
        <v>1939</v>
      </c>
      <c r="D980" t="s">
        <v>1940</v>
      </c>
      <c r="E980" t="s">
        <v>158</v>
      </c>
      <c r="F980" t="s">
        <v>1941</v>
      </c>
      <c r="G980" t="str">
        <f>"201511027502"</f>
        <v>201511027502</v>
      </c>
      <c r="H980">
        <v>1100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V980">
        <v>1</v>
      </c>
      <c r="W980">
        <v>1100</v>
      </c>
    </row>
    <row r="981" spans="1:23" x14ac:dyDescent="0.25">
      <c r="H981" t="s">
        <v>1942</v>
      </c>
    </row>
    <row r="982" spans="1:23" x14ac:dyDescent="0.25">
      <c r="A982">
        <v>488</v>
      </c>
      <c r="B982">
        <v>10385</v>
      </c>
      <c r="C982" t="s">
        <v>1943</v>
      </c>
      <c r="D982" t="s">
        <v>51</v>
      </c>
      <c r="E982" t="s">
        <v>71</v>
      </c>
      <c r="F982" t="s">
        <v>1944</v>
      </c>
      <c r="G982" t="str">
        <f>"00086934"</f>
        <v>00086934</v>
      </c>
      <c r="H982">
        <v>1100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V982">
        <v>1</v>
      </c>
      <c r="W982">
        <v>1100</v>
      </c>
    </row>
    <row r="983" spans="1:23" x14ac:dyDescent="0.25">
      <c r="H983" t="s">
        <v>1945</v>
      </c>
    </row>
    <row r="984" spans="1:23" x14ac:dyDescent="0.25">
      <c r="A984">
        <v>489</v>
      </c>
      <c r="B984">
        <v>1998</v>
      </c>
      <c r="C984" t="s">
        <v>1558</v>
      </c>
      <c r="D984" t="s">
        <v>1522</v>
      </c>
      <c r="E984" t="s">
        <v>80</v>
      </c>
      <c r="F984" t="s">
        <v>1559</v>
      </c>
      <c r="G984" t="str">
        <f>"201511015437"</f>
        <v>201511015437</v>
      </c>
      <c r="H984">
        <v>1100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V984">
        <v>1</v>
      </c>
      <c r="W984">
        <v>1100</v>
      </c>
    </row>
    <row r="985" spans="1:23" x14ac:dyDescent="0.25">
      <c r="H985" t="s">
        <v>1560</v>
      </c>
    </row>
    <row r="986" spans="1:23" x14ac:dyDescent="0.25">
      <c r="A986">
        <v>490</v>
      </c>
      <c r="B986">
        <v>8655</v>
      </c>
      <c r="C986" t="s">
        <v>1463</v>
      </c>
      <c r="D986" t="s">
        <v>275</v>
      </c>
      <c r="E986" t="s">
        <v>501</v>
      </c>
      <c r="F986" t="s">
        <v>1946</v>
      </c>
      <c r="G986" t="str">
        <f>"201511041788"</f>
        <v>201511041788</v>
      </c>
      <c r="H986">
        <v>1100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V986">
        <v>1</v>
      </c>
      <c r="W986">
        <v>1100</v>
      </c>
    </row>
    <row r="987" spans="1:23" x14ac:dyDescent="0.25">
      <c r="H987" t="s">
        <v>1947</v>
      </c>
    </row>
    <row r="988" spans="1:23" x14ac:dyDescent="0.25">
      <c r="A988">
        <v>491</v>
      </c>
      <c r="B988">
        <v>3716</v>
      </c>
      <c r="C988" t="s">
        <v>1948</v>
      </c>
      <c r="D988" t="s">
        <v>1949</v>
      </c>
      <c r="E988" t="s">
        <v>56</v>
      </c>
      <c r="F988" t="s">
        <v>1950</v>
      </c>
      <c r="G988" t="str">
        <f>"201511030188"</f>
        <v>201511030188</v>
      </c>
      <c r="H988">
        <v>1100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V988">
        <v>1</v>
      </c>
      <c r="W988">
        <v>1100</v>
      </c>
    </row>
    <row r="989" spans="1:23" x14ac:dyDescent="0.25">
      <c r="H989" t="s">
        <v>1951</v>
      </c>
    </row>
    <row r="990" spans="1:23" x14ac:dyDescent="0.25">
      <c r="A990">
        <v>492</v>
      </c>
      <c r="B990">
        <v>6081</v>
      </c>
      <c r="C990" t="s">
        <v>1952</v>
      </c>
      <c r="D990" t="s">
        <v>351</v>
      </c>
      <c r="E990" t="s">
        <v>154</v>
      </c>
      <c r="F990" t="s">
        <v>1953</v>
      </c>
      <c r="G990" t="str">
        <f>"201511029377"</f>
        <v>201511029377</v>
      </c>
      <c r="H990">
        <v>1100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V990">
        <v>1</v>
      </c>
      <c r="W990">
        <v>1100</v>
      </c>
    </row>
    <row r="991" spans="1:23" x14ac:dyDescent="0.25">
      <c r="H991" t="s">
        <v>1954</v>
      </c>
    </row>
    <row r="992" spans="1:23" x14ac:dyDescent="0.25">
      <c r="A992">
        <v>493</v>
      </c>
      <c r="B992">
        <v>212</v>
      </c>
      <c r="C992" t="s">
        <v>1955</v>
      </c>
      <c r="D992" t="s">
        <v>1062</v>
      </c>
      <c r="E992" t="s">
        <v>298</v>
      </c>
      <c r="F992" t="s">
        <v>1956</v>
      </c>
      <c r="G992" t="str">
        <f>"00016578"</f>
        <v>00016578</v>
      </c>
      <c r="H992">
        <v>1100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V992">
        <v>1</v>
      </c>
      <c r="W992">
        <v>1100</v>
      </c>
    </row>
    <row r="993" spans="1:23" x14ac:dyDescent="0.25">
      <c r="H993" t="s">
        <v>1957</v>
      </c>
    </row>
    <row r="994" spans="1:23" x14ac:dyDescent="0.25">
      <c r="A994">
        <v>494</v>
      </c>
      <c r="B994">
        <v>4175</v>
      </c>
      <c r="C994" t="s">
        <v>1621</v>
      </c>
      <c r="D994" t="s">
        <v>351</v>
      </c>
      <c r="E994" t="s">
        <v>56</v>
      </c>
      <c r="F994" t="s">
        <v>1958</v>
      </c>
      <c r="G994" t="str">
        <f>"201511007986"</f>
        <v>201511007986</v>
      </c>
      <c r="H994">
        <v>1100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V994">
        <v>1</v>
      </c>
      <c r="W994">
        <v>1100</v>
      </c>
    </row>
    <row r="995" spans="1:23" x14ac:dyDescent="0.25">
      <c r="H995" t="s">
        <v>1959</v>
      </c>
    </row>
    <row r="996" spans="1:23" x14ac:dyDescent="0.25">
      <c r="A996">
        <v>495</v>
      </c>
      <c r="B996">
        <v>4074</v>
      </c>
      <c r="C996" t="s">
        <v>1960</v>
      </c>
      <c r="D996" t="s">
        <v>539</v>
      </c>
      <c r="E996" t="s">
        <v>1211</v>
      </c>
      <c r="F996" t="s">
        <v>1961</v>
      </c>
      <c r="G996" t="str">
        <f>"201511012383"</f>
        <v>201511012383</v>
      </c>
      <c r="H996">
        <v>1100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V996">
        <v>1</v>
      </c>
      <c r="W996">
        <v>1100</v>
      </c>
    </row>
    <row r="997" spans="1:23" x14ac:dyDescent="0.25">
      <c r="H997" t="s">
        <v>1962</v>
      </c>
    </row>
    <row r="998" spans="1:23" x14ac:dyDescent="0.25">
      <c r="A998">
        <v>496</v>
      </c>
      <c r="B998">
        <v>3755</v>
      </c>
      <c r="C998" t="s">
        <v>1963</v>
      </c>
      <c r="D998" t="s">
        <v>1373</v>
      </c>
      <c r="E998" t="s">
        <v>229</v>
      </c>
      <c r="F998" t="s">
        <v>1964</v>
      </c>
      <c r="G998" t="str">
        <f>"00029825"</f>
        <v>00029825</v>
      </c>
      <c r="H998">
        <v>1100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V998">
        <v>1</v>
      </c>
      <c r="W998">
        <v>1100</v>
      </c>
    </row>
    <row r="999" spans="1:23" x14ac:dyDescent="0.25">
      <c r="H999" t="s">
        <v>1965</v>
      </c>
    </row>
    <row r="1000" spans="1:23" x14ac:dyDescent="0.25">
      <c r="A1000">
        <v>497</v>
      </c>
      <c r="B1000">
        <v>6381</v>
      </c>
      <c r="C1000" t="s">
        <v>1966</v>
      </c>
      <c r="D1000" t="s">
        <v>1911</v>
      </c>
      <c r="E1000" t="s">
        <v>1281</v>
      </c>
      <c r="F1000" t="s">
        <v>1967</v>
      </c>
      <c r="G1000" t="str">
        <f>"00027580"</f>
        <v>00027580</v>
      </c>
      <c r="H1000">
        <v>1100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V1000">
        <v>1</v>
      </c>
      <c r="W1000">
        <v>1100</v>
      </c>
    </row>
    <row r="1001" spans="1:23" x14ac:dyDescent="0.25">
      <c r="H1001" t="s">
        <v>1968</v>
      </c>
    </row>
    <row r="1002" spans="1:23" x14ac:dyDescent="0.25">
      <c r="A1002">
        <v>498</v>
      </c>
      <c r="B1002">
        <v>6165</v>
      </c>
      <c r="C1002" t="s">
        <v>1969</v>
      </c>
      <c r="D1002" t="s">
        <v>1970</v>
      </c>
      <c r="E1002" t="s">
        <v>1971</v>
      </c>
      <c r="F1002" t="s">
        <v>1972</v>
      </c>
      <c r="G1002" t="str">
        <f>"201511007069"</f>
        <v>201511007069</v>
      </c>
      <c r="H1002" t="s">
        <v>1973</v>
      </c>
      <c r="I1002">
        <v>0</v>
      </c>
      <c r="J1002">
        <v>30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14</v>
      </c>
      <c r="S1002">
        <v>98</v>
      </c>
      <c r="V1002">
        <v>3</v>
      </c>
      <c r="W1002" t="s">
        <v>1974</v>
      </c>
    </row>
    <row r="1003" spans="1:23" x14ac:dyDescent="0.25">
      <c r="H1003" t="s">
        <v>1975</v>
      </c>
    </row>
    <row r="1004" spans="1:23" x14ac:dyDescent="0.25">
      <c r="A1004">
        <v>499</v>
      </c>
      <c r="B1004">
        <v>9831</v>
      </c>
      <c r="C1004" t="s">
        <v>1976</v>
      </c>
      <c r="D1004" t="s">
        <v>96</v>
      </c>
      <c r="E1004" t="s">
        <v>708</v>
      </c>
      <c r="F1004" t="s">
        <v>1977</v>
      </c>
      <c r="G1004" t="str">
        <f>"201512000628"</f>
        <v>201512000628</v>
      </c>
      <c r="H1004">
        <v>770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47</v>
      </c>
      <c r="S1004">
        <v>329</v>
      </c>
      <c r="V1004">
        <v>1</v>
      </c>
      <c r="W1004">
        <v>1099</v>
      </c>
    </row>
    <row r="1005" spans="1:23" x14ac:dyDescent="0.25">
      <c r="H1005" t="s">
        <v>1978</v>
      </c>
    </row>
    <row r="1006" spans="1:23" x14ac:dyDescent="0.25">
      <c r="A1006">
        <v>500</v>
      </c>
      <c r="B1006">
        <v>8663</v>
      </c>
      <c r="C1006" t="s">
        <v>1564</v>
      </c>
      <c r="D1006" t="s">
        <v>1471</v>
      </c>
      <c r="E1006" t="s">
        <v>1104</v>
      </c>
      <c r="F1006" t="s">
        <v>1565</v>
      </c>
      <c r="G1006" t="str">
        <f>"201511016881"</f>
        <v>201511016881</v>
      </c>
      <c r="H1006" t="s">
        <v>332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70</v>
      </c>
      <c r="P1006">
        <v>0</v>
      </c>
      <c r="Q1006">
        <v>0</v>
      </c>
      <c r="R1006">
        <v>0</v>
      </c>
      <c r="S1006">
        <v>0</v>
      </c>
      <c r="V1006">
        <v>1</v>
      </c>
      <c r="W1006" t="s">
        <v>1979</v>
      </c>
    </row>
    <row r="1007" spans="1:23" x14ac:dyDescent="0.25">
      <c r="H1007" t="s">
        <v>1567</v>
      </c>
    </row>
    <row r="1008" spans="1:23" x14ac:dyDescent="0.25">
      <c r="A1008">
        <v>501</v>
      </c>
      <c r="B1008">
        <v>5218</v>
      </c>
      <c r="C1008" t="s">
        <v>1980</v>
      </c>
      <c r="D1008" t="s">
        <v>673</v>
      </c>
      <c r="E1008" t="s">
        <v>229</v>
      </c>
      <c r="F1008" t="s">
        <v>1981</v>
      </c>
      <c r="G1008" t="str">
        <f>"00081878"</f>
        <v>00081878</v>
      </c>
      <c r="H1008" t="s">
        <v>1982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12</v>
      </c>
      <c r="S1008">
        <v>84</v>
      </c>
      <c r="V1008">
        <v>1</v>
      </c>
      <c r="W1008" t="s">
        <v>1983</v>
      </c>
    </row>
    <row r="1009" spans="1:23" x14ac:dyDescent="0.25">
      <c r="H1009" t="s">
        <v>1984</v>
      </c>
    </row>
    <row r="1010" spans="1:23" x14ac:dyDescent="0.25">
      <c r="A1010">
        <v>502</v>
      </c>
      <c r="B1010">
        <v>8416</v>
      </c>
      <c r="C1010" t="s">
        <v>1985</v>
      </c>
      <c r="D1010" t="s">
        <v>465</v>
      </c>
      <c r="E1010" t="s">
        <v>37</v>
      </c>
      <c r="F1010" t="s">
        <v>1986</v>
      </c>
      <c r="G1010" t="str">
        <f>"201511008131"</f>
        <v>201511008131</v>
      </c>
      <c r="H1010">
        <v>1056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6</v>
      </c>
      <c r="S1010">
        <v>42</v>
      </c>
      <c r="V1010">
        <v>1</v>
      </c>
      <c r="W1010">
        <v>1098</v>
      </c>
    </row>
    <row r="1011" spans="1:23" x14ac:dyDescent="0.25">
      <c r="H1011" t="s">
        <v>1987</v>
      </c>
    </row>
    <row r="1012" spans="1:23" x14ac:dyDescent="0.25">
      <c r="A1012">
        <v>503</v>
      </c>
      <c r="B1012">
        <v>7002</v>
      </c>
      <c r="C1012" t="s">
        <v>1988</v>
      </c>
      <c r="D1012" t="s">
        <v>351</v>
      </c>
      <c r="E1012" t="s">
        <v>1406</v>
      </c>
      <c r="F1012" t="s">
        <v>1989</v>
      </c>
      <c r="G1012" t="str">
        <f>"201511004685"</f>
        <v>201511004685</v>
      </c>
      <c r="H1012">
        <v>1056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6</v>
      </c>
      <c r="S1012">
        <v>42</v>
      </c>
      <c r="V1012">
        <v>1</v>
      </c>
      <c r="W1012">
        <v>1098</v>
      </c>
    </row>
    <row r="1013" spans="1:23" x14ac:dyDescent="0.25">
      <c r="H1013" t="s">
        <v>1990</v>
      </c>
    </row>
    <row r="1014" spans="1:23" x14ac:dyDescent="0.25">
      <c r="A1014">
        <v>504</v>
      </c>
      <c r="B1014">
        <v>4305</v>
      </c>
      <c r="C1014" t="s">
        <v>1704</v>
      </c>
      <c r="D1014" t="s">
        <v>90</v>
      </c>
      <c r="E1014" t="s">
        <v>154</v>
      </c>
      <c r="F1014" t="s">
        <v>1991</v>
      </c>
      <c r="G1014" t="str">
        <f>"201511031091"</f>
        <v>201511031091</v>
      </c>
      <c r="H1014">
        <v>1067</v>
      </c>
      <c r="I1014">
        <v>0</v>
      </c>
      <c r="J1014">
        <v>30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V1014">
        <v>1</v>
      </c>
      <c r="W1014">
        <v>1097</v>
      </c>
    </row>
    <row r="1015" spans="1:23" x14ac:dyDescent="0.25">
      <c r="H1015" t="s">
        <v>1992</v>
      </c>
    </row>
    <row r="1016" spans="1:23" x14ac:dyDescent="0.25">
      <c r="A1016">
        <v>505</v>
      </c>
      <c r="B1016">
        <v>4305</v>
      </c>
      <c r="C1016" t="s">
        <v>1704</v>
      </c>
      <c r="D1016" t="s">
        <v>90</v>
      </c>
      <c r="E1016" t="s">
        <v>154</v>
      </c>
      <c r="F1016" t="s">
        <v>1991</v>
      </c>
      <c r="G1016" t="str">
        <f>"201511031091"</f>
        <v>201511031091</v>
      </c>
      <c r="H1016">
        <v>1067</v>
      </c>
      <c r="I1016">
        <v>0</v>
      </c>
      <c r="J1016">
        <v>30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8</v>
      </c>
      <c r="U1016" t="s">
        <v>1993</v>
      </c>
      <c r="V1016">
        <v>1</v>
      </c>
      <c r="W1016">
        <v>1097</v>
      </c>
    </row>
    <row r="1017" spans="1:23" x14ac:dyDescent="0.25">
      <c r="H1017" t="s">
        <v>1992</v>
      </c>
    </row>
    <row r="1018" spans="1:23" x14ac:dyDescent="0.25">
      <c r="A1018">
        <v>506</v>
      </c>
      <c r="B1018">
        <v>3410</v>
      </c>
      <c r="C1018" t="s">
        <v>1994</v>
      </c>
      <c r="D1018" t="s">
        <v>208</v>
      </c>
      <c r="E1018" t="s">
        <v>299</v>
      </c>
      <c r="F1018" t="s">
        <v>1995</v>
      </c>
      <c r="G1018" t="str">
        <f>"201511016533"</f>
        <v>201511016533</v>
      </c>
      <c r="H1018">
        <v>880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31</v>
      </c>
      <c r="S1018">
        <v>217</v>
      </c>
      <c r="V1018">
        <v>1</v>
      </c>
      <c r="W1018">
        <v>1097</v>
      </c>
    </row>
    <row r="1019" spans="1:23" x14ac:dyDescent="0.25">
      <c r="H1019" t="s">
        <v>1996</v>
      </c>
    </row>
    <row r="1020" spans="1:23" x14ac:dyDescent="0.25">
      <c r="A1020">
        <v>507</v>
      </c>
      <c r="B1020">
        <v>6787</v>
      </c>
      <c r="C1020" t="s">
        <v>1997</v>
      </c>
      <c r="D1020" t="s">
        <v>351</v>
      </c>
      <c r="E1020" t="s">
        <v>298</v>
      </c>
      <c r="F1020" t="s">
        <v>1998</v>
      </c>
      <c r="G1020" t="str">
        <f>"201511028442"</f>
        <v>201511028442</v>
      </c>
      <c r="H1020" t="s">
        <v>929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16</v>
      </c>
      <c r="S1020">
        <v>112</v>
      </c>
      <c r="V1020">
        <v>1</v>
      </c>
      <c r="W1020" t="s">
        <v>1999</v>
      </c>
    </row>
    <row r="1021" spans="1:23" x14ac:dyDescent="0.25">
      <c r="H1021">
        <v>818</v>
      </c>
    </row>
    <row r="1022" spans="1:23" x14ac:dyDescent="0.25">
      <c r="A1022">
        <v>508</v>
      </c>
      <c r="B1022">
        <v>3160</v>
      </c>
      <c r="C1022" t="s">
        <v>2000</v>
      </c>
      <c r="D1022" t="s">
        <v>62</v>
      </c>
      <c r="E1022" t="s">
        <v>276</v>
      </c>
      <c r="F1022" t="s">
        <v>2001</v>
      </c>
      <c r="G1022" t="str">
        <f>"201511016140"</f>
        <v>201511016140</v>
      </c>
      <c r="H1022">
        <v>946</v>
      </c>
      <c r="I1022">
        <v>150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V1022">
        <v>1</v>
      </c>
      <c r="W1022">
        <v>1096</v>
      </c>
    </row>
    <row r="1023" spans="1:23" x14ac:dyDescent="0.25">
      <c r="H1023" t="s">
        <v>2002</v>
      </c>
    </row>
    <row r="1024" spans="1:23" x14ac:dyDescent="0.25">
      <c r="A1024">
        <v>509</v>
      </c>
      <c r="B1024">
        <v>7812</v>
      </c>
      <c r="C1024" t="s">
        <v>2003</v>
      </c>
      <c r="D1024" t="s">
        <v>51</v>
      </c>
      <c r="E1024" t="s">
        <v>20</v>
      </c>
      <c r="F1024" t="s">
        <v>2004</v>
      </c>
      <c r="G1024" t="str">
        <f>"201412002353"</f>
        <v>201412002353</v>
      </c>
      <c r="H1024">
        <v>935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23</v>
      </c>
      <c r="S1024">
        <v>161</v>
      </c>
      <c r="V1024">
        <v>1</v>
      </c>
      <c r="W1024">
        <v>1096</v>
      </c>
    </row>
    <row r="1025" spans="1:23" x14ac:dyDescent="0.25">
      <c r="H1025" t="s">
        <v>2005</v>
      </c>
    </row>
    <row r="1026" spans="1:23" x14ac:dyDescent="0.25">
      <c r="A1026">
        <v>510</v>
      </c>
      <c r="B1026">
        <v>839</v>
      </c>
      <c r="C1026" t="s">
        <v>1733</v>
      </c>
      <c r="D1026" t="s">
        <v>208</v>
      </c>
      <c r="E1026" t="s">
        <v>154</v>
      </c>
      <c r="F1026" t="s">
        <v>2006</v>
      </c>
      <c r="G1026" t="str">
        <f>"201511025524"</f>
        <v>201511025524</v>
      </c>
      <c r="H1026" t="s">
        <v>131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V1026">
        <v>1</v>
      </c>
      <c r="W1026" t="s">
        <v>131</v>
      </c>
    </row>
    <row r="1027" spans="1:23" x14ac:dyDescent="0.25">
      <c r="H1027" t="s">
        <v>2007</v>
      </c>
    </row>
    <row r="1028" spans="1:23" x14ac:dyDescent="0.25">
      <c r="A1028">
        <v>511</v>
      </c>
      <c r="B1028">
        <v>9947</v>
      </c>
      <c r="C1028" t="s">
        <v>387</v>
      </c>
      <c r="D1028" t="s">
        <v>51</v>
      </c>
      <c r="E1028" t="s">
        <v>648</v>
      </c>
      <c r="F1028" t="s">
        <v>1590</v>
      </c>
      <c r="G1028" t="str">
        <f>"201511035585"</f>
        <v>201511035585</v>
      </c>
      <c r="H1028" t="s">
        <v>131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V1028">
        <v>1</v>
      </c>
      <c r="W1028" t="s">
        <v>131</v>
      </c>
    </row>
    <row r="1029" spans="1:23" x14ac:dyDescent="0.25">
      <c r="H1029" t="s">
        <v>1592</v>
      </c>
    </row>
    <row r="1030" spans="1:23" x14ac:dyDescent="0.25">
      <c r="A1030">
        <v>512</v>
      </c>
      <c r="B1030">
        <v>2241</v>
      </c>
      <c r="C1030" t="s">
        <v>2008</v>
      </c>
      <c r="D1030" t="s">
        <v>2009</v>
      </c>
      <c r="E1030" t="s">
        <v>299</v>
      </c>
      <c r="F1030" t="s">
        <v>2010</v>
      </c>
      <c r="G1030" t="str">
        <f>"201511004825"</f>
        <v>201511004825</v>
      </c>
      <c r="H1030" t="s">
        <v>131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V1030">
        <v>1</v>
      </c>
      <c r="W1030" t="s">
        <v>131</v>
      </c>
    </row>
    <row r="1031" spans="1:23" x14ac:dyDescent="0.25">
      <c r="H1031" t="s">
        <v>2011</v>
      </c>
    </row>
    <row r="1032" spans="1:23" x14ac:dyDescent="0.25">
      <c r="A1032">
        <v>513</v>
      </c>
      <c r="B1032">
        <v>4354</v>
      </c>
      <c r="C1032" t="s">
        <v>2012</v>
      </c>
      <c r="D1032" t="s">
        <v>427</v>
      </c>
      <c r="E1032" t="s">
        <v>20</v>
      </c>
      <c r="F1032" t="s">
        <v>2013</v>
      </c>
      <c r="G1032" t="str">
        <f>"00017992"</f>
        <v>00017992</v>
      </c>
      <c r="H1032" t="s">
        <v>131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V1032">
        <v>1</v>
      </c>
      <c r="W1032" t="s">
        <v>131</v>
      </c>
    </row>
    <row r="1033" spans="1:23" x14ac:dyDescent="0.25">
      <c r="H1033" t="s">
        <v>2014</v>
      </c>
    </row>
    <row r="1034" spans="1:23" x14ac:dyDescent="0.25">
      <c r="A1034">
        <v>514</v>
      </c>
      <c r="B1034">
        <v>3092</v>
      </c>
      <c r="C1034" t="s">
        <v>2015</v>
      </c>
      <c r="D1034" t="s">
        <v>172</v>
      </c>
      <c r="E1034" t="s">
        <v>80</v>
      </c>
      <c r="F1034" t="s">
        <v>2016</v>
      </c>
      <c r="G1034" t="str">
        <f>"201510003994"</f>
        <v>201510003994</v>
      </c>
      <c r="H1034" t="s">
        <v>131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V1034">
        <v>1</v>
      </c>
      <c r="W1034" t="s">
        <v>131</v>
      </c>
    </row>
    <row r="1035" spans="1:23" x14ac:dyDescent="0.25">
      <c r="H1035" t="s">
        <v>2017</v>
      </c>
    </row>
    <row r="1036" spans="1:23" x14ac:dyDescent="0.25">
      <c r="A1036">
        <v>515</v>
      </c>
      <c r="B1036">
        <v>9822</v>
      </c>
      <c r="C1036" t="s">
        <v>2018</v>
      </c>
      <c r="D1036" t="s">
        <v>115</v>
      </c>
      <c r="E1036" t="s">
        <v>37</v>
      </c>
      <c r="F1036" t="s">
        <v>2019</v>
      </c>
      <c r="G1036" t="str">
        <f>"201511027519"</f>
        <v>201511027519</v>
      </c>
      <c r="H1036" t="s">
        <v>131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V1036">
        <v>1</v>
      </c>
      <c r="W1036" t="s">
        <v>131</v>
      </c>
    </row>
    <row r="1037" spans="1:23" x14ac:dyDescent="0.25">
      <c r="H1037" t="s">
        <v>2020</v>
      </c>
    </row>
    <row r="1038" spans="1:23" x14ac:dyDescent="0.25">
      <c r="A1038">
        <v>516</v>
      </c>
      <c r="B1038">
        <v>8134</v>
      </c>
      <c r="C1038" t="s">
        <v>2021</v>
      </c>
      <c r="D1038" t="s">
        <v>2022</v>
      </c>
      <c r="E1038" t="s">
        <v>1406</v>
      </c>
      <c r="F1038" t="s">
        <v>2023</v>
      </c>
      <c r="G1038" t="str">
        <f>"201511006977"</f>
        <v>201511006977</v>
      </c>
      <c r="H1038" t="s">
        <v>131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V1038">
        <v>1</v>
      </c>
      <c r="W1038" t="s">
        <v>131</v>
      </c>
    </row>
    <row r="1039" spans="1:23" x14ac:dyDescent="0.25">
      <c r="H1039" t="s">
        <v>2024</v>
      </c>
    </row>
    <row r="1040" spans="1:23" x14ac:dyDescent="0.25">
      <c r="A1040">
        <v>517</v>
      </c>
      <c r="B1040">
        <v>5424</v>
      </c>
      <c r="C1040" t="s">
        <v>189</v>
      </c>
      <c r="D1040" t="s">
        <v>2025</v>
      </c>
      <c r="E1040" t="s">
        <v>104</v>
      </c>
      <c r="F1040" t="s">
        <v>2026</v>
      </c>
      <c r="G1040" t="str">
        <f>"201511021240"</f>
        <v>201511021240</v>
      </c>
      <c r="H1040" t="s">
        <v>226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11</v>
      </c>
      <c r="S1040">
        <v>77</v>
      </c>
      <c r="V1040">
        <v>1</v>
      </c>
      <c r="W1040" t="s">
        <v>131</v>
      </c>
    </row>
    <row r="1041" spans="1:23" x14ac:dyDescent="0.25">
      <c r="H1041" t="s">
        <v>2027</v>
      </c>
    </row>
    <row r="1042" spans="1:23" x14ac:dyDescent="0.25">
      <c r="A1042">
        <v>518</v>
      </c>
      <c r="B1042">
        <v>2796</v>
      </c>
      <c r="C1042" t="s">
        <v>2028</v>
      </c>
      <c r="D1042" t="s">
        <v>172</v>
      </c>
      <c r="E1042" t="s">
        <v>284</v>
      </c>
      <c r="F1042" t="s">
        <v>2029</v>
      </c>
      <c r="G1042" t="str">
        <f>"00048180"</f>
        <v>00048180</v>
      </c>
      <c r="H1042">
        <v>880</v>
      </c>
      <c r="I1042">
        <v>150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9</v>
      </c>
      <c r="S1042">
        <v>63</v>
      </c>
      <c r="V1042">
        <v>1</v>
      </c>
      <c r="W1042">
        <v>1093</v>
      </c>
    </row>
    <row r="1043" spans="1:23" x14ac:dyDescent="0.25">
      <c r="H1043" t="s">
        <v>2030</v>
      </c>
    </row>
    <row r="1044" spans="1:23" x14ac:dyDescent="0.25">
      <c r="A1044">
        <v>519</v>
      </c>
      <c r="B1044">
        <v>988</v>
      </c>
      <c r="C1044" t="s">
        <v>1741</v>
      </c>
      <c r="D1044" t="s">
        <v>96</v>
      </c>
      <c r="E1044" t="s">
        <v>474</v>
      </c>
      <c r="F1044" t="s">
        <v>2031</v>
      </c>
      <c r="G1044" t="str">
        <f>"201406011000"</f>
        <v>201406011000</v>
      </c>
      <c r="H1044" t="s">
        <v>573</v>
      </c>
      <c r="I1044">
        <v>0</v>
      </c>
      <c r="J1044">
        <v>30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V1044">
        <v>1</v>
      </c>
      <c r="W1044" t="s">
        <v>2032</v>
      </c>
    </row>
    <row r="1045" spans="1:23" x14ac:dyDescent="0.25">
      <c r="H1045" t="s">
        <v>2033</v>
      </c>
    </row>
    <row r="1046" spans="1:23" x14ac:dyDescent="0.25">
      <c r="A1046">
        <v>520</v>
      </c>
      <c r="B1046">
        <v>1341</v>
      </c>
      <c r="C1046" t="s">
        <v>2034</v>
      </c>
      <c r="D1046" t="s">
        <v>103</v>
      </c>
      <c r="E1046" t="s">
        <v>2035</v>
      </c>
      <c r="F1046" t="s">
        <v>2036</v>
      </c>
      <c r="G1046" t="str">
        <f>"201511041733"</f>
        <v>201511041733</v>
      </c>
      <c r="H1046">
        <v>825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38</v>
      </c>
      <c r="S1046">
        <v>266</v>
      </c>
      <c r="V1046">
        <v>1</v>
      </c>
      <c r="W1046">
        <v>1091</v>
      </c>
    </row>
    <row r="1047" spans="1:23" x14ac:dyDescent="0.25">
      <c r="H1047" t="s">
        <v>2037</v>
      </c>
    </row>
    <row r="1048" spans="1:23" x14ac:dyDescent="0.25">
      <c r="A1048">
        <v>521</v>
      </c>
      <c r="B1048">
        <v>5431</v>
      </c>
      <c r="C1048" t="s">
        <v>2038</v>
      </c>
      <c r="D1048" t="s">
        <v>1393</v>
      </c>
      <c r="E1048" t="s">
        <v>2039</v>
      </c>
      <c r="F1048" t="s">
        <v>2040</v>
      </c>
      <c r="G1048" t="str">
        <f>"201511039608"</f>
        <v>201511039608</v>
      </c>
      <c r="H1048" t="s">
        <v>1316</v>
      </c>
      <c r="I1048">
        <v>150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V1048">
        <v>1</v>
      </c>
      <c r="W1048" t="s">
        <v>2041</v>
      </c>
    </row>
    <row r="1049" spans="1:23" x14ac:dyDescent="0.25">
      <c r="H1049" t="s">
        <v>2042</v>
      </c>
    </row>
    <row r="1050" spans="1:23" x14ac:dyDescent="0.25">
      <c r="A1050">
        <v>522</v>
      </c>
      <c r="B1050">
        <v>4248</v>
      </c>
      <c r="C1050" t="s">
        <v>1873</v>
      </c>
      <c r="D1050" t="s">
        <v>2043</v>
      </c>
      <c r="E1050" t="s">
        <v>1874</v>
      </c>
      <c r="F1050" t="s">
        <v>2044</v>
      </c>
      <c r="G1050" t="str">
        <f>"00067711"</f>
        <v>00067711</v>
      </c>
      <c r="H1050">
        <v>1089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V1050">
        <v>1</v>
      </c>
      <c r="W1050">
        <v>1089</v>
      </c>
    </row>
    <row r="1051" spans="1:23" x14ac:dyDescent="0.25">
      <c r="H1051" t="s">
        <v>2045</v>
      </c>
    </row>
    <row r="1052" spans="1:23" x14ac:dyDescent="0.25">
      <c r="A1052">
        <v>523</v>
      </c>
      <c r="B1052">
        <v>1690</v>
      </c>
      <c r="C1052" t="s">
        <v>2046</v>
      </c>
      <c r="D1052" t="s">
        <v>1393</v>
      </c>
      <c r="E1052" t="s">
        <v>56</v>
      </c>
      <c r="F1052" t="s">
        <v>2047</v>
      </c>
      <c r="G1052" t="str">
        <f>"201511031658"</f>
        <v>201511031658</v>
      </c>
      <c r="H1052">
        <v>1089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V1052">
        <v>1</v>
      </c>
      <c r="W1052">
        <v>1089</v>
      </c>
    </row>
    <row r="1053" spans="1:23" x14ac:dyDescent="0.25">
      <c r="H1053" t="s">
        <v>2048</v>
      </c>
    </row>
    <row r="1054" spans="1:23" x14ac:dyDescent="0.25">
      <c r="A1054">
        <v>524</v>
      </c>
      <c r="B1054">
        <v>334</v>
      </c>
      <c r="C1054" t="s">
        <v>2049</v>
      </c>
      <c r="D1054" t="s">
        <v>2050</v>
      </c>
      <c r="E1054" t="s">
        <v>484</v>
      </c>
      <c r="F1054" t="s">
        <v>2051</v>
      </c>
      <c r="G1054" t="str">
        <f>"201511011196"</f>
        <v>201511011196</v>
      </c>
      <c r="H1054">
        <v>1089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V1054">
        <v>1</v>
      </c>
      <c r="W1054">
        <v>1089</v>
      </c>
    </row>
    <row r="1055" spans="1:23" x14ac:dyDescent="0.25">
      <c r="H1055" t="s">
        <v>2052</v>
      </c>
    </row>
    <row r="1056" spans="1:23" x14ac:dyDescent="0.25">
      <c r="A1056">
        <v>525</v>
      </c>
      <c r="B1056">
        <v>3187</v>
      </c>
      <c r="C1056" t="s">
        <v>2053</v>
      </c>
      <c r="D1056" t="s">
        <v>15</v>
      </c>
      <c r="E1056" t="s">
        <v>56</v>
      </c>
      <c r="F1056" t="s">
        <v>2054</v>
      </c>
      <c r="G1056" t="str">
        <f>"201510000593"</f>
        <v>201510000593</v>
      </c>
      <c r="H1056">
        <v>1089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V1056">
        <v>1</v>
      </c>
      <c r="W1056">
        <v>1089</v>
      </c>
    </row>
    <row r="1057" spans="1:23" x14ac:dyDescent="0.25">
      <c r="H1057" t="s">
        <v>2055</v>
      </c>
    </row>
    <row r="1058" spans="1:23" x14ac:dyDescent="0.25">
      <c r="A1058">
        <v>526</v>
      </c>
      <c r="B1058">
        <v>2390</v>
      </c>
      <c r="C1058" t="s">
        <v>2056</v>
      </c>
      <c r="D1058" t="s">
        <v>208</v>
      </c>
      <c r="E1058" t="s">
        <v>344</v>
      </c>
      <c r="F1058" t="s">
        <v>2057</v>
      </c>
      <c r="G1058" t="str">
        <f>"201402002338"</f>
        <v>201402002338</v>
      </c>
      <c r="H1058">
        <v>1089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V1058">
        <v>1</v>
      </c>
      <c r="W1058">
        <v>1089</v>
      </c>
    </row>
    <row r="1059" spans="1:23" x14ac:dyDescent="0.25">
      <c r="H1059" t="s">
        <v>2058</v>
      </c>
    </row>
    <row r="1060" spans="1:23" x14ac:dyDescent="0.25">
      <c r="A1060">
        <v>527</v>
      </c>
      <c r="B1060">
        <v>8312</v>
      </c>
      <c r="C1060" t="s">
        <v>2059</v>
      </c>
      <c r="D1060" t="s">
        <v>2060</v>
      </c>
      <c r="E1060" t="s">
        <v>158</v>
      </c>
      <c r="F1060" t="s">
        <v>2061</v>
      </c>
      <c r="G1060" t="str">
        <f>"00075920"</f>
        <v>00075920</v>
      </c>
      <c r="H1060">
        <v>1089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V1060">
        <v>1</v>
      </c>
      <c r="W1060">
        <v>1089</v>
      </c>
    </row>
    <row r="1061" spans="1:23" x14ac:dyDescent="0.25">
      <c r="H1061" t="s">
        <v>2062</v>
      </c>
    </row>
    <row r="1062" spans="1:23" x14ac:dyDescent="0.25">
      <c r="A1062">
        <v>528</v>
      </c>
      <c r="B1062">
        <v>1194</v>
      </c>
      <c r="C1062" t="s">
        <v>2063</v>
      </c>
      <c r="D1062" t="s">
        <v>1865</v>
      </c>
      <c r="E1062" t="s">
        <v>374</v>
      </c>
      <c r="F1062" t="s">
        <v>2064</v>
      </c>
      <c r="G1062" t="str">
        <f>"201511013508"</f>
        <v>201511013508</v>
      </c>
      <c r="H1062">
        <v>1089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V1062">
        <v>1</v>
      </c>
      <c r="W1062">
        <v>1089</v>
      </c>
    </row>
    <row r="1063" spans="1:23" x14ac:dyDescent="0.25">
      <c r="H1063" t="s">
        <v>2065</v>
      </c>
    </row>
    <row r="1064" spans="1:23" x14ac:dyDescent="0.25">
      <c r="A1064">
        <v>529</v>
      </c>
      <c r="B1064">
        <v>3019</v>
      </c>
      <c r="C1064" t="s">
        <v>1652</v>
      </c>
      <c r="D1064" t="s">
        <v>157</v>
      </c>
      <c r="E1064" t="s">
        <v>158</v>
      </c>
      <c r="F1064" t="s">
        <v>2066</v>
      </c>
      <c r="G1064" t="str">
        <f>"201511008479"</f>
        <v>201511008479</v>
      </c>
      <c r="H1064">
        <v>1089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V1064">
        <v>1</v>
      </c>
      <c r="W1064">
        <v>1089</v>
      </c>
    </row>
    <row r="1065" spans="1:23" x14ac:dyDescent="0.25">
      <c r="H1065" t="s">
        <v>2067</v>
      </c>
    </row>
    <row r="1066" spans="1:23" x14ac:dyDescent="0.25">
      <c r="A1066">
        <v>530</v>
      </c>
      <c r="B1066">
        <v>10504</v>
      </c>
      <c r="C1066" t="s">
        <v>2068</v>
      </c>
      <c r="D1066" t="s">
        <v>103</v>
      </c>
      <c r="E1066" t="s">
        <v>154</v>
      </c>
      <c r="F1066" t="s">
        <v>2069</v>
      </c>
      <c r="G1066" t="str">
        <f>"201510000912"</f>
        <v>201510000912</v>
      </c>
      <c r="H1066">
        <v>1089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S1066">
        <v>0</v>
      </c>
      <c r="V1066">
        <v>1</v>
      </c>
      <c r="W1066">
        <v>1089</v>
      </c>
    </row>
    <row r="1067" spans="1:23" x14ac:dyDescent="0.25">
      <c r="H1067" t="s">
        <v>2070</v>
      </c>
    </row>
    <row r="1068" spans="1:23" x14ac:dyDescent="0.25">
      <c r="A1068">
        <v>531</v>
      </c>
      <c r="B1068">
        <v>8490</v>
      </c>
      <c r="C1068" t="s">
        <v>2071</v>
      </c>
      <c r="D1068" t="s">
        <v>2072</v>
      </c>
      <c r="E1068" t="s">
        <v>229</v>
      </c>
      <c r="F1068" t="s">
        <v>2073</v>
      </c>
      <c r="G1068" t="str">
        <f>"00047470"</f>
        <v>00047470</v>
      </c>
      <c r="H1068">
        <v>1089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V1068">
        <v>1</v>
      </c>
      <c r="W1068">
        <v>1089</v>
      </c>
    </row>
    <row r="1069" spans="1:23" x14ac:dyDescent="0.25">
      <c r="H1069" t="s">
        <v>2074</v>
      </c>
    </row>
    <row r="1070" spans="1:23" x14ac:dyDescent="0.25">
      <c r="A1070">
        <v>532</v>
      </c>
      <c r="B1070">
        <v>9541</v>
      </c>
      <c r="C1070" t="s">
        <v>2075</v>
      </c>
      <c r="D1070" t="s">
        <v>351</v>
      </c>
      <c r="E1070" t="s">
        <v>154</v>
      </c>
      <c r="F1070" t="s">
        <v>2076</v>
      </c>
      <c r="G1070" t="str">
        <f>"00094979"</f>
        <v>00094979</v>
      </c>
      <c r="H1070">
        <v>1089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V1070">
        <v>1</v>
      </c>
      <c r="W1070">
        <v>1089</v>
      </c>
    </row>
    <row r="1071" spans="1:23" x14ac:dyDescent="0.25">
      <c r="H1071" t="s">
        <v>2077</v>
      </c>
    </row>
    <row r="1072" spans="1:23" x14ac:dyDescent="0.25">
      <c r="A1072">
        <v>533</v>
      </c>
      <c r="B1072">
        <v>7342</v>
      </c>
      <c r="C1072" t="s">
        <v>2078</v>
      </c>
      <c r="D1072" t="s">
        <v>2079</v>
      </c>
      <c r="E1072" t="s">
        <v>80</v>
      </c>
      <c r="F1072" t="s">
        <v>2080</v>
      </c>
      <c r="G1072" t="str">
        <f>"00029790"</f>
        <v>00029790</v>
      </c>
      <c r="H1072" t="s">
        <v>1515</v>
      </c>
      <c r="I1072">
        <v>150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22</v>
      </c>
      <c r="S1072">
        <v>154</v>
      </c>
      <c r="V1072">
        <v>1</v>
      </c>
      <c r="W1072" t="s">
        <v>2081</v>
      </c>
    </row>
    <row r="1073" spans="1:23" x14ac:dyDescent="0.25">
      <c r="H1073" t="s">
        <v>2082</v>
      </c>
    </row>
    <row r="1074" spans="1:23" x14ac:dyDescent="0.25">
      <c r="A1074">
        <v>534</v>
      </c>
      <c r="B1074">
        <v>6630</v>
      </c>
      <c r="C1074" t="s">
        <v>2083</v>
      </c>
      <c r="D1074" t="s">
        <v>172</v>
      </c>
      <c r="E1074" t="s">
        <v>2084</v>
      </c>
      <c r="F1074" t="s">
        <v>2085</v>
      </c>
      <c r="G1074" t="str">
        <f>"201511037922"</f>
        <v>201511037922</v>
      </c>
      <c r="H1074">
        <v>990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14</v>
      </c>
      <c r="S1074">
        <v>98</v>
      </c>
      <c r="V1074">
        <v>1</v>
      </c>
      <c r="W1074">
        <v>1088</v>
      </c>
    </row>
    <row r="1075" spans="1:23" x14ac:dyDescent="0.25">
      <c r="H1075" t="s">
        <v>2086</v>
      </c>
    </row>
    <row r="1076" spans="1:23" x14ac:dyDescent="0.25">
      <c r="A1076">
        <v>535</v>
      </c>
      <c r="B1076">
        <v>1909</v>
      </c>
      <c r="C1076" t="s">
        <v>2087</v>
      </c>
      <c r="D1076" t="s">
        <v>2088</v>
      </c>
      <c r="E1076" t="s">
        <v>15</v>
      </c>
      <c r="F1076" t="s">
        <v>2089</v>
      </c>
      <c r="G1076" t="str">
        <f>"00018243"</f>
        <v>00018243</v>
      </c>
      <c r="H1076" t="s">
        <v>2090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4</v>
      </c>
      <c r="S1076">
        <v>28</v>
      </c>
      <c r="V1076">
        <v>1</v>
      </c>
      <c r="W1076" t="s">
        <v>2091</v>
      </c>
    </row>
    <row r="1077" spans="1:23" x14ac:dyDescent="0.25">
      <c r="H1077" t="s">
        <v>2092</v>
      </c>
    </row>
    <row r="1078" spans="1:23" x14ac:dyDescent="0.25">
      <c r="A1078">
        <v>536</v>
      </c>
      <c r="B1078">
        <v>9199</v>
      </c>
      <c r="C1078" t="s">
        <v>189</v>
      </c>
      <c r="D1078" t="s">
        <v>172</v>
      </c>
      <c r="E1078" t="s">
        <v>57</v>
      </c>
      <c r="F1078" t="s">
        <v>2093</v>
      </c>
      <c r="G1078" t="str">
        <f>"201511010671"</f>
        <v>201511010671</v>
      </c>
      <c r="H1078">
        <v>1023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9</v>
      </c>
      <c r="S1078">
        <v>63</v>
      </c>
      <c r="V1078">
        <v>1</v>
      </c>
      <c r="W1078">
        <v>1086</v>
      </c>
    </row>
    <row r="1079" spans="1:23" x14ac:dyDescent="0.25">
      <c r="H1079" t="s">
        <v>2094</v>
      </c>
    </row>
    <row r="1080" spans="1:23" x14ac:dyDescent="0.25">
      <c r="A1080">
        <v>537</v>
      </c>
      <c r="B1080">
        <v>3321</v>
      </c>
      <c r="C1080" t="s">
        <v>2095</v>
      </c>
      <c r="D1080" t="s">
        <v>154</v>
      </c>
      <c r="E1080" t="s">
        <v>104</v>
      </c>
      <c r="F1080" t="s">
        <v>2096</v>
      </c>
      <c r="G1080" t="str">
        <f>"200912000022"</f>
        <v>200912000022</v>
      </c>
      <c r="H1080" t="s">
        <v>1169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8</v>
      </c>
      <c r="S1080">
        <v>56</v>
      </c>
      <c r="V1080">
        <v>1</v>
      </c>
      <c r="W1080" t="s">
        <v>2097</v>
      </c>
    </row>
    <row r="1081" spans="1:23" x14ac:dyDescent="0.25">
      <c r="H1081" t="s">
        <v>2098</v>
      </c>
    </row>
    <row r="1082" spans="1:23" x14ac:dyDescent="0.25">
      <c r="A1082">
        <v>538</v>
      </c>
      <c r="B1082">
        <v>8989</v>
      </c>
      <c r="C1082" t="s">
        <v>2099</v>
      </c>
      <c r="D1082" t="s">
        <v>66</v>
      </c>
      <c r="E1082" t="s">
        <v>45</v>
      </c>
      <c r="F1082" t="s">
        <v>2100</v>
      </c>
      <c r="G1082" t="str">
        <f>"201511012570"</f>
        <v>201511012570</v>
      </c>
      <c r="H1082">
        <v>935</v>
      </c>
      <c r="I1082">
        <v>150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V1082">
        <v>1</v>
      </c>
      <c r="W1082">
        <v>1085</v>
      </c>
    </row>
    <row r="1083" spans="1:23" x14ac:dyDescent="0.25">
      <c r="H1083" t="s">
        <v>2101</v>
      </c>
    </row>
    <row r="1084" spans="1:23" x14ac:dyDescent="0.25">
      <c r="A1084">
        <v>539</v>
      </c>
      <c r="B1084">
        <v>7115</v>
      </c>
      <c r="C1084" t="s">
        <v>2102</v>
      </c>
      <c r="D1084" t="s">
        <v>322</v>
      </c>
      <c r="E1084" t="s">
        <v>97</v>
      </c>
      <c r="F1084" t="s">
        <v>2103</v>
      </c>
      <c r="G1084" t="str">
        <f>"201511033583"</f>
        <v>201511033583</v>
      </c>
      <c r="H1084" t="s">
        <v>40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V1084">
        <v>1</v>
      </c>
      <c r="W1084" t="s">
        <v>40</v>
      </c>
    </row>
    <row r="1085" spans="1:23" x14ac:dyDescent="0.25">
      <c r="H1085" t="s">
        <v>2104</v>
      </c>
    </row>
    <row r="1086" spans="1:23" x14ac:dyDescent="0.25">
      <c r="A1086">
        <v>540</v>
      </c>
      <c r="B1086">
        <v>3110</v>
      </c>
      <c r="C1086" t="s">
        <v>2105</v>
      </c>
      <c r="D1086" t="s">
        <v>2106</v>
      </c>
      <c r="E1086" t="s">
        <v>648</v>
      </c>
      <c r="F1086" t="s">
        <v>2107</v>
      </c>
      <c r="G1086" t="str">
        <f>"00020583"</f>
        <v>00020583</v>
      </c>
      <c r="H1086" t="s">
        <v>40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V1086">
        <v>1</v>
      </c>
      <c r="W1086" t="s">
        <v>40</v>
      </c>
    </row>
    <row r="1087" spans="1:23" x14ac:dyDescent="0.25">
      <c r="H1087" t="s">
        <v>2108</v>
      </c>
    </row>
    <row r="1088" spans="1:23" x14ac:dyDescent="0.25">
      <c r="A1088">
        <v>541</v>
      </c>
      <c r="B1088">
        <v>5462</v>
      </c>
      <c r="C1088" t="s">
        <v>2109</v>
      </c>
      <c r="D1088" t="s">
        <v>2110</v>
      </c>
      <c r="E1088" t="s">
        <v>57</v>
      </c>
      <c r="F1088" t="s">
        <v>2111</v>
      </c>
      <c r="G1088" t="str">
        <f>"201511015297"</f>
        <v>201511015297</v>
      </c>
      <c r="H1088" t="s">
        <v>40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V1088">
        <v>1</v>
      </c>
      <c r="W1088" t="s">
        <v>40</v>
      </c>
    </row>
    <row r="1089" spans="1:23" x14ac:dyDescent="0.25">
      <c r="H1089" t="s">
        <v>310</v>
      </c>
    </row>
    <row r="1090" spans="1:23" x14ac:dyDescent="0.25">
      <c r="A1090">
        <v>542</v>
      </c>
      <c r="B1090">
        <v>6092</v>
      </c>
      <c r="C1090" t="s">
        <v>2112</v>
      </c>
      <c r="D1090" t="s">
        <v>103</v>
      </c>
      <c r="E1090" t="s">
        <v>154</v>
      </c>
      <c r="F1090" t="s">
        <v>2113</v>
      </c>
      <c r="G1090" t="str">
        <f>"201511018715"</f>
        <v>201511018715</v>
      </c>
      <c r="H1090" t="s">
        <v>40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V1090">
        <v>1</v>
      </c>
      <c r="W1090" t="s">
        <v>40</v>
      </c>
    </row>
    <row r="1091" spans="1:23" x14ac:dyDescent="0.25">
      <c r="H1091" t="s">
        <v>2114</v>
      </c>
    </row>
    <row r="1092" spans="1:23" x14ac:dyDescent="0.25">
      <c r="A1092">
        <v>543</v>
      </c>
      <c r="B1092">
        <v>4057</v>
      </c>
      <c r="C1092" t="s">
        <v>2115</v>
      </c>
      <c r="D1092" t="s">
        <v>276</v>
      </c>
      <c r="E1092" t="s">
        <v>154</v>
      </c>
      <c r="F1092" t="s">
        <v>2116</v>
      </c>
      <c r="G1092" t="str">
        <f>"201505000058"</f>
        <v>201505000058</v>
      </c>
      <c r="H1092" t="s">
        <v>40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V1092">
        <v>3</v>
      </c>
      <c r="W1092" t="s">
        <v>40</v>
      </c>
    </row>
    <row r="1093" spans="1:23" x14ac:dyDescent="0.25">
      <c r="H1093" t="s">
        <v>2117</v>
      </c>
    </row>
    <row r="1094" spans="1:23" x14ac:dyDescent="0.25">
      <c r="A1094">
        <v>544</v>
      </c>
      <c r="B1094">
        <v>4262</v>
      </c>
      <c r="C1094" t="s">
        <v>2118</v>
      </c>
      <c r="D1094" t="s">
        <v>96</v>
      </c>
      <c r="E1094" t="s">
        <v>344</v>
      </c>
      <c r="F1094" t="s">
        <v>2119</v>
      </c>
      <c r="G1094" t="str">
        <f>"201511030174"</f>
        <v>201511030174</v>
      </c>
      <c r="H1094" t="s">
        <v>40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V1094">
        <v>1</v>
      </c>
      <c r="W1094" t="s">
        <v>40</v>
      </c>
    </row>
    <row r="1095" spans="1:23" x14ac:dyDescent="0.25">
      <c r="H1095" t="s">
        <v>2120</v>
      </c>
    </row>
    <row r="1096" spans="1:23" x14ac:dyDescent="0.25">
      <c r="A1096">
        <v>545</v>
      </c>
      <c r="B1096">
        <v>1608</v>
      </c>
      <c r="C1096" t="s">
        <v>2121</v>
      </c>
      <c r="D1096" t="s">
        <v>96</v>
      </c>
      <c r="E1096" t="s">
        <v>158</v>
      </c>
      <c r="F1096" t="s">
        <v>2122</v>
      </c>
      <c r="G1096" t="str">
        <f>"00088947"</f>
        <v>00088947</v>
      </c>
      <c r="H1096" t="s">
        <v>354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12</v>
      </c>
      <c r="S1096">
        <v>84</v>
      </c>
      <c r="V1096">
        <v>1</v>
      </c>
      <c r="W1096" t="s">
        <v>2123</v>
      </c>
    </row>
    <row r="1097" spans="1:23" x14ac:dyDescent="0.25">
      <c r="H1097" t="s">
        <v>94</v>
      </c>
    </row>
    <row r="1098" spans="1:23" x14ac:dyDescent="0.25">
      <c r="A1098">
        <v>546</v>
      </c>
      <c r="B1098">
        <v>6449</v>
      </c>
      <c r="C1098" t="s">
        <v>2124</v>
      </c>
      <c r="D1098" t="s">
        <v>2125</v>
      </c>
      <c r="E1098" t="s">
        <v>71</v>
      </c>
      <c r="F1098" t="s">
        <v>2126</v>
      </c>
      <c r="G1098" t="str">
        <f>"201511011563"</f>
        <v>201511011563</v>
      </c>
      <c r="H1098">
        <v>550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76</v>
      </c>
      <c r="S1098">
        <v>532</v>
      </c>
      <c r="V1098">
        <v>1</v>
      </c>
      <c r="W1098">
        <v>1082</v>
      </c>
    </row>
    <row r="1099" spans="1:23" x14ac:dyDescent="0.25">
      <c r="H1099" t="s">
        <v>2127</v>
      </c>
    </row>
    <row r="1100" spans="1:23" x14ac:dyDescent="0.25">
      <c r="A1100">
        <v>547</v>
      </c>
      <c r="B1100">
        <v>4703</v>
      </c>
      <c r="C1100" t="s">
        <v>2128</v>
      </c>
      <c r="D1100" t="s">
        <v>2129</v>
      </c>
      <c r="E1100" t="s">
        <v>37</v>
      </c>
      <c r="F1100" t="s">
        <v>2130</v>
      </c>
      <c r="G1100" t="str">
        <f>"201511011391"</f>
        <v>201511011391</v>
      </c>
      <c r="H1100" t="s">
        <v>1330</v>
      </c>
      <c r="I1100">
        <v>0</v>
      </c>
      <c r="J1100">
        <v>30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V1100">
        <v>1</v>
      </c>
      <c r="W1100" t="s">
        <v>2131</v>
      </c>
    </row>
    <row r="1101" spans="1:23" x14ac:dyDescent="0.25">
      <c r="H1101" t="s">
        <v>2132</v>
      </c>
    </row>
    <row r="1102" spans="1:23" x14ac:dyDescent="0.25">
      <c r="A1102">
        <v>548</v>
      </c>
      <c r="B1102">
        <v>3871</v>
      </c>
      <c r="C1102" t="s">
        <v>2133</v>
      </c>
      <c r="D1102" t="s">
        <v>61</v>
      </c>
      <c r="E1102" t="s">
        <v>2134</v>
      </c>
      <c r="F1102" t="s">
        <v>2135</v>
      </c>
      <c r="G1102" t="str">
        <f>"200801010327"</f>
        <v>200801010327</v>
      </c>
      <c r="H1102" t="s">
        <v>453</v>
      </c>
      <c r="I1102">
        <v>150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11</v>
      </c>
      <c r="S1102">
        <v>77</v>
      </c>
      <c r="V1102">
        <v>1</v>
      </c>
      <c r="W1102" t="s">
        <v>2136</v>
      </c>
    </row>
    <row r="1103" spans="1:23" x14ac:dyDescent="0.25">
      <c r="H1103" t="s">
        <v>2137</v>
      </c>
    </row>
    <row r="1104" spans="1:23" x14ac:dyDescent="0.25">
      <c r="A1104">
        <v>549</v>
      </c>
      <c r="B1104">
        <v>5757</v>
      </c>
      <c r="C1104" t="s">
        <v>2138</v>
      </c>
      <c r="D1104" t="s">
        <v>916</v>
      </c>
      <c r="E1104" t="s">
        <v>20</v>
      </c>
      <c r="F1104" t="s">
        <v>2139</v>
      </c>
      <c r="G1104" t="str">
        <f>"201511040065"</f>
        <v>201511040065</v>
      </c>
      <c r="H1104" t="s">
        <v>149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V1104">
        <v>1</v>
      </c>
      <c r="W1104" t="s">
        <v>149</v>
      </c>
    </row>
    <row r="1105" spans="1:23" x14ac:dyDescent="0.25">
      <c r="H1105" t="s">
        <v>2140</v>
      </c>
    </row>
    <row r="1106" spans="1:23" x14ac:dyDescent="0.25">
      <c r="A1106">
        <v>550</v>
      </c>
      <c r="B1106">
        <v>9290</v>
      </c>
      <c r="C1106" t="s">
        <v>2141</v>
      </c>
      <c r="D1106" t="s">
        <v>2142</v>
      </c>
      <c r="E1106" t="s">
        <v>276</v>
      </c>
      <c r="F1106" t="s">
        <v>2143</v>
      </c>
      <c r="G1106" t="str">
        <f>"201502003067"</f>
        <v>201502003067</v>
      </c>
      <c r="H1106" t="s">
        <v>1330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4</v>
      </c>
      <c r="S1106">
        <v>28</v>
      </c>
      <c r="V1106">
        <v>1</v>
      </c>
      <c r="W1106" t="s">
        <v>2144</v>
      </c>
    </row>
    <row r="1107" spans="1:23" x14ac:dyDescent="0.25">
      <c r="H1107" t="s">
        <v>2145</v>
      </c>
    </row>
    <row r="1108" spans="1:23" x14ac:dyDescent="0.25">
      <c r="A1108">
        <v>551</v>
      </c>
      <c r="B1108">
        <v>1891</v>
      </c>
      <c r="C1108" t="s">
        <v>2146</v>
      </c>
      <c r="D1108" t="s">
        <v>2147</v>
      </c>
      <c r="E1108" t="s">
        <v>596</v>
      </c>
      <c r="F1108" t="s">
        <v>2148</v>
      </c>
      <c r="G1108" t="str">
        <f>"201511036980"</f>
        <v>201511036980</v>
      </c>
      <c r="H1108" t="s">
        <v>245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12</v>
      </c>
      <c r="S1108">
        <v>84</v>
      </c>
      <c r="V1108">
        <v>1</v>
      </c>
      <c r="W1108" t="s">
        <v>2149</v>
      </c>
    </row>
    <row r="1109" spans="1:23" x14ac:dyDescent="0.25">
      <c r="H1109" t="s">
        <v>2150</v>
      </c>
    </row>
    <row r="1110" spans="1:23" x14ac:dyDescent="0.25">
      <c r="A1110">
        <v>552</v>
      </c>
      <c r="B1110">
        <v>10513</v>
      </c>
      <c r="C1110" t="s">
        <v>171</v>
      </c>
      <c r="D1110" t="s">
        <v>2151</v>
      </c>
      <c r="E1110" t="s">
        <v>20</v>
      </c>
      <c r="F1110" t="s">
        <v>2152</v>
      </c>
      <c r="G1110" t="str">
        <f>"00100147"</f>
        <v>00100147</v>
      </c>
      <c r="H1110">
        <v>1078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V1110">
        <v>1</v>
      </c>
      <c r="W1110">
        <v>1078</v>
      </c>
    </row>
    <row r="1111" spans="1:23" x14ac:dyDescent="0.25">
      <c r="H1111" t="s">
        <v>2153</v>
      </c>
    </row>
    <row r="1112" spans="1:23" x14ac:dyDescent="0.25">
      <c r="A1112">
        <v>553</v>
      </c>
      <c r="B1112">
        <v>7143</v>
      </c>
      <c r="C1112" t="s">
        <v>2102</v>
      </c>
      <c r="D1112" t="s">
        <v>1131</v>
      </c>
      <c r="E1112" t="s">
        <v>97</v>
      </c>
      <c r="F1112" t="s">
        <v>2154</v>
      </c>
      <c r="G1112" t="str">
        <f>"00041135"</f>
        <v>00041135</v>
      </c>
      <c r="H1112">
        <v>1078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V1112">
        <v>1</v>
      </c>
      <c r="W1112">
        <v>1078</v>
      </c>
    </row>
    <row r="1113" spans="1:23" x14ac:dyDescent="0.25">
      <c r="H1113" t="s">
        <v>2155</v>
      </c>
    </row>
    <row r="1114" spans="1:23" x14ac:dyDescent="0.25">
      <c r="A1114">
        <v>554</v>
      </c>
      <c r="B1114">
        <v>309</v>
      </c>
      <c r="C1114" t="s">
        <v>2156</v>
      </c>
      <c r="D1114" t="s">
        <v>183</v>
      </c>
      <c r="E1114" t="s">
        <v>129</v>
      </c>
      <c r="F1114" t="s">
        <v>2157</v>
      </c>
      <c r="G1114" t="str">
        <f>"201401000168"</f>
        <v>201401000168</v>
      </c>
      <c r="H1114">
        <v>1078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V1114">
        <v>1</v>
      </c>
      <c r="W1114">
        <v>1078</v>
      </c>
    </row>
    <row r="1115" spans="1:23" x14ac:dyDescent="0.25">
      <c r="H1115" t="s">
        <v>2158</v>
      </c>
    </row>
    <row r="1116" spans="1:23" x14ac:dyDescent="0.25">
      <c r="A1116">
        <v>555</v>
      </c>
      <c r="B1116">
        <v>3415</v>
      </c>
      <c r="C1116" t="s">
        <v>2159</v>
      </c>
      <c r="D1116" t="s">
        <v>51</v>
      </c>
      <c r="E1116" t="s">
        <v>15</v>
      </c>
      <c r="F1116" t="s">
        <v>2160</v>
      </c>
      <c r="G1116" t="str">
        <f>"201511040605"</f>
        <v>201511040605</v>
      </c>
      <c r="H1116">
        <v>1078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V1116">
        <v>1</v>
      </c>
      <c r="W1116">
        <v>1078</v>
      </c>
    </row>
    <row r="1117" spans="1:23" x14ac:dyDescent="0.25">
      <c r="H1117" t="s">
        <v>2161</v>
      </c>
    </row>
    <row r="1118" spans="1:23" x14ac:dyDescent="0.25">
      <c r="A1118">
        <v>556</v>
      </c>
      <c r="B1118">
        <v>4625</v>
      </c>
      <c r="C1118" t="s">
        <v>2162</v>
      </c>
      <c r="D1118" t="s">
        <v>208</v>
      </c>
      <c r="E1118" t="s">
        <v>15</v>
      </c>
      <c r="F1118" t="s">
        <v>2163</v>
      </c>
      <c r="G1118" t="str">
        <f>"201511009135"</f>
        <v>201511009135</v>
      </c>
      <c r="H1118">
        <v>1078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V1118">
        <v>1</v>
      </c>
      <c r="W1118">
        <v>1078</v>
      </c>
    </row>
    <row r="1119" spans="1:23" x14ac:dyDescent="0.25">
      <c r="H1119" t="s">
        <v>2164</v>
      </c>
    </row>
    <row r="1120" spans="1:23" x14ac:dyDescent="0.25">
      <c r="A1120">
        <v>557</v>
      </c>
      <c r="B1120">
        <v>5110</v>
      </c>
      <c r="C1120" t="s">
        <v>2165</v>
      </c>
      <c r="D1120" t="s">
        <v>2166</v>
      </c>
      <c r="E1120" t="s">
        <v>276</v>
      </c>
      <c r="F1120" t="s">
        <v>2167</v>
      </c>
      <c r="G1120" t="str">
        <f>"201511030308"</f>
        <v>201511030308</v>
      </c>
      <c r="H1120">
        <v>1078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V1120">
        <v>1</v>
      </c>
      <c r="W1120">
        <v>1078</v>
      </c>
    </row>
    <row r="1121" spans="1:23" x14ac:dyDescent="0.25">
      <c r="H1121" t="s">
        <v>2168</v>
      </c>
    </row>
    <row r="1122" spans="1:23" x14ac:dyDescent="0.25">
      <c r="A1122">
        <v>558</v>
      </c>
      <c r="B1122">
        <v>5979</v>
      </c>
      <c r="C1122" t="s">
        <v>2169</v>
      </c>
      <c r="D1122" t="s">
        <v>351</v>
      </c>
      <c r="E1122" t="s">
        <v>37</v>
      </c>
      <c r="F1122" t="s">
        <v>2170</v>
      </c>
      <c r="G1122" t="str">
        <f>"00040853"</f>
        <v>00040853</v>
      </c>
      <c r="H1122">
        <v>1078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0</v>
      </c>
      <c r="V1122">
        <v>1</v>
      </c>
      <c r="W1122">
        <v>1078</v>
      </c>
    </row>
    <row r="1123" spans="1:23" x14ac:dyDescent="0.25">
      <c r="H1123" t="s">
        <v>2171</v>
      </c>
    </row>
    <row r="1124" spans="1:23" x14ac:dyDescent="0.25">
      <c r="A1124">
        <v>559</v>
      </c>
      <c r="B1124">
        <v>3238</v>
      </c>
      <c r="C1124" t="s">
        <v>2172</v>
      </c>
      <c r="D1124" t="s">
        <v>427</v>
      </c>
      <c r="E1124" t="s">
        <v>37</v>
      </c>
      <c r="F1124" t="s">
        <v>2173</v>
      </c>
      <c r="G1124" t="str">
        <f>"00016713"</f>
        <v>00016713</v>
      </c>
      <c r="H1124">
        <v>1078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V1124">
        <v>1</v>
      </c>
      <c r="W1124">
        <v>1078</v>
      </c>
    </row>
    <row r="1125" spans="1:23" x14ac:dyDescent="0.25">
      <c r="H1125" t="s">
        <v>2174</v>
      </c>
    </row>
    <row r="1126" spans="1:23" x14ac:dyDescent="0.25">
      <c r="A1126">
        <v>560</v>
      </c>
      <c r="B1126">
        <v>190</v>
      </c>
      <c r="C1126" t="s">
        <v>2175</v>
      </c>
      <c r="D1126" t="s">
        <v>103</v>
      </c>
      <c r="E1126" t="s">
        <v>56</v>
      </c>
      <c r="F1126" t="s">
        <v>2176</v>
      </c>
      <c r="G1126" t="str">
        <f>"00021213"</f>
        <v>00021213</v>
      </c>
      <c r="H1126">
        <v>1078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V1126">
        <v>1</v>
      </c>
      <c r="W1126">
        <v>1078</v>
      </c>
    </row>
    <row r="1127" spans="1:23" x14ac:dyDescent="0.25">
      <c r="H1127" t="s">
        <v>2177</v>
      </c>
    </row>
    <row r="1128" spans="1:23" x14ac:dyDescent="0.25">
      <c r="A1128">
        <v>561</v>
      </c>
      <c r="B1128">
        <v>3883</v>
      </c>
      <c r="C1128" t="s">
        <v>2178</v>
      </c>
      <c r="D1128" t="s">
        <v>686</v>
      </c>
      <c r="E1128" t="s">
        <v>474</v>
      </c>
      <c r="F1128" t="s">
        <v>2179</v>
      </c>
      <c r="G1128" t="str">
        <f>"201510004548"</f>
        <v>201510004548</v>
      </c>
      <c r="H1128">
        <v>1078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V1128">
        <v>1</v>
      </c>
      <c r="W1128">
        <v>1078</v>
      </c>
    </row>
    <row r="1129" spans="1:23" x14ac:dyDescent="0.25">
      <c r="H1129" t="s">
        <v>2180</v>
      </c>
    </row>
    <row r="1130" spans="1:23" x14ac:dyDescent="0.25">
      <c r="A1130">
        <v>562</v>
      </c>
      <c r="B1130">
        <v>7949</v>
      </c>
      <c r="C1130" t="s">
        <v>2181</v>
      </c>
      <c r="D1130" t="s">
        <v>89</v>
      </c>
      <c r="E1130" t="s">
        <v>56</v>
      </c>
      <c r="F1130" t="s">
        <v>2182</v>
      </c>
      <c r="G1130" t="str">
        <f>"201511020800"</f>
        <v>201511020800</v>
      </c>
      <c r="H1130">
        <v>1078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V1130">
        <v>1</v>
      </c>
      <c r="W1130">
        <v>1078</v>
      </c>
    </row>
    <row r="1131" spans="1:23" x14ac:dyDescent="0.25">
      <c r="H1131" t="s">
        <v>2183</v>
      </c>
    </row>
    <row r="1132" spans="1:23" x14ac:dyDescent="0.25">
      <c r="A1132">
        <v>563</v>
      </c>
      <c r="B1132">
        <v>4727</v>
      </c>
      <c r="C1132" t="s">
        <v>2184</v>
      </c>
      <c r="D1132" t="s">
        <v>368</v>
      </c>
      <c r="E1132" t="s">
        <v>168</v>
      </c>
      <c r="F1132" t="s">
        <v>2185</v>
      </c>
      <c r="G1132" t="str">
        <f>"201511028333"</f>
        <v>201511028333</v>
      </c>
      <c r="H1132">
        <v>770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44</v>
      </c>
      <c r="S1132">
        <v>308</v>
      </c>
      <c r="V1132">
        <v>1</v>
      </c>
      <c r="W1132">
        <v>1078</v>
      </c>
    </row>
    <row r="1133" spans="1:23" x14ac:dyDescent="0.25">
      <c r="H1133">
        <v>817</v>
      </c>
    </row>
    <row r="1134" spans="1:23" x14ac:dyDescent="0.25">
      <c r="A1134">
        <v>564</v>
      </c>
      <c r="B1134">
        <v>6200</v>
      </c>
      <c r="C1134" t="s">
        <v>2186</v>
      </c>
      <c r="D1134" t="s">
        <v>2187</v>
      </c>
      <c r="E1134" t="s">
        <v>37</v>
      </c>
      <c r="F1134" t="s">
        <v>2188</v>
      </c>
      <c r="G1134" t="str">
        <f>"00076458"</f>
        <v>00076458</v>
      </c>
      <c r="H1134">
        <v>770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44</v>
      </c>
      <c r="S1134">
        <v>308</v>
      </c>
      <c r="V1134">
        <v>1</v>
      </c>
      <c r="W1134">
        <v>1078</v>
      </c>
    </row>
    <row r="1135" spans="1:23" x14ac:dyDescent="0.25">
      <c r="H1135" t="s">
        <v>2189</v>
      </c>
    </row>
    <row r="1136" spans="1:23" x14ac:dyDescent="0.25">
      <c r="A1136">
        <v>565</v>
      </c>
      <c r="B1136">
        <v>9618</v>
      </c>
      <c r="C1136" t="s">
        <v>2190</v>
      </c>
      <c r="D1136" t="s">
        <v>208</v>
      </c>
      <c r="E1136" t="s">
        <v>154</v>
      </c>
      <c r="F1136" t="s">
        <v>2191</v>
      </c>
      <c r="G1136" t="str">
        <f>"201511039268"</f>
        <v>201511039268</v>
      </c>
      <c r="H1136">
        <v>770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44</v>
      </c>
      <c r="S1136">
        <v>308</v>
      </c>
      <c r="V1136">
        <v>3</v>
      </c>
      <c r="W1136">
        <v>1078</v>
      </c>
    </row>
    <row r="1137" spans="1:23" x14ac:dyDescent="0.25">
      <c r="H1137" t="s">
        <v>310</v>
      </c>
    </row>
    <row r="1138" spans="1:23" x14ac:dyDescent="0.25">
      <c r="A1138">
        <v>566</v>
      </c>
      <c r="B1138">
        <v>3329</v>
      </c>
      <c r="C1138" t="s">
        <v>2192</v>
      </c>
      <c r="D1138" t="s">
        <v>351</v>
      </c>
      <c r="E1138" t="s">
        <v>2193</v>
      </c>
      <c r="F1138" t="s">
        <v>2194</v>
      </c>
      <c r="G1138" t="str">
        <f>"00041931"</f>
        <v>00041931</v>
      </c>
      <c r="H1138" t="s">
        <v>2195</v>
      </c>
      <c r="I1138">
        <v>150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V1138">
        <v>1</v>
      </c>
      <c r="W1138" t="s">
        <v>2196</v>
      </c>
    </row>
    <row r="1139" spans="1:23" x14ac:dyDescent="0.25">
      <c r="H1139" t="s">
        <v>94</v>
      </c>
    </row>
    <row r="1140" spans="1:23" x14ac:dyDescent="0.25">
      <c r="A1140">
        <v>567</v>
      </c>
      <c r="B1140">
        <v>5806</v>
      </c>
      <c r="C1140" t="s">
        <v>2197</v>
      </c>
      <c r="D1140" t="s">
        <v>2198</v>
      </c>
      <c r="E1140" t="s">
        <v>37</v>
      </c>
      <c r="F1140" t="s">
        <v>2199</v>
      </c>
      <c r="G1140" t="str">
        <f>"201511037837"</f>
        <v>201511037837</v>
      </c>
      <c r="H1140">
        <v>880</v>
      </c>
      <c r="I1140">
        <v>0</v>
      </c>
      <c r="J1140">
        <v>50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21</v>
      </c>
      <c r="S1140">
        <v>147</v>
      </c>
      <c r="V1140">
        <v>1</v>
      </c>
      <c r="W1140">
        <v>1077</v>
      </c>
    </row>
    <row r="1141" spans="1:23" x14ac:dyDescent="0.25">
      <c r="H1141" t="s">
        <v>2200</v>
      </c>
    </row>
    <row r="1142" spans="1:23" x14ac:dyDescent="0.25">
      <c r="A1142">
        <v>568</v>
      </c>
      <c r="B1142">
        <v>1713</v>
      </c>
      <c r="C1142" t="s">
        <v>2201</v>
      </c>
      <c r="D1142" t="s">
        <v>2025</v>
      </c>
      <c r="E1142" t="s">
        <v>158</v>
      </c>
      <c r="F1142" t="s">
        <v>2202</v>
      </c>
      <c r="G1142" t="str">
        <f>"00021020"</f>
        <v>00021020</v>
      </c>
      <c r="H1142">
        <v>891</v>
      </c>
      <c r="I1142">
        <v>150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5</v>
      </c>
      <c r="S1142">
        <v>35</v>
      </c>
      <c r="V1142">
        <v>1</v>
      </c>
      <c r="W1142">
        <v>1076</v>
      </c>
    </row>
    <row r="1143" spans="1:23" x14ac:dyDescent="0.25">
      <c r="H1143" t="s">
        <v>2203</v>
      </c>
    </row>
    <row r="1144" spans="1:23" x14ac:dyDescent="0.25">
      <c r="A1144">
        <v>569</v>
      </c>
      <c r="B1144">
        <v>5099</v>
      </c>
      <c r="C1144" t="s">
        <v>2204</v>
      </c>
      <c r="D1144" t="s">
        <v>51</v>
      </c>
      <c r="E1144" t="s">
        <v>20</v>
      </c>
      <c r="F1144" t="s">
        <v>2205</v>
      </c>
      <c r="G1144" t="str">
        <f>"201511031560"</f>
        <v>201511031560</v>
      </c>
      <c r="H1144">
        <v>726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50</v>
      </c>
      <c r="S1144">
        <v>350</v>
      </c>
      <c r="V1144">
        <v>1</v>
      </c>
      <c r="W1144">
        <v>1076</v>
      </c>
    </row>
    <row r="1145" spans="1:23" x14ac:dyDescent="0.25">
      <c r="H1145" t="s">
        <v>2206</v>
      </c>
    </row>
    <row r="1146" spans="1:23" x14ac:dyDescent="0.25">
      <c r="A1146">
        <v>570</v>
      </c>
      <c r="B1146">
        <v>2254</v>
      </c>
      <c r="C1146" t="s">
        <v>2207</v>
      </c>
      <c r="D1146" t="s">
        <v>433</v>
      </c>
      <c r="E1146" t="s">
        <v>2208</v>
      </c>
      <c r="F1146" t="s">
        <v>2209</v>
      </c>
      <c r="G1146" t="str">
        <f>"201511028079"</f>
        <v>201511028079</v>
      </c>
      <c r="H1146" t="s">
        <v>767</v>
      </c>
      <c r="I1146">
        <v>150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23</v>
      </c>
      <c r="S1146">
        <v>161</v>
      </c>
      <c r="V1146">
        <v>1</v>
      </c>
      <c r="W1146" t="s">
        <v>2210</v>
      </c>
    </row>
    <row r="1147" spans="1:23" x14ac:dyDescent="0.25">
      <c r="H1147" t="s">
        <v>2211</v>
      </c>
    </row>
    <row r="1148" spans="1:23" x14ac:dyDescent="0.25">
      <c r="A1148">
        <v>571</v>
      </c>
      <c r="B1148">
        <v>313</v>
      </c>
      <c r="C1148" t="s">
        <v>1704</v>
      </c>
      <c r="D1148" t="s">
        <v>433</v>
      </c>
      <c r="E1148" t="s">
        <v>30</v>
      </c>
      <c r="F1148" t="s">
        <v>2212</v>
      </c>
      <c r="G1148" t="str">
        <f>"201205000064"</f>
        <v>201205000064</v>
      </c>
      <c r="H1148">
        <v>1045</v>
      </c>
      <c r="I1148">
        <v>0</v>
      </c>
      <c r="J1148">
        <v>30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v>0</v>
      </c>
      <c r="V1148">
        <v>1</v>
      </c>
      <c r="W1148">
        <v>1075</v>
      </c>
    </row>
    <row r="1149" spans="1:23" x14ac:dyDescent="0.25">
      <c r="H1149" t="s">
        <v>2213</v>
      </c>
    </row>
    <row r="1150" spans="1:23" x14ac:dyDescent="0.25">
      <c r="A1150">
        <v>572</v>
      </c>
      <c r="B1150">
        <v>6286</v>
      </c>
      <c r="C1150" t="s">
        <v>294</v>
      </c>
      <c r="D1150" t="s">
        <v>128</v>
      </c>
      <c r="E1150" t="s">
        <v>158</v>
      </c>
      <c r="F1150" t="s">
        <v>2214</v>
      </c>
      <c r="G1150" t="str">
        <f>"201512002897"</f>
        <v>201512002897</v>
      </c>
      <c r="H1150">
        <v>935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20</v>
      </c>
      <c r="S1150">
        <v>140</v>
      </c>
      <c r="V1150">
        <v>1</v>
      </c>
      <c r="W1150">
        <v>1075</v>
      </c>
    </row>
    <row r="1151" spans="1:23" x14ac:dyDescent="0.25">
      <c r="H1151" t="s">
        <v>2215</v>
      </c>
    </row>
    <row r="1152" spans="1:23" x14ac:dyDescent="0.25">
      <c r="A1152">
        <v>573</v>
      </c>
      <c r="B1152">
        <v>64</v>
      </c>
      <c r="C1152" t="s">
        <v>2216</v>
      </c>
      <c r="D1152" t="s">
        <v>465</v>
      </c>
      <c r="E1152" t="s">
        <v>158</v>
      </c>
      <c r="F1152" t="s">
        <v>2217</v>
      </c>
      <c r="G1152" t="str">
        <f>"00013492"</f>
        <v>00013492</v>
      </c>
      <c r="H1152" t="s">
        <v>2218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V1152">
        <v>1</v>
      </c>
      <c r="W1152" t="s">
        <v>2218</v>
      </c>
    </row>
    <row r="1153" spans="1:23" x14ac:dyDescent="0.25">
      <c r="H1153" t="s">
        <v>310</v>
      </c>
    </row>
    <row r="1154" spans="1:23" x14ac:dyDescent="0.25">
      <c r="A1154">
        <v>574</v>
      </c>
      <c r="B1154">
        <v>8341</v>
      </c>
      <c r="C1154" t="s">
        <v>2015</v>
      </c>
      <c r="D1154" t="s">
        <v>1737</v>
      </c>
      <c r="E1154" t="s">
        <v>154</v>
      </c>
      <c r="F1154" t="s">
        <v>2219</v>
      </c>
      <c r="G1154" t="str">
        <f>"201511018383"</f>
        <v>201511018383</v>
      </c>
      <c r="H1154" t="s">
        <v>693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5</v>
      </c>
      <c r="S1154">
        <v>35</v>
      </c>
      <c r="V1154">
        <v>1</v>
      </c>
      <c r="W1154" t="s">
        <v>2220</v>
      </c>
    </row>
    <row r="1155" spans="1:23" x14ac:dyDescent="0.25">
      <c r="H1155" t="s">
        <v>2221</v>
      </c>
    </row>
    <row r="1156" spans="1:23" x14ac:dyDescent="0.25">
      <c r="A1156">
        <v>575</v>
      </c>
      <c r="B1156">
        <v>3204</v>
      </c>
      <c r="C1156" t="s">
        <v>2222</v>
      </c>
      <c r="D1156" t="s">
        <v>128</v>
      </c>
      <c r="E1156" t="s">
        <v>184</v>
      </c>
      <c r="F1156" t="s">
        <v>2223</v>
      </c>
      <c r="G1156" t="str">
        <f>"201511011192"</f>
        <v>201511011192</v>
      </c>
      <c r="H1156" t="s">
        <v>2224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24</v>
      </c>
      <c r="S1156">
        <v>168</v>
      </c>
      <c r="V1156">
        <v>1</v>
      </c>
      <c r="W1156" t="s">
        <v>2225</v>
      </c>
    </row>
    <row r="1157" spans="1:23" x14ac:dyDescent="0.25">
      <c r="H1157" t="s">
        <v>2226</v>
      </c>
    </row>
    <row r="1158" spans="1:23" x14ac:dyDescent="0.25">
      <c r="A1158">
        <v>576</v>
      </c>
      <c r="B1158">
        <v>10464</v>
      </c>
      <c r="C1158" t="s">
        <v>2227</v>
      </c>
      <c r="D1158" t="s">
        <v>25</v>
      </c>
      <c r="E1158" t="s">
        <v>20</v>
      </c>
      <c r="F1158" t="s">
        <v>2228</v>
      </c>
      <c r="G1158" t="str">
        <f>"201511005929"</f>
        <v>201511005929</v>
      </c>
      <c r="H1158">
        <v>990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12</v>
      </c>
      <c r="S1158">
        <v>84</v>
      </c>
      <c r="V1158">
        <v>1</v>
      </c>
      <c r="W1158">
        <v>1074</v>
      </c>
    </row>
    <row r="1159" spans="1:23" x14ac:dyDescent="0.25">
      <c r="H1159" t="s">
        <v>2229</v>
      </c>
    </row>
    <row r="1160" spans="1:23" x14ac:dyDescent="0.25">
      <c r="A1160">
        <v>577</v>
      </c>
      <c r="B1160">
        <v>10176</v>
      </c>
      <c r="C1160" t="s">
        <v>2230</v>
      </c>
      <c r="D1160" t="s">
        <v>128</v>
      </c>
      <c r="E1160" t="s">
        <v>393</v>
      </c>
      <c r="F1160" t="s">
        <v>2231</v>
      </c>
      <c r="G1160" t="str">
        <f>"201512003293"</f>
        <v>201512003293</v>
      </c>
      <c r="H1160" t="s">
        <v>407</v>
      </c>
      <c r="I1160">
        <v>150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7</v>
      </c>
      <c r="S1160">
        <v>49</v>
      </c>
      <c r="V1160">
        <v>1</v>
      </c>
      <c r="W1160" t="s">
        <v>2232</v>
      </c>
    </row>
    <row r="1161" spans="1:23" x14ac:dyDescent="0.25">
      <c r="H1161" t="s">
        <v>2233</v>
      </c>
    </row>
    <row r="1162" spans="1:23" x14ac:dyDescent="0.25">
      <c r="A1162">
        <v>578</v>
      </c>
      <c r="B1162">
        <v>8295</v>
      </c>
      <c r="C1162" t="s">
        <v>1475</v>
      </c>
      <c r="D1162" t="s">
        <v>2234</v>
      </c>
      <c r="E1162" t="s">
        <v>52</v>
      </c>
      <c r="F1162" t="s">
        <v>2235</v>
      </c>
      <c r="G1162" t="str">
        <f>"201511027279"</f>
        <v>201511027279</v>
      </c>
      <c r="H1162" t="s">
        <v>47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V1162">
        <v>1</v>
      </c>
      <c r="W1162" t="s">
        <v>47</v>
      </c>
    </row>
    <row r="1163" spans="1:23" x14ac:dyDescent="0.25">
      <c r="H1163" t="s">
        <v>2236</v>
      </c>
    </row>
    <row r="1164" spans="1:23" x14ac:dyDescent="0.25">
      <c r="A1164">
        <v>579</v>
      </c>
      <c r="B1164">
        <v>9442</v>
      </c>
      <c r="C1164" t="s">
        <v>2237</v>
      </c>
      <c r="D1164" t="s">
        <v>51</v>
      </c>
      <c r="E1164" t="s">
        <v>1686</v>
      </c>
      <c r="F1164" t="s">
        <v>2238</v>
      </c>
      <c r="G1164" t="str">
        <f>"201511035543"</f>
        <v>201511035543</v>
      </c>
      <c r="H1164" t="s">
        <v>47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V1164">
        <v>1</v>
      </c>
      <c r="W1164" t="s">
        <v>47</v>
      </c>
    </row>
    <row r="1165" spans="1:23" x14ac:dyDescent="0.25">
      <c r="H1165" t="s">
        <v>2239</v>
      </c>
    </row>
    <row r="1166" spans="1:23" x14ac:dyDescent="0.25">
      <c r="A1166">
        <v>580</v>
      </c>
      <c r="B1166">
        <v>2422</v>
      </c>
      <c r="C1166" t="s">
        <v>2240</v>
      </c>
      <c r="D1166" t="s">
        <v>1314</v>
      </c>
      <c r="E1166" t="s">
        <v>158</v>
      </c>
      <c r="F1166" t="s">
        <v>2241</v>
      </c>
      <c r="G1166" t="str">
        <f>"201402002007"</f>
        <v>201402002007</v>
      </c>
      <c r="H1166" t="s">
        <v>47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V1166">
        <v>1</v>
      </c>
      <c r="W1166" t="s">
        <v>47</v>
      </c>
    </row>
    <row r="1167" spans="1:23" x14ac:dyDescent="0.25">
      <c r="H1167" t="s">
        <v>2242</v>
      </c>
    </row>
    <row r="1168" spans="1:23" x14ac:dyDescent="0.25">
      <c r="A1168">
        <v>581</v>
      </c>
      <c r="B1168">
        <v>7988</v>
      </c>
      <c r="C1168" t="s">
        <v>2243</v>
      </c>
      <c r="D1168" t="s">
        <v>1373</v>
      </c>
      <c r="E1168" t="s">
        <v>56</v>
      </c>
      <c r="F1168" t="s">
        <v>2244</v>
      </c>
      <c r="G1168" t="str">
        <f>"00101525"</f>
        <v>00101525</v>
      </c>
      <c r="H1168" t="s">
        <v>47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V1168">
        <v>1</v>
      </c>
      <c r="W1168" t="s">
        <v>47</v>
      </c>
    </row>
    <row r="1169" spans="1:23" x14ac:dyDescent="0.25">
      <c r="H1169" t="s">
        <v>310</v>
      </c>
    </row>
    <row r="1170" spans="1:23" x14ac:dyDescent="0.25">
      <c r="A1170">
        <v>582</v>
      </c>
      <c r="B1170">
        <v>8393</v>
      </c>
      <c r="C1170" t="s">
        <v>1701</v>
      </c>
      <c r="D1170" t="s">
        <v>465</v>
      </c>
      <c r="E1170" t="s">
        <v>374</v>
      </c>
      <c r="F1170" t="s">
        <v>2245</v>
      </c>
      <c r="G1170" t="str">
        <f>"00083991"</f>
        <v>00083991</v>
      </c>
      <c r="H1170" t="s">
        <v>47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V1170">
        <v>1</v>
      </c>
      <c r="W1170" t="s">
        <v>47</v>
      </c>
    </row>
    <row r="1171" spans="1:23" x14ac:dyDescent="0.25">
      <c r="H1171" t="s">
        <v>2246</v>
      </c>
    </row>
    <row r="1172" spans="1:23" x14ac:dyDescent="0.25">
      <c r="A1172">
        <v>583</v>
      </c>
      <c r="B1172">
        <v>3638</v>
      </c>
      <c r="C1172" t="s">
        <v>2247</v>
      </c>
      <c r="D1172" t="s">
        <v>798</v>
      </c>
      <c r="E1172" t="s">
        <v>154</v>
      </c>
      <c r="F1172" t="s">
        <v>2248</v>
      </c>
      <c r="G1172" t="str">
        <f>"201511023922"</f>
        <v>201511023922</v>
      </c>
      <c r="H1172">
        <v>880</v>
      </c>
      <c r="I1172">
        <v>150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6</v>
      </c>
      <c r="S1172">
        <v>42</v>
      </c>
      <c r="V1172">
        <v>1</v>
      </c>
      <c r="W1172">
        <v>1072</v>
      </c>
    </row>
    <row r="1173" spans="1:23" x14ac:dyDescent="0.25">
      <c r="H1173" t="s">
        <v>2249</v>
      </c>
    </row>
    <row r="1174" spans="1:23" x14ac:dyDescent="0.25">
      <c r="A1174">
        <v>584</v>
      </c>
      <c r="B1174">
        <v>3835</v>
      </c>
      <c r="C1174" t="s">
        <v>2250</v>
      </c>
      <c r="D1174" t="s">
        <v>202</v>
      </c>
      <c r="E1174" t="s">
        <v>37</v>
      </c>
      <c r="F1174" t="s">
        <v>2251</v>
      </c>
      <c r="G1174" t="str">
        <f>"201511030717"</f>
        <v>201511030717</v>
      </c>
      <c r="H1174" t="s">
        <v>693</v>
      </c>
      <c r="I1174">
        <v>0</v>
      </c>
      <c r="J1174">
        <v>30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0</v>
      </c>
      <c r="V1174">
        <v>1</v>
      </c>
      <c r="W1174" t="s">
        <v>2252</v>
      </c>
    </row>
    <row r="1175" spans="1:23" x14ac:dyDescent="0.25">
      <c r="H1175" t="s">
        <v>2253</v>
      </c>
    </row>
    <row r="1176" spans="1:23" x14ac:dyDescent="0.25">
      <c r="A1176">
        <v>585</v>
      </c>
      <c r="B1176">
        <v>2001</v>
      </c>
      <c r="C1176" t="s">
        <v>2254</v>
      </c>
      <c r="D1176" t="s">
        <v>172</v>
      </c>
      <c r="E1176" t="s">
        <v>2255</v>
      </c>
      <c r="F1176" t="s">
        <v>2256</v>
      </c>
      <c r="G1176" t="str">
        <f>"201511016161"</f>
        <v>201511016161</v>
      </c>
      <c r="H1176" t="s">
        <v>693</v>
      </c>
      <c r="I1176">
        <v>0</v>
      </c>
      <c r="J1176">
        <v>30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V1176">
        <v>1</v>
      </c>
      <c r="W1176" t="s">
        <v>2252</v>
      </c>
    </row>
    <row r="1177" spans="1:23" x14ac:dyDescent="0.25">
      <c r="H1177" t="s">
        <v>2257</v>
      </c>
    </row>
    <row r="1178" spans="1:23" x14ac:dyDescent="0.25">
      <c r="A1178">
        <v>586</v>
      </c>
      <c r="B1178">
        <v>1059</v>
      </c>
      <c r="C1178" t="s">
        <v>2258</v>
      </c>
      <c r="D1178" t="s">
        <v>88</v>
      </c>
      <c r="E1178" t="s">
        <v>20</v>
      </c>
      <c r="F1178" t="s">
        <v>2259</v>
      </c>
      <c r="G1178" t="str">
        <f>"201511033843"</f>
        <v>201511033843</v>
      </c>
      <c r="H1178" t="s">
        <v>1270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V1178">
        <v>1</v>
      </c>
      <c r="W1178" t="s">
        <v>1270</v>
      </c>
    </row>
    <row r="1179" spans="1:23" x14ac:dyDescent="0.25">
      <c r="H1179">
        <v>862</v>
      </c>
    </row>
    <row r="1180" spans="1:23" x14ac:dyDescent="0.25">
      <c r="A1180">
        <v>587</v>
      </c>
      <c r="B1180">
        <v>9738</v>
      </c>
      <c r="C1180" t="s">
        <v>2260</v>
      </c>
      <c r="D1180" t="s">
        <v>51</v>
      </c>
      <c r="E1180" t="s">
        <v>20</v>
      </c>
      <c r="F1180" t="s">
        <v>2261</v>
      </c>
      <c r="G1180" t="str">
        <f>"00087458"</f>
        <v>00087458</v>
      </c>
      <c r="H1180" t="s">
        <v>1354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8</v>
      </c>
      <c r="S1180">
        <v>56</v>
      </c>
      <c r="V1180">
        <v>1</v>
      </c>
      <c r="W1180" t="s">
        <v>2262</v>
      </c>
    </row>
    <row r="1181" spans="1:23" x14ac:dyDescent="0.25">
      <c r="H1181" t="s">
        <v>2263</v>
      </c>
    </row>
    <row r="1182" spans="1:23" x14ac:dyDescent="0.25">
      <c r="A1182">
        <v>588</v>
      </c>
      <c r="B1182">
        <v>8990</v>
      </c>
      <c r="C1182" t="s">
        <v>2264</v>
      </c>
      <c r="D1182" t="s">
        <v>351</v>
      </c>
      <c r="E1182" t="s">
        <v>276</v>
      </c>
      <c r="F1182" t="s">
        <v>2265</v>
      </c>
      <c r="G1182" t="str">
        <f>"201511029236"</f>
        <v>201511029236</v>
      </c>
      <c r="H1182">
        <v>1067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V1182">
        <v>1</v>
      </c>
      <c r="W1182">
        <v>1067</v>
      </c>
    </row>
    <row r="1183" spans="1:23" x14ac:dyDescent="0.25">
      <c r="H1183" t="s">
        <v>2266</v>
      </c>
    </row>
    <row r="1184" spans="1:23" x14ac:dyDescent="0.25">
      <c r="A1184">
        <v>589</v>
      </c>
      <c r="B1184">
        <v>6119</v>
      </c>
      <c r="C1184" t="s">
        <v>2267</v>
      </c>
      <c r="D1184" t="s">
        <v>172</v>
      </c>
      <c r="E1184" t="s">
        <v>154</v>
      </c>
      <c r="F1184" t="s">
        <v>2268</v>
      </c>
      <c r="G1184" t="str">
        <f>"00075802"</f>
        <v>00075802</v>
      </c>
      <c r="H1184">
        <v>1067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V1184">
        <v>3</v>
      </c>
      <c r="W1184">
        <v>1067</v>
      </c>
    </row>
    <row r="1185" spans="1:23" x14ac:dyDescent="0.25">
      <c r="H1185" t="s">
        <v>2269</v>
      </c>
    </row>
    <row r="1186" spans="1:23" x14ac:dyDescent="0.25">
      <c r="A1186">
        <v>590</v>
      </c>
      <c r="B1186">
        <v>10233</v>
      </c>
      <c r="C1186" t="s">
        <v>2270</v>
      </c>
      <c r="D1186" t="s">
        <v>351</v>
      </c>
      <c r="E1186" t="s">
        <v>56</v>
      </c>
      <c r="F1186" t="s">
        <v>2271</v>
      </c>
      <c r="G1186" t="str">
        <f>"201502001119"</f>
        <v>201502001119</v>
      </c>
      <c r="H1186">
        <v>1067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V1186">
        <v>1</v>
      </c>
      <c r="W1186">
        <v>1067</v>
      </c>
    </row>
    <row r="1187" spans="1:23" x14ac:dyDescent="0.25">
      <c r="H1187" t="s">
        <v>2272</v>
      </c>
    </row>
    <row r="1188" spans="1:23" x14ac:dyDescent="0.25">
      <c r="A1188">
        <v>591</v>
      </c>
      <c r="B1188">
        <v>5974</v>
      </c>
      <c r="C1188" t="s">
        <v>2273</v>
      </c>
      <c r="D1188" t="s">
        <v>122</v>
      </c>
      <c r="E1188" t="s">
        <v>910</v>
      </c>
      <c r="F1188" t="s">
        <v>2274</v>
      </c>
      <c r="G1188" t="str">
        <f>"00045807"</f>
        <v>00045807</v>
      </c>
      <c r="H1188">
        <v>1067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0</v>
      </c>
      <c r="V1188">
        <v>1</v>
      </c>
      <c r="W1188">
        <v>1067</v>
      </c>
    </row>
    <row r="1189" spans="1:23" x14ac:dyDescent="0.25">
      <c r="H1189">
        <v>830</v>
      </c>
    </row>
    <row r="1190" spans="1:23" x14ac:dyDescent="0.25">
      <c r="A1190">
        <v>592</v>
      </c>
      <c r="B1190">
        <v>7049</v>
      </c>
      <c r="C1190" t="s">
        <v>2275</v>
      </c>
      <c r="D1190" t="s">
        <v>673</v>
      </c>
      <c r="E1190" t="s">
        <v>56</v>
      </c>
      <c r="F1190" t="s">
        <v>2276</v>
      </c>
      <c r="G1190" t="str">
        <f>"201104000100"</f>
        <v>201104000100</v>
      </c>
      <c r="H1190">
        <v>1067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v>0</v>
      </c>
      <c r="V1190">
        <v>1</v>
      </c>
      <c r="W1190">
        <v>1067</v>
      </c>
    </row>
    <row r="1191" spans="1:23" x14ac:dyDescent="0.25">
      <c r="H1191" t="s">
        <v>2277</v>
      </c>
    </row>
    <row r="1192" spans="1:23" x14ac:dyDescent="0.25">
      <c r="A1192">
        <v>593</v>
      </c>
      <c r="B1192">
        <v>5834</v>
      </c>
      <c r="C1192" t="s">
        <v>2278</v>
      </c>
      <c r="D1192" t="s">
        <v>686</v>
      </c>
      <c r="E1192" t="s">
        <v>56</v>
      </c>
      <c r="F1192" t="s">
        <v>2279</v>
      </c>
      <c r="G1192" t="str">
        <f>"201511004860"</f>
        <v>201511004860</v>
      </c>
      <c r="H1192">
        <v>1067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V1192">
        <v>1</v>
      </c>
      <c r="W1192">
        <v>1067</v>
      </c>
    </row>
    <row r="1193" spans="1:23" x14ac:dyDescent="0.25">
      <c r="H1193" t="s">
        <v>2280</v>
      </c>
    </row>
    <row r="1194" spans="1:23" x14ac:dyDescent="0.25">
      <c r="A1194">
        <v>594</v>
      </c>
      <c r="B1194">
        <v>2679</v>
      </c>
      <c r="C1194" t="s">
        <v>2281</v>
      </c>
      <c r="D1194" t="s">
        <v>1907</v>
      </c>
      <c r="E1194" t="s">
        <v>2282</v>
      </c>
      <c r="F1194" t="s">
        <v>2283</v>
      </c>
      <c r="G1194" t="str">
        <f>"201511032047"</f>
        <v>201511032047</v>
      </c>
      <c r="H1194">
        <v>1067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S1194">
        <v>0</v>
      </c>
      <c r="V1194">
        <v>1</v>
      </c>
      <c r="W1194">
        <v>1067</v>
      </c>
    </row>
    <row r="1195" spans="1:23" x14ac:dyDescent="0.25">
      <c r="H1195" t="s">
        <v>2284</v>
      </c>
    </row>
    <row r="1196" spans="1:23" x14ac:dyDescent="0.25">
      <c r="A1196">
        <v>595</v>
      </c>
      <c r="B1196">
        <v>3675</v>
      </c>
      <c r="C1196" t="s">
        <v>2285</v>
      </c>
      <c r="D1196" t="s">
        <v>410</v>
      </c>
      <c r="E1196" t="s">
        <v>2286</v>
      </c>
      <c r="F1196" t="s">
        <v>2287</v>
      </c>
      <c r="G1196" t="str">
        <f>"201511030542"</f>
        <v>201511030542</v>
      </c>
      <c r="H1196">
        <v>1067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V1196">
        <v>1</v>
      </c>
      <c r="W1196">
        <v>1067</v>
      </c>
    </row>
    <row r="1197" spans="1:23" x14ac:dyDescent="0.25">
      <c r="H1197" t="s">
        <v>2288</v>
      </c>
    </row>
    <row r="1198" spans="1:23" x14ac:dyDescent="0.25">
      <c r="A1198">
        <v>596</v>
      </c>
      <c r="B1198">
        <v>9526</v>
      </c>
      <c r="C1198" t="s">
        <v>2289</v>
      </c>
      <c r="D1198" t="s">
        <v>157</v>
      </c>
      <c r="E1198" t="s">
        <v>154</v>
      </c>
      <c r="F1198" t="s">
        <v>2290</v>
      </c>
      <c r="G1198" t="str">
        <f>"00102405"</f>
        <v>00102405</v>
      </c>
      <c r="H1198">
        <v>1067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V1198">
        <v>1</v>
      </c>
      <c r="W1198">
        <v>1067</v>
      </c>
    </row>
    <row r="1199" spans="1:23" x14ac:dyDescent="0.25">
      <c r="H1199" t="s">
        <v>2291</v>
      </c>
    </row>
    <row r="1200" spans="1:23" x14ac:dyDescent="0.25">
      <c r="A1200">
        <v>597</v>
      </c>
      <c r="B1200">
        <v>8203</v>
      </c>
      <c r="C1200" t="s">
        <v>2292</v>
      </c>
      <c r="D1200" t="s">
        <v>410</v>
      </c>
      <c r="E1200" t="s">
        <v>57</v>
      </c>
      <c r="F1200" t="s">
        <v>2293</v>
      </c>
      <c r="G1200" t="str">
        <f>"201511018505"</f>
        <v>201511018505</v>
      </c>
      <c r="H1200">
        <v>1067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V1200">
        <v>1</v>
      </c>
      <c r="W1200">
        <v>1067</v>
      </c>
    </row>
    <row r="1201" spans="1:23" x14ac:dyDescent="0.25">
      <c r="H1201" t="s">
        <v>2294</v>
      </c>
    </row>
    <row r="1202" spans="1:23" x14ac:dyDescent="0.25">
      <c r="A1202">
        <v>598</v>
      </c>
      <c r="B1202">
        <v>3680</v>
      </c>
      <c r="C1202" t="s">
        <v>2295</v>
      </c>
      <c r="D1202" t="s">
        <v>465</v>
      </c>
      <c r="E1202" t="s">
        <v>298</v>
      </c>
      <c r="F1202" t="s">
        <v>2296</v>
      </c>
      <c r="G1202" t="str">
        <f>"201511028909"</f>
        <v>201511028909</v>
      </c>
      <c r="H1202">
        <v>1067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0</v>
      </c>
      <c r="V1202">
        <v>1</v>
      </c>
      <c r="W1202">
        <v>1067</v>
      </c>
    </row>
    <row r="1203" spans="1:23" x14ac:dyDescent="0.25">
      <c r="H1203" t="s">
        <v>2297</v>
      </c>
    </row>
    <row r="1204" spans="1:23" x14ac:dyDescent="0.25">
      <c r="A1204">
        <v>599</v>
      </c>
      <c r="B1204">
        <v>7780</v>
      </c>
      <c r="C1204" t="s">
        <v>2298</v>
      </c>
      <c r="D1204" t="s">
        <v>427</v>
      </c>
      <c r="E1204" t="s">
        <v>2299</v>
      </c>
      <c r="F1204" t="s">
        <v>2300</v>
      </c>
      <c r="G1204" t="str">
        <f>"00090213"</f>
        <v>00090213</v>
      </c>
      <c r="H1204">
        <v>1067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V1204">
        <v>1</v>
      </c>
      <c r="W1204">
        <v>1067</v>
      </c>
    </row>
    <row r="1205" spans="1:23" x14ac:dyDescent="0.25">
      <c r="H1205" t="s">
        <v>2301</v>
      </c>
    </row>
    <row r="1206" spans="1:23" x14ac:dyDescent="0.25">
      <c r="A1206">
        <v>600</v>
      </c>
      <c r="B1206">
        <v>7328</v>
      </c>
      <c r="C1206" t="s">
        <v>1292</v>
      </c>
      <c r="D1206" t="s">
        <v>1293</v>
      </c>
      <c r="E1206" t="s">
        <v>1294</v>
      </c>
      <c r="F1206" t="s">
        <v>1295</v>
      </c>
      <c r="G1206" t="str">
        <f>"201512000054"</f>
        <v>201512000054</v>
      </c>
      <c r="H1206" t="s">
        <v>370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21</v>
      </c>
      <c r="S1206">
        <v>147</v>
      </c>
      <c r="V1206">
        <v>1</v>
      </c>
      <c r="W1206" t="s">
        <v>2302</v>
      </c>
    </row>
    <row r="1207" spans="1:23" x14ac:dyDescent="0.25">
      <c r="H1207" t="s">
        <v>472</v>
      </c>
    </row>
    <row r="1208" spans="1:23" x14ac:dyDescent="0.25">
      <c r="A1208">
        <v>601</v>
      </c>
      <c r="B1208">
        <v>3016</v>
      </c>
      <c r="C1208" t="s">
        <v>2303</v>
      </c>
      <c r="D1208" t="s">
        <v>172</v>
      </c>
      <c r="E1208" t="s">
        <v>15</v>
      </c>
      <c r="F1208" t="s">
        <v>2304</v>
      </c>
      <c r="G1208" t="str">
        <f>"00040753"</f>
        <v>00040753</v>
      </c>
      <c r="H1208" t="s">
        <v>1015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29</v>
      </c>
      <c r="S1208">
        <v>203</v>
      </c>
      <c r="V1208">
        <v>1</v>
      </c>
      <c r="W1208" t="s">
        <v>2305</v>
      </c>
    </row>
    <row r="1209" spans="1:23" x14ac:dyDescent="0.25">
      <c r="H1209">
        <v>829</v>
      </c>
    </row>
    <row r="1210" spans="1:23" x14ac:dyDescent="0.25">
      <c r="A1210">
        <v>602</v>
      </c>
      <c r="B1210">
        <v>7153</v>
      </c>
      <c r="C1210" t="s">
        <v>2306</v>
      </c>
      <c r="D1210" t="s">
        <v>2025</v>
      </c>
      <c r="E1210" t="s">
        <v>104</v>
      </c>
      <c r="F1210" t="s">
        <v>2307</v>
      </c>
      <c r="G1210" t="str">
        <f>"201511034659"</f>
        <v>201511034659</v>
      </c>
      <c r="H1210">
        <v>979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12</v>
      </c>
      <c r="S1210">
        <v>84</v>
      </c>
      <c r="V1210">
        <v>1</v>
      </c>
      <c r="W1210">
        <v>1063</v>
      </c>
    </row>
    <row r="1211" spans="1:23" x14ac:dyDescent="0.25">
      <c r="H1211" t="s">
        <v>2308</v>
      </c>
    </row>
    <row r="1212" spans="1:23" x14ac:dyDescent="0.25">
      <c r="A1212">
        <v>603</v>
      </c>
      <c r="B1212">
        <v>2877</v>
      </c>
      <c r="C1212" t="s">
        <v>2309</v>
      </c>
      <c r="D1212" t="s">
        <v>1131</v>
      </c>
      <c r="E1212" t="s">
        <v>80</v>
      </c>
      <c r="F1212" t="s">
        <v>2310</v>
      </c>
      <c r="G1212" t="str">
        <f>"201511013915"</f>
        <v>201511013915</v>
      </c>
      <c r="H1212" t="s">
        <v>111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V1212">
        <v>1</v>
      </c>
      <c r="W1212" t="s">
        <v>111</v>
      </c>
    </row>
    <row r="1213" spans="1:23" x14ac:dyDescent="0.25">
      <c r="H1213" t="s">
        <v>2311</v>
      </c>
    </row>
    <row r="1214" spans="1:23" x14ac:dyDescent="0.25">
      <c r="A1214">
        <v>604</v>
      </c>
      <c r="B1214">
        <v>10216</v>
      </c>
      <c r="C1214" t="s">
        <v>2312</v>
      </c>
      <c r="D1214" t="s">
        <v>382</v>
      </c>
      <c r="E1214" t="s">
        <v>298</v>
      </c>
      <c r="F1214" t="s">
        <v>2313</v>
      </c>
      <c r="G1214" t="str">
        <f>"201511023145"</f>
        <v>201511023145</v>
      </c>
      <c r="H1214" t="s">
        <v>698</v>
      </c>
      <c r="I1214">
        <v>150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18</v>
      </c>
      <c r="S1214">
        <v>126</v>
      </c>
      <c r="V1214">
        <v>1</v>
      </c>
      <c r="W1214" t="s">
        <v>2314</v>
      </c>
    </row>
    <row r="1215" spans="1:23" x14ac:dyDescent="0.25">
      <c r="H1215" t="s">
        <v>2315</v>
      </c>
    </row>
    <row r="1216" spans="1:23" x14ac:dyDescent="0.25">
      <c r="A1216">
        <v>605</v>
      </c>
      <c r="B1216">
        <v>3202</v>
      </c>
      <c r="C1216" t="s">
        <v>2316</v>
      </c>
      <c r="D1216" t="s">
        <v>2317</v>
      </c>
      <c r="E1216" t="s">
        <v>80</v>
      </c>
      <c r="F1216" t="s">
        <v>2318</v>
      </c>
      <c r="G1216" t="str">
        <f>"201511027647"</f>
        <v>201511027647</v>
      </c>
      <c r="H1216">
        <v>880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26</v>
      </c>
      <c r="S1216">
        <v>182</v>
      </c>
      <c r="V1216">
        <v>1</v>
      </c>
      <c r="W1216">
        <v>1062</v>
      </c>
    </row>
    <row r="1217" spans="1:23" x14ac:dyDescent="0.25">
      <c r="H1217" t="s">
        <v>2319</v>
      </c>
    </row>
    <row r="1218" spans="1:23" x14ac:dyDescent="0.25">
      <c r="A1218">
        <v>606</v>
      </c>
      <c r="B1218">
        <v>8576</v>
      </c>
      <c r="C1218" t="s">
        <v>2320</v>
      </c>
      <c r="D1218" t="s">
        <v>351</v>
      </c>
      <c r="E1218" t="s">
        <v>20</v>
      </c>
      <c r="F1218" t="s">
        <v>2321</v>
      </c>
      <c r="G1218" t="str">
        <f>"00082119"</f>
        <v>00082119</v>
      </c>
      <c r="H1218" t="s">
        <v>2322</v>
      </c>
      <c r="I1218">
        <v>150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11</v>
      </c>
      <c r="S1218">
        <v>77</v>
      </c>
      <c r="V1218">
        <v>1</v>
      </c>
      <c r="W1218" t="s">
        <v>2323</v>
      </c>
    </row>
    <row r="1219" spans="1:23" x14ac:dyDescent="0.25">
      <c r="H1219" t="s">
        <v>2324</v>
      </c>
    </row>
    <row r="1220" spans="1:23" x14ac:dyDescent="0.25">
      <c r="A1220">
        <v>607</v>
      </c>
      <c r="B1220">
        <v>4098</v>
      </c>
      <c r="C1220" t="s">
        <v>2325</v>
      </c>
      <c r="D1220" t="s">
        <v>433</v>
      </c>
      <c r="E1220" t="s">
        <v>509</v>
      </c>
      <c r="F1220" t="s">
        <v>2326</v>
      </c>
      <c r="G1220" t="str">
        <f>"00022455"</f>
        <v>00022455</v>
      </c>
      <c r="H1220" t="s">
        <v>573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V1220">
        <v>3</v>
      </c>
      <c r="W1220" t="s">
        <v>573</v>
      </c>
    </row>
    <row r="1221" spans="1:23" x14ac:dyDescent="0.25">
      <c r="H1221" t="s">
        <v>2327</v>
      </c>
    </row>
    <row r="1222" spans="1:23" x14ac:dyDescent="0.25">
      <c r="A1222">
        <v>608</v>
      </c>
      <c r="B1222">
        <v>3646</v>
      </c>
      <c r="C1222" t="s">
        <v>1306</v>
      </c>
      <c r="D1222" t="s">
        <v>235</v>
      </c>
      <c r="E1222" t="s">
        <v>20</v>
      </c>
      <c r="F1222" t="s">
        <v>1307</v>
      </c>
      <c r="G1222" t="str">
        <f>"201511015672"</f>
        <v>201511015672</v>
      </c>
      <c r="H1222" t="s">
        <v>573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V1222">
        <v>1</v>
      </c>
      <c r="W1222" t="s">
        <v>573</v>
      </c>
    </row>
    <row r="1223" spans="1:23" x14ac:dyDescent="0.25">
      <c r="H1223" t="s">
        <v>1309</v>
      </c>
    </row>
    <row r="1224" spans="1:23" x14ac:dyDescent="0.25">
      <c r="A1224">
        <v>609</v>
      </c>
      <c r="B1224">
        <v>7170</v>
      </c>
      <c r="C1224" t="s">
        <v>2328</v>
      </c>
      <c r="D1224" t="s">
        <v>2187</v>
      </c>
      <c r="E1224" t="s">
        <v>20</v>
      </c>
      <c r="F1224" t="s">
        <v>2329</v>
      </c>
      <c r="G1224" t="str">
        <f>"201511034782"</f>
        <v>201511034782</v>
      </c>
      <c r="H1224" t="s">
        <v>573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V1224">
        <v>1</v>
      </c>
      <c r="W1224" t="s">
        <v>573</v>
      </c>
    </row>
    <row r="1225" spans="1:23" x14ac:dyDescent="0.25">
      <c r="H1225" t="s">
        <v>2330</v>
      </c>
    </row>
    <row r="1226" spans="1:23" x14ac:dyDescent="0.25">
      <c r="A1226">
        <v>610</v>
      </c>
      <c r="B1226">
        <v>827</v>
      </c>
      <c r="C1226" t="s">
        <v>2331</v>
      </c>
      <c r="D1226" t="s">
        <v>51</v>
      </c>
      <c r="E1226" t="s">
        <v>20</v>
      </c>
      <c r="F1226" t="s">
        <v>2332</v>
      </c>
      <c r="G1226" t="str">
        <f>"201511043475"</f>
        <v>201511043475</v>
      </c>
      <c r="H1226" t="s">
        <v>573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V1226">
        <v>1</v>
      </c>
      <c r="W1226" t="s">
        <v>573</v>
      </c>
    </row>
    <row r="1227" spans="1:23" x14ac:dyDescent="0.25">
      <c r="H1227" t="s">
        <v>2333</v>
      </c>
    </row>
    <row r="1228" spans="1:23" x14ac:dyDescent="0.25">
      <c r="A1228">
        <v>611</v>
      </c>
      <c r="B1228">
        <v>2967</v>
      </c>
      <c r="C1228" t="s">
        <v>2334</v>
      </c>
      <c r="D1228" t="s">
        <v>351</v>
      </c>
      <c r="E1228" t="s">
        <v>37</v>
      </c>
      <c r="F1228" t="s">
        <v>2335</v>
      </c>
      <c r="G1228" t="str">
        <f>"00016192"</f>
        <v>00016192</v>
      </c>
      <c r="H1228">
        <v>990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10</v>
      </c>
      <c r="S1228">
        <v>70</v>
      </c>
      <c r="V1228">
        <v>1</v>
      </c>
      <c r="W1228">
        <v>1060</v>
      </c>
    </row>
    <row r="1229" spans="1:23" x14ac:dyDescent="0.25">
      <c r="H1229" t="s">
        <v>2336</v>
      </c>
    </row>
    <row r="1230" spans="1:23" x14ac:dyDescent="0.25">
      <c r="A1230">
        <v>612</v>
      </c>
      <c r="B1230">
        <v>2635</v>
      </c>
      <c r="C1230" t="s">
        <v>426</v>
      </c>
      <c r="D1230" t="s">
        <v>1047</v>
      </c>
      <c r="E1230" t="s">
        <v>37</v>
      </c>
      <c r="F1230" t="s">
        <v>2337</v>
      </c>
      <c r="G1230" t="str">
        <f>"00016431"</f>
        <v>00016431</v>
      </c>
      <c r="H1230">
        <v>990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10</v>
      </c>
      <c r="S1230">
        <v>70</v>
      </c>
      <c r="V1230">
        <v>1</v>
      </c>
      <c r="W1230">
        <v>1060</v>
      </c>
    </row>
    <row r="1231" spans="1:23" x14ac:dyDescent="0.25">
      <c r="H1231" t="s">
        <v>2338</v>
      </c>
    </row>
    <row r="1232" spans="1:23" x14ac:dyDescent="0.25">
      <c r="A1232">
        <v>613</v>
      </c>
      <c r="B1232">
        <v>873</v>
      </c>
      <c r="C1232" t="s">
        <v>2339</v>
      </c>
      <c r="D1232" t="s">
        <v>128</v>
      </c>
      <c r="E1232" t="s">
        <v>104</v>
      </c>
      <c r="F1232" t="s">
        <v>2340</v>
      </c>
      <c r="G1232" t="str">
        <f>"00002326"</f>
        <v>00002326</v>
      </c>
      <c r="H1232" t="s">
        <v>1169</v>
      </c>
      <c r="I1232">
        <v>0</v>
      </c>
      <c r="J1232">
        <v>30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V1232">
        <v>1</v>
      </c>
      <c r="W1232" t="s">
        <v>2341</v>
      </c>
    </row>
    <row r="1233" spans="1:23" x14ac:dyDescent="0.25">
      <c r="H1233" t="s">
        <v>2342</v>
      </c>
    </row>
    <row r="1234" spans="1:23" x14ac:dyDescent="0.25">
      <c r="A1234">
        <v>614</v>
      </c>
      <c r="B1234">
        <v>9564</v>
      </c>
      <c r="C1234" t="s">
        <v>2343</v>
      </c>
      <c r="D1234" t="s">
        <v>2344</v>
      </c>
      <c r="E1234" t="s">
        <v>20</v>
      </c>
      <c r="F1234" t="s">
        <v>2345</v>
      </c>
      <c r="G1234" t="str">
        <f>"201511025474"</f>
        <v>201511025474</v>
      </c>
      <c r="H1234" t="s">
        <v>332</v>
      </c>
      <c r="I1234">
        <v>0</v>
      </c>
      <c r="J1234">
        <v>30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V1234">
        <v>1</v>
      </c>
      <c r="W1234" t="s">
        <v>2346</v>
      </c>
    </row>
    <row r="1235" spans="1:23" x14ac:dyDescent="0.25">
      <c r="H1235" t="s">
        <v>2347</v>
      </c>
    </row>
    <row r="1236" spans="1:23" x14ac:dyDescent="0.25">
      <c r="A1236">
        <v>615</v>
      </c>
      <c r="B1236">
        <v>9151</v>
      </c>
      <c r="C1236" t="s">
        <v>2348</v>
      </c>
      <c r="D1236" t="s">
        <v>392</v>
      </c>
      <c r="E1236" t="s">
        <v>344</v>
      </c>
      <c r="F1236" t="s">
        <v>2349</v>
      </c>
      <c r="G1236" t="str">
        <f>"00058418"</f>
        <v>00058418</v>
      </c>
      <c r="H1236" t="s">
        <v>2090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V1236">
        <v>1</v>
      </c>
      <c r="W1236" t="s">
        <v>2090</v>
      </c>
    </row>
    <row r="1237" spans="1:23" x14ac:dyDescent="0.25">
      <c r="H1237" t="s">
        <v>2350</v>
      </c>
    </row>
    <row r="1238" spans="1:23" x14ac:dyDescent="0.25">
      <c r="A1238">
        <v>616</v>
      </c>
      <c r="B1238">
        <v>1222</v>
      </c>
      <c r="C1238" t="s">
        <v>2351</v>
      </c>
      <c r="D1238" t="s">
        <v>1737</v>
      </c>
      <c r="E1238" t="s">
        <v>327</v>
      </c>
      <c r="F1238" t="s">
        <v>2352</v>
      </c>
      <c r="G1238" t="str">
        <f>"201502001316"</f>
        <v>201502001316</v>
      </c>
      <c r="H1238" t="s">
        <v>600</v>
      </c>
      <c r="I1238">
        <v>150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V1238">
        <v>1</v>
      </c>
      <c r="W1238" t="s">
        <v>2353</v>
      </c>
    </row>
    <row r="1239" spans="1:23" x14ac:dyDescent="0.25">
      <c r="H1239" t="s">
        <v>2354</v>
      </c>
    </row>
    <row r="1240" spans="1:23" x14ac:dyDescent="0.25">
      <c r="A1240">
        <v>617</v>
      </c>
      <c r="B1240">
        <v>150</v>
      </c>
      <c r="C1240" t="s">
        <v>2355</v>
      </c>
      <c r="D1240" t="s">
        <v>1314</v>
      </c>
      <c r="E1240" t="s">
        <v>374</v>
      </c>
      <c r="F1240" t="s">
        <v>2356</v>
      </c>
      <c r="G1240" t="str">
        <f>"00025122"</f>
        <v>00025122</v>
      </c>
      <c r="H1240" t="s">
        <v>332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4</v>
      </c>
      <c r="S1240">
        <v>28</v>
      </c>
      <c r="V1240">
        <v>1</v>
      </c>
      <c r="W1240" t="s">
        <v>2357</v>
      </c>
    </row>
    <row r="1241" spans="1:23" x14ac:dyDescent="0.25">
      <c r="H1241" t="s">
        <v>2358</v>
      </c>
    </row>
    <row r="1242" spans="1:23" x14ac:dyDescent="0.25">
      <c r="A1242">
        <v>618</v>
      </c>
      <c r="B1242">
        <v>1195</v>
      </c>
      <c r="C1242" t="s">
        <v>2359</v>
      </c>
      <c r="D1242" t="s">
        <v>29</v>
      </c>
      <c r="E1242" t="s">
        <v>80</v>
      </c>
      <c r="F1242" t="s">
        <v>2360</v>
      </c>
      <c r="G1242" t="str">
        <f>"00045890"</f>
        <v>00045890</v>
      </c>
      <c r="H1242">
        <v>1056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V1242">
        <v>1</v>
      </c>
      <c r="W1242">
        <v>1056</v>
      </c>
    </row>
    <row r="1243" spans="1:23" x14ac:dyDescent="0.25">
      <c r="H1243" t="s">
        <v>2361</v>
      </c>
    </row>
    <row r="1244" spans="1:23" x14ac:dyDescent="0.25">
      <c r="A1244">
        <v>619</v>
      </c>
      <c r="B1244">
        <v>5526</v>
      </c>
      <c r="C1244" t="s">
        <v>2362</v>
      </c>
      <c r="D1244" t="s">
        <v>51</v>
      </c>
      <c r="E1244" t="s">
        <v>52</v>
      </c>
      <c r="F1244" t="s">
        <v>2363</v>
      </c>
      <c r="G1244" t="str">
        <f>"00096365"</f>
        <v>00096365</v>
      </c>
      <c r="H1244">
        <v>1056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V1244">
        <v>1</v>
      </c>
      <c r="W1244">
        <v>1056</v>
      </c>
    </row>
    <row r="1245" spans="1:23" x14ac:dyDescent="0.25">
      <c r="H1245" t="s">
        <v>2364</v>
      </c>
    </row>
    <row r="1246" spans="1:23" x14ac:dyDescent="0.25">
      <c r="A1246">
        <v>620</v>
      </c>
      <c r="B1246">
        <v>5742</v>
      </c>
      <c r="C1246" t="s">
        <v>2365</v>
      </c>
      <c r="D1246" t="s">
        <v>2366</v>
      </c>
      <c r="E1246" t="s">
        <v>184</v>
      </c>
      <c r="F1246" t="s">
        <v>2367</v>
      </c>
      <c r="G1246" t="str">
        <f>"00021587"</f>
        <v>00021587</v>
      </c>
      <c r="H1246">
        <v>1056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V1246">
        <v>1</v>
      </c>
      <c r="W1246">
        <v>1056</v>
      </c>
    </row>
    <row r="1247" spans="1:23" x14ac:dyDescent="0.25">
      <c r="H1247" t="s">
        <v>2368</v>
      </c>
    </row>
    <row r="1248" spans="1:23" x14ac:dyDescent="0.25">
      <c r="A1248">
        <v>621</v>
      </c>
      <c r="B1248">
        <v>9068</v>
      </c>
      <c r="C1248" t="s">
        <v>2369</v>
      </c>
      <c r="D1248" t="s">
        <v>351</v>
      </c>
      <c r="E1248" t="s">
        <v>229</v>
      </c>
      <c r="F1248" t="s">
        <v>2370</v>
      </c>
      <c r="G1248" t="str">
        <f>"00033051"</f>
        <v>00033051</v>
      </c>
      <c r="H1248">
        <v>1056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V1248">
        <v>1</v>
      </c>
      <c r="W1248">
        <v>1056</v>
      </c>
    </row>
    <row r="1249" spans="1:23" x14ac:dyDescent="0.25">
      <c r="H1249" t="s">
        <v>2371</v>
      </c>
    </row>
    <row r="1250" spans="1:23" x14ac:dyDescent="0.25">
      <c r="A1250">
        <v>622</v>
      </c>
      <c r="B1250">
        <v>5557</v>
      </c>
      <c r="C1250" t="s">
        <v>2109</v>
      </c>
      <c r="D1250" t="s">
        <v>351</v>
      </c>
      <c r="E1250" t="s">
        <v>154</v>
      </c>
      <c r="F1250" t="s">
        <v>2372</v>
      </c>
      <c r="G1250" t="str">
        <f>"201511020005"</f>
        <v>201511020005</v>
      </c>
      <c r="H1250">
        <v>1056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V1250">
        <v>1</v>
      </c>
      <c r="W1250">
        <v>1056</v>
      </c>
    </row>
    <row r="1251" spans="1:23" x14ac:dyDescent="0.25">
      <c r="H1251" t="s">
        <v>2373</v>
      </c>
    </row>
    <row r="1252" spans="1:23" x14ac:dyDescent="0.25">
      <c r="A1252">
        <v>623</v>
      </c>
      <c r="B1252">
        <v>4729</v>
      </c>
      <c r="C1252" t="s">
        <v>182</v>
      </c>
      <c r="D1252" t="s">
        <v>275</v>
      </c>
      <c r="E1252" t="s">
        <v>20</v>
      </c>
      <c r="F1252" t="s">
        <v>2374</v>
      </c>
      <c r="G1252" t="str">
        <f>"201511036659"</f>
        <v>201511036659</v>
      </c>
      <c r="H1252">
        <v>1056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V1252">
        <v>1</v>
      </c>
      <c r="W1252">
        <v>1056</v>
      </c>
    </row>
    <row r="1253" spans="1:23" x14ac:dyDescent="0.25">
      <c r="H1253" t="s">
        <v>2375</v>
      </c>
    </row>
    <row r="1254" spans="1:23" x14ac:dyDescent="0.25">
      <c r="A1254">
        <v>624</v>
      </c>
      <c r="B1254">
        <v>5596</v>
      </c>
      <c r="C1254" t="s">
        <v>2376</v>
      </c>
      <c r="D1254" t="s">
        <v>2377</v>
      </c>
      <c r="E1254" t="s">
        <v>52</v>
      </c>
      <c r="F1254" t="s">
        <v>2378</v>
      </c>
      <c r="G1254" t="str">
        <f>"00019930"</f>
        <v>00019930</v>
      </c>
      <c r="H1254">
        <v>990</v>
      </c>
      <c r="I1254">
        <v>0</v>
      </c>
      <c r="J1254">
        <v>30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5</v>
      </c>
      <c r="S1254">
        <v>35</v>
      </c>
      <c r="V1254">
        <v>1</v>
      </c>
      <c r="W1254">
        <v>1055</v>
      </c>
    </row>
    <row r="1255" spans="1:23" x14ac:dyDescent="0.25">
      <c r="H1255" t="s">
        <v>2379</v>
      </c>
    </row>
    <row r="1256" spans="1:23" x14ac:dyDescent="0.25">
      <c r="A1256">
        <v>625</v>
      </c>
      <c r="B1256">
        <v>2342</v>
      </c>
      <c r="C1256" t="s">
        <v>343</v>
      </c>
      <c r="D1256" t="s">
        <v>681</v>
      </c>
      <c r="E1256" t="s">
        <v>57</v>
      </c>
      <c r="F1256" t="s">
        <v>2380</v>
      </c>
      <c r="G1256" t="str">
        <f>"00019984"</f>
        <v>00019984</v>
      </c>
      <c r="H1256" t="s">
        <v>2381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V1256">
        <v>1</v>
      </c>
      <c r="W1256" t="s">
        <v>2381</v>
      </c>
    </row>
    <row r="1257" spans="1:23" x14ac:dyDescent="0.25">
      <c r="H1257" t="s">
        <v>2382</v>
      </c>
    </row>
    <row r="1258" spans="1:23" x14ac:dyDescent="0.25">
      <c r="A1258">
        <v>626</v>
      </c>
      <c r="B1258">
        <v>8965</v>
      </c>
      <c r="C1258" t="s">
        <v>2383</v>
      </c>
      <c r="D1258" t="s">
        <v>89</v>
      </c>
      <c r="E1258" t="s">
        <v>451</v>
      </c>
      <c r="F1258" t="s">
        <v>2384</v>
      </c>
      <c r="G1258" t="str">
        <f>"200802005563"</f>
        <v>200802005563</v>
      </c>
      <c r="H1258" t="s">
        <v>2381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V1258">
        <v>1</v>
      </c>
      <c r="W1258" t="s">
        <v>2381</v>
      </c>
    </row>
    <row r="1259" spans="1:23" x14ac:dyDescent="0.25">
      <c r="H1259" t="s">
        <v>2385</v>
      </c>
    </row>
    <row r="1260" spans="1:23" x14ac:dyDescent="0.25">
      <c r="A1260">
        <v>627</v>
      </c>
      <c r="B1260">
        <v>2225</v>
      </c>
      <c r="C1260" t="s">
        <v>2386</v>
      </c>
      <c r="D1260" t="s">
        <v>229</v>
      </c>
      <c r="E1260" t="s">
        <v>97</v>
      </c>
      <c r="F1260" t="s">
        <v>2387</v>
      </c>
      <c r="G1260" t="str">
        <f>"201511029706"</f>
        <v>201511029706</v>
      </c>
      <c r="H1260">
        <v>1023</v>
      </c>
      <c r="I1260">
        <v>0</v>
      </c>
      <c r="J1260">
        <v>30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V1260">
        <v>1</v>
      </c>
      <c r="W1260">
        <v>1053</v>
      </c>
    </row>
    <row r="1261" spans="1:23" x14ac:dyDescent="0.25">
      <c r="H1261" t="s">
        <v>2388</v>
      </c>
    </row>
    <row r="1262" spans="1:23" x14ac:dyDescent="0.25">
      <c r="A1262">
        <v>628</v>
      </c>
      <c r="B1262">
        <v>5078</v>
      </c>
      <c r="C1262" t="s">
        <v>2389</v>
      </c>
      <c r="D1262" t="s">
        <v>276</v>
      </c>
      <c r="E1262" t="s">
        <v>129</v>
      </c>
      <c r="F1262" t="s">
        <v>2390</v>
      </c>
      <c r="G1262" t="str">
        <f>"00029151"</f>
        <v>00029151</v>
      </c>
      <c r="H1262">
        <v>902</v>
      </c>
      <c r="I1262">
        <v>150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S1262">
        <v>0</v>
      </c>
      <c r="V1262">
        <v>1</v>
      </c>
      <c r="W1262">
        <v>1052</v>
      </c>
    </row>
    <row r="1263" spans="1:23" x14ac:dyDescent="0.25">
      <c r="H1263" t="s">
        <v>2391</v>
      </c>
    </row>
    <row r="1264" spans="1:23" x14ac:dyDescent="0.25">
      <c r="A1264">
        <v>629</v>
      </c>
      <c r="B1264">
        <v>3625</v>
      </c>
      <c r="C1264" t="s">
        <v>1467</v>
      </c>
      <c r="D1264" t="s">
        <v>275</v>
      </c>
      <c r="E1264" t="s">
        <v>2392</v>
      </c>
      <c r="F1264" t="s">
        <v>2393</v>
      </c>
      <c r="G1264" t="str">
        <f>"201511020686"</f>
        <v>201511020686</v>
      </c>
      <c r="H1264" t="s">
        <v>2394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24</v>
      </c>
      <c r="S1264">
        <v>168</v>
      </c>
      <c r="V1264">
        <v>1</v>
      </c>
      <c r="W1264" t="s">
        <v>2395</v>
      </c>
    </row>
    <row r="1265" spans="1:23" x14ac:dyDescent="0.25">
      <c r="H1265" t="s">
        <v>2396</v>
      </c>
    </row>
    <row r="1266" spans="1:23" x14ac:dyDescent="0.25">
      <c r="A1266">
        <v>630</v>
      </c>
      <c r="B1266">
        <v>3375</v>
      </c>
      <c r="C1266" t="s">
        <v>2397</v>
      </c>
      <c r="D1266" t="s">
        <v>2398</v>
      </c>
      <c r="E1266" t="s">
        <v>104</v>
      </c>
      <c r="F1266" t="s">
        <v>2399</v>
      </c>
      <c r="G1266" t="str">
        <f>"201511012116"</f>
        <v>201511012116</v>
      </c>
      <c r="H1266">
        <v>869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26</v>
      </c>
      <c r="S1266">
        <v>182</v>
      </c>
      <c r="V1266">
        <v>1</v>
      </c>
      <c r="W1266">
        <v>1051</v>
      </c>
    </row>
    <row r="1267" spans="1:23" x14ac:dyDescent="0.25">
      <c r="H1267" t="s">
        <v>1199</v>
      </c>
    </row>
    <row r="1268" spans="1:23" x14ac:dyDescent="0.25">
      <c r="A1268">
        <v>631</v>
      </c>
      <c r="B1268">
        <v>7716</v>
      </c>
      <c r="C1268" t="s">
        <v>2400</v>
      </c>
      <c r="D1268" t="s">
        <v>37</v>
      </c>
      <c r="E1268" t="s">
        <v>104</v>
      </c>
      <c r="F1268" t="s">
        <v>2401</v>
      </c>
      <c r="G1268" t="str">
        <f>"201511028811"</f>
        <v>201511028811</v>
      </c>
      <c r="H1268" t="s">
        <v>1330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v>0</v>
      </c>
      <c r="V1268">
        <v>1</v>
      </c>
      <c r="W1268" t="s">
        <v>1330</v>
      </c>
    </row>
    <row r="1269" spans="1:23" x14ac:dyDescent="0.25">
      <c r="H1269" t="s">
        <v>2402</v>
      </c>
    </row>
    <row r="1270" spans="1:23" x14ac:dyDescent="0.25">
      <c r="A1270">
        <v>632</v>
      </c>
      <c r="B1270">
        <v>2228</v>
      </c>
      <c r="C1270" t="s">
        <v>2403</v>
      </c>
      <c r="D1270" t="s">
        <v>172</v>
      </c>
      <c r="E1270" t="s">
        <v>158</v>
      </c>
      <c r="F1270" t="s">
        <v>2404</v>
      </c>
      <c r="G1270" t="str">
        <f>"201511004908"</f>
        <v>201511004908</v>
      </c>
      <c r="H1270" t="s">
        <v>1330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v>0</v>
      </c>
      <c r="V1270">
        <v>1</v>
      </c>
      <c r="W1270" t="s">
        <v>1330</v>
      </c>
    </row>
    <row r="1271" spans="1:23" x14ac:dyDescent="0.25">
      <c r="H1271" t="s">
        <v>2405</v>
      </c>
    </row>
    <row r="1272" spans="1:23" x14ac:dyDescent="0.25">
      <c r="A1272">
        <v>633</v>
      </c>
      <c r="B1272">
        <v>8921</v>
      </c>
      <c r="C1272" t="s">
        <v>1969</v>
      </c>
      <c r="D1272" t="s">
        <v>135</v>
      </c>
      <c r="E1272" t="s">
        <v>80</v>
      </c>
      <c r="F1272" t="s">
        <v>2406</v>
      </c>
      <c r="G1272" t="str">
        <f>"201511039702"</f>
        <v>201511039702</v>
      </c>
      <c r="H1272" t="s">
        <v>2407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V1272">
        <v>1</v>
      </c>
      <c r="W1272" t="s">
        <v>2407</v>
      </c>
    </row>
    <row r="1273" spans="1:23" x14ac:dyDescent="0.25">
      <c r="H1273" t="s">
        <v>310</v>
      </c>
    </row>
    <row r="1274" spans="1:23" x14ac:dyDescent="0.25">
      <c r="A1274">
        <v>634</v>
      </c>
      <c r="B1274">
        <v>9900</v>
      </c>
      <c r="C1274" t="s">
        <v>351</v>
      </c>
      <c r="D1274" t="s">
        <v>2408</v>
      </c>
      <c r="E1274" t="s">
        <v>154</v>
      </c>
      <c r="F1274" t="s">
        <v>2409</v>
      </c>
      <c r="G1274" t="str">
        <f>"00086326"</f>
        <v>00086326</v>
      </c>
      <c r="H1274" t="s">
        <v>2407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V1274">
        <v>1</v>
      </c>
      <c r="W1274" t="s">
        <v>2407</v>
      </c>
    </row>
    <row r="1275" spans="1:23" x14ac:dyDescent="0.25">
      <c r="H1275" t="s">
        <v>2410</v>
      </c>
    </row>
    <row r="1276" spans="1:23" x14ac:dyDescent="0.25">
      <c r="A1276">
        <v>635</v>
      </c>
      <c r="B1276">
        <v>557</v>
      </c>
      <c r="C1276" t="s">
        <v>2411</v>
      </c>
      <c r="D1276" t="s">
        <v>208</v>
      </c>
      <c r="E1276" t="s">
        <v>229</v>
      </c>
      <c r="F1276" t="s">
        <v>2412</v>
      </c>
      <c r="G1276" t="str">
        <f>"201511026471"</f>
        <v>201511026471</v>
      </c>
      <c r="H1276" t="s">
        <v>2407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V1276">
        <v>1</v>
      </c>
      <c r="W1276" t="s">
        <v>2407</v>
      </c>
    </row>
    <row r="1277" spans="1:23" x14ac:dyDescent="0.25">
      <c r="H1277" t="s">
        <v>2413</v>
      </c>
    </row>
    <row r="1278" spans="1:23" x14ac:dyDescent="0.25">
      <c r="A1278">
        <v>636</v>
      </c>
      <c r="B1278">
        <v>5244</v>
      </c>
      <c r="C1278" t="s">
        <v>2414</v>
      </c>
      <c r="D1278" t="s">
        <v>172</v>
      </c>
      <c r="E1278" t="s">
        <v>284</v>
      </c>
      <c r="F1278" t="s">
        <v>2415</v>
      </c>
      <c r="G1278" t="str">
        <f>"201511031617"</f>
        <v>201511031617</v>
      </c>
      <c r="H1278" t="s">
        <v>1436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6</v>
      </c>
      <c r="S1278">
        <v>42</v>
      </c>
      <c r="V1278">
        <v>1</v>
      </c>
      <c r="W1278" t="s">
        <v>2416</v>
      </c>
    </row>
    <row r="1279" spans="1:23" x14ac:dyDescent="0.25">
      <c r="H1279" t="s">
        <v>2417</v>
      </c>
    </row>
    <row r="1280" spans="1:23" x14ac:dyDescent="0.25">
      <c r="A1280">
        <v>637</v>
      </c>
      <c r="B1280">
        <v>5737</v>
      </c>
      <c r="C1280" t="s">
        <v>2418</v>
      </c>
      <c r="D1280" t="s">
        <v>75</v>
      </c>
      <c r="E1280" t="s">
        <v>37</v>
      </c>
      <c r="F1280" t="s">
        <v>2419</v>
      </c>
      <c r="G1280" t="str">
        <f>"00029834"</f>
        <v>00029834</v>
      </c>
      <c r="H1280">
        <v>814</v>
      </c>
      <c r="I1280">
        <v>150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12</v>
      </c>
      <c r="S1280">
        <v>84</v>
      </c>
      <c r="V1280">
        <v>1</v>
      </c>
      <c r="W1280">
        <v>1048</v>
      </c>
    </row>
    <row r="1281" spans="1:23" x14ac:dyDescent="0.25">
      <c r="H1281" t="s">
        <v>2420</v>
      </c>
    </row>
    <row r="1282" spans="1:23" x14ac:dyDescent="0.25">
      <c r="A1282">
        <v>638</v>
      </c>
      <c r="B1282">
        <v>877</v>
      </c>
      <c r="C1282" t="s">
        <v>2421</v>
      </c>
      <c r="D1282" t="s">
        <v>213</v>
      </c>
      <c r="E1282" t="s">
        <v>80</v>
      </c>
      <c r="F1282" t="s">
        <v>2422</v>
      </c>
      <c r="G1282" t="str">
        <f>"00016985"</f>
        <v>00016985</v>
      </c>
      <c r="H1282">
        <v>759</v>
      </c>
      <c r="I1282">
        <v>0</v>
      </c>
      <c r="J1282">
        <v>30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37</v>
      </c>
      <c r="S1282">
        <v>259</v>
      </c>
      <c r="V1282">
        <v>1</v>
      </c>
      <c r="W1282">
        <v>1048</v>
      </c>
    </row>
    <row r="1283" spans="1:23" x14ac:dyDescent="0.25">
      <c r="H1283" t="s">
        <v>2423</v>
      </c>
    </row>
    <row r="1284" spans="1:23" x14ac:dyDescent="0.25">
      <c r="A1284">
        <v>639</v>
      </c>
      <c r="B1284">
        <v>7375</v>
      </c>
      <c r="C1284" t="s">
        <v>2424</v>
      </c>
      <c r="D1284" t="s">
        <v>96</v>
      </c>
      <c r="E1284" t="s">
        <v>474</v>
      </c>
      <c r="F1284" t="s">
        <v>2425</v>
      </c>
      <c r="G1284" t="str">
        <f>"00030601"</f>
        <v>00030601</v>
      </c>
      <c r="H1284" t="s">
        <v>554</v>
      </c>
      <c r="I1284">
        <v>150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V1284">
        <v>1</v>
      </c>
      <c r="W1284" t="s">
        <v>2426</v>
      </c>
    </row>
    <row r="1285" spans="1:23" x14ac:dyDescent="0.25">
      <c r="H1285" t="s">
        <v>2427</v>
      </c>
    </row>
    <row r="1286" spans="1:23" x14ac:dyDescent="0.25">
      <c r="A1286">
        <v>640</v>
      </c>
      <c r="B1286">
        <v>6356</v>
      </c>
      <c r="C1286" t="s">
        <v>2428</v>
      </c>
      <c r="D1286" t="s">
        <v>351</v>
      </c>
      <c r="E1286" t="s">
        <v>20</v>
      </c>
      <c r="F1286" t="s">
        <v>2429</v>
      </c>
      <c r="G1286" t="str">
        <f>"00088064"</f>
        <v>00088064</v>
      </c>
      <c r="H1286">
        <v>1045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V1286">
        <v>3</v>
      </c>
      <c r="W1286">
        <v>1045</v>
      </c>
    </row>
    <row r="1287" spans="1:23" x14ac:dyDescent="0.25">
      <c r="H1287">
        <v>818</v>
      </c>
    </row>
    <row r="1288" spans="1:23" x14ac:dyDescent="0.25">
      <c r="A1288">
        <v>641</v>
      </c>
      <c r="B1288">
        <v>4319</v>
      </c>
      <c r="C1288" t="s">
        <v>2430</v>
      </c>
      <c r="D1288" t="s">
        <v>2431</v>
      </c>
      <c r="E1288" t="s">
        <v>80</v>
      </c>
      <c r="F1288" t="s">
        <v>2432</v>
      </c>
      <c r="G1288" t="str">
        <f>"00095814"</f>
        <v>00095814</v>
      </c>
      <c r="H1288">
        <v>1045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V1288">
        <v>1</v>
      </c>
      <c r="W1288">
        <v>1045</v>
      </c>
    </row>
    <row r="1289" spans="1:23" x14ac:dyDescent="0.25">
      <c r="H1289" t="s">
        <v>2433</v>
      </c>
    </row>
    <row r="1290" spans="1:23" x14ac:dyDescent="0.25">
      <c r="A1290">
        <v>642</v>
      </c>
      <c r="B1290">
        <v>2783</v>
      </c>
      <c r="C1290" t="s">
        <v>2434</v>
      </c>
      <c r="D1290" t="s">
        <v>2435</v>
      </c>
      <c r="E1290" t="s">
        <v>648</v>
      </c>
      <c r="F1290" t="s">
        <v>2436</v>
      </c>
      <c r="G1290" t="str">
        <f>"201511032216"</f>
        <v>201511032216</v>
      </c>
      <c r="H1290">
        <v>1045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V1290">
        <v>1</v>
      </c>
      <c r="W1290">
        <v>1045</v>
      </c>
    </row>
    <row r="1291" spans="1:23" x14ac:dyDescent="0.25">
      <c r="H1291" t="s">
        <v>2437</v>
      </c>
    </row>
    <row r="1292" spans="1:23" x14ac:dyDescent="0.25">
      <c r="A1292">
        <v>643</v>
      </c>
      <c r="B1292">
        <v>3946</v>
      </c>
      <c r="C1292" t="s">
        <v>2438</v>
      </c>
      <c r="D1292" t="s">
        <v>2439</v>
      </c>
      <c r="E1292" t="s">
        <v>191</v>
      </c>
      <c r="F1292" t="s">
        <v>2440</v>
      </c>
      <c r="G1292" t="str">
        <f>"201510000899"</f>
        <v>201510000899</v>
      </c>
      <c r="H1292">
        <v>1045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S1292">
        <v>0</v>
      </c>
      <c r="V1292">
        <v>1</v>
      </c>
      <c r="W1292">
        <v>1045</v>
      </c>
    </row>
    <row r="1293" spans="1:23" x14ac:dyDescent="0.25">
      <c r="H1293" t="s">
        <v>2441</v>
      </c>
    </row>
    <row r="1294" spans="1:23" x14ac:dyDescent="0.25">
      <c r="A1294">
        <v>644</v>
      </c>
      <c r="B1294">
        <v>301</v>
      </c>
      <c r="C1294" t="s">
        <v>2442</v>
      </c>
      <c r="D1294" t="s">
        <v>513</v>
      </c>
      <c r="E1294" t="s">
        <v>262</v>
      </c>
      <c r="F1294" t="s">
        <v>2443</v>
      </c>
      <c r="G1294" t="str">
        <f>"201511027971"</f>
        <v>201511027971</v>
      </c>
      <c r="H1294">
        <v>1045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V1294">
        <v>1</v>
      </c>
      <c r="W1294">
        <v>1045</v>
      </c>
    </row>
    <row r="1295" spans="1:23" x14ac:dyDescent="0.25">
      <c r="H1295" t="s">
        <v>2277</v>
      </c>
    </row>
    <row r="1296" spans="1:23" x14ac:dyDescent="0.25">
      <c r="A1296">
        <v>645</v>
      </c>
      <c r="B1296">
        <v>9140</v>
      </c>
      <c r="C1296" t="s">
        <v>2444</v>
      </c>
      <c r="D1296" t="s">
        <v>51</v>
      </c>
      <c r="E1296" t="s">
        <v>664</v>
      </c>
      <c r="F1296" t="s">
        <v>2445</v>
      </c>
      <c r="G1296" t="str">
        <f>"201511041406"</f>
        <v>201511041406</v>
      </c>
      <c r="H1296">
        <v>1045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V1296">
        <v>1</v>
      </c>
      <c r="W1296">
        <v>1045</v>
      </c>
    </row>
    <row r="1297" spans="1:23" x14ac:dyDescent="0.25">
      <c r="H1297" t="s">
        <v>2446</v>
      </c>
    </row>
    <row r="1298" spans="1:23" x14ac:dyDescent="0.25">
      <c r="A1298">
        <v>646</v>
      </c>
      <c r="B1298">
        <v>5691</v>
      </c>
      <c r="C1298" t="s">
        <v>2447</v>
      </c>
      <c r="D1298" t="s">
        <v>2398</v>
      </c>
      <c r="E1298" t="s">
        <v>80</v>
      </c>
      <c r="F1298" t="s">
        <v>2448</v>
      </c>
      <c r="G1298" t="str">
        <f>"201511008036"</f>
        <v>201511008036</v>
      </c>
      <c r="H1298">
        <v>1045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V1298">
        <v>1</v>
      </c>
      <c r="W1298">
        <v>1045</v>
      </c>
    </row>
    <row r="1299" spans="1:23" x14ac:dyDescent="0.25">
      <c r="H1299" t="s">
        <v>2449</v>
      </c>
    </row>
    <row r="1300" spans="1:23" x14ac:dyDescent="0.25">
      <c r="A1300">
        <v>647</v>
      </c>
      <c r="B1300">
        <v>6689</v>
      </c>
      <c r="C1300" t="s">
        <v>797</v>
      </c>
      <c r="D1300" t="s">
        <v>108</v>
      </c>
      <c r="E1300" t="s">
        <v>213</v>
      </c>
      <c r="F1300" t="s">
        <v>2450</v>
      </c>
      <c r="G1300" t="str">
        <f>"00029379"</f>
        <v>00029379</v>
      </c>
      <c r="H1300">
        <v>1045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V1300">
        <v>1</v>
      </c>
      <c r="W1300">
        <v>1045</v>
      </c>
    </row>
    <row r="1301" spans="1:23" x14ac:dyDescent="0.25">
      <c r="H1301" t="s">
        <v>2451</v>
      </c>
    </row>
    <row r="1302" spans="1:23" x14ac:dyDescent="0.25">
      <c r="A1302">
        <v>648</v>
      </c>
      <c r="B1302">
        <v>9141</v>
      </c>
      <c r="C1302" t="s">
        <v>2452</v>
      </c>
      <c r="D1302" t="s">
        <v>23</v>
      </c>
      <c r="E1302" t="s">
        <v>158</v>
      </c>
      <c r="F1302" t="s">
        <v>2453</v>
      </c>
      <c r="G1302" t="str">
        <f>"201510004840"</f>
        <v>201510004840</v>
      </c>
      <c r="H1302">
        <v>858</v>
      </c>
      <c r="I1302">
        <v>150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5</v>
      </c>
      <c r="S1302">
        <v>35</v>
      </c>
      <c r="V1302">
        <v>1</v>
      </c>
      <c r="W1302">
        <v>1043</v>
      </c>
    </row>
    <row r="1303" spans="1:23" x14ac:dyDescent="0.25">
      <c r="H1303" t="s">
        <v>2454</v>
      </c>
    </row>
    <row r="1304" spans="1:23" x14ac:dyDescent="0.25">
      <c r="A1304">
        <v>649</v>
      </c>
      <c r="B1304">
        <v>973</v>
      </c>
      <c r="C1304" t="s">
        <v>2455</v>
      </c>
      <c r="D1304" t="s">
        <v>2456</v>
      </c>
      <c r="E1304" t="s">
        <v>80</v>
      </c>
      <c r="F1304" t="s">
        <v>2457</v>
      </c>
      <c r="G1304" t="str">
        <f>"201502002561"</f>
        <v>201502002561</v>
      </c>
      <c r="H1304">
        <v>704</v>
      </c>
      <c r="I1304">
        <v>150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27</v>
      </c>
      <c r="S1304">
        <v>189</v>
      </c>
      <c r="V1304">
        <v>1</v>
      </c>
      <c r="W1304">
        <v>1043</v>
      </c>
    </row>
    <row r="1305" spans="1:23" x14ac:dyDescent="0.25">
      <c r="H1305" t="s">
        <v>2458</v>
      </c>
    </row>
    <row r="1306" spans="1:23" x14ac:dyDescent="0.25">
      <c r="A1306">
        <v>650</v>
      </c>
      <c r="B1306">
        <v>2463</v>
      </c>
      <c r="C1306" t="s">
        <v>2459</v>
      </c>
      <c r="D1306" t="s">
        <v>2460</v>
      </c>
      <c r="E1306" t="s">
        <v>57</v>
      </c>
      <c r="F1306" t="s">
        <v>2461</v>
      </c>
      <c r="G1306" t="str">
        <f>"201108000131"</f>
        <v>201108000131</v>
      </c>
      <c r="H1306" t="s">
        <v>407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24</v>
      </c>
      <c r="S1306">
        <v>168</v>
      </c>
      <c r="V1306">
        <v>1</v>
      </c>
      <c r="W1306" t="s">
        <v>2462</v>
      </c>
    </row>
    <row r="1307" spans="1:23" x14ac:dyDescent="0.25">
      <c r="H1307" t="s">
        <v>2463</v>
      </c>
    </row>
    <row r="1308" spans="1:23" x14ac:dyDescent="0.25">
      <c r="A1308">
        <v>651</v>
      </c>
      <c r="B1308">
        <v>7173</v>
      </c>
      <c r="C1308" t="s">
        <v>2464</v>
      </c>
      <c r="D1308" t="s">
        <v>202</v>
      </c>
      <c r="E1308" t="s">
        <v>298</v>
      </c>
      <c r="F1308" t="s">
        <v>2465</v>
      </c>
      <c r="G1308" t="str">
        <f>"201511038440"</f>
        <v>201511038440</v>
      </c>
      <c r="H1308">
        <v>1034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1</v>
      </c>
      <c r="S1308">
        <v>7</v>
      </c>
      <c r="V1308">
        <v>1</v>
      </c>
      <c r="W1308">
        <v>1041</v>
      </c>
    </row>
    <row r="1309" spans="1:23" x14ac:dyDescent="0.25">
      <c r="H1309" t="s">
        <v>2466</v>
      </c>
    </row>
    <row r="1310" spans="1:23" x14ac:dyDescent="0.25">
      <c r="A1310">
        <v>652</v>
      </c>
      <c r="B1310">
        <v>1312</v>
      </c>
      <c r="C1310" t="s">
        <v>2467</v>
      </c>
      <c r="D1310" t="s">
        <v>183</v>
      </c>
      <c r="E1310" t="s">
        <v>229</v>
      </c>
      <c r="F1310" t="s">
        <v>2468</v>
      </c>
      <c r="G1310" t="str">
        <f>"201511019105"</f>
        <v>201511019105</v>
      </c>
      <c r="H1310">
        <v>891</v>
      </c>
      <c r="I1310">
        <v>150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V1310">
        <v>1</v>
      </c>
      <c r="W1310">
        <v>1041</v>
      </c>
    </row>
    <row r="1311" spans="1:23" x14ac:dyDescent="0.25">
      <c r="H1311" t="s">
        <v>2469</v>
      </c>
    </row>
    <row r="1312" spans="1:23" x14ac:dyDescent="0.25">
      <c r="A1312">
        <v>653</v>
      </c>
      <c r="B1312">
        <v>4256</v>
      </c>
      <c r="C1312" t="s">
        <v>2470</v>
      </c>
      <c r="D1312" t="s">
        <v>729</v>
      </c>
      <c r="E1312" t="s">
        <v>2471</v>
      </c>
      <c r="F1312" t="s">
        <v>2472</v>
      </c>
      <c r="G1312" t="str">
        <f>"201512000194"</f>
        <v>201512000194</v>
      </c>
      <c r="H1312" t="s">
        <v>2473</v>
      </c>
      <c r="I1312">
        <v>150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V1312">
        <v>1</v>
      </c>
      <c r="W1312" t="s">
        <v>2474</v>
      </c>
    </row>
    <row r="1313" spans="1:23" x14ac:dyDescent="0.25">
      <c r="H1313" t="s">
        <v>2475</v>
      </c>
    </row>
    <row r="1314" spans="1:23" x14ac:dyDescent="0.25">
      <c r="A1314">
        <v>654</v>
      </c>
      <c r="B1314">
        <v>1679</v>
      </c>
      <c r="C1314" t="s">
        <v>2476</v>
      </c>
      <c r="D1314" t="s">
        <v>841</v>
      </c>
      <c r="E1314" t="s">
        <v>184</v>
      </c>
      <c r="F1314" t="s">
        <v>2477</v>
      </c>
      <c r="G1314" t="str">
        <f>"00017292"</f>
        <v>00017292</v>
      </c>
      <c r="H1314" t="s">
        <v>693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V1314">
        <v>1</v>
      </c>
      <c r="W1314" t="s">
        <v>693</v>
      </c>
    </row>
    <row r="1315" spans="1:23" x14ac:dyDescent="0.25">
      <c r="H1315" t="s">
        <v>2478</v>
      </c>
    </row>
    <row r="1316" spans="1:23" x14ac:dyDescent="0.25">
      <c r="A1316">
        <v>655</v>
      </c>
      <c r="B1316">
        <v>4965</v>
      </c>
      <c r="C1316" t="s">
        <v>2479</v>
      </c>
      <c r="D1316" t="s">
        <v>2480</v>
      </c>
      <c r="E1316" t="s">
        <v>298</v>
      </c>
      <c r="F1316" t="s">
        <v>2481</v>
      </c>
      <c r="G1316" t="str">
        <f>"201511036311"</f>
        <v>201511036311</v>
      </c>
      <c r="H1316" t="s">
        <v>693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V1316">
        <v>1</v>
      </c>
      <c r="W1316" t="s">
        <v>693</v>
      </c>
    </row>
    <row r="1317" spans="1:23" x14ac:dyDescent="0.25">
      <c r="H1317" t="s">
        <v>2482</v>
      </c>
    </row>
    <row r="1318" spans="1:23" x14ac:dyDescent="0.25">
      <c r="A1318">
        <v>656</v>
      </c>
      <c r="B1318">
        <v>5749</v>
      </c>
      <c r="C1318" t="s">
        <v>2483</v>
      </c>
      <c r="D1318" t="s">
        <v>23</v>
      </c>
      <c r="E1318" t="s">
        <v>154</v>
      </c>
      <c r="F1318" t="s">
        <v>2484</v>
      </c>
      <c r="G1318" t="str">
        <f>"201511038753"</f>
        <v>201511038753</v>
      </c>
      <c r="H1318" t="s">
        <v>693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V1318">
        <v>1</v>
      </c>
      <c r="W1318" t="s">
        <v>693</v>
      </c>
    </row>
    <row r="1319" spans="1:23" x14ac:dyDescent="0.25">
      <c r="H1319" t="s">
        <v>2485</v>
      </c>
    </row>
    <row r="1320" spans="1:23" x14ac:dyDescent="0.25">
      <c r="A1320">
        <v>657</v>
      </c>
      <c r="B1320">
        <v>7610</v>
      </c>
      <c r="C1320" t="s">
        <v>2486</v>
      </c>
      <c r="D1320" t="s">
        <v>51</v>
      </c>
      <c r="E1320" t="s">
        <v>213</v>
      </c>
      <c r="F1320" t="s">
        <v>2487</v>
      </c>
      <c r="G1320" t="str">
        <f>"201511031074"</f>
        <v>201511031074</v>
      </c>
      <c r="H1320" t="s">
        <v>693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V1320">
        <v>1</v>
      </c>
      <c r="W1320" t="s">
        <v>693</v>
      </c>
    </row>
    <row r="1321" spans="1:23" x14ac:dyDescent="0.25">
      <c r="H1321" t="s">
        <v>2488</v>
      </c>
    </row>
    <row r="1322" spans="1:23" x14ac:dyDescent="0.25">
      <c r="A1322">
        <v>658</v>
      </c>
      <c r="B1322">
        <v>9540</v>
      </c>
      <c r="C1322" t="s">
        <v>2289</v>
      </c>
      <c r="D1322" t="s">
        <v>351</v>
      </c>
      <c r="E1322" t="s">
        <v>154</v>
      </c>
      <c r="F1322" t="s">
        <v>2489</v>
      </c>
      <c r="G1322" t="str">
        <f>"00046912"</f>
        <v>00046912</v>
      </c>
      <c r="H1322" t="s">
        <v>418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20</v>
      </c>
      <c r="S1322">
        <v>140</v>
      </c>
      <c r="V1322">
        <v>1</v>
      </c>
      <c r="W1322" t="s">
        <v>2490</v>
      </c>
    </row>
    <row r="1323" spans="1:23" x14ac:dyDescent="0.25">
      <c r="H1323" t="s">
        <v>2491</v>
      </c>
    </row>
    <row r="1324" spans="1:23" x14ac:dyDescent="0.25">
      <c r="A1324">
        <v>659</v>
      </c>
      <c r="B1324">
        <v>3516</v>
      </c>
      <c r="C1324" t="s">
        <v>2492</v>
      </c>
      <c r="D1324" t="s">
        <v>465</v>
      </c>
      <c r="E1324" t="s">
        <v>154</v>
      </c>
      <c r="F1324" t="s">
        <v>2493</v>
      </c>
      <c r="G1324" t="str">
        <f>"201511029051"</f>
        <v>201511029051</v>
      </c>
      <c r="H1324" t="s">
        <v>2494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29</v>
      </c>
      <c r="S1324">
        <v>203</v>
      </c>
      <c r="V1324">
        <v>1</v>
      </c>
      <c r="W1324" t="s">
        <v>2495</v>
      </c>
    </row>
    <row r="1325" spans="1:23" x14ac:dyDescent="0.25">
      <c r="H1325" t="s">
        <v>2496</v>
      </c>
    </row>
    <row r="1326" spans="1:23" x14ac:dyDescent="0.25">
      <c r="A1326">
        <v>660</v>
      </c>
      <c r="B1326">
        <v>2214</v>
      </c>
      <c r="C1326" t="s">
        <v>2497</v>
      </c>
      <c r="D1326" t="s">
        <v>157</v>
      </c>
      <c r="E1326" t="s">
        <v>154</v>
      </c>
      <c r="F1326" t="s">
        <v>2498</v>
      </c>
      <c r="G1326" t="str">
        <f>"201511031044"</f>
        <v>201511031044</v>
      </c>
      <c r="H1326">
        <v>1001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5</v>
      </c>
      <c r="S1326">
        <v>35</v>
      </c>
      <c r="V1326">
        <v>1</v>
      </c>
      <c r="W1326">
        <v>1036</v>
      </c>
    </row>
    <row r="1327" spans="1:23" x14ac:dyDescent="0.25">
      <c r="H1327" t="s">
        <v>2499</v>
      </c>
    </row>
    <row r="1328" spans="1:23" x14ac:dyDescent="0.25">
      <c r="A1328">
        <v>661</v>
      </c>
      <c r="B1328">
        <v>2046</v>
      </c>
      <c r="C1328" t="s">
        <v>2500</v>
      </c>
      <c r="D1328" t="s">
        <v>1911</v>
      </c>
      <c r="E1328" t="s">
        <v>15</v>
      </c>
      <c r="F1328" t="s">
        <v>2501</v>
      </c>
      <c r="G1328" t="str">
        <f>"201511025119"</f>
        <v>201511025119</v>
      </c>
      <c r="H1328" t="s">
        <v>1582</v>
      </c>
      <c r="I1328">
        <v>150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V1328">
        <v>1</v>
      </c>
      <c r="W1328" t="s">
        <v>2502</v>
      </c>
    </row>
    <row r="1329" spans="1:23" x14ac:dyDescent="0.25">
      <c r="H1329" t="s">
        <v>2503</v>
      </c>
    </row>
    <row r="1330" spans="1:23" x14ac:dyDescent="0.25">
      <c r="A1330">
        <v>662</v>
      </c>
      <c r="B1330">
        <v>6159</v>
      </c>
      <c r="C1330" t="s">
        <v>2504</v>
      </c>
      <c r="D1330" t="s">
        <v>66</v>
      </c>
      <c r="E1330" t="s">
        <v>20</v>
      </c>
      <c r="F1330" t="s">
        <v>2505</v>
      </c>
      <c r="G1330" t="str">
        <f>"201511033171"</f>
        <v>201511033171</v>
      </c>
      <c r="H1330" t="s">
        <v>1582</v>
      </c>
      <c r="I1330">
        <v>150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V1330">
        <v>1</v>
      </c>
      <c r="W1330" t="s">
        <v>2502</v>
      </c>
    </row>
    <row r="1331" spans="1:23" x14ac:dyDescent="0.25">
      <c r="H1331" t="s">
        <v>2506</v>
      </c>
    </row>
    <row r="1332" spans="1:23" x14ac:dyDescent="0.25">
      <c r="A1332">
        <v>663</v>
      </c>
      <c r="B1332">
        <v>268</v>
      </c>
      <c r="C1332" t="s">
        <v>2507</v>
      </c>
      <c r="D1332" t="s">
        <v>1405</v>
      </c>
      <c r="E1332" t="s">
        <v>154</v>
      </c>
      <c r="F1332" t="s">
        <v>2508</v>
      </c>
      <c r="G1332" t="str">
        <f>"201511032515"</f>
        <v>201511032515</v>
      </c>
      <c r="H1332" t="s">
        <v>1179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5</v>
      </c>
      <c r="S1332">
        <v>35</v>
      </c>
      <c r="V1332">
        <v>1</v>
      </c>
      <c r="W1332" t="s">
        <v>2509</v>
      </c>
    </row>
    <row r="1333" spans="1:23" x14ac:dyDescent="0.25">
      <c r="H1333" t="s">
        <v>2510</v>
      </c>
    </row>
    <row r="1334" spans="1:23" x14ac:dyDescent="0.25">
      <c r="A1334">
        <v>664</v>
      </c>
      <c r="B1334">
        <v>4432</v>
      </c>
      <c r="C1334" t="s">
        <v>2511</v>
      </c>
      <c r="D1334" t="s">
        <v>208</v>
      </c>
      <c r="E1334" t="s">
        <v>484</v>
      </c>
      <c r="F1334" t="s">
        <v>2512</v>
      </c>
      <c r="G1334" t="str">
        <f>"201512004269"</f>
        <v>201512004269</v>
      </c>
      <c r="H1334">
        <v>1034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V1334">
        <v>1</v>
      </c>
      <c r="W1334">
        <v>1034</v>
      </c>
    </row>
    <row r="1335" spans="1:23" x14ac:dyDescent="0.25">
      <c r="H1335" t="s">
        <v>2513</v>
      </c>
    </row>
    <row r="1336" spans="1:23" x14ac:dyDescent="0.25">
      <c r="A1336">
        <v>665</v>
      </c>
      <c r="B1336">
        <v>199</v>
      </c>
      <c r="C1336" t="s">
        <v>2514</v>
      </c>
      <c r="D1336" t="s">
        <v>351</v>
      </c>
      <c r="E1336" t="s">
        <v>451</v>
      </c>
      <c r="F1336" t="s">
        <v>2515</v>
      </c>
      <c r="G1336" t="str">
        <f>"201511037044"</f>
        <v>201511037044</v>
      </c>
      <c r="H1336">
        <v>1034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V1336">
        <v>1</v>
      </c>
      <c r="W1336">
        <v>1034</v>
      </c>
    </row>
    <row r="1337" spans="1:23" x14ac:dyDescent="0.25">
      <c r="H1337" t="s">
        <v>2516</v>
      </c>
    </row>
    <row r="1338" spans="1:23" x14ac:dyDescent="0.25">
      <c r="A1338">
        <v>666</v>
      </c>
      <c r="B1338">
        <v>10279</v>
      </c>
      <c r="C1338" t="s">
        <v>2517</v>
      </c>
      <c r="D1338" t="s">
        <v>57</v>
      </c>
      <c r="E1338" t="s">
        <v>37</v>
      </c>
      <c r="F1338" t="s">
        <v>2518</v>
      </c>
      <c r="G1338" t="str">
        <f>"00100964"</f>
        <v>00100964</v>
      </c>
      <c r="H1338">
        <v>935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14</v>
      </c>
      <c r="S1338">
        <v>98</v>
      </c>
      <c r="V1338">
        <v>1</v>
      </c>
      <c r="W1338">
        <v>1033</v>
      </c>
    </row>
    <row r="1339" spans="1:23" x14ac:dyDescent="0.25">
      <c r="H1339" t="s">
        <v>2519</v>
      </c>
    </row>
    <row r="1340" spans="1:23" x14ac:dyDescent="0.25">
      <c r="A1340">
        <v>667</v>
      </c>
      <c r="B1340">
        <v>7487</v>
      </c>
      <c r="C1340" t="s">
        <v>2520</v>
      </c>
      <c r="D1340" t="s">
        <v>51</v>
      </c>
      <c r="E1340" t="s">
        <v>80</v>
      </c>
      <c r="F1340" t="s">
        <v>2521</v>
      </c>
      <c r="G1340" t="str">
        <f>"201511035581"</f>
        <v>201511035581</v>
      </c>
      <c r="H1340" t="s">
        <v>2522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31</v>
      </c>
      <c r="S1340">
        <v>217</v>
      </c>
      <c r="V1340">
        <v>1</v>
      </c>
      <c r="W1340" t="s">
        <v>2523</v>
      </c>
    </row>
    <row r="1341" spans="1:23" x14ac:dyDescent="0.25">
      <c r="H1341" t="s">
        <v>2524</v>
      </c>
    </row>
    <row r="1342" spans="1:23" x14ac:dyDescent="0.25">
      <c r="A1342">
        <v>668</v>
      </c>
      <c r="B1342">
        <v>8256</v>
      </c>
      <c r="C1342" t="s">
        <v>2525</v>
      </c>
      <c r="D1342" t="s">
        <v>153</v>
      </c>
      <c r="E1342" t="s">
        <v>37</v>
      </c>
      <c r="F1342" t="s">
        <v>2526</v>
      </c>
      <c r="G1342" t="str">
        <f>"201511035664"</f>
        <v>201511035664</v>
      </c>
      <c r="H1342" t="s">
        <v>2527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36</v>
      </c>
      <c r="S1342">
        <v>252</v>
      </c>
      <c r="V1342">
        <v>1</v>
      </c>
      <c r="W1342" t="s">
        <v>2528</v>
      </c>
    </row>
    <row r="1343" spans="1:23" x14ac:dyDescent="0.25">
      <c r="H1343" t="s">
        <v>2529</v>
      </c>
    </row>
    <row r="1344" spans="1:23" x14ac:dyDescent="0.25">
      <c r="A1344">
        <v>669</v>
      </c>
      <c r="B1344">
        <v>305</v>
      </c>
      <c r="C1344" t="s">
        <v>2530</v>
      </c>
      <c r="D1344" t="s">
        <v>351</v>
      </c>
      <c r="E1344" t="s">
        <v>276</v>
      </c>
      <c r="F1344" t="s">
        <v>2531</v>
      </c>
      <c r="G1344" t="str">
        <f>"00047768"</f>
        <v>00047768</v>
      </c>
      <c r="H1344">
        <v>880</v>
      </c>
      <c r="I1344">
        <v>150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V1344">
        <v>1</v>
      </c>
      <c r="W1344">
        <v>1030</v>
      </c>
    </row>
    <row r="1345" spans="1:23" x14ac:dyDescent="0.25">
      <c r="H1345">
        <v>862</v>
      </c>
    </row>
    <row r="1346" spans="1:23" x14ac:dyDescent="0.25">
      <c r="A1346">
        <v>670</v>
      </c>
      <c r="B1346">
        <v>6659</v>
      </c>
      <c r="C1346" t="s">
        <v>826</v>
      </c>
      <c r="D1346" t="s">
        <v>2532</v>
      </c>
      <c r="E1346" t="s">
        <v>80</v>
      </c>
      <c r="F1346" t="s">
        <v>2533</v>
      </c>
      <c r="G1346" t="str">
        <f>"201511024047"</f>
        <v>201511024047</v>
      </c>
      <c r="H1346">
        <v>880</v>
      </c>
      <c r="I1346">
        <v>150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V1346">
        <v>1</v>
      </c>
      <c r="W1346">
        <v>1030</v>
      </c>
    </row>
    <row r="1347" spans="1:23" x14ac:dyDescent="0.25">
      <c r="H1347" t="s">
        <v>2534</v>
      </c>
    </row>
    <row r="1348" spans="1:23" x14ac:dyDescent="0.25">
      <c r="A1348">
        <v>671</v>
      </c>
      <c r="B1348">
        <v>8318</v>
      </c>
      <c r="C1348" t="s">
        <v>1936</v>
      </c>
      <c r="D1348" t="s">
        <v>539</v>
      </c>
      <c r="E1348" t="s">
        <v>229</v>
      </c>
      <c r="F1348" t="s">
        <v>2535</v>
      </c>
      <c r="G1348" t="str">
        <f>"201511018619"</f>
        <v>201511018619</v>
      </c>
      <c r="H1348" t="s">
        <v>332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V1348">
        <v>1</v>
      </c>
      <c r="W1348" t="s">
        <v>332</v>
      </c>
    </row>
    <row r="1349" spans="1:23" x14ac:dyDescent="0.25">
      <c r="H1349" t="s">
        <v>2536</v>
      </c>
    </row>
    <row r="1350" spans="1:23" x14ac:dyDescent="0.25">
      <c r="A1350">
        <v>672</v>
      </c>
      <c r="B1350">
        <v>4640</v>
      </c>
      <c r="C1350" t="s">
        <v>2537</v>
      </c>
      <c r="D1350" t="s">
        <v>368</v>
      </c>
      <c r="E1350" t="s">
        <v>2538</v>
      </c>
      <c r="F1350" t="s">
        <v>2539</v>
      </c>
      <c r="G1350" t="str">
        <f>"201511029509"</f>
        <v>201511029509</v>
      </c>
      <c r="H1350" t="s">
        <v>332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V1350">
        <v>1</v>
      </c>
      <c r="W1350" t="s">
        <v>332</v>
      </c>
    </row>
    <row r="1351" spans="1:23" x14ac:dyDescent="0.25">
      <c r="H1351" t="s">
        <v>2540</v>
      </c>
    </row>
    <row r="1352" spans="1:23" x14ac:dyDescent="0.25">
      <c r="A1352">
        <v>673</v>
      </c>
      <c r="B1352">
        <v>9966</v>
      </c>
      <c r="C1352" t="s">
        <v>2541</v>
      </c>
      <c r="D1352" t="s">
        <v>340</v>
      </c>
      <c r="E1352" t="s">
        <v>30</v>
      </c>
      <c r="F1352" t="s">
        <v>2542</v>
      </c>
      <c r="G1352" t="str">
        <f>"201511030022"</f>
        <v>201511030022</v>
      </c>
      <c r="H1352" t="s">
        <v>332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0</v>
      </c>
      <c r="V1352">
        <v>1</v>
      </c>
      <c r="W1352" t="s">
        <v>332</v>
      </c>
    </row>
    <row r="1353" spans="1:23" x14ac:dyDescent="0.25">
      <c r="H1353" t="s">
        <v>2543</v>
      </c>
    </row>
    <row r="1354" spans="1:23" x14ac:dyDescent="0.25">
      <c r="A1354">
        <v>674</v>
      </c>
      <c r="B1354">
        <v>10282</v>
      </c>
      <c r="C1354" t="s">
        <v>2544</v>
      </c>
      <c r="D1354" t="s">
        <v>465</v>
      </c>
      <c r="E1354" t="s">
        <v>344</v>
      </c>
      <c r="F1354" t="s">
        <v>2545</v>
      </c>
      <c r="G1354" t="str">
        <f>"201511026307"</f>
        <v>201511026307</v>
      </c>
      <c r="H1354" t="s">
        <v>1973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8</v>
      </c>
      <c r="S1354">
        <v>56</v>
      </c>
      <c r="V1354">
        <v>1</v>
      </c>
      <c r="W1354" t="s">
        <v>2546</v>
      </c>
    </row>
    <row r="1355" spans="1:23" x14ac:dyDescent="0.25">
      <c r="H1355" t="s">
        <v>2547</v>
      </c>
    </row>
    <row r="1356" spans="1:23" x14ac:dyDescent="0.25">
      <c r="A1356">
        <v>675</v>
      </c>
      <c r="B1356">
        <v>6506</v>
      </c>
      <c r="C1356" t="s">
        <v>2548</v>
      </c>
      <c r="D1356" t="s">
        <v>2549</v>
      </c>
      <c r="E1356" t="s">
        <v>276</v>
      </c>
      <c r="F1356" t="s">
        <v>2550</v>
      </c>
      <c r="G1356" t="str">
        <f>"00034631"</f>
        <v>00034631</v>
      </c>
      <c r="H1356">
        <v>935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13</v>
      </c>
      <c r="S1356">
        <v>91</v>
      </c>
      <c r="V1356">
        <v>1</v>
      </c>
      <c r="W1356">
        <v>1026</v>
      </c>
    </row>
    <row r="1357" spans="1:23" x14ac:dyDescent="0.25">
      <c r="H1357" t="s">
        <v>2551</v>
      </c>
    </row>
    <row r="1358" spans="1:23" x14ac:dyDescent="0.25">
      <c r="A1358">
        <v>676</v>
      </c>
      <c r="B1358">
        <v>6531</v>
      </c>
      <c r="C1358" t="s">
        <v>2552</v>
      </c>
      <c r="D1358" t="s">
        <v>934</v>
      </c>
      <c r="E1358" t="s">
        <v>20</v>
      </c>
      <c r="F1358" t="s">
        <v>2553</v>
      </c>
      <c r="G1358" t="str">
        <f>"00093203"</f>
        <v>00093203</v>
      </c>
      <c r="H1358">
        <v>990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5</v>
      </c>
      <c r="S1358">
        <v>35</v>
      </c>
      <c r="V1358">
        <v>1</v>
      </c>
      <c r="W1358">
        <v>1025</v>
      </c>
    </row>
    <row r="1359" spans="1:23" x14ac:dyDescent="0.25">
      <c r="H1359" t="s">
        <v>2554</v>
      </c>
    </row>
    <row r="1360" spans="1:23" x14ac:dyDescent="0.25">
      <c r="A1360">
        <v>677</v>
      </c>
      <c r="B1360">
        <v>8378</v>
      </c>
      <c r="C1360" t="s">
        <v>2555</v>
      </c>
      <c r="D1360" t="s">
        <v>1445</v>
      </c>
      <c r="E1360" t="s">
        <v>80</v>
      </c>
      <c r="F1360" t="s">
        <v>2556</v>
      </c>
      <c r="G1360" t="str">
        <f>"00088561"</f>
        <v>00088561</v>
      </c>
      <c r="H1360" t="s">
        <v>143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4</v>
      </c>
      <c r="S1360">
        <v>28</v>
      </c>
      <c r="V1360">
        <v>3</v>
      </c>
      <c r="W1360" t="s">
        <v>2557</v>
      </c>
    </row>
    <row r="1361" spans="1:23" x14ac:dyDescent="0.25">
      <c r="H1361" t="s">
        <v>2558</v>
      </c>
    </row>
    <row r="1362" spans="1:23" x14ac:dyDescent="0.25">
      <c r="A1362">
        <v>678</v>
      </c>
      <c r="B1362">
        <v>6687</v>
      </c>
      <c r="C1362" t="s">
        <v>2559</v>
      </c>
      <c r="D1362" t="s">
        <v>2560</v>
      </c>
      <c r="E1362" t="s">
        <v>2561</v>
      </c>
      <c r="F1362" t="s">
        <v>2562</v>
      </c>
      <c r="G1362" t="str">
        <f>"00076639"</f>
        <v>00076639</v>
      </c>
      <c r="H1362">
        <v>1023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V1362">
        <v>1</v>
      </c>
      <c r="W1362">
        <v>1023</v>
      </c>
    </row>
    <row r="1363" spans="1:23" x14ac:dyDescent="0.25">
      <c r="H1363" t="s">
        <v>2563</v>
      </c>
    </row>
    <row r="1364" spans="1:23" x14ac:dyDescent="0.25">
      <c r="A1364">
        <v>679</v>
      </c>
      <c r="B1364">
        <v>187</v>
      </c>
      <c r="C1364" t="s">
        <v>2564</v>
      </c>
      <c r="D1364" t="s">
        <v>322</v>
      </c>
      <c r="E1364" t="s">
        <v>2565</v>
      </c>
      <c r="F1364" t="s">
        <v>2566</v>
      </c>
      <c r="G1364" t="str">
        <f>"201511026521"</f>
        <v>201511026521</v>
      </c>
      <c r="H1364">
        <v>1023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S1364">
        <v>0</v>
      </c>
      <c r="V1364">
        <v>1</v>
      </c>
      <c r="W1364">
        <v>1023</v>
      </c>
    </row>
    <row r="1365" spans="1:23" x14ac:dyDescent="0.25">
      <c r="H1365" t="s">
        <v>2567</v>
      </c>
    </row>
    <row r="1366" spans="1:23" x14ac:dyDescent="0.25">
      <c r="A1366">
        <v>680</v>
      </c>
      <c r="B1366">
        <v>9662</v>
      </c>
      <c r="C1366" t="s">
        <v>2568</v>
      </c>
      <c r="D1366" t="s">
        <v>30</v>
      </c>
      <c r="E1366" t="s">
        <v>56</v>
      </c>
      <c r="F1366" t="s">
        <v>2569</v>
      </c>
      <c r="G1366" t="str">
        <f>"201511016777"</f>
        <v>201511016777</v>
      </c>
      <c r="H1366" t="s">
        <v>2570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V1366">
        <v>1</v>
      </c>
      <c r="W1366" t="s">
        <v>2570</v>
      </c>
    </row>
    <row r="1367" spans="1:23" x14ac:dyDescent="0.25">
      <c r="H1367" t="s">
        <v>2571</v>
      </c>
    </row>
    <row r="1368" spans="1:23" x14ac:dyDescent="0.25">
      <c r="A1368">
        <v>681</v>
      </c>
      <c r="B1368">
        <v>463</v>
      </c>
      <c r="C1368" t="s">
        <v>2572</v>
      </c>
      <c r="D1368" t="s">
        <v>23</v>
      </c>
      <c r="E1368" t="s">
        <v>374</v>
      </c>
      <c r="F1368" t="s">
        <v>2573</v>
      </c>
      <c r="G1368" t="str">
        <f>"201511031019"</f>
        <v>201511031019</v>
      </c>
      <c r="H1368">
        <v>825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28</v>
      </c>
      <c r="S1368">
        <v>196</v>
      </c>
      <c r="V1368">
        <v>1</v>
      </c>
      <c r="W1368">
        <v>1021</v>
      </c>
    </row>
    <row r="1369" spans="1:23" x14ac:dyDescent="0.25">
      <c r="H1369" t="s">
        <v>2574</v>
      </c>
    </row>
    <row r="1370" spans="1:23" x14ac:dyDescent="0.25">
      <c r="A1370">
        <v>682</v>
      </c>
      <c r="B1370">
        <v>10283</v>
      </c>
      <c r="C1370" t="s">
        <v>2575</v>
      </c>
      <c r="D1370" t="s">
        <v>1393</v>
      </c>
      <c r="E1370" t="s">
        <v>62</v>
      </c>
      <c r="F1370" t="s">
        <v>2576</v>
      </c>
      <c r="G1370" t="str">
        <f>"00090891"</f>
        <v>00090891</v>
      </c>
      <c r="H1370" t="s">
        <v>2577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70</v>
      </c>
      <c r="P1370">
        <v>0</v>
      </c>
      <c r="Q1370">
        <v>0</v>
      </c>
      <c r="R1370">
        <v>24</v>
      </c>
      <c r="S1370">
        <v>168</v>
      </c>
      <c r="V1370">
        <v>1</v>
      </c>
      <c r="W1370" t="s">
        <v>2578</v>
      </c>
    </row>
    <row r="1371" spans="1:23" x14ac:dyDescent="0.25">
      <c r="H1371" t="s">
        <v>2579</v>
      </c>
    </row>
    <row r="1372" spans="1:23" x14ac:dyDescent="0.25">
      <c r="A1372">
        <v>683</v>
      </c>
      <c r="B1372">
        <v>7615</v>
      </c>
      <c r="C1372" t="s">
        <v>2580</v>
      </c>
      <c r="D1372" t="s">
        <v>1445</v>
      </c>
      <c r="E1372" t="s">
        <v>2581</v>
      </c>
      <c r="F1372" t="s">
        <v>2582</v>
      </c>
      <c r="G1372" t="str">
        <f>"201511023640"</f>
        <v>201511023640</v>
      </c>
      <c r="H1372">
        <v>990</v>
      </c>
      <c r="I1372">
        <v>0</v>
      </c>
      <c r="J1372">
        <v>30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0</v>
      </c>
      <c r="V1372">
        <v>1</v>
      </c>
      <c r="W1372">
        <v>1020</v>
      </c>
    </row>
    <row r="1373" spans="1:23" x14ac:dyDescent="0.25">
      <c r="H1373" t="s">
        <v>2583</v>
      </c>
    </row>
    <row r="1374" spans="1:23" x14ac:dyDescent="0.25">
      <c r="A1374">
        <v>684</v>
      </c>
      <c r="B1374">
        <v>2338</v>
      </c>
      <c r="C1374" t="s">
        <v>2584</v>
      </c>
      <c r="D1374" t="s">
        <v>172</v>
      </c>
      <c r="E1374" t="s">
        <v>2585</v>
      </c>
      <c r="F1374" t="s">
        <v>2586</v>
      </c>
      <c r="G1374" t="str">
        <f>"201402008508"</f>
        <v>201402008508</v>
      </c>
      <c r="H1374">
        <v>990</v>
      </c>
      <c r="I1374">
        <v>0</v>
      </c>
      <c r="J1374">
        <v>30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V1374">
        <v>1</v>
      </c>
      <c r="W1374">
        <v>1020</v>
      </c>
    </row>
    <row r="1375" spans="1:23" x14ac:dyDescent="0.25">
      <c r="H1375" t="s">
        <v>2587</v>
      </c>
    </row>
    <row r="1376" spans="1:23" x14ac:dyDescent="0.25">
      <c r="A1376">
        <v>685</v>
      </c>
      <c r="B1376">
        <v>2455</v>
      </c>
      <c r="C1376" t="s">
        <v>2588</v>
      </c>
      <c r="D1376" t="s">
        <v>934</v>
      </c>
      <c r="E1376" t="s">
        <v>158</v>
      </c>
      <c r="F1376" t="s">
        <v>2589</v>
      </c>
      <c r="G1376" t="str">
        <f>"201510003475"</f>
        <v>201510003475</v>
      </c>
      <c r="H1376">
        <v>990</v>
      </c>
      <c r="I1376">
        <v>0</v>
      </c>
      <c r="J1376">
        <v>30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V1376">
        <v>1</v>
      </c>
      <c r="W1376">
        <v>1020</v>
      </c>
    </row>
    <row r="1377" spans="1:23" x14ac:dyDescent="0.25">
      <c r="H1377" t="s">
        <v>2590</v>
      </c>
    </row>
    <row r="1378" spans="1:23" x14ac:dyDescent="0.25">
      <c r="A1378">
        <v>686</v>
      </c>
      <c r="B1378">
        <v>8998</v>
      </c>
      <c r="C1378" t="s">
        <v>2591</v>
      </c>
      <c r="D1378" t="s">
        <v>276</v>
      </c>
      <c r="E1378" t="s">
        <v>30</v>
      </c>
      <c r="F1378" t="s">
        <v>2592</v>
      </c>
      <c r="G1378" t="str">
        <f>"201511032064"</f>
        <v>201511032064</v>
      </c>
      <c r="H1378">
        <v>869</v>
      </c>
      <c r="I1378">
        <v>150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V1378">
        <v>1</v>
      </c>
      <c r="W1378">
        <v>1019</v>
      </c>
    </row>
    <row r="1379" spans="1:23" x14ac:dyDescent="0.25">
      <c r="H1379" t="s">
        <v>2593</v>
      </c>
    </row>
    <row r="1380" spans="1:23" x14ac:dyDescent="0.25">
      <c r="A1380">
        <v>687</v>
      </c>
      <c r="B1380">
        <v>9220</v>
      </c>
      <c r="C1380" t="s">
        <v>2594</v>
      </c>
      <c r="D1380" t="s">
        <v>474</v>
      </c>
      <c r="E1380" t="s">
        <v>1281</v>
      </c>
      <c r="F1380" t="s">
        <v>2595</v>
      </c>
      <c r="G1380" t="str">
        <f>"201511030993"</f>
        <v>201511030993</v>
      </c>
      <c r="H1380" t="s">
        <v>226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V1380">
        <v>1</v>
      </c>
      <c r="W1380" t="s">
        <v>226</v>
      </c>
    </row>
    <row r="1381" spans="1:23" x14ac:dyDescent="0.25">
      <c r="H1381" t="s">
        <v>2596</v>
      </c>
    </row>
    <row r="1382" spans="1:23" x14ac:dyDescent="0.25">
      <c r="A1382">
        <v>688</v>
      </c>
      <c r="B1382">
        <v>2849</v>
      </c>
      <c r="C1382" t="s">
        <v>2597</v>
      </c>
      <c r="D1382" t="s">
        <v>79</v>
      </c>
      <c r="E1382" t="s">
        <v>37</v>
      </c>
      <c r="F1382" t="s">
        <v>2598</v>
      </c>
      <c r="G1382" t="str">
        <f>"00028324"</f>
        <v>00028324</v>
      </c>
      <c r="H1382" t="s">
        <v>226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v>0</v>
      </c>
      <c r="V1382">
        <v>1</v>
      </c>
      <c r="W1382" t="s">
        <v>226</v>
      </c>
    </row>
    <row r="1383" spans="1:23" x14ac:dyDescent="0.25">
      <c r="H1383" t="s">
        <v>2599</v>
      </c>
    </row>
    <row r="1384" spans="1:23" x14ac:dyDescent="0.25">
      <c r="A1384">
        <v>689</v>
      </c>
      <c r="B1384">
        <v>9943</v>
      </c>
      <c r="C1384" t="s">
        <v>2600</v>
      </c>
      <c r="D1384" t="s">
        <v>729</v>
      </c>
      <c r="E1384" t="s">
        <v>20</v>
      </c>
      <c r="F1384" t="s">
        <v>2601</v>
      </c>
      <c r="G1384" t="str">
        <f>"201510005097"</f>
        <v>201510005097</v>
      </c>
      <c r="H1384" t="s">
        <v>226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V1384">
        <v>1</v>
      </c>
      <c r="W1384" t="s">
        <v>226</v>
      </c>
    </row>
    <row r="1385" spans="1:23" x14ac:dyDescent="0.25">
      <c r="H1385" t="s">
        <v>2602</v>
      </c>
    </row>
    <row r="1386" spans="1:23" x14ac:dyDescent="0.25">
      <c r="A1386">
        <v>690</v>
      </c>
      <c r="B1386">
        <v>5949</v>
      </c>
      <c r="C1386" t="s">
        <v>2603</v>
      </c>
      <c r="D1386" t="s">
        <v>202</v>
      </c>
      <c r="E1386" t="s">
        <v>158</v>
      </c>
      <c r="F1386" t="s">
        <v>2604</v>
      </c>
      <c r="G1386" t="str">
        <f>"00082974"</f>
        <v>00082974</v>
      </c>
      <c r="H1386">
        <v>957</v>
      </c>
      <c r="I1386">
        <v>0</v>
      </c>
      <c r="J1386">
        <v>30</v>
      </c>
      <c r="K1386">
        <v>0</v>
      </c>
      <c r="L1386">
        <v>0</v>
      </c>
      <c r="M1386">
        <v>0</v>
      </c>
      <c r="N1386">
        <v>30</v>
      </c>
      <c r="O1386">
        <v>0</v>
      </c>
      <c r="P1386">
        <v>0</v>
      </c>
      <c r="Q1386">
        <v>0</v>
      </c>
      <c r="R1386">
        <v>0</v>
      </c>
      <c r="S1386">
        <v>0</v>
      </c>
      <c r="V1386">
        <v>1</v>
      </c>
      <c r="W1386">
        <v>1017</v>
      </c>
    </row>
    <row r="1387" spans="1:23" x14ac:dyDescent="0.25">
      <c r="H1387">
        <v>818</v>
      </c>
    </row>
    <row r="1388" spans="1:23" x14ac:dyDescent="0.25">
      <c r="A1388">
        <v>691</v>
      </c>
      <c r="B1388">
        <v>4187</v>
      </c>
      <c r="C1388" t="s">
        <v>2605</v>
      </c>
      <c r="D1388" t="s">
        <v>2606</v>
      </c>
      <c r="E1388" t="s">
        <v>62</v>
      </c>
      <c r="F1388" t="s">
        <v>2607</v>
      </c>
      <c r="G1388" t="str">
        <f>"00086036"</f>
        <v>00086036</v>
      </c>
      <c r="H1388" t="s">
        <v>1982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V1388">
        <v>1</v>
      </c>
      <c r="W1388" t="s">
        <v>1982</v>
      </c>
    </row>
    <row r="1389" spans="1:23" x14ac:dyDescent="0.25">
      <c r="H1389" t="s">
        <v>2608</v>
      </c>
    </row>
    <row r="1390" spans="1:23" x14ac:dyDescent="0.25">
      <c r="A1390">
        <v>692</v>
      </c>
      <c r="B1390">
        <v>5218</v>
      </c>
      <c r="C1390" t="s">
        <v>1980</v>
      </c>
      <c r="D1390" t="s">
        <v>673</v>
      </c>
      <c r="E1390" t="s">
        <v>229</v>
      </c>
      <c r="F1390" t="s">
        <v>1981</v>
      </c>
      <c r="G1390" t="str">
        <f>"00081878"</f>
        <v>00081878</v>
      </c>
      <c r="H1390" t="s">
        <v>1982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V1390">
        <v>1</v>
      </c>
      <c r="W1390" t="s">
        <v>1982</v>
      </c>
    </row>
    <row r="1391" spans="1:23" x14ac:dyDescent="0.25">
      <c r="H1391" t="s">
        <v>1984</v>
      </c>
    </row>
    <row r="1392" spans="1:23" x14ac:dyDescent="0.25">
      <c r="A1392">
        <v>693</v>
      </c>
      <c r="B1392">
        <v>3913</v>
      </c>
      <c r="C1392" t="s">
        <v>2609</v>
      </c>
      <c r="D1392" t="s">
        <v>1192</v>
      </c>
      <c r="E1392" t="s">
        <v>20</v>
      </c>
      <c r="F1392" t="s">
        <v>2610</v>
      </c>
      <c r="G1392" t="str">
        <f>"201511023251"</f>
        <v>201511023251</v>
      </c>
      <c r="H1392" t="s">
        <v>559</v>
      </c>
      <c r="I1392">
        <v>150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V1392">
        <v>1</v>
      </c>
      <c r="W1392" t="s">
        <v>2611</v>
      </c>
    </row>
    <row r="1393" spans="1:23" x14ac:dyDescent="0.25">
      <c r="H1393" t="s">
        <v>2612</v>
      </c>
    </row>
    <row r="1394" spans="1:23" x14ac:dyDescent="0.25">
      <c r="A1394">
        <v>694</v>
      </c>
      <c r="B1394">
        <v>8992</v>
      </c>
      <c r="C1394" t="s">
        <v>2613</v>
      </c>
      <c r="D1394" t="s">
        <v>427</v>
      </c>
      <c r="E1394" t="s">
        <v>284</v>
      </c>
      <c r="F1394" t="s">
        <v>2614</v>
      </c>
      <c r="G1394" t="str">
        <f>"201511008813"</f>
        <v>201511008813</v>
      </c>
      <c r="H1394" t="s">
        <v>2615</v>
      </c>
      <c r="I1394">
        <v>0</v>
      </c>
      <c r="J1394">
        <v>30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58</v>
      </c>
      <c r="S1394">
        <v>406</v>
      </c>
      <c r="V1394">
        <v>1</v>
      </c>
      <c r="W1394" t="s">
        <v>2611</v>
      </c>
    </row>
    <row r="1395" spans="1:23" x14ac:dyDescent="0.25">
      <c r="H1395" t="s">
        <v>2616</v>
      </c>
    </row>
    <row r="1396" spans="1:23" x14ac:dyDescent="0.25">
      <c r="A1396">
        <v>695</v>
      </c>
      <c r="B1396">
        <v>1624</v>
      </c>
      <c r="C1396" t="s">
        <v>2617</v>
      </c>
      <c r="D1396" t="s">
        <v>427</v>
      </c>
      <c r="E1396" t="s">
        <v>1686</v>
      </c>
      <c r="F1396" t="s">
        <v>2618</v>
      </c>
      <c r="G1396" t="str">
        <f>"00017560"</f>
        <v>00017560</v>
      </c>
      <c r="H1396">
        <v>880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19</v>
      </c>
      <c r="S1396">
        <v>133</v>
      </c>
      <c r="V1396">
        <v>1</v>
      </c>
      <c r="W1396">
        <v>1013</v>
      </c>
    </row>
    <row r="1397" spans="1:23" x14ac:dyDescent="0.25">
      <c r="H1397" t="s">
        <v>2619</v>
      </c>
    </row>
    <row r="1398" spans="1:23" x14ac:dyDescent="0.25">
      <c r="A1398">
        <v>696</v>
      </c>
      <c r="B1398">
        <v>4289</v>
      </c>
      <c r="C1398" t="s">
        <v>2620</v>
      </c>
      <c r="D1398" t="s">
        <v>2621</v>
      </c>
      <c r="E1398" t="s">
        <v>284</v>
      </c>
      <c r="F1398" t="s">
        <v>2622</v>
      </c>
      <c r="G1398" t="str">
        <f>"00023702"</f>
        <v>00023702</v>
      </c>
      <c r="H1398">
        <v>803</v>
      </c>
      <c r="I1398">
        <v>0</v>
      </c>
      <c r="J1398">
        <v>70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20</v>
      </c>
      <c r="S1398">
        <v>140</v>
      </c>
      <c r="V1398">
        <v>1</v>
      </c>
      <c r="W1398">
        <v>1013</v>
      </c>
    </row>
    <row r="1399" spans="1:23" x14ac:dyDescent="0.25">
      <c r="H1399" t="s">
        <v>2623</v>
      </c>
    </row>
    <row r="1400" spans="1:23" x14ac:dyDescent="0.25">
      <c r="A1400">
        <v>697</v>
      </c>
      <c r="B1400">
        <v>2435</v>
      </c>
      <c r="C1400" t="s">
        <v>1812</v>
      </c>
      <c r="D1400" t="s">
        <v>351</v>
      </c>
      <c r="E1400" t="s">
        <v>500</v>
      </c>
      <c r="F1400" t="s">
        <v>1813</v>
      </c>
      <c r="G1400" t="str">
        <f>"201101000030"</f>
        <v>201101000030</v>
      </c>
      <c r="H1400">
        <v>1012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0</v>
      </c>
      <c r="V1400">
        <v>1</v>
      </c>
      <c r="W1400">
        <v>1012</v>
      </c>
    </row>
    <row r="1401" spans="1:23" x14ac:dyDescent="0.25">
      <c r="H1401" t="s">
        <v>310</v>
      </c>
    </row>
    <row r="1402" spans="1:23" x14ac:dyDescent="0.25">
      <c r="A1402">
        <v>698</v>
      </c>
      <c r="B1402">
        <v>9530</v>
      </c>
      <c r="C1402" t="s">
        <v>415</v>
      </c>
      <c r="D1402" t="s">
        <v>275</v>
      </c>
      <c r="E1402" t="s">
        <v>37</v>
      </c>
      <c r="F1402" t="s">
        <v>2624</v>
      </c>
      <c r="G1402" t="str">
        <f>"00069842"</f>
        <v>00069842</v>
      </c>
      <c r="H1402">
        <v>1012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0</v>
      </c>
      <c r="V1402">
        <v>1</v>
      </c>
      <c r="W1402">
        <v>1012</v>
      </c>
    </row>
    <row r="1403" spans="1:23" x14ac:dyDescent="0.25">
      <c r="H1403" t="s">
        <v>2625</v>
      </c>
    </row>
    <row r="1404" spans="1:23" x14ac:dyDescent="0.25">
      <c r="A1404">
        <v>699</v>
      </c>
      <c r="B1404">
        <v>7316</v>
      </c>
      <c r="C1404" t="s">
        <v>1564</v>
      </c>
      <c r="D1404" t="s">
        <v>2626</v>
      </c>
      <c r="E1404" t="s">
        <v>20</v>
      </c>
      <c r="F1404" t="s">
        <v>2627</v>
      </c>
      <c r="G1404" t="str">
        <f>"201511027718"</f>
        <v>201511027718</v>
      </c>
      <c r="H1404">
        <v>1012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V1404">
        <v>1</v>
      </c>
      <c r="W1404">
        <v>1012</v>
      </c>
    </row>
    <row r="1405" spans="1:23" x14ac:dyDescent="0.25">
      <c r="H1405" t="s">
        <v>2628</v>
      </c>
    </row>
    <row r="1406" spans="1:23" x14ac:dyDescent="0.25">
      <c r="A1406">
        <v>700</v>
      </c>
      <c r="B1406">
        <v>10380</v>
      </c>
      <c r="C1406" t="s">
        <v>2629</v>
      </c>
      <c r="D1406" t="s">
        <v>157</v>
      </c>
      <c r="E1406" t="s">
        <v>2630</v>
      </c>
      <c r="F1406" t="s">
        <v>2631</v>
      </c>
      <c r="G1406" t="str">
        <f>"201511041666"</f>
        <v>201511041666</v>
      </c>
      <c r="H1406">
        <v>1012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S1406">
        <v>0</v>
      </c>
      <c r="V1406">
        <v>1</v>
      </c>
      <c r="W1406">
        <v>1012</v>
      </c>
    </row>
    <row r="1407" spans="1:23" x14ac:dyDescent="0.25">
      <c r="H1407" t="s">
        <v>2632</v>
      </c>
    </row>
    <row r="1408" spans="1:23" x14ac:dyDescent="0.25">
      <c r="A1408">
        <v>701</v>
      </c>
      <c r="B1408">
        <v>2019</v>
      </c>
      <c r="C1408" t="s">
        <v>2633</v>
      </c>
      <c r="D1408" t="s">
        <v>427</v>
      </c>
      <c r="E1408" t="s">
        <v>57</v>
      </c>
      <c r="F1408" t="s">
        <v>2634</v>
      </c>
      <c r="G1408" t="str">
        <f>"00069298"</f>
        <v>00069298</v>
      </c>
      <c r="H1408">
        <v>979</v>
      </c>
      <c r="I1408">
        <v>0</v>
      </c>
      <c r="J1408">
        <v>30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V1408">
        <v>1</v>
      </c>
      <c r="W1408">
        <v>1009</v>
      </c>
    </row>
    <row r="1409" spans="1:23" x14ac:dyDescent="0.25">
      <c r="H1409" t="s">
        <v>2635</v>
      </c>
    </row>
    <row r="1410" spans="1:23" x14ac:dyDescent="0.25">
      <c r="A1410">
        <v>702</v>
      </c>
      <c r="B1410">
        <v>6376</v>
      </c>
      <c r="C1410" t="s">
        <v>2636</v>
      </c>
      <c r="D1410" t="s">
        <v>84</v>
      </c>
      <c r="E1410" t="s">
        <v>15</v>
      </c>
      <c r="F1410" t="s">
        <v>2637</v>
      </c>
      <c r="G1410" t="str">
        <f>"00001978"</f>
        <v>00001978</v>
      </c>
      <c r="H1410">
        <v>979</v>
      </c>
      <c r="I1410">
        <v>0</v>
      </c>
      <c r="J1410">
        <v>30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v>0</v>
      </c>
      <c r="V1410">
        <v>1</v>
      </c>
      <c r="W1410">
        <v>1009</v>
      </c>
    </row>
    <row r="1411" spans="1:23" x14ac:dyDescent="0.25">
      <c r="H1411" t="s">
        <v>2638</v>
      </c>
    </row>
    <row r="1412" spans="1:23" x14ac:dyDescent="0.25">
      <c r="A1412">
        <v>703</v>
      </c>
      <c r="B1412">
        <v>9217</v>
      </c>
      <c r="C1412" t="s">
        <v>2250</v>
      </c>
      <c r="D1412" t="s">
        <v>505</v>
      </c>
      <c r="E1412" t="s">
        <v>2639</v>
      </c>
      <c r="F1412" t="s">
        <v>2640</v>
      </c>
      <c r="G1412" t="str">
        <f>"00076591"</f>
        <v>00076591</v>
      </c>
      <c r="H1412" t="s">
        <v>2641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V1412">
        <v>1</v>
      </c>
      <c r="W1412" t="s">
        <v>2641</v>
      </c>
    </row>
    <row r="1413" spans="1:23" x14ac:dyDescent="0.25">
      <c r="H1413" t="s">
        <v>2642</v>
      </c>
    </row>
    <row r="1414" spans="1:23" x14ac:dyDescent="0.25">
      <c r="A1414">
        <v>704</v>
      </c>
      <c r="B1414">
        <v>1416</v>
      </c>
      <c r="C1414" t="s">
        <v>2643</v>
      </c>
      <c r="D1414" t="s">
        <v>275</v>
      </c>
      <c r="E1414" t="s">
        <v>2255</v>
      </c>
      <c r="F1414" t="s">
        <v>2644</v>
      </c>
      <c r="G1414" t="str">
        <f>"201502001645"</f>
        <v>201502001645</v>
      </c>
      <c r="H1414" t="s">
        <v>286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5</v>
      </c>
      <c r="S1414">
        <v>35</v>
      </c>
      <c r="V1414">
        <v>1</v>
      </c>
      <c r="W1414" t="s">
        <v>2645</v>
      </c>
    </row>
    <row r="1415" spans="1:23" x14ac:dyDescent="0.25">
      <c r="H1415" t="s">
        <v>2646</v>
      </c>
    </row>
    <row r="1416" spans="1:23" x14ac:dyDescent="0.25">
      <c r="A1416">
        <v>705</v>
      </c>
      <c r="B1416">
        <v>2991</v>
      </c>
      <c r="C1416" t="s">
        <v>2647</v>
      </c>
      <c r="D1416" t="s">
        <v>2648</v>
      </c>
      <c r="E1416" t="s">
        <v>37</v>
      </c>
      <c r="F1416" t="s">
        <v>2649</v>
      </c>
      <c r="G1416" t="str">
        <f>"201511011291"</f>
        <v>201511011291</v>
      </c>
      <c r="H1416" t="s">
        <v>2522</v>
      </c>
      <c r="I1416">
        <v>150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6</v>
      </c>
      <c r="S1416">
        <v>42</v>
      </c>
      <c r="V1416">
        <v>1</v>
      </c>
      <c r="W1416" t="s">
        <v>2650</v>
      </c>
    </row>
    <row r="1417" spans="1:23" x14ac:dyDescent="0.25">
      <c r="H1417" t="s">
        <v>2579</v>
      </c>
    </row>
    <row r="1418" spans="1:23" x14ac:dyDescent="0.25">
      <c r="A1418">
        <v>706</v>
      </c>
      <c r="B1418">
        <v>4837</v>
      </c>
      <c r="C1418" t="s">
        <v>1966</v>
      </c>
      <c r="D1418" t="s">
        <v>2651</v>
      </c>
      <c r="E1418" t="s">
        <v>158</v>
      </c>
      <c r="F1418" t="s">
        <v>2652</v>
      </c>
      <c r="G1418" t="str">
        <f>"201511040554"</f>
        <v>201511040554</v>
      </c>
      <c r="H1418" t="s">
        <v>1436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V1418">
        <v>1</v>
      </c>
      <c r="W1418" t="s">
        <v>1436</v>
      </c>
    </row>
    <row r="1419" spans="1:23" x14ac:dyDescent="0.25">
      <c r="H1419" t="s">
        <v>2653</v>
      </c>
    </row>
    <row r="1420" spans="1:23" x14ac:dyDescent="0.25">
      <c r="A1420">
        <v>707</v>
      </c>
      <c r="B1420">
        <v>1861</v>
      </c>
      <c r="C1420" t="s">
        <v>2654</v>
      </c>
      <c r="D1420" t="s">
        <v>56</v>
      </c>
      <c r="E1420" t="s">
        <v>20</v>
      </c>
      <c r="F1420" t="s">
        <v>2655</v>
      </c>
      <c r="G1420" t="str">
        <f>"201511004508"</f>
        <v>201511004508</v>
      </c>
      <c r="H1420" t="s">
        <v>1436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V1420">
        <v>1</v>
      </c>
      <c r="W1420" t="s">
        <v>1436</v>
      </c>
    </row>
    <row r="1421" spans="1:23" x14ac:dyDescent="0.25">
      <c r="H1421" t="s">
        <v>2656</v>
      </c>
    </row>
    <row r="1422" spans="1:23" x14ac:dyDescent="0.25">
      <c r="A1422">
        <v>708</v>
      </c>
      <c r="B1422">
        <v>3961</v>
      </c>
      <c r="C1422" t="s">
        <v>2657</v>
      </c>
      <c r="D1422" t="s">
        <v>172</v>
      </c>
      <c r="E1422" t="s">
        <v>344</v>
      </c>
      <c r="F1422" t="s">
        <v>2658</v>
      </c>
      <c r="G1422" t="str">
        <f>"201511020716"</f>
        <v>201511020716</v>
      </c>
      <c r="H1422" t="s">
        <v>1436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V1422">
        <v>1</v>
      </c>
      <c r="W1422" t="s">
        <v>1436</v>
      </c>
    </row>
    <row r="1423" spans="1:23" x14ac:dyDescent="0.25">
      <c r="H1423" t="s">
        <v>2659</v>
      </c>
    </row>
    <row r="1424" spans="1:23" x14ac:dyDescent="0.25">
      <c r="A1424">
        <v>709</v>
      </c>
      <c r="B1424">
        <v>5244</v>
      </c>
      <c r="C1424" t="s">
        <v>2414</v>
      </c>
      <c r="D1424" t="s">
        <v>172</v>
      </c>
      <c r="E1424" t="s">
        <v>284</v>
      </c>
      <c r="F1424" t="s">
        <v>2415</v>
      </c>
      <c r="G1424" t="str">
        <f>"201511031617"</f>
        <v>201511031617</v>
      </c>
      <c r="H1424" t="s">
        <v>1436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V1424">
        <v>1</v>
      </c>
      <c r="W1424" t="s">
        <v>1436</v>
      </c>
    </row>
    <row r="1425" spans="1:23" x14ac:dyDescent="0.25">
      <c r="H1425" t="s">
        <v>2417</v>
      </c>
    </row>
    <row r="1426" spans="1:23" x14ac:dyDescent="0.25">
      <c r="A1426">
        <v>710</v>
      </c>
      <c r="B1426">
        <v>7241</v>
      </c>
      <c r="C1426" t="s">
        <v>2660</v>
      </c>
      <c r="D1426" t="s">
        <v>322</v>
      </c>
      <c r="E1426" t="s">
        <v>62</v>
      </c>
      <c r="F1426" t="s">
        <v>2661</v>
      </c>
      <c r="G1426" t="str">
        <f>"201511022836"</f>
        <v>201511022836</v>
      </c>
      <c r="H1426" t="s">
        <v>1436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S1426">
        <v>0</v>
      </c>
      <c r="V1426">
        <v>1</v>
      </c>
      <c r="W1426" t="s">
        <v>1436</v>
      </c>
    </row>
    <row r="1427" spans="1:23" x14ac:dyDescent="0.25">
      <c r="H1427" t="s">
        <v>2662</v>
      </c>
    </row>
    <row r="1428" spans="1:23" x14ac:dyDescent="0.25">
      <c r="A1428">
        <v>711</v>
      </c>
      <c r="B1428">
        <v>4365</v>
      </c>
      <c r="C1428" t="s">
        <v>2663</v>
      </c>
      <c r="D1428" t="s">
        <v>382</v>
      </c>
      <c r="E1428" t="s">
        <v>37</v>
      </c>
      <c r="F1428" t="s">
        <v>2664</v>
      </c>
      <c r="G1428" t="str">
        <f>"201511035178"</f>
        <v>201511035178</v>
      </c>
      <c r="H1428" t="s">
        <v>1436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S1428">
        <v>0</v>
      </c>
      <c r="V1428">
        <v>1</v>
      </c>
      <c r="W1428" t="s">
        <v>1436</v>
      </c>
    </row>
    <row r="1429" spans="1:23" x14ac:dyDescent="0.25">
      <c r="H1429" t="s">
        <v>2665</v>
      </c>
    </row>
    <row r="1430" spans="1:23" x14ac:dyDescent="0.25">
      <c r="A1430">
        <v>712</v>
      </c>
      <c r="B1430">
        <v>10442</v>
      </c>
      <c r="C1430" t="s">
        <v>2666</v>
      </c>
      <c r="D1430" t="s">
        <v>2667</v>
      </c>
      <c r="E1430" t="s">
        <v>56</v>
      </c>
      <c r="F1430" t="s">
        <v>2668</v>
      </c>
      <c r="G1430" t="str">
        <f>"201511007053"</f>
        <v>201511007053</v>
      </c>
      <c r="H1430">
        <v>825</v>
      </c>
      <c r="I1430">
        <v>150</v>
      </c>
      <c r="J1430">
        <v>30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0</v>
      </c>
      <c r="V1430">
        <v>1</v>
      </c>
      <c r="W1430">
        <v>1005</v>
      </c>
    </row>
    <row r="1431" spans="1:23" x14ac:dyDescent="0.25">
      <c r="H1431" t="s">
        <v>2669</v>
      </c>
    </row>
    <row r="1432" spans="1:23" x14ac:dyDescent="0.25">
      <c r="A1432">
        <v>713</v>
      </c>
      <c r="B1432">
        <v>8924</v>
      </c>
      <c r="C1432" t="s">
        <v>2670</v>
      </c>
      <c r="D1432" t="s">
        <v>2398</v>
      </c>
      <c r="E1432" t="s">
        <v>1067</v>
      </c>
      <c r="F1432" t="s">
        <v>2671</v>
      </c>
      <c r="G1432" t="str">
        <f>"201512001918"</f>
        <v>201512001918</v>
      </c>
      <c r="H1432" t="s">
        <v>820</v>
      </c>
      <c r="I1432">
        <v>0</v>
      </c>
      <c r="J1432">
        <v>30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19</v>
      </c>
      <c r="S1432">
        <v>133</v>
      </c>
      <c r="V1432">
        <v>1</v>
      </c>
      <c r="W1432" t="s">
        <v>2672</v>
      </c>
    </row>
    <row r="1433" spans="1:23" x14ac:dyDescent="0.25">
      <c r="H1433" t="s">
        <v>2673</v>
      </c>
    </row>
    <row r="1434" spans="1:23" x14ac:dyDescent="0.25">
      <c r="A1434">
        <v>714</v>
      </c>
      <c r="B1434">
        <v>293</v>
      </c>
      <c r="C1434" t="s">
        <v>2674</v>
      </c>
      <c r="D1434" t="s">
        <v>157</v>
      </c>
      <c r="E1434" t="s">
        <v>80</v>
      </c>
      <c r="F1434" t="s">
        <v>2675</v>
      </c>
      <c r="G1434" t="str">
        <f>"00017014"</f>
        <v>00017014</v>
      </c>
      <c r="H1434" t="s">
        <v>912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v>0</v>
      </c>
      <c r="V1434">
        <v>1</v>
      </c>
      <c r="W1434" t="s">
        <v>912</v>
      </c>
    </row>
    <row r="1435" spans="1:23" x14ac:dyDescent="0.25">
      <c r="H1435" t="s">
        <v>2676</v>
      </c>
    </row>
    <row r="1436" spans="1:23" x14ac:dyDescent="0.25">
      <c r="A1436">
        <v>715</v>
      </c>
      <c r="B1436">
        <v>2715</v>
      </c>
      <c r="C1436" t="s">
        <v>2677</v>
      </c>
      <c r="D1436" t="s">
        <v>2678</v>
      </c>
      <c r="E1436" t="s">
        <v>2679</v>
      </c>
      <c r="F1436" t="s">
        <v>2680</v>
      </c>
      <c r="G1436" t="str">
        <f>"201511027986"</f>
        <v>201511027986</v>
      </c>
      <c r="H1436" t="s">
        <v>286</v>
      </c>
      <c r="I1436">
        <v>0</v>
      </c>
      <c r="J1436">
        <v>30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0</v>
      </c>
      <c r="S1436">
        <v>0</v>
      </c>
      <c r="V1436">
        <v>1</v>
      </c>
      <c r="W1436" t="s">
        <v>2681</v>
      </c>
    </row>
    <row r="1437" spans="1:23" x14ac:dyDescent="0.25">
      <c r="H1437" t="s">
        <v>2682</v>
      </c>
    </row>
    <row r="1438" spans="1:23" x14ac:dyDescent="0.25">
      <c r="A1438">
        <v>716</v>
      </c>
      <c r="B1438">
        <v>10678</v>
      </c>
      <c r="C1438" t="s">
        <v>2683</v>
      </c>
      <c r="D1438" t="s">
        <v>2684</v>
      </c>
      <c r="E1438" t="s">
        <v>154</v>
      </c>
      <c r="F1438" t="s">
        <v>2685</v>
      </c>
      <c r="G1438" t="str">
        <f>"00092973"</f>
        <v>00092973</v>
      </c>
      <c r="H1438">
        <v>660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49</v>
      </c>
      <c r="S1438">
        <v>343</v>
      </c>
      <c r="V1438">
        <v>1</v>
      </c>
      <c r="W1438">
        <v>1003</v>
      </c>
    </row>
    <row r="1439" spans="1:23" x14ac:dyDescent="0.25">
      <c r="H1439" t="s">
        <v>2686</v>
      </c>
    </row>
    <row r="1440" spans="1:23" x14ac:dyDescent="0.25">
      <c r="A1440">
        <v>717</v>
      </c>
      <c r="B1440">
        <v>2447</v>
      </c>
      <c r="C1440" t="s">
        <v>2687</v>
      </c>
      <c r="D1440" t="s">
        <v>153</v>
      </c>
      <c r="E1440" t="s">
        <v>2688</v>
      </c>
      <c r="F1440" t="s">
        <v>2689</v>
      </c>
      <c r="G1440" t="str">
        <f>"201512000126"</f>
        <v>201512000126</v>
      </c>
      <c r="H1440" t="s">
        <v>118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6</v>
      </c>
      <c r="S1440">
        <v>42</v>
      </c>
      <c r="V1440">
        <v>1</v>
      </c>
      <c r="W1440" t="s">
        <v>2690</v>
      </c>
    </row>
    <row r="1441" spans="1:23" x14ac:dyDescent="0.25">
      <c r="H1441" t="s">
        <v>2691</v>
      </c>
    </row>
    <row r="1442" spans="1:23" x14ac:dyDescent="0.25">
      <c r="A1442">
        <v>718</v>
      </c>
      <c r="B1442">
        <v>6385</v>
      </c>
      <c r="C1442" t="s">
        <v>2692</v>
      </c>
      <c r="D1442" t="s">
        <v>2693</v>
      </c>
      <c r="E1442" t="s">
        <v>2694</v>
      </c>
      <c r="F1442" t="s">
        <v>2695</v>
      </c>
      <c r="G1442" t="str">
        <f>"00071919"</f>
        <v>00071919</v>
      </c>
      <c r="H1442" t="s">
        <v>1183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14</v>
      </c>
      <c r="S1442">
        <v>98</v>
      </c>
      <c r="V1442">
        <v>1</v>
      </c>
      <c r="W1442" t="s">
        <v>2696</v>
      </c>
    </row>
    <row r="1443" spans="1:23" x14ac:dyDescent="0.25">
      <c r="H1443" t="s">
        <v>2697</v>
      </c>
    </row>
    <row r="1444" spans="1:23" x14ac:dyDescent="0.25">
      <c r="A1444">
        <v>719</v>
      </c>
      <c r="B1444">
        <v>5098</v>
      </c>
      <c r="C1444" t="s">
        <v>2698</v>
      </c>
      <c r="D1444" t="s">
        <v>2255</v>
      </c>
      <c r="E1444" t="s">
        <v>30</v>
      </c>
      <c r="F1444" t="s">
        <v>2699</v>
      </c>
      <c r="G1444" t="str">
        <f>"00018333"</f>
        <v>00018333</v>
      </c>
      <c r="H1444" t="s">
        <v>2700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V1444">
        <v>1</v>
      </c>
      <c r="W1444" t="s">
        <v>2700</v>
      </c>
    </row>
    <row r="1445" spans="1:23" x14ac:dyDescent="0.25">
      <c r="H1445" t="s">
        <v>2701</v>
      </c>
    </row>
    <row r="1446" spans="1:23" x14ac:dyDescent="0.25">
      <c r="A1446">
        <v>720</v>
      </c>
      <c r="B1446">
        <v>9789</v>
      </c>
      <c r="C1446" t="s">
        <v>2702</v>
      </c>
      <c r="D1446" t="s">
        <v>2703</v>
      </c>
      <c r="E1446" t="s">
        <v>37</v>
      </c>
      <c r="F1446" t="s">
        <v>2704</v>
      </c>
      <c r="G1446" t="str">
        <f>"00096482"</f>
        <v>00096482</v>
      </c>
      <c r="H1446">
        <v>1001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V1446">
        <v>1</v>
      </c>
      <c r="W1446">
        <v>1001</v>
      </c>
    </row>
    <row r="1447" spans="1:23" x14ac:dyDescent="0.25">
      <c r="H1447" t="s">
        <v>2705</v>
      </c>
    </row>
    <row r="1448" spans="1:23" x14ac:dyDescent="0.25">
      <c r="A1448">
        <v>721</v>
      </c>
      <c r="B1448">
        <v>9677</v>
      </c>
      <c r="C1448" t="s">
        <v>223</v>
      </c>
      <c r="D1448" t="s">
        <v>392</v>
      </c>
      <c r="E1448" t="s">
        <v>1104</v>
      </c>
      <c r="F1448" t="s">
        <v>2706</v>
      </c>
      <c r="G1448" t="str">
        <f>"00024379"</f>
        <v>00024379</v>
      </c>
      <c r="H1448">
        <v>1001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v>0</v>
      </c>
      <c r="V1448">
        <v>1</v>
      </c>
      <c r="W1448">
        <v>1001</v>
      </c>
    </row>
    <row r="1449" spans="1:23" x14ac:dyDescent="0.25">
      <c r="H1449" t="s">
        <v>2707</v>
      </c>
    </row>
    <row r="1450" spans="1:23" x14ac:dyDescent="0.25">
      <c r="A1450">
        <v>722</v>
      </c>
      <c r="B1450">
        <v>3528</v>
      </c>
      <c r="C1450" t="s">
        <v>2708</v>
      </c>
      <c r="D1450" t="s">
        <v>322</v>
      </c>
      <c r="E1450" t="s">
        <v>213</v>
      </c>
      <c r="F1450" t="s">
        <v>2709</v>
      </c>
      <c r="G1450" t="str">
        <f>"00019040"</f>
        <v>00019040</v>
      </c>
      <c r="H1450">
        <v>1001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V1450">
        <v>1</v>
      </c>
      <c r="W1450">
        <v>1001</v>
      </c>
    </row>
    <row r="1451" spans="1:23" x14ac:dyDescent="0.25">
      <c r="H1451">
        <v>815</v>
      </c>
    </row>
    <row r="1452" spans="1:23" x14ac:dyDescent="0.25">
      <c r="A1452">
        <v>723</v>
      </c>
      <c r="B1452">
        <v>10328</v>
      </c>
      <c r="C1452" t="s">
        <v>2710</v>
      </c>
      <c r="D1452" t="s">
        <v>2711</v>
      </c>
      <c r="E1452" t="s">
        <v>154</v>
      </c>
      <c r="F1452" t="s">
        <v>2712</v>
      </c>
      <c r="G1452" t="str">
        <f>"00019409"</f>
        <v>00019409</v>
      </c>
      <c r="H1452">
        <v>979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3</v>
      </c>
      <c r="S1452">
        <v>21</v>
      </c>
      <c r="V1452">
        <v>1</v>
      </c>
      <c r="W1452">
        <v>1000</v>
      </c>
    </row>
    <row r="1453" spans="1:23" x14ac:dyDescent="0.25">
      <c r="H1453" t="s">
        <v>2713</v>
      </c>
    </row>
    <row r="1454" spans="1:23" x14ac:dyDescent="0.25">
      <c r="A1454">
        <v>724</v>
      </c>
      <c r="B1454">
        <v>5063</v>
      </c>
      <c r="C1454" t="s">
        <v>2714</v>
      </c>
      <c r="D1454" t="s">
        <v>157</v>
      </c>
      <c r="E1454" t="s">
        <v>37</v>
      </c>
      <c r="F1454" t="s">
        <v>2715</v>
      </c>
      <c r="G1454" t="str">
        <f>"00045477"</f>
        <v>00045477</v>
      </c>
      <c r="H1454" t="s">
        <v>1179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S1454">
        <v>0</v>
      </c>
      <c r="V1454">
        <v>1</v>
      </c>
      <c r="W1454" t="s">
        <v>1179</v>
      </c>
    </row>
    <row r="1455" spans="1:23" x14ac:dyDescent="0.25">
      <c r="H1455" t="s">
        <v>2716</v>
      </c>
    </row>
    <row r="1456" spans="1:23" x14ac:dyDescent="0.25">
      <c r="A1456">
        <v>725</v>
      </c>
      <c r="B1456">
        <v>9029</v>
      </c>
      <c r="C1456" t="s">
        <v>2717</v>
      </c>
      <c r="D1456" t="s">
        <v>351</v>
      </c>
      <c r="E1456" t="s">
        <v>533</v>
      </c>
      <c r="F1456" t="s">
        <v>2718</v>
      </c>
      <c r="G1456" t="str">
        <f>"00045540"</f>
        <v>00045540</v>
      </c>
      <c r="H1456" t="s">
        <v>984</v>
      </c>
      <c r="I1456">
        <v>150</v>
      </c>
      <c r="J1456">
        <v>30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S1456">
        <v>0</v>
      </c>
      <c r="V1456">
        <v>1</v>
      </c>
      <c r="W1456" t="s">
        <v>2719</v>
      </c>
    </row>
    <row r="1457" spans="1:23" x14ac:dyDescent="0.25">
      <c r="H1457" t="s">
        <v>310</v>
      </c>
    </row>
    <row r="1458" spans="1:23" x14ac:dyDescent="0.25">
      <c r="A1458">
        <v>726</v>
      </c>
      <c r="B1458">
        <v>5450</v>
      </c>
      <c r="C1458" t="s">
        <v>2702</v>
      </c>
      <c r="D1458" t="s">
        <v>2720</v>
      </c>
      <c r="E1458" t="s">
        <v>20</v>
      </c>
      <c r="F1458" t="s">
        <v>2721</v>
      </c>
      <c r="G1458" t="str">
        <f>"201208000065"</f>
        <v>201208000065</v>
      </c>
      <c r="H1458">
        <v>803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28</v>
      </c>
      <c r="S1458">
        <v>196</v>
      </c>
      <c r="V1458">
        <v>1</v>
      </c>
      <c r="W1458">
        <v>999</v>
      </c>
    </row>
    <row r="1459" spans="1:23" x14ac:dyDescent="0.25">
      <c r="H1459" t="s">
        <v>2722</v>
      </c>
    </row>
    <row r="1460" spans="1:23" x14ac:dyDescent="0.25">
      <c r="A1460">
        <v>727</v>
      </c>
      <c r="B1460">
        <v>6566</v>
      </c>
      <c r="C1460" t="s">
        <v>2723</v>
      </c>
      <c r="D1460" t="s">
        <v>129</v>
      </c>
      <c r="E1460" t="s">
        <v>158</v>
      </c>
      <c r="F1460" t="s">
        <v>2724</v>
      </c>
      <c r="G1460" t="str">
        <f>"201511039525"</f>
        <v>201511039525</v>
      </c>
      <c r="H1460">
        <v>649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50</v>
      </c>
      <c r="S1460">
        <v>350</v>
      </c>
      <c r="V1460">
        <v>1</v>
      </c>
      <c r="W1460">
        <v>999</v>
      </c>
    </row>
    <row r="1461" spans="1:23" x14ac:dyDescent="0.25">
      <c r="H1461" t="s">
        <v>2725</v>
      </c>
    </row>
    <row r="1462" spans="1:23" x14ac:dyDescent="0.25">
      <c r="A1462">
        <v>728</v>
      </c>
      <c r="B1462">
        <v>1259</v>
      </c>
      <c r="C1462" t="s">
        <v>2726</v>
      </c>
      <c r="D1462" t="s">
        <v>500</v>
      </c>
      <c r="E1462" t="s">
        <v>20</v>
      </c>
      <c r="F1462" t="s">
        <v>2727</v>
      </c>
      <c r="G1462" t="str">
        <f>"00023893"</f>
        <v>00023893</v>
      </c>
      <c r="H1462">
        <v>968</v>
      </c>
      <c r="I1462">
        <v>0</v>
      </c>
      <c r="J1462">
        <v>30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S1462">
        <v>0</v>
      </c>
      <c r="V1462">
        <v>1</v>
      </c>
      <c r="W1462">
        <v>998</v>
      </c>
    </row>
    <row r="1463" spans="1:23" x14ac:dyDescent="0.25">
      <c r="H1463" t="s">
        <v>2728</v>
      </c>
    </row>
    <row r="1464" spans="1:23" x14ac:dyDescent="0.25">
      <c r="A1464">
        <v>729</v>
      </c>
      <c r="B1464">
        <v>52</v>
      </c>
      <c r="C1464" t="s">
        <v>2729</v>
      </c>
      <c r="D1464" t="s">
        <v>122</v>
      </c>
      <c r="E1464" t="s">
        <v>158</v>
      </c>
      <c r="F1464" t="s">
        <v>2730</v>
      </c>
      <c r="G1464" t="str">
        <f>"201511028952"</f>
        <v>201511028952</v>
      </c>
      <c r="H1464" t="s">
        <v>1113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5</v>
      </c>
      <c r="S1464">
        <v>35</v>
      </c>
      <c r="V1464">
        <v>1</v>
      </c>
      <c r="W1464" t="s">
        <v>2731</v>
      </c>
    </row>
    <row r="1465" spans="1:23" x14ac:dyDescent="0.25">
      <c r="H1465" t="s">
        <v>2732</v>
      </c>
    </row>
    <row r="1466" spans="1:23" x14ac:dyDescent="0.25">
      <c r="A1466">
        <v>730</v>
      </c>
      <c r="B1466">
        <v>4088</v>
      </c>
      <c r="C1466" t="s">
        <v>2733</v>
      </c>
      <c r="D1466" t="s">
        <v>2734</v>
      </c>
      <c r="E1466" t="s">
        <v>191</v>
      </c>
      <c r="F1466" t="s">
        <v>2735</v>
      </c>
      <c r="G1466" t="str">
        <f>"00033363"</f>
        <v>00033363</v>
      </c>
      <c r="H1466" t="s">
        <v>2615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60</v>
      </c>
      <c r="S1466">
        <v>420</v>
      </c>
      <c r="V1466">
        <v>1</v>
      </c>
      <c r="W1466" t="s">
        <v>2731</v>
      </c>
    </row>
    <row r="1467" spans="1:23" x14ac:dyDescent="0.25">
      <c r="H1467" t="s">
        <v>310</v>
      </c>
    </row>
    <row r="1468" spans="1:23" x14ac:dyDescent="0.25">
      <c r="A1468">
        <v>731</v>
      </c>
      <c r="B1468">
        <v>7687</v>
      </c>
      <c r="C1468" t="s">
        <v>2736</v>
      </c>
      <c r="D1468" t="s">
        <v>2737</v>
      </c>
      <c r="E1468" t="s">
        <v>104</v>
      </c>
      <c r="F1468" t="s">
        <v>2738</v>
      </c>
      <c r="G1468" t="str">
        <f>"201511038138"</f>
        <v>201511038138</v>
      </c>
      <c r="H1468">
        <v>924</v>
      </c>
      <c r="I1468">
        <v>0</v>
      </c>
      <c r="J1468">
        <v>30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6</v>
      </c>
      <c r="S1468">
        <v>42</v>
      </c>
      <c r="V1468">
        <v>1</v>
      </c>
      <c r="W1468">
        <v>996</v>
      </c>
    </row>
    <row r="1469" spans="1:23" x14ac:dyDescent="0.25">
      <c r="H1469" t="s">
        <v>2739</v>
      </c>
    </row>
    <row r="1470" spans="1:23" x14ac:dyDescent="0.25">
      <c r="A1470">
        <v>732</v>
      </c>
      <c r="B1470">
        <v>6695</v>
      </c>
      <c r="C1470" t="s">
        <v>2740</v>
      </c>
      <c r="D1470" t="s">
        <v>351</v>
      </c>
      <c r="E1470" t="s">
        <v>37</v>
      </c>
      <c r="F1470" t="s">
        <v>2741</v>
      </c>
      <c r="G1470" t="str">
        <f>"00032307"</f>
        <v>00032307</v>
      </c>
      <c r="H1470" t="s">
        <v>143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V1470">
        <v>1</v>
      </c>
      <c r="W1470" t="s">
        <v>143</v>
      </c>
    </row>
    <row r="1471" spans="1:23" x14ac:dyDescent="0.25">
      <c r="H1471" t="s">
        <v>2742</v>
      </c>
    </row>
    <row r="1472" spans="1:23" x14ac:dyDescent="0.25">
      <c r="A1472">
        <v>733</v>
      </c>
      <c r="B1472">
        <v>7824</v>
      </c>
      <c r="C1472" t="s">
        <v>2743</v>
      </c>
      <c r="D1472" t="s">
        <v>183</v>
      </c>
      <c r="E1472" t="s">
        <v>154</v>
      </c>
      <c r="F1472" t="s">
        <v>2744</v>
      </c>
      <c r="G1472" t="str">
        <f>"201511037892"</f>
        <v>201511037892</v>
      </c>
      <c r="H1472" t="s">
        <v>143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V1472">
        <v>1</v>
      </c>
      <c r="W1472" t="s">
        <v>143</v>
      </c>
    </row>
    <row r="1473" spans="1:23" x14ac:dyDescent="0.25">
      <c r="H1473" t="s">
        <v>2745</v>
      </c>
    </row>
    <row r="1474" spans="1:23" x14ac:dyDescent="0.25">
      <c r="A1474">
        <v>734</v>
      </c>
      <c r="B1474">
        <v>5918</v>
      </c>
      <c r="C1474" t="s">
        <v>2746</v>
      </c>
      <c r="D1474" t="s">
        <v>2747</v>
      </c>
      <c r="E1474" t="s">
        <v>1054</v>
      </c>
      <c r="F1474" t="s">
        <v>2748</v>
      </c>
      <c r="G1474" t="str">
        <f>"201511011380"</f>
        <v>201511011380</v>
      </c>
      <c r="H1474" t="s">
        <v>407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17</v>
      </c>
      <c r="S1474">
        <v>119</v>
      </c>
      <c r="V1474">
        <v>1</v>
      </c>
      <c r="W1474" t="s">
        <v>2749</v>
      </c>
    </row>
    <row r="1475" spans="1:23" x14ac:dyDescent="0.25">
      <c r="H1475">
        <v>862</v>
      </c>
    </row>
    <row r="1476" spans="1:23" x14ac:dyDescent="0.25">
      <c r="A1476">
        <v>735</v>
      </c>
      <c r="B1476">
        <v>4383</v>
      </c>
      <c r="C1476" t="s">
        <v>2750</v>
      </c>
      <c r="D1476" t="s">
        <v>128</v>
      </c>
      <c r="E1476" t="s">
        <v>284</v>
      </c>
      <c r="F1476" t="s">
        <v>2751</v>
      </c>
      <c r="G1476" t="str">
        <f>"201511031663"</f>
        <v>201511031663</v>
      </c>
      <c r="H1476" t="s">
        <v>2752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V1476">
        <v>1</v>
      </c>
      <c r="W1476" t="s">
        <v>2752</v>
      </c>
    </row>
    <row r="1477" spans="1:23" x14ac:dyDescent="0.25">
      <c r="H1477" t="s">
        <v>2753</v>
      </c>
    </row>
    <row r="1478" spans="1:23" x14ac:dyDescent="0.25">
      <c r="A1478">
        <v>736</v>
      </c>
      <c r="B1478">
        <v>5709</v>
      </c>
      <c r="C1478" t="s">
        <v>851</v>
      </c>
      <c r="D1478" t="s">
        <v>2754</v>
      </c>
      <c r="E1478" t="s">
        <v>664</v>
      </c>
      <c r="F1478" t="s">
        <v>2755</v>
      </c>
      <c r="G1478" t="str">
        <f>"201508000121"</f>
        <v>201508000121</v>
      </c>
      <c r="H1478" t="s">
        <v>264</v>
      </c>
      <c r="I1478">
        <v>0</v>
      </c>
      <c r="J1478">
        <v>30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22</v>
      </c>
      <c r="S1478">
        <v>154</v>
      </c>
      <c r="V1478">
        <v>1</v>
      </c>
      <c r="W1478" t="s">
        <v>2756</v>
      </c>
    </row>
    <row r="1479" spans="1:23" x14ac:dyDescent="0.25">
      <c r="H1479" t="s">
        <v>2757</v>
      </c>
    </row>
    <row r="1480" spans="1:23" x14ac:dyDescent="0.25">
      <c r="A1480">
        <v>737</v>
      </c>
      <c r="B1480">
        <v>3186</v>
      </c>
      <c r="C1480" t="s">
        <v>2758</v>
      </c>
      <c r="D1480" t="s">
        <v>172</v>
      </c>
      <c r="E1480" t="s">
        <v>30</v>
      </c>
      <c r="F1480" t="s">
        <v>2759</v>
      </c>
      <c r="G1480" t="str">
        <f>"201604002453"</f>
        <v>201604002453</v>
      </c>
      <c r="H1480" t="s">
        <v>600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12</v>
      </c>
      <c r="S1480">
        <v>84</v>
      </c>
      <c r="V1480">
        <v>1</v>
      </c>
      <c r="W1480" t="s">
        <v>2760</v>
      </c>
    </row>
    <row r="1481" spans="1:23" x14ac:dyDescent="0.25">
      <c r="H1481" t="s">
        <v>2761</v>
      </c>
    </row>
    <row r="1482" spans="1:23" x14ac:dyDescent="0.25">
      <c r="A1482">
        <v>738</v>
      </c>
      <c r="B1482">
        <v>4963</v>
      </c>
      <c r="C1482" t="s">
        <v>2762</v>
      </c>
      <c r="D1482" t="s">
        <v>29</v>
      </c>
      <c r="E1482" t="s">
        <v>80</v>
      </c>
      <c r="F1482" t="s">
        <v>2763</v>
      </c>
      <c r="G1482" t="str">
        <f>"201511039014"</f>
        <v>201511039014</v>
      </c>
      <c r="H1482" t="s">
        <v>820</v>
      </c>
      <c r="I1482">
        <v>150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V1482">
        <v>1</v>
      </c>
      <c r="W1482" t="s">
        <v>2760</v>
      </c>
    </row>
    <row r="1483" spans="1:23" x14ac:dyDescent="0.25">
      <c r="H1483" t="s">
        <v>2764</v>
      </c>
    </row>
    <row r="1484" spans="1:23" x14ac:dyDescent="0.25">
      <c r="A1484">
        <v>739</v>
      </c>
      <c r="B1484">
        <v>4415</v>
      </c>
      <c r="C1484" t="s">
        <v>2765</v>
      </c>
      <c r="D1484" t="s">
        <v>2766</v>
      </c>
      <c r="E1484" t="s">
        <v>2767</v>
      </c>
      <c r="F1484" t="s">
        <v>2768</v>
      </c>
      <c r="G1484" t="str">
        <f>"00015964"</f>
        <v>00015964</v>
      </c>
      <c r="H1484">
        <v>990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V1484">
        <v>1</v>
      </c>
      <c r="W1484">
        <v>990</v>
      </c>
    </row>
    <row r="1485" spans="1:23" x14ac:dyDescent="0.25">
      <c r="H1485" t="s">
        <v>2769</v>
      </c>
    </row>
    <row r="1486" spans="1:23" x14ac:dyDescent="0.25">
      <c r="A1486">
        <v>740</v>
      </c>
      <c r="B1486">
        <v>1956</v>
      </c>
      <c r="C1486" t="s">
        <v>2770</v>
      </c>
      <c r="D1486" t="s">
        <v>51</v>
      </c>
      <c r="E1486" t="s">
        <v>158</v>
      </c>
      <c r="F1486" t="s">
        <v>2771</v>
      </c>
      <c r="G1486" t="str">
        <f>"201511013453"</f>
        <v>201511013453</v>
      </c>
      <c r="H1486">
        <v>990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V1486">
        <v>1</v>
      </c>
      <c r="W1486">
        <v>990</v>
      </c>
    </row>
    <row r="1487" spans="1:23" x14ac:dyDescent="0.25">
      <c r="H1487" t="s">
        <v>2772</v>
      </c>
    </row>
    <row r="1488" spans="1:23" x14ac:dyDescent="0.25">
      <c r="A1488">
        <v>741</v>
      </c>
      <c r="B1488">
        <v>9381</v>
      </c>
      <c r="C1488" t="s">
        <v>2773</v>
      </c>
      <c r="D1488" t="s">
        <v>20</v>
      </c>
      <c r="E1488" t="s">
        <v>56</v>
      </c>
      <c r="F1488" t="s">
        <v>2774</v>
      </c>
      <c r="G1488" t="str">
        <f>"201502002479"</f>
        <v>201502002479</v>
      </c>
      <c r="H1488">
        <v>990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V1488">
        <v>1</v>
      </c>
      <c r="W1488">
        <v>990</v>
      </c>
    </row>
    <row r="1489" spans="1:23" x14ac:dyDescent="0.25">
      <c r="H1489" t="s">
        <v>2775</v>
      </c>
    </row>
    <row r="1490" spans="1:23" x14ac:dyDescent="0.25">
      <c r="A1490">
        <v>742</v>
      </c>
      <c r="B1490">
        <v>4716</v>
      </c>
      <c r="C1490" t="s">
        <v>2776</v>
      </c>
      <c r="D1490" t="s">
        <v>2777</v>
      </c>
      <c r="E1490" t="s">
        <v>154</v>
      </c>
      <c r="F1490" t="s">
        <v>2778</v>
      </c>
      <c r="G1490" t="str">
        <f>"00082108"</f>
        <v>00082108</v>
      </c>
      <c r="H1490">
        <v>990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V1490">
        <v>1</v>
      </c>
      <c r="W1490">
        <v>990</v>
      </c>
    </row>
    <row r="1491" spans="1:23" x14ac:dyDescent="0.25">
      <c r="H1491" t="s">
        <v>2779</v>
      </c>
    </row>
    <row r="1492" spans="1:23" x14ac:dyDescent="0.25">
      <c r="A1492">
        <v>743</v>
      </c>
      <c r="B1492">
        <v>8255</v>
      </c>
      <c r="C1492" t="s">
        <v>2780</v>
      </c>
      <c r="D1492" t="s">
        <v>351</v>
      </c>
      <c r="E1492" t="s">
        <v>20</v>
      </c>
      <c r="F1492" t="s">
        <v>2781</v>
      </c>
      <c r="G1492" t="str">
        <f>"201511036669"</f>
        <v>201511036669</v>
      </c>
      <c r="H1492">
        <v>990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V1492">
        <v>1</v>
      </c>
      <c r="W1492">
        <v>990</v>
      </c>
    </row>
    <row r="1493" spans="1:23" x14ac:dyDescent="0.25">
      <c r="H1493" t="s">
        <v>2782</v>
      </c>
    </row>
    <row r="1494" spans="1:23" x14ac:dyDescent="0.25">
      <c r="A1494">
        <v>744</v>
      </c>
      <c r="B1494">
        <v>9054</v>
      </c>
      <c r="C1494" t="s">
        <v>2783</v>
      </c>
      <c r="D1494" t="s">
        <v>208</v>
      </c>
      <c r="E1494" t="s">
        <v>30</v>
      </c>
      <c r="F1494" t="s">
        <v>2784</v>
      </c>
      <c r="G1494" t="str">
        <f>"201511042789"</f>
        <v>201511042789</v>
      </c>
      <c r="H1494">
        <v>990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v>0</v>
      </c>
      <c r="V1494">
        <v>1</v>
      </c>
      <c r="W1494">
        <v>990</v>
      </c>
    </row>
    <row r="1495" spans="1:23" x14ac:dyDescent="0.25">
      <c r="H1495" t="s">
        <v>2785</v>
      </c>
    </row>
    <row r="1496" spans="1:23" x14ac:dyDescent="0.25">
      <c r="A1496">
        <v>745</v>
      </c>
      <c r="B1496">
        <v>8737</v>
      </c>
      <c r="C1496" t="s">
        <v>2786</v>
      </c>
      <c r="D1496" t="s">
        <v>157</v>
      </c>
      <c r="E1496" t="s">
        <v>154</v>
      </c>
      <c r="F1496" t="s">
        <v>2787</v>
      </c>
      <c r="G1496" t="str">
        <f>"201510001851"</f>
        <v>201510001851</v>
      </c>
      <c r="H1496">
        <v>990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v>0</v>
      </c>
      <c r="V1496">
        <v>1</v>
      </c>
      <c r="W1496">
        <v>990</v>
      </c>
    </row>
    <row r="1497" spans="1:23" x14ac:dyDescent="0.25">
      <c r="H1497" t="s">
        <v>2788</v>
      </c>
    </row>
    <row r="1498" spans="1:23" x14ac:dyDescent="0.25">
      <c r="A1498">
        <v>746</v>
      </c>
      <c r="B1498">
        <v>9226</v>
      </c>
      <c r="C1498" t="s">
        <v>2789</v>
      </c>
      <c r="D1498" t="s">
        <v>208</v>
      </c>
      <c r="E1498" t="s">
        <v>276</v>
      </c>
      <c r="F1498" t="s">
        <v>2790</v>
      </c>
      <c r="G1498" t="str">
        <f>"00090266"</f>
        <v>00090266</v>
      </c>
      <c r="H1498" t="s">
        <v>1283</v>
      </c>
      <c r="I1498">
        <v>0</v>
      </c>
      <c r="J1498">
        <v>30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12</v>
      </c>
      <c r="S1498">
        <v>84</v>
      </c>
      <c r="V1498">
        <v>3</v>
      </c>
      <c r="W1498" t="s">
        <v>2791</v>
      </c>
    </row>
    <row r="1499" spans="1:23" x14ac:dyDescent="0.25">
      <c r="H1499" t="s">
        <v>2792</v>
      </c>
    </row>
    <row r="1500" spans="1:23" x14ac:dyDescent="0.25">
      <c r="A1500">
        <v>747</v>
      </c>
      <c r="B1500">
        <v>4178</v>
      </c>
      <c r="C1500" t="s">
        <v>2793</v>
      </c>
      <c r="D1500" t="s">
        <v>1865</v>
      </c>
      <c r="E1500" t="s">
        <v>37</v>
      </c>
      <c r="F1500" t="s">
        <v>2794</v>
      </c>
      <c r="G1500" t="str">
        <f>"00083767"</f>
        <v>00083767</v>
      </c>
      <c r="H1500" t="s">
        <v>2795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12</v>
      </c>
      <c r="S1500">
        <v>84</v>
      </c>
      <c r="V1500">
        <v>1</v>
      </c>
      <c r="W1500" t="s">
        <v>2796</v>
      </c>
    </row>
    <row r="1501" spans="1:23" x14ac:dyDescent="0.25">
      <c r="H1501" t="s">
        <v>2797</v>
      </c>
    </row>
    <row r="1502" spans="1:23" x14ac:dyDescent="0.25">
      <c r="A1502">
        <v>748</v>
      </c>
      <c r="B1502">
        <v>10183</v>
      </c>
      <c r="C1502" t="s">
        <v>1966</v>
      </c>
      <c r="D1502" t="s">
        <v>2798</v>
      </c>
      <c r="E1502" t="s">
        <v>451</v>
      </c>
      <c r="F1502" t="s">
        <v>2799</v>
      </c>
      <c r="G1502" t="str">
        <f>"00024736"</f>
        <v>00024736</v>
      </c>
      <c r="H1502" t="s">
        <v>2800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70</v>
      </c>
      <c r="P1502">
        <v>0</v>
      </c>
      <c r="Q1502">
        <v>0</v>
      </c>
      <c r="R1502">
        <v>0</v>
      </c>
      <c r="S1502">
        <v>0</v>
      </c>
      <c r="V1502">
        <v>3</v>
      </c>
      <c r="W1502" t="s">
        <v>2801</v>
      </c>
    </row>
    <row r="1503" spans="1:23" x14ac:dyDescent="0.25">
      <c r="H1503" t="s">
        <v>2802</v>
      </c>
    </row>
    <row r="1504" spans="1:23" x14ac:dyDescent="0.25">
      <c r="A1504">
        <v>749</v>
      </c>
      <c r="B1504">
        <v>2063</v>
      </c>
      <c r="C1504" t="s">
        <v>2803</v>
      </c>
      <c r="D1504" t="s">
        <v>208</v>
      </c>
      <c r="E1504" t="s">
        <v>2804</v>
      </c>
      <c r="F1504" t="s">
        <v>2805</v>
      </c>
      <c r="G1504" t="str">
        <f>"00040678"</f>
        <v>00040678</v>
      </c>
      <c r="H1504" t="s">
        <v>929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0</v>
      </c>
      <c r="S1504">
        <v>0</v>
      </c>
      <c r="V1504">
        <v>3</v>
      </c>
      <c r="W1504" t="s">
        <v>929</v>
      </c>
    </row>
    <row r="1505" spans="1:23" x14ac:dyDescent="0.25">
      <c r="H1505" t="s">
        <v>2806</v>
      </c>
    </row>
    <row r="1506" spans="1:23" x14ac:dyDescent="0.25">
      <c r="A1506">
        <v>750</v>
      </c>
      <c r="B1506">
        <v>8599</v>
      </c>
      <c r="C1506" t="s">
        <v>2807</v>
      </c>
      <c r="D1506" t="s">
        <v>275</v>
      </c>
      <c r="E1506" t="s">
        <v>20</v>
      </c>
      <c r="F1506" t="s">
        <v>2808</v>
      </c>
      <c r="G1506" t="str">
        <f>"00095504"</f>
        <v>00095504</v>
      </c>
      <c r="H1506" t="s">
        <v>929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0</v>
      </c>
      <c r="S1506">
        <v>0</v>
      </c>
      <c r="V1506">
        <v>1</v>
      </c>
      <c r="W1506" t="s">
        <v>929</v>
      </c>
    </row>
    <row r="1507" spans="1:23" x14ac:dyDescent="0.25">
      <c r="H1507">
        <v>862</v>
      </c>
    </row>
    <row r="1508" spans="1:23" x14ac:dyDescent="0.25">
      <c r="A1508">
        <v>751</v>
      </c>
      <c r="B1508">
        <v>8430</v>
      </c>
      <c r="C1508" t="s">
        <v>2809</v>
      </c>
      <c r="D1508" t="s">
        <v>1940</v>
      </c>
      <c r="E1508" t="s">
        <v>229</v>
      </c>
      <c r="F1508" t="s">
        <v>2810</v>
      </c>
      <c r="G1508" t="str">
        <f>"00028152"</f>
        <v>00028152</v>
      </c>
      <c r="H1508" t="s">
        <v>929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0</v>
      </c>
      <c r="S1508">
        <v>0</v>
      </c>
      <c r="V1508">
        <v>1</v>
      </c>
      <c r="W1508" t="s">
        <v>929</v>
      </c>
    </row>
    <row r="1509" spans="1:23" x14ac:dyDescent="0.25">
      <c r="H1509" t="s">
        <v>2811</v>
      </c>
    </row>
    <row r="1510" spans="1:23" x14ac:dyDescent="0.25">
      <c r="A1510">
        <v>752</v>
      </c>
      <c r="B1510">
        <v>4375</v>
      </c>
      <c r="C1510" t="s">
        <v>2812</v>
      </c>
      <c r="D1510" t="s">
        <v>128</v>
      </c>
      <c r="E1510" t="s">
        <v>154</v>
      </c>
      <c r="F1510" t="s">
        <v>2813</v>
      </c>
      <c r="G1510" t="str">
        <f>"201511038819"</f>
        <v>201511038819</v>
      </c>
      <c r="H1510" t="s">
        <v>929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v>0</v>
      </c>
      <c r="V1510">
        <v>1</v>
      </c>
      <c r="W1510" t="s">
        <v>929</v>
      </c>
    </row>
    <row r="1511" spans="1:23" x14ac:dyDescent="0.25">
      <c r="H1511" t="s">
        <v>2814</v>
      </c>
    </row>
    <row r="1512" spans="1:23" x14ac:dyDescent="0.25">
      <c r="A1512">
        <v>753</v>
      </c>
      <c r="B1512">
        <v>1460</v>
      </c>
      <c r="C1512" t="s">
        <v>2815</v>
      </c>
      <c r="D1512" t="s">
        <v>80</v>
      </c>
      <c r="E1512" t="s">
        <v>158</v>
      </c>
      <c r="F1512" t="s">
        <v>2816</v>
      </c>
      <c r="G1512" t="str">
        <f>"201511043379"</f>
        <v>201511043379</v>
      </c>
      <c r="H1512" t="s">
        <v>2817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41</v>
      </c>
      <c r="S1512">
        <v>287</v>
      </c>
      <c r="V1512">
        <v>1</v>
      </c>
      <c r="W1512" t="s">
        <v>2818</v>
      </c>
    </row>
    <row r="1513" spans="1:23" x14ac:dyDescent="0.25">
      <c r="H1513" t="s">
        <v>2819</v>
      </c>
    </row>
    <row r="1514" spans="1:23" x14ac:dyDescent="0.25">
      <c r="A1514">
        <v>754</v>
      </c>
      <c r="B1514">
        <v>6105</v>
      </c>
      <c r="C1514" t="s">
        <v>2820</v>
      </c>
      <c r="D1514" t="s">
        <v>89</v>
      </c>
      <c r="E1514" t="s">
        <v>56</v>
      </c>
      <c r="F1514" t="s">
        <v>2821</v>
      </c>
      <c r="G1514" t="str">
        <f>"201301000006"</f>
        <v>201301000006</v>
      </c>
      <c r="H1514">
        <v>825</v>
      </c>
      <c r="I1514">
        <v>150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1</v>
      </c>
      <c r="S1514">
        <v>7</v>
      </c>
      <c r="V1514">
        <v>1</v>
      </c>
      <c r="W1514">
        <v>982</v>
      </c>
    </row>
    <row r="1515" spans="1:23" x14ac:dyDescent="0.25">
      <c r="H1515" t="s">
        <v>2822</v>
      </c>
    </row>
    <row r="1516" spans="1:23" x14ac:dyDescent="0.25">
      <c r="A1516">
        <v>755</v>
      </c>
      <c r="B1516">
        <v>539</v>
      </c>
      <c r="C1516" t="s">
        <v>2823</v>
      </c>
      <c r="D1516" t="s">
        <v>2824</v>
      </c>
      <c r="E1516" t="s">
        <v>71</v>
      </c>
      <c r="F1516" t="s">
        <v>2825</v>
      </c>
      <c r="G1516" t="str">
        <f>"201511021609"</f>
        <v>201511021609</v>
      </c>
      <c r="H1516" t="s">
        <v>99</v>
      </c>
      <c r="I1516">
        <v>0</v>
      </c>
      <c r="J1516">
        <v>30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S1516">
        <v>0</v>
      </c>
      <c r="V1516">
        <v>1</v>
      </c>
      <c r="W1516" t="s">
        <v>2826</v>
      </c>
    </row>
    <row r="1517" spans="1:23" x14ac:dyDescent="0.25">
      <c r="H1517" t="s">
        <v>2827</v>
      </c>
    </row>
    <row r="1518" spans="1:23" x14ac:dyDescent="0.25">
      <c r="A1518">
        <v>756</v>
      </c>
      <c r="B1518">
        <v>560</v>
      </c>
      <c r="C1518" t="s">
        <v>2828</v>
      </c>
      <c r="D1518" t="s">
        <v>96</v>
      </c>
      <c r="E1518" t="s">
        <v>37</v>
      </c>
      <c r="F1518" t="s">
        <v>2829</v>
      </c>
      <c r="G1518" t="str">
        <f>"00016066"</f>
        <v>00016066</v>
      </c>
      <c r="H1518" t="s">
        <v>1008</v>
      </c>
      <c r="I1518">
        <v>150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0</v>
      </c>
      <c r="S1518">
        <v>0</v>
      </c>
      <c r="V1518">
        <v>1</v>
      </c>
      <c r="W1518" t="s">
        <v>2830</v>
      </c>
    </row>
    <row r="1519" spans="1:23" x14ac:dyDescent="0.25">
      <c r="H1519" t="s">
        <v>2831</v>
      </c>
    </row>
    <row r="1520" spans="1:23" x14ac:dyDescent="0.25">
      <c r="A1520">
        <v>757</v>
      </c>
      <c r="B1520">
        <v>3557</v>
      </c>
      <c r="C1520" t="s">
        <v>2832</v>
      </c>
      <c r="D1520" t="s">
        <v>2833</v>
      </c>
      <c r="E1520" t="s">
        <v>154</v>
      </c>
      <c r="F1520" t="s">
        <v>2834</v>
      </c>
      <c r="G1520" t="str">
        <f>"201511017303"</f>
        <v>201511017303</v>
      </c>
      <c r="H1520">
        <v>979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0</v>
      </c>
      <c r="S1520">
        <v>0</v>
      </c>
      <c r="V1520">
        <v>1</v>
      </c>
      <c r="W1520">
        <v>979</v>
      </c>
    </row>
    <row r="1521" spans="1:23" x14ac:dyDescent="0.25">
      <c r="H1521" t="s">
        <v>2835</v>
      </c>
    </row>
    <row r="1522" spans="1:23" x14ac:dyDescent="0.25">
      <c r="A1522">
        <v>758</v>
      </c>
      <c r="B1522">
        <v>7837</v>
      </c>
      <c r="C1522" t="s">
        <v>2836</v>
      </c>
      <c r="D1522" t="s">
        <v>513</v>
      </c>
      <c r="E1522" t="s">
        <v>71</v>
      </c>
      <c r="F1522" t="s">
        <v>2837</v>
      </c>
      <c r="G1522" t="str">
        <f>"00021863"</f>
        <v>00021863</v>
      </c>
      <c r="H1522">
        <v>979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S1522">
        <v>0</v>
      </c>
      <c r="V1522">
        <v>1</v>
      </c>
      <c r="W1522">
        <v>979</v>
      </c>
    </row>
    <row r="1523" spans="1:23" x14ac:dyDescent="0.25">
      <c r="H1523" t="s">
        <v>2838</v>
      </c>
    </row>
    <row r="1524" spans="1:23" x14ac:dyDescent="0.25">
      <c r="A1524">
        <v>759</v>
      </c>
      <c r="B1524">
        <v>4601</v>
      </c>
      <c r="C1524" t="s">
        <v>2839</v>
      </c>
      <c r="D1524" t="s">
        <v>23</v>
      </c>
      <c r="E1524" t="s">
        <v>276</v>
      </c>
      <c r="F1524" t="s">
        <v>2840</v>
      </c>
      <c r="G1524" t="str">
        <f>"201511034106"</f>
        <v>201511034106</v>
      </c>
      <c r="H1524">
        <v>979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0</v>
      </c>
      <c r="S1524">
        <v>0</v>
      </c>
      <c r="V1524">
        <v>1</v>
      </c>
      <c r="W1524">
        <v>979</v>
      </c>
    </row>
    <row r="1525" spans="1:23" x14ac:dyDescent="0.25">
      <c r="H1525" t="s">
        <v>2841</v>
      </c>
    </row>
    <row r="1526" spans="1:23" x14ac:dyDescent="0.25">
      <c r="A1526">
        <v>760</v>
      </c>
      <c r="B1526">
        <v>8191</v>
      </c>
      <c r="C1526" t="s">
        <v>2842</v>
      </c>
      <c r="D1526" t="s">
        <v>29</v>
      </c>
      <c r="E1526" t="s">
        <v>37</v>
      </c>
      <c r="F1526" t="s">
        <v>2843</v>
      </c>
      <c r="G1526" t="str">
        <f>"201511037924"</f>
        <v>201511037924</v>
      </c>
      <c r="H1526">
        <v>979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0</v>
      </c>
      <c r="S1526">
        <v>0</v>
      </c>
      <c r="V1526">
        <v>1</v>
      </c>
      <c r="W1526">
        <v>979</v>
      </c>
    </row>
    <row r="1527" spans="1:23" x14ac:dyDescent="0.25">
      <c r="H1527" t="s">
        <v>2844</v>
      </c>
    </row>
    <row r="1528" spans="1:23" x14ac:dyDescent="0.25">
      <c r="A1528">
        <v>761</v>
      </c>
      <c r="B1528">
        <v>7370</v>
      </c>
      <c r="C1528" t="s">
        <v>2845</v>
      </c>
      <c r="D1528" t="s">
        <v>103</v>
      </c>
      <c r="E1528" t="s">
        <v>229</v>
      </c>
      <c r="F1528" t="s">
        <v>2846</v>
      </c>
      <c r="G1528" t="str">
        <f>"201511035481"</f>
        <v>201511035481</v>
      </c>
      <c r="H1528">
        <v>946</v>
      </c>
      <c r="I1528">
        <v>0</v>
      </c>
      <c r="J1528">
        <v>30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0</v>
      </c>
      <c r="S1528">
        <v>0</v>
      </c>
      <c r="V1528">
        <v>1</v>
      </c>
      <c r="W1528">
        <v>976</v>
      </c>
    </row>
    <row r="1529" spans="1:23" x14ac:dyDescent="0.25">
      <c r="H1529" t="s">
        <v>2847</v>
      </c>
    </row>
    <row r="1530" spans="1:23" x14ac:dyDescent="0.25">
      <c r="A1530">
        <v>762</v>
      </c>
      <c r="B1530">
        <v>1705</v>
      </c>
      <c r="C1530" t="s">
        <v>2530</v>
      </c>
      <c r="D1530" t="s">
        <v>29</v>
      </c>
      <c r="E1530" t="s">
        <v>284</v>
      </c>
      <c r="F1530" t="s">
        <v>2848</v>
      </c>
      <c r="G1530" t="str">
        <f>"201511031499"</f>
        <v>201511031499</v>
      </c>
      <c r="H1530">
        <v>946</v>
      </c>
      <c r="I1530">
        <v>0</v>
      </c>
      <c r="J1530">
        <v>30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S1530">
        <v>0</v>
      </c>
      <c r="V1530">
        <v>1</v>
      </c>
      <c r="W1530">
        <v>976</v>
      </c>
    </row>
    <row r="1531" spans="1:23" x14ac:dyDescent="0.25">
      <c r="H1531" t="s">
        <v>2849</v>
      </c>
    </row>
    <row r="1532" spans="1:23" x14ac:dyDescent="0.25">
      <c r="A1532">
        <v>763</v>
      </c>
      <c r="B1532">
        <v>959</v>
      </c>
      <c r="C1532" t="s">
        <v>713</v>
      </c>
      <c r="D1532" t="s">
        <v>392</v>
      </c>
      <c r="E1532" t="s">
        <v>37</v>
      </c>
      <c r="F1532" t="s">
        <v>2850</v>
      </c>
      <c r="G1532" t="str">
        <f>"00027781"</f>
        <v>00027781</v>
      </c>
      <c r="H1532">
        <v>946</v>
      </c>
      <c r="I1532">
        <v>0</v>
      </c>
      <c r="J1532">
        <v>30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S1532">
        <v>0</v>
      </c>
      <c r="V1532">
        <v>1</v>
      </c>
      <c r="W1532">
        <v>976</v>
      </c>
    </row>
    <row r="1533" spans="1:23" x14ac:dyDescent="0.25">
      <c r="H1533">
        <v>815</v>
      </c>
    </row>
    <row r="1534" spans="1:23" x14ac:dyDescent="0.25">
      <c r="A1534">
        <v>764</v>
      </c>
      <c r="B1534">
        <v>6694</v>
      </c>
      <c r="C1534" t="s">
        <v>2851</v>
      </c>
      <c r="D1534" t="s">
        <v>122</v>
      </c>
      <c r="E1534" t="s">
        <v>97</v>
      </c>
      <c r="F1534" t="s">
        <v>2852</v>
      </c>
      <c r="G1534" t="str">
        <f>"00087734"</f>
        <v>00087734</v>
      </c>
      <c r="H1534" t="s">
        <v>1316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5</v>
      </c>
      <c r="S1534">
        <v>35</v>
      </c>
      <c r="V1534">
        <v>1</v>
      </c>
      <c r="W1534" t="s">
        <v>2853</v>
      </c>
    </row>
    <row r="1535" spans="1:23" x14ac:dyDescent="0.25">
      <c r="H1535" t="s">
        <v>2854</v>
      </c>
    </row>
    <row r="1536" spans="1:23" x14ac:dyDescent="0.25">
      <c r="A1536">
        <v>765</v>
      </c>
      <c r="B1536">
        <v>6634</v>
      </c>
      <c r="C1536" t="s">
        <v>2855</v>
      </c>
      <c r="D1536" t="s">
        <v>988</v>
      </c>
      <c r="E1536" t="s">
        <v>62</v>
      </c>
      <c r="F1536" t="s">
        <v>2856</v>
      </c>
      <c r="G1536" t="str">
        <f>"00043354"</f>
        <v>00043354</v>
      </c>
      <c r="H1536">
        <v>825</v>
      </c>
      <c r="I1536">
        <v>150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S1536">
        <v>0</v>
      </c>
      <c r="V1536">
        <v>1</v>
      </c>
      <c r="W1536">
        <v>975</v>
      </c>
    </row>
    <row r="1537" spans="1:23" x14ac:dyDescent="0.25">
      <c r="H1537" t="s">
        <v>2857</v>
      </c>
    </row>
    <row r="1538" spans="1:23" x14ac:dyDescent="0.25">
      <c r="A1538">
        <v>766</v>
      </c>
      <c r="B1538">
        <v>7058</v>
      </c>
      <c r="C1538" t="s">
        <v>2237</v>
      </c>
      <c r="D1538" t="s">
        <v>351</v>
      </c>
      <c r="E1538" t="s">
        <v>1686</v>
      </c>
      <c r="F1538" t="s">
        <v>2858</v>
      </c>
      <c r="G1538" t="str">
        <f>"00095820"</f>
        <v>00095820</v>
      </c>
      <c r="H1538">
        <v>869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15</v>
      </c>
      <c r="S1538">
        <v>105</v>
      </c>
      <c r="V1538">
        <v>1</v>
      </c>
      <c r="W1538">
        <v>974</v>
      </c>
    </row>
    <row r="1539" spans="1:23" x14ac:dyDescent="0.25">
      <c r="H1539" t="s">
        <v>94</v>
      </c>
    </row>
    <row r="1540" spans="1:23" x14ac:dyDescent="0.25">
      <c r="A1540">
        <v>767</v>
      </c>
      <c r="B1540">
        <v>9378</v>
      </c>
      <c r="C1540" t="s">
        <v>2859</v>
      </c>
      <c r="D1540" t="s">
        <v>62</v>
      </c>
      <c r="E1540" t="s">
        <v>154</v>
      </c>
      <c r="F1540" t="s">
        <v>2860</v>
      </c>
      <c r="G1540" t="str">
        <f>"201511020683"</f>
        <v>201511020683</v>
      </c>
      <c r="H1540" t="s">
        <v>286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0</v>
      </c>
      <c r="S1540">
        <v>0</v>
      </c>
      <c r="V1540">
        <v>1</v>
      </c>
      <c r="W1540" t="s">
        <v>286</v>
      </c>
    </row>
    <row r="1541" spans="1:23" x14ac:dyDescent="0.25">
      <c r="H1541" t="s">
        <v>2861</v>
      </c>
    </row>
    <row r="1542" spans="1:23" x14ac:dyDescent="0.25">
      <c r="A1542">
        <v>768</v>
      </c>
      <c r="B1542">
        <v>6199</v>
      </c>
      <c r="C1542" t="s">
        <v>2862</v>
      </c>
      <c r="D1542" t="s">
        <v>153</v>
      </c>
      <c r="E1542" t="s">
        <v>104</v>
      </c>
      <c r="F1542" t="s">
        <v>2863</v>
      </c>
      <c r="G1542" t="str">
        <f>"00029106"</f>
        <v>00029106</v>
      </c>
      <c r="H1542" t="s">
        <v>286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v>0</v>
      </c>
      <c r="V1542">
        <v>1</v>
      </c>
      <c r="W1542" t="s">
        <v>286</v>
      </c>
    </row>
    <row r="1543" spans="1:23" x14ac:dyDescent="0.25">
      <c r="H1543" t="s">
        <v>2864</v>
      </c>
    </row>
    <row r="1544" spans="1:23" x14ac:dyDescent="0.25">
      <c r="A1544">
        <v>769</v>
      </c>
      <c r="B1544">
        <v>3141</v>
      </c>
      <c r="C1544" t="s">
        <v>2865</v>
      </c>
      <c r="D1544" t="s">
        <v>2866</v>
      </c>
      <c r="E1544" t="s">
        <v>154</v>
      </c>
      <c r="F1544" t="s">
        <v>2867</v>
      </c>
      <c r="G1544" t="str">
        <f>"00023538"</f>
        <v>00023538</v>
      </c>
      <c r="H1544" t="s">
        <v>286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0</v>
      </c>
      <c r="S1544">
        <v>0</v>
      </c>
      <c r="V1544">
        <v>1</v>
      </c>
      <c r="W1544" t="s">
        <v>286</v>
      </c>
    </row>
    <row r="1545" spans="1:23" x14ac:dyDescent="0.25">
      <c r="H1545" t="s">
        <v>2868</v>
      </c>
    </row>
    <row r="1546" spans="1:23" x14ac:dyDescent="0.25">
      <c r="A1546">
        <v>770</v>
      </c>
      <c r="B1546">
        <v>4685</v>
      </c>
      <c r="C1546" t="s">
        <v>2869</v>
      </c>
      <c r="D1546" t="s">
        <v>543</v>
      </c>
      <c r="E1546" t="s">
        <v>56</v>
      </c>
      <c r="F1546" t="s">
        <v>2870</v>
      </c>
      <c r="G1546" t="str">
        <f>"201512000491"</f>
        <v>201512000491</v>
      </c>
      <c r="H1546" t="s">
        <v>286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S1546">
        <v>0</v>
      </c>
      <c r="V1546">
        <v>1</v>
      </c>
      <c r="W1546" t="s">
        <v>286</v>
      </c>
    </row>
    <row r="1547" spans="1:23" x14ac:dyDescent="0.25">
      <c r="H1547" t="s">
        <v>2871</v>
      </c>
    </row>
    <row r="1548" spans="1:23" x14ac:dyDescent="0.25">
      <c r="A1548">
        <v>771</v>
      </c>
      <c r="B1548">
        <v>4964</v>
      </c>
      <c r="C1548" t="s">
        <v>2479</v>
      </c>
      <c r="D1548" t="s">
        <v>2025</v>
      </c>
      <c r="E1548" t="s">
        <v>298</v>
      </c>
      <c r="F1548" t="s">
        <v>2872</v>
      </c>
      <c r="G1548" t="str">
        <f>"201511036310"</f>
        <v>201511036310</v>
      </c>
      <c r="H1548" t="s">
        <v>286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S1548">
        <v>0</v>
      </c>
      <c r="V1548">
        <v>1</v>
      </c>
      <c r="W1548" t="s">
        <v>286</v>
      </c>
    </row>
    <row r="1549" spans="1:23" x14ac:dyDescent="0.25">
      <c r="H1549" t="s">
        <v>2873</v>
      </c>
    </row>
    <row r="1550" spans="1:23" x14ac:dyDescent="0.25">
      <c r="A1550">
        <v>772</v>
      </c>
      <c r="B1550">
        <v>6124</v>
      </c>
      <c r="C1550" t="s">
        <v>2874</v>
      </c>
      <c r="D1550" t="s">
        <v>491</v>
      </c>
      <c r="E1550" t="s">
        <v>37</v>
      </c>
      <c r="F1550" t="s">
        <v>2875</v>
      </c>
      <c r="G1550" t="str">
        <f>"201511043224"</f>
        <v>201511043224</v>
      </c>
      <c r="H1550" t="s">
        <v>829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33</v>
      </c>
      <c r="S1550">
        <v>231</v>
      </c>
      <c r="V1550">
        <v>1</v>
      </c>
      <c r="W1550" t="s">
        <v>286</v>
      </c>
    </row>
    <row r="1551" spans="1:23" x14ac:dyDescent="0.25">
      <c r="H1551" t="s">
        <v>2876</v>
      </c>
    </row>
    <row r="1552" spans="1:23" x14ac:dyDescent="0.25">
      <c r="A1552">
        <v>773</v>
      </c>
      <c r="B1552">
        <v>3033</v>
      </c>
      <c r="C1552" t="s">
        <v>2877</v>
      </c>
      <c r="D1552" t="s">
        <v>368</v>
      </c>
      <c r="E1552" t="s">
        <v>1239</v>
      </c>
      <c r="F1552" t="s">
        <v>2878</v>
      </c>
      <c r="G1552" t="str">
        <f>"201511031320"</f>
        <v>201511031320</v>
      </c>
      <c r="H1552">
        <v>770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29</v>
      </c>
      <c r="S1552">
        <v>203</v>
      </c>
      <c r="V1552">
        <v>1</v>
      </c>
      <c r="W1552">
        <v>973</v>
      </c>
    </row>
    <row r="1553" spans="1:23" x14ac:dyDescent="0.25">
      <c r="H1553" t="s">
        <v>2879</v>
      </c>
    </row>
    <row r="1554" spans="1:23" x14ac:dyDescent="0.25">
      <c r="A1554">
        <v>774</v>
      </c>
      <c r="B1554">
        <v>3648</v>
      </c>
      <c r="C1554" t="s">
        <v>15</v>
      </c>
      <c r="D1554" t="s">
        <v>2880</v>
      </c>
      <c r="E1554" t="s">
        <v>2881</v>
      </c>
      <c r="F1554" t="s">
        <v>2882</v>
      </c>
      <c r="G1554" t="str">
        <f>"201511025272"</f>
        <v>201511025272</v>
      </c>
      <c r="H1554" t="s">
        <v>2883</v>
      </c>
      <c r="I1554">
        <v>0</v>
      </c>
      <c r="J1554">
        <v>50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V1554">
        <v>1</v>
      </c>
      <c r="W1554" t="s">
        <v>2884</v>
      </c>
    </row>
    <row r="1555" spans="1:23" x14ac:dyDescent="0.25">
      <c r="H1555" t="s">
        <v>2885</v>
      </c>
    </row>
    <row r="1556" spans="1:23" x14ac:dyDescent="0.25">
      <c r="A1556">
        <v>775</v>
      </c>
      <c r="B1556">
        <v>4011</v>
      </c>
      <c r="C1556" t="s">
        <v>2886</v>
      </c>
      <c r="D1556" t="s">
        <v>2887</v>
      </c>
      <c r="E1556" t="s">
        <v>56</v>
      </c>
      <c r="F1556" t="s">
        <v>2888</v>
      </c>
      <c r="G1556" t="str">
        <f>"201511041870"</f>
        <v>201511041870</v>
      </c>
      <c r="H1556" t="s">
        <v>1973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S1556">
        <v>0</v>
      </c>
      <c r="V1556">
        <v>1</v>
      </c>
      <c r="W1556" t="s">
        <v>1973</v>
      </c>
    </row>
    <row r="1557" spans="1:23" x14ac:dyDescent="0.25">
      <c r="H1557" t="s">
        <v>2889</v>
      </c>
    </row>
    <row r="1558" spans="1:23" x14ac:dyDescent="0.25">
      <c r="A1558">
        <v>776</v>
      </c>
      <c r="B1558">
        <v>5427</v>
      </c>
      <c r="C1558" t="s">
        <v>2890</v>
      </c>
      <c r="D1558" t="s">
        <v>1393</v>
      </c>
      <c r="E1558" t="s">
        <v>276</v>
      </c>
      <c r="F1558" t="s">
        <v>2891</v>
      </c>
      <c r="G1558" t="str">
        <f>"201511033893"</f>
        <v>201511033893</v>
      </c>
      <c r="H1558" t="s">
        <v>1316</v>
      </c>
      <c r="I1558">
        <v>0</v>
      </c>
      <c r="J1558">
        <v>30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S1558">
        <v>0</v>
      </c>
      <c r="V1558">
        <v>1</v>
      </c>
      <c r="W1558" t="s">
        <v>2892</v>
      </c>
    </row>
    <row r="1559" spans="1:23" x14ac:dyDescent="0.25">
      <c r="H1559" t="s">
        <v>2893</v>
      </c>
    </row>
    <row r="1560" spans="1:23" x14ac:dyDescent="0.25">
      <c r="A1560">
        <v>777</v>
      </c>
      <c r="B1560">
        <v>4453</v>
      </c>
      <c r="C1560" t="s">
        <v>2894</v>
      </c>
      <c r="D1560" t="s">
        <v>988</v>
      </c>
      <c r="E1560" t="s">
        <v>1686</v>
      </c>
      <c r="F1560" t="s">
        <v>2895</v>
      </c>
      <c r="G1560" t="str">
        <f>"00017022"</f>
        <v>00017022</v>
      </c>
      <c r="H1560">
        <v>968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S1560">
        <v>0</v>
      </c>
      <c r="V1560">
        <v>3</v>
      </c>
      <c r="W1560">
        <v>968</v>
      </c>
    </row>
    <row r="1561" spans="1:23" x14ac:dyDescent="0.25">
      <c r="H1561" t="s">
        <v>2896</v>
      </c>
    </row>
    <row r="1562" spans="1:23" x14ac:dyDescent="0.25">
      <c r="A1562">
        <v>778</v>
      </c>
      <c r="B1562">
        <v>5478</v>
      </c>
      <c r="C1562" t="s">
        <v>2897</v>
      </c>
      <c r="D1562" t="s">
        <v>1878</v>
      </c>
      <c r="E1562" t="s">
        <v>20</v>
      </c>
      <c r="F1562" t="s">
        <v>2898</v>
      </c>
      <c r="G1562" t="str">
        <f>"201502002252"</f>
        <v>201502002252</v>
      </c>
      <c r="H1562">
        <v>924</v>
      </c>
      <c r="I1562">
        <v>0</v>
      </c>
      <c r="J1562">
        <v>30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2</v>
      </c>
      <c r="S1562">
        <v>14</v>
      </c>
      <c r="V1562">
        <v>1</v>
      </c>
      <c r="W1562">
        <v>968</v>
      </c>
    </row>
    <row r="1563" spans="1:23" x14ac:dyDescent="0.25">
      <c r="H1563" t="s">
        <v>2899</v>
      </c>
    </row>
    <row r="1564" spans="1:23" x14ac:dyDescent="0.25">
      <c r="A1564">
        <v>779</v>
      </c>
      <c r="B1564">
        <v>4140</v>
      </c>
      <c r="C1564" t="s">
        <v>832</v>
      </c>
      <c r="D1564" t="s">
        <v>190</v>
      </c>
      <c r="E1564" t="s">
        <v>229</v>
      </c>
      <c r="F1564" t="s">
        <v>2900</v>
      </c>
      <c r="G1564" t="str">
        <f>"00077614"</f>
        <v>00077614</v>
      </c>
      <c r="H1564">
        <v>935</v>
      </c>
      <c r="I1564">
        <v>0</v>
      </c>
      <c r="J1564">
        <v>30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0</v>
      </c>
      <c r="S1564">
        <v>0</v>
      </c>
      <c r="V1564">
        <v>1</v>
      </c>
      <c r="W1564">
        <v>965</v>
      </c>
    </row>
    <row r="1565" spans="1:23" x14ac:dyDescent="0.25">
      <c r="H1565" t="s">
        <v>2901</v>
      </c>
    </row>
    <row r="1566" spans="1:23" x14ac:dyDescent="0.25">
      <c r="A1566">
        <v>780</v>
      </c>
      <c r="B1566">
        <v>232</v>
      </c>
      <c r="C1566" t="s">
        <v>2902</v>
      </c>
      <c r="D1566" t="s">
        <v>29</v>
      </c>
      <c r="E1566" t="s">
        <v>80</v>
      </c>
      <c r="F1566" t="s">
        <v>2903</v>
      </c>
      <c r="G1566" t="str">
        <f>"200801010475"</f>
        <v>200801010475</v>
      </c>
      <c r="H1566">
        <v>935</v>
      </c>
      <c r="I1566">
        <v>0</v>
      </c>
      <c r="J1566">
        <v>30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S1566">
        <v>0</v>
      </c>
      <c r="V1566">
        <v>1</v>
      </c>
      <c r="W1566">
        <v>965</v>
      </c>
    </row>
    <row r="1567" spans="1:23" x14ac:dyDescent="0.25">
      <c r="H1567" t="s">
        <v>2904</v>
      </c>
    </row>
    <row r="1568" spans="1:23" x14ac:dyDescent="0.25">
      <c r="A1568">
        <v>781</v>
      </c>
      <c r="B1568">
        <v>840</v>
      </c>
      <c r="C1568" t="s">
        <v>1733</v>
      </c>
      <c r="D1568" t="s">
        <v>465</v>
      </c>
      <c r="E1568" t="s">
        <v>154</v>
      </c>
      <c r="F1568" t="s">
        <v>2905</v>
      </c>
      <c r="G1568" t="str">
        <f>"201511026082"</f>
        <v>201511026082</v>
      </c>
      <c r="H1568" t="s">
        <v>854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V1568">
        <v>1</v>
      </c>
      <c r="W1568" t="s">
        <v>854</v>
      </c>
    </row>
    <row r="1569" spans="1:23" x14ac:dyDescent="0.25">
      <c r="H1569" t="s">
        <v>2906</v>
      </c>
    </row>
    <row r="1570" spans="1:23" x14ac:dyDescent="0.25">
      <c r="A1570">
        <v>782</v>
      </c>
      <c r="B1570">
        <v>2052</v>
      </c>
      <c r="C1570" t="s">
        <v>2907</v>
      </c>
      <c r="D1570" t="s">
        <v>465</v>
      </c>
      <c r="E1570" t="s">
        <v>37</v>
      </c>
      <c r="F1570" t="s">
        <v>2908</v>
      </c>
      <c r="G1570" t="str">
        <f>"00049834"</f>
        <v>00049834</v>
      </c>
      <c r="H1570" t="s">
        <v>2909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18</v>
      </c>
      <c r="S1570">
        <v>126</v>
      </c>
      <c r="V1570">
        <v>1</v>
      </c>
      <c r="W1570" t="s">
        <v>2910</v>
      </c>
    </row>
    <row r="1571" spans="1:23" x14ac:dyDescent="0.25">
      <c r="H1571" t="s">
        <v>2911</v>
      </c>
    </row>
    <row r="1572" spans="1:23" x14ac:dyDescent="0.25">
      <c r="A1572">
        <v>783</v>
      </c>
      <c r="B1572">
        <v>3477</v>
      </c>
      <c r="C1572" t="s">
        <v>2912</v>
      </c>
      <c r="D1572" t="s">
        <v>62</v>
      </c>
      <c r="E1572" t="s">
        <v>2913</v>
      </c>
      <c r="F1572" t="s">
        <v>2914</v>
      </c>
      <c r="G1572" t="str">
        <f>"201511025429"</f>
        <v>201511025429</v>
      </c>
      <c r="H1572" t="s">
        <v>1113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S1572">
        <v>0</v>
      </c>
      <c r="V1572">
        <v>1</v>
      </c>
      <c r="W1572" t="s">
        <v>1113</v>
      </c>
    </row>
    <row r="1573" spans="1:23" x14ac:dyDescent="0.25">
      <c r="H1573" t="s">
        <v>2915</v>
      </c>
    </row>
    <row r="1574" spans="1:23" x14ac:dyDescent="0.25">
      <c r="A1574">
        <v>784</v>
      </c>
      <c r="B1574">
        <v>5554</v>
      </c>
      <c r="C1574" t="s">
        <v>2916</v>
      </c>
      <c r="D1574" t="s">
        <v>30</v>
      </c>
      <c r="E1574" t="s">
        <v>858</v>
      </c>
      <c r="F1574" t="s">
        <v>2917</v>
      </c>
      <c r="G1574" t="str">
        <f>"00009574"</f>
        <v>00009574</v>
      </c>
      <c r="H1574" t="s">
        <v>412</v>
      </c>
      <c r="I1574">
        <v>0</v>
      </c>
      <c r="J1574">
        <v>30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S1574">
        <v>0</v>
      </c>
      <c r="V1574">
        <v>1</v>
      </c>
      <c r="W1574" t="s">
        <v>2918</v>
      </c>
    </row>
    <row r="1575" spans="1:23" x14ac:dyDescent="0.25">
      <c r="H1575" t="s">
        <v>2919</v>
      </c>
    </row>
    <row r="1576" spans="1:23" x14ac:dyDescent="0.25">
      <c r="A1576">
        <v>785</v>
      </c>
      <c r="B1576">
        <v>8889</v>
      </c>
      <c r="C1576" t="s">
        <v>2920</v>
      </c>
      <c r="D1576" t="s">
        <v>2921</v>
      </c>
      <c r="E1576" t="s">
        <v>276</v>
      </c>
      <c r="F1576" t="s">
        <v>2922</v>
      </c>
      <c r="G1576" t="str">
        <f>"00046165"</f>
        <v>00046165</v>
      </c>
      <c r="H1576">
        <v>825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19</v>
      </c>
      <c r="S1576">
        <v>133</v>
      </c>
      <c r="V1576">
        <v>1</v>
      </c>
      <c r="W1576">
        <v>958</v>
      </c>
    </row>
    <row r="1577" spans="1:23" x14ac:dyDescent="0.25">
      <c r="H1577" t="s">
        <v>2923</v>
      </c>
    </row>
    <row r="1578" spans="1:23" x14ac:dyDescent="0.25">
      <c r="A1578">
        <v>786</v>
      </c>
      <c r="B1578">
        <v>7797</v>
      </c>
      <c r="C1578" t="s">
        <v>2924</v>
      </c>
      <c r="D1578" t="s">
        <v>2703</v>
      </c>
      <c r="E1578" t="s">
        <v>20</v>
      </c>
      <c r="F1578" t="s">
        <v>2925</v>
      </c>
      <c r="G1578" t="str">
        <f>"00007144"</f>
        <v>00007144</v>
      </c>
      <c r="H1578">
        <v>957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S1578">
        <v>0</v>
      </c>
      <c r="V1578">
        <v>1</v>
      </c>
      <c r="W1578">
        <v>957</v>
      </c>
    </row>
    <row r="1579" spans="1:23" x14ac:dyDescent="0.25">
      <c r="H1579" t="s">
        <v>2926</v>
      </c>
    </row>
    <row r="1580" spans="1:23" x14ac:dyDescent="0.25">
      <c r="A1580">
        <v>787</v>
      </c>
      <c r="B1580">
        <v>2450</v>
      </c>
      <c r="C1580" t="s">
        <v>2927</v>
      </c>
      <c r="D1580" t="s">
        <v>2928</v>
      </c>
      <c r="E1580" t="s">
        <v>158</v>
      </c>
      <c r="F1580" t="s">
        <v>2929</v>
      </c>
      <c r="G1580" t="str">
        <f>"201511029746"</f>
        <v>201511029746</v>
      </c>
      <c r="H1580" t="s">
        <v>1008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18</v>
      </c>
      <c r="S1580">
        <v>126</v>
      </c>
      <c r="V1580">
        <v>1</v>
      </c>
      <c r="W1580" t="s">
        <v>2930</v>
      </c>
    </row>
    <row r="1581" spans="1:23" x14ac:dyDescent="0.25">
      <c r="H1581" t="s">
        <v>2931</v>
      </c>
    </row>
    <row r="1582" spans="1:23" x14ac:dyDescent="0.25">
      <c r="A1582">
        <v>788</v>
      </c>
      <c r="B1582">
        <v>2918</v>
      </c>
      <c r="C1582" t="s">
        <v>2932</v>
      </c>
      <c r="D1582" t="s">
        <v>183</v>
      </c>
      <c r="E1582" t="s">
        <v>484</v>
      </c>
      <c r="F1582" t="s">
        <v>2933</v>
      </c>
      <c r="G1582" t="str">
        <f>"201510003625"</f>
        <v>201510003625</v>
      </c>
      <c r="H1582">
        <v>605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50</v>
      </c>
      <c r="S1582">
        <v>350</v>
      </c>
      <c r="V1582">
        <v>1</v>
      </c>
      <c r="W1582">
        <v>955</v>
      </c>
    </row>
    <row r="1583" spans="1:23" x14ac:dyDescent="0.25">
      <c r="H1583" t="s">
        <v>2934</v>
      </c>
    </row>
    <row r="1584" spans="1:23" x14ac:dyDescent="0.25">
      <c r="A1584">
        <v>789</v>
      </c>
      <c r="B1584">
        <v>9225</v>
      </c>
      <c r="C1584" t="s">
        <v>2935</v>
      </c>
      <c r="D1584" t="s">
        <v>2936</v>
      </c>
      <c r="E1584" t="s">
        <v>664</v>
      </c>
      <c r="F1584" t="s">
        <v>2937</v>
      </c>
      <c r="G1584" t="str">
        <f>"00073028"</f>
        <v>00073028</v>
      </c>
      <c r="H1584">
        <v>924</v>
      </c>
      <c r="I1584">
        <v>0</v>
      </c>
      <c r="J1584">
        <v>30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v>0</v>
      </c>
      <c r="V1584">
        <v>1</v>
      </c>
      <c r="W1584">
        <v>954</v>
      </c>
    </row>
    <row r="1585" spans="1:23" x14ac:dyDescent="0.25">
      <c r="H1585" t="s">
        <v>2938</v>
      </c>
    </row>
    <row r="1586" spans="1:23" x14ac:dyDescent="0.25">
      <c r="A1586">
        <v>790</v>
      </c>
      <c r="B1586">
        <v>1775</v>
      </c>
      <c r="C1586" t="s">
        <v>2939</v>
      </c>
      <c r="D1586" t="s">
        <v>80</v>
      </c>
      <c r="E1586" t="s">
        <v>298</v>
      </c>
      <c r="F1586" t="s">
        <v>2940</v>
      </c>
      <c r="G1586" t="str">
        <f>"201511007806"</f>
        <v>201511007806</v>
      </c>
      <c r="H1586">
        <v>891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9</v>
      </c>
      <c r="S1586">
        <v>63</v>
      </c>
      <c r="V1586">
        <v>1</v>
      </c>
      <c r="W1586">
        <v>954</v>
      </c>
    </row>
    <row r="1587" spans="1:23" x14ac:dyDescent="0.25">
      <c r="H1587" t="s">
        <v>2941</v>
      </c>
    </row>
    <row r="1588" spans="1:23" x14ac:dyDescent="0.25">
      <c r="A1588">
        <v>791</v>
      </c>
      <c r="B1588">
        <v>5943</v>
      </c>
      <c r="C1588" t="s">
        <v>2942</v>
      </c>
      <c r="D1588" t="s">
        <v>103</v>
      </c>
      <c r="E1588" t="s">
        <v>20</v>
      </c>
      <c r="F1588" t="s">
        <v>2943</v>
      </c>
      <c r="G1588" t="str">
        <f>"201511034212"</f>
        <v>201511034212</v>
      </c>
      <c r="H1588" t="s">
        <v>2944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R1588">
        <v>0</v>
      </c>
      <c r="S1588">
        <v>0</v>
      </c>
      <c r="V1588">
        <v>1</v>
      </c>
      <c r="W1588" t="s">
        <v>2944</v>
      </c>
    </row>
    <row r="1589" spans="1:23" x14ac:dyDescent="0.25">
      <c r="H1589" t="s">
        <v>2945</v>
      </c>
    </row>
    <row r="1590" spans="1:23" x14ac:dyDescent="0.25">
      <c r="A1590">
        <v>792</v>
      </c>
      <c r="B1590">
        <v>5406</v>
      </c>
      <c r="C1590" t="s">
        <v>2946</v>
      </c>
      <c r="D1590" t="s">
        <v>539</v>
      </c>
      <c r="E1590" t="s">
        <v>1686</v>
      </c>
      <c r="F1590" t="s">
        <v>2947</v>
      </c>
      <c r="G1590" t="str">
        <f>"00042090"</f>
        <v>00042090</v>
      </c>
      <c r="H1590" t="s">
        <v>2948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v>0</v>
      </c>
      <c r="V1590">
        <v>1</v>
      </c>
      <c r="W1590" t="s">
        <v>2948</v>
      </c>
    </row>
    <row r="1591" spans="1:23" x14ac:dyDescent="0.25">
      <c r="H1591" t="s">
        <v>2949</v>
      </c>
    </row>
    <row r="1592" spans="1:23" x14ac:dyDescent="0.25">
      <c r="A1592">
        <v>793</v>
      </c>
      <c r="B1592">
        <v>924</v>
      </c>
      <c r="C1592" t="s">
        <v>2950</v>
      </c>
      <c r="D1592" t="s">
        <v>427</v>
      </c>
      <c r="E1592" t="s">
        <v>2951</v>
      </c>
      <c r="F1592" t="s">
        <v>2952</v>
      </c>
      <c r="G1592" t="str">
        <f>"00030860"</f>
        <v>00030860</v>
      </c>
      <c r="H1592" t="s">
        <v>661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R1592">
        <v>21</v>
      </c>
      <c r="S1592">
        <v>147</v>
      </c>
      <c r="V1592">
        <v>1</v>
      </c>
      <c r="W1592" t="s">
        <v>2953</v>
      </c>
    </row>
    <row r="1593" spans="1:23" x14ac:dyDescent="0.25">
      <c r="H1593" t="s">
        <v>2954</v>
      </c>
    </row>
    <row r="1594" spans="1:23" x14ac:dyDescent="0.25">
      <c r="A1594">
        <v>794</v>
      </c>
      <c r="B1594">
        <v>6653</v>
      </c>
      <c r="C1594" t="s">
        <v>2955</v>
      </c>
      <c r="D1594" t="s">
        <v>368</v>
      </c>
      <c r="E1594" t="s">
        <v>158</v>
      </c>
      <c r="F1594" t="s">
        <v>2956</v>
      </c>
      <c r="G1594" t="str">
        <f>"00102616"</f>
        <v>00102616</v>
      </c>
      <c r="H1594" t="s">
        <v>2957</v>
      </c>
      <c r="I1594">
        <v>0</v>
      </c>
      <c r="J1594">
        <v>30</v>
      </c>
      <c r="K1594">
        <v>30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0</v>
      </c>
      <c r="S1594">
        <v>0</v>
      </c>
      <c r="V1594">
        <v>1</v>
      </c>
      <c r="W1594" t="s">
        <v>2958</v>
      </c>
    </row>
    <row r="1595" spans="1:23" x14ac:dyDescent="0.25">
      <c r="H1595">
        <v>815</v>
      </c>
    </row>
    <row r="1596" spans="1:23" x14ac:dyDescent="0.25">
      <c r="A1596">
        <v>795</v>
      </c>
      <c r="B1596">
        <v>8812</v>
      </c>
      <c r="C1596" t="s">
        <v>2959</v>
      </c>
      <c r="D1596" t="s">
        <v>2960</v>
      </c>
      <c r="E1596" t="s">
        <v>2961</v>
      </c>
      <c r="F1596" t="s">
        <v>2962</v>
      </c>
      <c r="G1596" t="str">
        <f>"00082825"</f>
        <v>00082825</v>
      </c>
      <c r="H1596" t="s">
        <v>99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v>0</v>
      </c>
      <c r="V1596">
        <v>1</v>
      </c>
      <c r="W1596" t="s">
        <v>99</v>
      </c>
    </row>
    <row r="1597" spans="1:23" x14ac:dyDescent="0.25">
      <c r="H1597" t="s">
        <v>2963</v>
      </c>
    </row>
    <row r="1598" spans="1:23" x14ac:dyDescent="0.25">
      <c r="A1598">
        <v>796</v>
      </c>
      <c r="B1598">
        <v>4483</v>
      </c>
      <c r="C1598" t="s">
        <v>2964</v>
      </c>
      <c r="D1598" t="s">
        <v>172</v>
      </c>
      <c r="E1598" t="s">
        <v>154</v>
      </c>
      <c r="F1598" t="s">
        <v>2965</v>
      </c>
      <c r="G1598" t="str">
        <f>"201511041804"</f>
        <v>201511041804</v>
      </c>
      <c r="H1598" t="s">
        <v>318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v>0</v>
      </c>
      <c r="V1598">
        <v>1</v>
      </c>
      <c r="W1598" t="s">
        <v>318</v>
      </c>
    </row>
    <row r="1599" spans="1:23" x14ac:dyDescent="0.25">
      <c r="H1599" t="s">
        <v>2966</v>
      </c>
    </row>
    <row r="1600" spans="1:23" x14ac:dyDescent="0.25">
      <c r="A1600">
        <v>797</v>
      </c>
      <c r="B1600">
        <v>3320</v>
      </c>
      <c r="C1600" t="s">
        <v>2967</v>
      </c>
      <c r="D1600" t="s">
        <v>433</v>
      </c>
      <c r="E1600" t="s">
        <v>30</v>
      </c>
      <c r="F1600" t="s">
        <v>2968</v>
      </c>
      <c r="G1600" t="str">
        <f>"00061221"</f>
        <v>00061221</v>
      </c>
      <c r="H1600">
        <v>880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10</v>
      </c>
      <c r="S1600">
        <v>70</v>
      </c>
      <c r="V1600">
        <v>1</v>
      </c>
      <c r="W1600">
        <v>950</v>
      </c>
    </row>
    <row r="1601" spans="1:23" x14ac:dyDescent="0.25">
      <c r="H1601" t="s">
        <v>2969</v>
      </c>
    </row>
    <row r="1602" spans="1:23" x14ac:dyDescent="0.25">
      <c r="A1602">
        <v>798</v>
      </c>
      <c r="B1602">
        <v>10266</v>
      </c>
      <c r="C1602" t="s">
        <v>2970</v>
      </c>
      <c r="D1602" t="s">
        <v>29</v>
      </c>
      <c r="E1602" t="s">
        <v>2971</v>
      </c>
      <c r="F1602" t="s">
        <v>2972</v>
      </c>
      <c r="G1602" t="str">
        <f>"201511027276"</f>
        <v>201511027276</v>
      </c>
      <c r="H1602">
        <v>891</v>
      </c>
      <c r="I1602">
        <v>0</v>
      </c>
      <c r="J1602">
        <v>30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4</v>
      </c>
      <c r="S1602">
        <v>28</v>
      </c>
      <c r="V1602">
        <v>1</v>
      </c>
      <c r="W1602">
        <v>949</v>
      </c>
    </row>
    <row r="1603" spans="1:23" x14ac:dyDescent="0.25">
      <c r="H1603" t="s">
        <v>2973</v>
      </c>
    </row>
    <row r="1604" spans="1:23" x14ac:dyDescent="0.25">
      <c r="A1604">
        <v>799</v>
      </c>
      <c r="B1604">
        <v>7896</v>
      </c>
      <c r="C1604" t="s">
        <v>2974</v>
      </c>
      <c r="D1604" t="s">
        <v>29</v>
      </c>
      <c r="E1604" t="s">
        <v>509</v>
      </c>
      <c r="F1604" t="s">
        <v>2975</v>
      </c>
      <c r="G1604" t="str">
        <f>"00084871"</f>
        <v>00084871</v>
      </c>
      <c r="H1604" t="s">
        <v>2976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24</v>
      </c>
      <c r="S1604">
        <v>168</v>
      </c>
      <c r="V1604">
        <v>1</v>
      </c>
      <c r="W1604" t="s">
        <v>2977</v>
      </c>
    </row>
    <row r="1605" spans="1:23" x14ac:dyDescent="0.25">
      <c r="H1605">
        <v>818</v>
      </c>
    </row>
    <row r="1606" spans="1:23" x14ac:dyDescent="0.25">
      <c r="A1606">
        <v>800</v>
      </c>
      <c r="B1606">
        <v>3930</v>
      </c>
      <c r="C1606" t="s">
        <v>2978</v>
      </c>
      <c r="D1606" t="s">
        <v>2979</v>
      </c>
      <c r="E1606" t="s">
        <v>158</v>
      </c>
      <c r="F1606" t="s">
        <v>2980</v>
      </c>
      <c r="G1606" t="str">
        <f>"201511017300"</f>
        <v>201511017300</v>
      </c>
      <c r="H1606" t="s">
        <v>2981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R1606">
        <v>20</v>
      </c>
      <c r="S1606">
        <v>140</v>
      </c>
      <c r="V1606">
        <v>1</v>
      </c>
      <c r="W1606" t="s">
        <v>2982</v>
      </c>
    </row>
    <row r="1607" spans="1:23" x14ac:dyDescent="0.25">
      <c r="H1607" t="s">
        <v>2983</v>
      </c>
    </row>
    <row r="1608" spans="1:23" x14ac:dyDescent="0.25">
      <c r="A1608">
        <v>801</v>
      </c>
      <c r="B1608">
        <v>8240</v>
      </c>
      <c r="C1608" t="s">
        <v>2984</v>
      </c>
      <c r="D1608" t="s">
        <v>351</v>
      </c>
      <c r="E1608" t="s">
        <v>344</v>
      </c>
      <c r="F1608" t="s">
        <v>2985</v>
      </c>
      <c r="G1608" t="str">
        <f>"00025786"</f>
        <v>00025786</v>
      </c>
      <c r="H1608">
        <v>946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S1608">
        <v>0</v>
      </c>
      <c r="V1608">
        <v>1</v>
      </c>
      <c r="W1608">
        <v>946</v>
      </c>
    </row>
    <row r="1609" spans="1:23" x14ac:dyDescent="0.25">
      <c r="H1609" t="s">
        <v>2986</v>
      </c>
    </row>
    <row r="1610" spans="1:23" x14ac:dyDescent="0.25">
      <c r="A1610">
        <v>802</v>
      </c>
      <c r="B1610">
        <v>3355</v>
      </c>
      <c r="C1610" t="s">
        <v>2987</v>
      </c>
      <c r="D1610" t="s">
        <v>392</v>
      </c>
      <c r="E1610" t="s">
        <v>276</v>
      </c>
      <c r="F1610" t="s">
        <v>2988</v>
      </c>
      <c r="G1610" t="str">
        <f>"00024719"</f>
        <v>00024719</v>
      </c>
      <c r="H1610">
        <v>946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0</v>
      </c>
      <c r="S1610">
        <v>0</v>
      </c>
      <c r="V1610">
        <v>1</v>
      </c>
      <c r="W1610">
        <v>946</v>
      </c>
    </row>
    <row r="1611" spans="1:23" x14ac:dyDescent="0.25">
      <c r="H1611" t="s">
        <v>2989</v>
      </c>
    </row>
    <row r="1612" spans="1:23" x14ac:dyDescent="0.25">
      <c r="A1612">
        <v>803</v>
      </c>
      <c r="B1612">
        <v>3119</v>
      </c>
      <c r="C1612" t="s">
        <v>2990</v>
      </c>
      <c r="D1612" t="s">
        <v>916</v>
      </c>
      <c r="E1612" t="s">
        <v>56</v>
      </c>
      <c r="F1612" t="s">
        <v>2991</v>
      </c>
      <c r="G1612" t="str">
        <f>"00083017"</f>
        <v>00083017</v>
      </c>
      <c r="H1612">
        <v>946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0</v>
      </c>
      <c r="S1612">
        <v>0</v>
      </c>
      <c r="V1612">
        <v>1</v>
      </c>
      <c r="W1612">
        <v>946</v>
      </c>
    </row>
    <row r="1613" spans="1:23" x14ac:dyDescent="0.25">
      <c r="H1613" t="s">
        <v>2992</v>
      </c>
    </row>
    <row r="1614" spans="1:23" x14ac:dyDescent="0.25">
      <c r="A1614">
        <v>804</v>
      </c>
      <c r="B1614">
        <v>1560</v>
      </c>
      <c r="C1614" t="s">
        <v>2993</v>
      </c>
      <c r="D1614" t="s">
        <v>172</v>
      </c>
      <c r="E1614" t="s">
        <v>2994</v>
      </c>
      <c r="F1614" t="s">
        <v>2995</v>
      </c>
      <c r="G1614" t="str">
        <f>"201511033838"</f>
        <v>201511033838</v>
      </c>
      <c r="H1614">
        <v>880</v>
      </c>
      <c r="I1614">
        <v>0</v>
      </c>
      <c r="J1614">
        <v>30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5</v>
      </c>
      <c r="S1614">
        <v>35</v>
      </c>
      <c r="V1614">
        <v>1</v>
      </c>
      <c r="W1614">
        <v>945</v>
      </c>
    </row>
    <row r="1615" spans="1:23" x14ac:dyDescent="0.25">
      <c r="H1615" t="s">
        <v>2579</v>
      </c>
    </row>
    <row r="1616" spans="1:23" x14ac:dyDescent="0.25">
      <c r="A1616">
        <v>805</v>
      </c>
      <c r="B1616">
        <v>9088</v>
      </c>
      <c r="C1616" t="s">
        <v>308</v>
      </c>
      <c r="D1616" t="s">
        <v>351</v>
      </c>
      <c r="E1616" t="s">
        <v>30</v>
      </c>
      <c r="F1616" t="s">
        <v>2996</v>
      </c>
      <c r="G1616" t="str">
        <f>"201512000363"</f>
        <v>201512000363</v>
      </c>
      <c r="H1616" t="s">
        <v>407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10</v>
      </c>
      <c r="S1616">
        <v>70</v>
      </c>
      <c r="V1616">
        <v>1</v>
      </c>
      <c r="W1616" t="s">
        <v>2997</v>
      </c>
    </row>
    <row r="1617" spans="1:23" x14ac:dyDescent="0.25">
      <c r="H1617" t="s">
        <v>2998</v>
      </c>
    </row>
    <row r="1618" spans="1:23" x14ac:dyDescent="0.25">
      <c r="A1618">
        <v>806</v>
      </c>
      <c r="B1618">
        <v>3643</v>
      </c>
      <c r="C1618" t="s">
        <v>2999</v>
      </c>
      <c r="D1618" t="s">
        <v>1314</v>
      </c>
      <c r="E1618" t="s">
        <v>3000</v>
      </c>
      <c r="F1618" t="s">
        <v>3001</v>
      </c>
      <c r="G1618" t="str">
        <f>"201512001662"</f>
        <v>201512001662</v>
      </c>
      <c r="H1618" t="s">
        <v>3002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S1618">
        <v>0</v>
      </c>
      <c r="V1618">
        <v>1</v>
      </c>
      <c r="W1618" t="s">
        <v>3002</v>
      </c>
    </row>
    <row r="1619" spans="1:23" x14ac:dyDescent="0.25">
      <c r="H1619" t="s">
        <v>3003</v>
      </c>
    </row>
    <row r="1620" spans="1:23" x14ac:dyDescent="0.25">
      <c r="A1620">
        <v>807</v>
      </c>
      <c r="B1620">
        <v>9426</v>
      </c>
      <c r="C1620" t="s">
        <v>3004</v>
      </c>
      <c r="D1620" t="s">
        <v>3005</v>
      </c>
      <c r="E1620" t="s">
        <v>62</v>
      </c>
      <c r="F1620" t="s">
        <v>3006</v>
      </c>
      <c r="G1620" t="str">
        <f>"201510004122"</f>
        <v>201510004122</v>
      </c>
      <c r="H1620" t="s">
        <v>231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11</v>
      </c>
      <c r="S1620">
        <v>77</v>
      </c>
      <c r="V1620">
        <v>1</v>
      </c>
      <c r="W1620" t="s">
        <v>3002</v>
      </c>
    </row>
    <row r="1621" spans="1:23" x14ac:dyDescent="0.25">
      <c r="H1621" t="s">
        <v>3007</v>
      </c>
    </row>
    <row r="1622" spans="1:23" x14ac:dyDescent="0.25">
      <c r="A1622">
        <v>808</v>
      </c>
      <c r="B1622">
        <v>8357</v>
      </c>
      <c r="C1622" t="s">
        <v>3008</v>
      </c>
      <c r="D1622" t="s">
        <v>30</v>
      </c>
      <c r="E1622" t="s">
        <v>158</v>
      </c>
      <c r="F1622" t="s">
        <v>3009</v>
      </c>
      <c r="G1622" t="str">
        <f>"201511030920"</f>
        <v>201511030920</v>
      </c>
      <c r="H1622">
        <v>913</v>
      </c>
      <c r="I1622">
        <v>0</v>
      </c>
      <c r="J1622">
        <v>30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0</v>
      </c>
      <c r="S1622">
        <v>0</v>
      </c>
      <c r="V1622">
        <v>1</v>
      </c>
      <c r="W1622">
        <v>943</v>
      </c>
    </row>
    <row r="1623" spans="1:23" x14ac:dyDescent="0.25">
      <c r="H1623" t="s">
        <v>3010</v>
      </c>
    </row>
    <row r="1624" spans="1:23" x14ac:dyDescent="0.25">
      <c r="A1624">
        <v>809</v>
      </c>
      <c r="B1624">
        <v>2813</v>
      </c>
      <c r="C1624" t="s">
        <v>672</v>
      </c>
      <c r="D1624" t="s">
        <v>275</v>
      </c>
      <c r="E1624" t="s">
        <v>2392</v>
      </c>
      <c r="F1624" t="s">
        <v>3011</v>
      </c>
      <c r="G1624" t="str">
        <f>"201511031335"</f>
        <v>201511031335</v>
      </c>
      <c r="H1624">
        <v>913</v>
      </c>
      <c r="I1624">
        <v>0</v>
      </c>
      <c r="J1624">
        <v>30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0</v>
      </c>
      <c r="S1624">
        <v>0</v>
      </c>
      <c r="V1624">
        <v>1</v>
      </c>
      <c r="W1624">
        <v>943</v>
      </c>
    </row>
    <row r="1625" spans="1:23" x14ac:dyDescent="0.25">
      <c r="H1625" t="s">
        <v>3012</v>
      </c>
    </row>
    <row r="1626" spans="1:23" x14ac:dyDescent="0.25">
      <c r="A1626">
        <v>810</v>
      </c>
      <c r="B1626">
        <v>4671</v>
      </c>
      <c r="C1626" t="s">
        <v>3013</v>
      </c>
      <c r="D1626" t="s">
        <v>208</v>
      </c>
      <c r="E1626" t="s">
        <v>393</v>
      </c>
      <c r="F1626" t="s">
        <v>3014</v>
      </c>
      <c r="G1626" t="str">
        <f>"201510003260"</f>
        <v>201510003260</v>
      </c>
      <c r="H1626" t="s">
        <v>1316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0</v>
      </c>
      <c r="S1626">
        <v>0</v>
      </c>
      <c r="V1626">
        <v>1</v>
      </c>
      <c r="W1626" t="s">
        <v>1316</v>
      </c>
    </row>
    <row r="1627" spans="1:23" x14ac:dyDescent="0.25">
      <c r="H1627" t="s">
        <v>3015</v>
      </c>
    </row>
    <row r="1628" spans="1:23" x14ac:dyDescent="0.25">
      <c r="A1628">
        <v>811</v>
      </c>
      <c r="B1628">
        <v>9110</v>
      </c>
      <c r="C1628" t="s">
        <v>3016</v>
      </c>
      <c r="D1628" t="s">
        <v>3017</v>
      </c>
      <c r="E1628" t="s">
        <v>284</v>
      </c>
      <c r="F1628" t="s">
        <v>3018</v>
      </c>
      <c r="G1628" t="str">
        <f>"00033023"</f>
        <v>00033023</v>
      </c>
      <c r="H1628" t="s">
        <v>1316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0</v>
      </c>
      <c r="S1628">
        <v>0</v>
      </c>
      <c r="V1628">
        <v>1</v>
      </c>
      <c r="W1628" t="s">
        <v>1316</v>
      </c>
    </row>
    <row r="1629" spans="1:23" x14ac:dyDescent="0.25">
      <c r="H1629" t="s">
        <v>3019</v>
      </c>
    </row>
    <row r="1630" spans="1:23" x14ac:dyDescent="0.25">
      <c r="A1630">
        <v>812</v>
      </c>
      <c r="B1630">
        <v>6617</v>
      </c>
      <c r="C1630" t="s">
        <v>3020</v>
      </c>
      <c r="D1630" t="s">
        <v>276</v>
      </c>
      <c r="E1630" t="s">
        <v>20</v>
      </c>
      <c r="F1630" t="s">
        <v>3021</v>
      </c>
      <c r="G1630" t="str">
        <f>"201511018806"</f>
        <v>201511018806</v>
      </c>
      <c r="H1630" t="s">
        <v>3022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23</v>
      </c>
      <c r="S1630">
        <v>161</v>
      </c>
      <c r="V1630">
        <v>1</v>
      </c>
      <c r="W1630" t="s">
        <v>3023</v>
      </c>
    </row>
    <row r="1631" spans="1:23" x14ac:dyDescent="0.25">
      <c r="H1631" t="s">
        <v>3024</v>
      </c>
    </row>
    <row r="1632" spans="1:23" x14ac:dyDescent="0.25">
      <c r="A1632">
        <v>813</v>
      </c>
      <c r="B1632">
        <v>6214</v>
      </c>
      <c r="C1632" t="s">
        <v>3025</v>
      </c>
      <c r="D1632" t="s">
        <v>351</v>
      </c>
      <c r="E1632" t="s">
        <v>213</v>
      </c>
      <c r="F1632" t="s">
        <v>3026</v>
      </c>
      <c r="G1632" t="str">
        <f>"201511019944"</f>
        <v>201511019944</v>
      </c>
      <c r="H1632" t="s">
        <v>359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23</v>
      </c>
      <c r="S1632">
        <v>161</v>
      </c>
      <c r="V1632">
        <v>1</v>
      </c>
      <c r="W1632" t="s">
        <v>3027</v>
      </c>
    </row>
    <row r="1633" spans="1:23" x14ac:dyDescent="0.25">
      <c r="H1633" t="s">
        <v>3028</v>
      </c>
    </row>
    <row r="1634" spans="1:23" x14ac:dyDescent="0.25">
      <c r="A1634">
        <v>814</v>
      </c>
      <c r="B1634">
        <v>7453</v>
      </c>
      <c r="C1634" t="s">
        <v>3029</v>
      </c>
      <c r="D1634" t="s">
        <v>51</v>
      </c>
      <c r="E1634" t="s">
        <v>3030</v>
      </c>
      <c r="F1634" t="s">
        <v>3031</v>
      </c>
      <c r="G1634" t="str">
        <f>"201511013758"</f>
        <v>201511013758</v>
      </c>
      <c r="H1634">
        <v>935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0</v>
      </c>
      <c r="S1634">
        <v>0</v>
      </c>
      <c r="V1634">
        <v>1</v>
      </c>
      <c r="W1634">
        <v>935</v>
      </c>
    </row>
    <row r="1635" spans="1:23" x14ac:dyDescent="0.25">
      <c r="H1635" t="s">
        <v>3032</v>
      </c>
    </row>
    <row r="1636" spans="1:23" x14ac:dyDescent="0.25">
      <c r="A1636">
        <v>815</v>
      </c>
      <c r="B1636">
        <v>1946</v>
      </c>
      <c r="C1636" t="s">
        <v>3033</v>
      </c>
      <c r="D1636" t="s">
        <v>351</v>
      </c>
      <c r="E1636" t="s">
        <v>3034</v>
      </c>
      <c r="F1636" t="s">
        <v>3035</v>
      </c>
      <c r="G1636" t="str">
        <f>"00048206"</f>
        <v>00048206</v>
      </c>
      <c r="H1636">
        <v>935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0</v>
      </c>
      <c r="S1636">
        <v>0</v>
      </c>
      <c r="V1636">
        <v>1</v>
      </c>
      <c r="W1636">
        <v>935</v>
      </c>
    </row>
    <row r="1637" spans="1:23" x14ac:dyDescent="0.25">
      <c r="H1637" t="s">
        <v>3036</v>
      </c>
    </row>
    <row r="1638" spans="1:23" x14ac:dyDescent="0.25">
      <c r="A1638">
        <v>816</v>
      </c>
      <c r="B1638">
        <v>4725</v>
      </c>
      <c r="C1638" t="s">
        <v>2192</v>
      </c>
      <c r="D1638" t="s">
        <v>433</v>
      </c>
      <c r="E1638" t="s">
        <v>184</v>
      </c>
      <c r="F1638" t="s">
        <v>3037</v>
      </c>
      <c r="G1638" t="str">
        <f>"00049394"</f>
        <v>00049394</v>
      </c>
      <c r="H1638" t="s">
        <v>1515</v>
      </c>
      <c r="I1638">
        <v>150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  <c r="Q1638">
        <v>0</v>
      </c>
      <c r="R1638">
        <v>0</v>
      </c>
      <c r="S1638">
        <v>0</v>
      </c>
      <c r="V1638">
        <v>3</v>
      </c>
      <c r="W1638" t="s">
        <v>3038</v>
      </c>
    </row>
    <row r="1639" spans="1:23" x14ac:dyDescent="0.25">
      <c r="H1639" t="s">
        <v>3039</v>
      </c>
    </row>
    <row r="1640" spans="1:23" x14ac:dyDescent="0.25">
      <c r="A1640">
        <v>817</v>
      </c>
      <c r="B1640">
        <v>4952</v>
      </c>
      <c r="C1640" t="s">
        <v>3040</v>
      </c>
      <c r="D1640" t="s">
        <v>172</v>
      </c>
      <c r="E1640" t="s">
        <v>57</v>
      </c>
      <c r="F1640" t="s">
        <v>3041</v>
      </c>
      <c r="G1640" t="str">
        <f>"00080522"</f>
        <v>00080522</v>
      </c>
      <c r="H1640">
        <v>770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23</v>
      </c>
      <c r="S1640">
        <v>161</v>
      </c>
      <c r="V1640">
        <v>1</v>
      </c>
      <c r="W1640">
        <v>931</v>
      </c>
    </row>
    <row r="1641" spans="1:23" x14ac:dyDescent="0.25">
      <c r="H1641" t="s">
        <v>3042</v>
      </c>
    </row>
    <row r="1642" spans="1:23" x14ac:dyDescent="0.25">
      <c r="A1642">
        <v>818</v>
      </c>
      <c r="B1642">
        <v>3118</v>
      </c>
      <c r="C1642" t="s">
        <v>3043</v>
      </c>
      <c r="D1642" t="s">
        <v>2737</v>
      </c>
      <c r="E1642" t="s">
        <v>2255</v>
      </c>
      <c r="F1642" t="s">
        <v>3044</v>
      </c>
      <c r="G1642" t="str">
        <f>"00091133"</f>
        <v>00091133</v>
      </c>
      <c r="H1642" t="s">
        <v>412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0</v>
      </c>
      <c r="S1642">
        <v>0</v>
      </c>
      <c r="V1642">
        <v>1</v>
      </c>
      <c r="W1642" t="s">
        <v>412</v>
      </c>
    </row>
    <row r="1643" spans="1:23" x14ac:dyDescent="0.25">
      <c r="H1643" t="s">
        <v>3045</v>
      </c>
    </row>
    <row r="1644" spans="1:23" x14ac:dyDescent="0.25">
      <c r="A1644">
        <v>819</v>
      </c>
      <c r="B1644">
        <v>6788</v>
      </c>
      <c r="C1644" t="s">
        <v>340</v>
      </c>
      <c r="D1644" t="s">
        <v>2605</v>
      </c>
      <c r="E1644" t="s">
        <v>62</v>
      </c>
      <c r="F1644" t="s">
        <v>3046</v>
      </c>
      <c r="G1644" t="str">
        <f>"201502001684"</f>
        <v>201502001684</v>
      </c>
      <c r="H1644" t="s">
        <v>412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0</v>
      </c>
      <c r="S1644">
        <v>0</v>
      </c>
      <c r="V1644">
        <v>1</v>
      </c>
      <c r="W1644" t="s">
        <v>412</v>
      </c>
    </row>
    <row r="1645" spans="1:23" x14ac:dyDescent="0.25">
      <c r="H1645" t="s">
        <v>3047</v>
      </c>
    </row>
    <row r="1646" spans="1:23" x14ac:dyDescent="0.25">
      <c r="A1646">
        <v>820</v>
      </c>
      <c r="B1646">
        <v>4006</v>
      </c>
      <c r="C1646" t="s">
        <v>3048</v>
      </c>
      <c r="D1646" t="s">
        <v>491</v>
      </c>
      <c r="E1646" t="s">
        <v>158</v>
      </c>
      <c r="F1646" t="s">
        <v>3049</v>
      </c>
      <c r="G1646" t="str">
        <f>"00085474"</f>
        <v>00085474</v>
      </c>
      <c r="H1646" t="s">
        <v>412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0</v>
      </c>
      <c r="S1646">
        <v>0</v>
      </c>
      <c r="V1646">
        <v>1</v>
      </c>
      <c r="W1646" t="s">
        <v>412</v>
      </c>
    </row>
    <row r="1647" spans="1:23" x14ac:dyDescent="0.25">
      <c r="H1647" t="s">
        <v>3050</v>
      </c>
    </row>
    <row r="1648" spans="1:23" x14ac:dyDescent="0.25">
      <c r="A1648">
        <v>821</v>
      </c>
      <c r="B1648">
        <v>1882</v>
      </c>
      <c r="C1648" t="s">
        <v>713</v>
      </c>
      <c r="D1648" t="s">
        <v>275</v>
      </c>
      <c r="E1648" t="s">
        <v>3051</v>
      </c>
      <c r="F1648" t="s">
        <v>3052</v>
      </c>
      <c r="G1648" t="str">
        <f>"00021388"</f>
        <v>00021388</v>
      </c>
      <c r="H1648" t="s">
        <v>412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v>0</v>
      </c>
      <c r="V1648">
        <v>1</v>
      </c>
      <c r="W1648" t="s">
        <v>412</v>
      </c>
    </row>
    <row r="1649" spans="1:23" x14ac:dyDescent="0.25">
      <c r="H1649" t="s">
        <v>3053</v>
      </c>
    </row>
    <row r="1650" spans="1:23" x14ac:dyDescent="0.25">
      <c r="A1650">
        <v>822</v>
      </c>
      <c r="B1650">
        <v>9130</v>
      </c>
      <c r="C1650" t="s">
        <v>107</v>
      </c>
      <c r="D1650" t="s">
        <v>183</v>
      </c>
      <c r="E1650" t="s">
        <v>229</v>
      </c>
      <c r="F1650" t="s">
        <v>3054</v>
      </c>
      <c r="G1650" t="str">
        <f>"00099070"</f>
        <v>00099070</v>
      </c>
      <c r="H1650" t="s">
        <v>412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0</v>
      </c>
      <c r="S1650">
        <v>0</v>
      </c>
      <c r="V1650">
        <v>1</v>
      </c>
      <c r="W1650" t="s">
        <v>412</v>
      </c>
    </row>
    <row r="1651" spans="1:23" x14ac:dyDescent="0.25">
      <c r="H1651" t="s">
        <v>3055</v>
      </c>
    </row>
    <row r="1652" spans="1:23" x14ac:dyDescent="0.25">
      <c r="A1652">
        <v>823</v>
      </c>
      <c r="B1652">
        <v>10404</v>
      </c>
      <c r="C1652" t="s">
        <v>3056</v>
      </c>
      <c r="D1652" t="s">
        <v>1393</v>
      </c>
      <c r="E1652" t="s">
        <v>104</v>
      </c>
      <c r="F1652" t="s">
        <v>3057</v>
      </c>
      <c r="G1652" t="str">
        <f>"00058814"</f>
        <v>00058814</v>
      </c>
      <c r="H1652" t="s">
        <v>412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S1652">
        <v>0</v>
      </c>
      <c r="V1652">
        <v>1</v>
      </c>
      <c r="W1652" t="s">
        <v>412</v>
      </c>
    </row>
    <row r="1653" spans="1:23" x14ac:dyDescent="0.25">
      <c r="H1653" t="s">
        <v>3058</v>
      </c>
    </row>
    <row r="1654" spans="1:23" x14ac:dyDescent="0.25">
      <c r="A1654">
        <v>824</v>
      </c>
      <c r="B1654">
        <v>2439</v>
      </c>
      <c r="C1654" t="s">
        <v>3059</v>
      </c>
      <c r="D1654" t="s">
        <v>202</v>
      </c>
      <c r="E1654" t="s">
        <v>639</v>
      </c>
      <c r="F1654" t="s">
        <v>3060</v>
      </c>
      <c r="G1654" t="str">
        <f>"201511005586"</f>
        <v>201511005586</v>
      </c>
      <c r="H1654" t="s">
        <v>412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0</v>
      </c>
      <c r="S1654">
        <v>0</v>
      </c>
      <c r="V1654">
        <v>1</v>
      </c>
      <c r="W1654" t="s">
        <v>412</v>
      </c>
    </row>
    <row r="1655" spans="1:23" x14ac:dyDescent="0.25">
      <c r="H1655" t="s">
        <v>3061</v>
      </c>
    </row>
    <row r="1656" spans="1:23" x14ac:dyDescent="0.25">
      <c r="A1656">
        <v>825</v>
      </c>
      <c r="B1656">
        <v>2366</v>
      </c>
      <c r="C1656" t="s">
        <v>3062</v>
      </c>
      <c r="D1656" t="s">
        <v>153</v>
      </c>
      <c r="E1656" t="s">
        <v>2881</v>
      </c>
      <c r="F1656" t="s">
        <v>3063</v>
      </c>
      <c r="G1656" t="str">
        <f>"201511042538"</f>
        <v>201511042538</v>
      </c>
      <c r="H1656" t="s">
        <v>412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0</v>
      </c>
      <c r="S1656">
        <v>0</v>
      </c>
      <c r="V1656">
        <v>1</v>
      </c>
      <c r="W1656" t="s">
        <v>412</v>
      </c>
    </row>
    <row r="1657" spans="1:23" x14ac:dyDescent="0.25">
      <c r="H1657" t="s">
        <v>3064</v>
      </c>
    </row>
    <row r="1658" spans="1:23" x14ac:dyDescent="0.25">
      <c r="A1658">
        <v>826</v>
      </c>
      <c r="B1658">
        <v>3140</v>
      </c>
      <c r="C1658" t="s">
        <v>3065</v>
      </c>
      <c r="D1658" t="s">
        <v>208</v>
      </c>
      <c r="E1658" t="s">
        <v>104</v>
      </c>
      <c r="F1658" t="s">
        <v>3066</v>
      </c>
      <c r="G1658" t="str">
        <f>"00089766"</f>
        <v>00089766</v>
      </c>
      <c r="H1658" t="s">
        <v>3067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0</v>
      </c>
      <c r="S1658">
        <v>0</v>
      </c>
      <c r="V1658">
        <v>3</v>
      </c>
      <c r="W1658" t="s">
        <v>3067</v>
      </c>
    </row>
    <row r="1659" spans="1:23" x14ac:dyDescent="0.25">
      <c r="H1659">
        <v>818</v>
      </c>
    </row>
    <row r="1660" spans="1:23" x14ac:dyDescent="0.25">
      <c r="A1660">
        <v>827</v>
      </c>
      <c r="B1660">
        <v>3658</v>
      </c>
      <c r="C1660" t="s">
        <v>3068</v>
      </c>
      <c r="D1660" t="s">
        <v>427</v>
      </c>
      <c r="E1660" t="s">
        <v>3069</v>
      </c>
      <c r="F1660" t="s">
        <v>3070</v>
      </c>
      <c r="G1660" t="str">
        <f>"201511043631"</f>
        <v>201511043631</v>
      </c>
      <c r="H1660" t="s">
        <v>359</v>
      </c>
      <c r="I1660">
        <v>150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0</v>
      </c>
      <c r="S1660">
        <v>0</v>
      </c>
      <c r="V1660">
        <v>1</v>
      </c>
      <c r="W1660" t="s">
        <v>3071</v>
      </c>
    </row>
    <row r="1661" spans="1:23" x14ac:dyDescent="0.25">
      <c r="H1661" t="s">
        <v>3072</v>
      </c>
    </row>
    <row r="1662" spans="1:23" x14ac:dyDescent="0.25">
      <c r="A1662">
        <v>828</v>
      </c>
      <c r="B1662">
        <v>8036</v>
      </c>
      <c r="C1662" t="s">
        <v>3073</v>
      </c>
      <c r="D1662" t="s">
        <v>775</v>
      </c>
      <c r="E1662" t="s">
        <v>80</v>
      </c>
      <c r="F1662" t="s">
        <v>3074</v>
      </c>
      <c r="G1662" t="str">
        <f>"00101909"</f>
        <v>00101909</v>
      </c>
      <c r="H1662">
        <v>924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S1662">
        <v>0</v>
      </c>
      <c r="V1662">
        <v>1</v>
      </c>
      <c r="W1662">
        <v>924</v>
      </c>
    </row>
    <row r="1663" spans="1:23" x14ac:dyDescent="0.25">
      <c r="H1663">
        <v>818</v>
      </c>
    </row>
    <row r="1664" spans="1:23" x14ac:dyDescent="0.25">
      <c r="A1664">
        <v>829</v>
      </c>
      <c r="B1664">
        <v>6481</v>
      </c>
      <c r="C1664" t="s">
        <v>3075</v>
      </c>
      <c r="D1664" t="s">
        <v>51</v>
      </c>
      <c r="E1664" t="s">
        <v>20</v>
      </c>
      <c r="F1664" t="s">
        <v>3076</v>
      </c>
      <c r="G1664" t="str">
        <f>"201604006350"</f>
        <v>201604006350</v>
      </c>
      <c r="H1664" t="s">
        <v>2957</v>
      </c>
      <c r="I1664">
        <v>0</v>
      </c>
      <c r="J1664">
        <v>30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V1664">
        <v>1</v>
      </c>
      <c r="W1664" t="s">
        <v>3077</v>
      </c>
    </row>
    <row r="1665" spans="1:23" x14ac:dyDescent="0.25">
      <c r="H1665" t="s">
        <v>3078</v>
      </c>
    </row>
    <row r="1666" spans="1:23" x14ac:dyDescent="0.25">
      <c r="A1666">
        <v>830</v>
      </c>
      <c r="B1666">
        <v>6999</v>
      </c>
      <c r="C1666" t="s">
        <v>3079</v>
      </c>
      <c r="D1666" t="s">
        <v>2110</v>
      </c>
      <c r="E1666" t="s">
        <v>198</v>
      </c>
      <c r="F1666" t="s">
        <v>3080</v>
      </c>
      <c r="G1666" t="str">
        <f>"00038653"</f>
        <v>00038653</v>
      </c>
      <c r="H1666">
        <v>880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6</v>
      </c>
      <c r="S1666">
        <v>42</v>
      </c>
      <c r="V1666">
        <v>1</v>
      </c>
      <c r="W1666">
        <v>922</v>
      </c>
    </row>
    <row r="1667" spans="1:23" x14ac:dyDescent="0.25">
      <c r="H1667">
        <v>862</v>
      </c>
    </row>
    <row r="1668" spans="1:23" x14ac:dyDescent="0.25">
      <c r="A1668">
        <v>831</v>
      </c>
      <c r="B1668">
        <v>2714</v>
      </c>
      <c r="C1668" t="s">
        <v>3081</v>
      </c>
      <c r="D1668" t="s">
        <v>3082</v>
      </c>
      <c r="E1668" t="s">
        <v>191</v>
      </c>
      <c r="F1668" t="s">
        <v>3083</v>
      </c>
      <c r="G1668" t="str">
        <f>"201511020570"</f>
        <v>201511020570</v>
      </c>
      <c r="H1668">
        <v>880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6</v>
      </c>
      <c r="S1668">
        <v>42</v>
      </c>
      <c r="V1668">
        <v>1</v>
      </c>
      <c r="W1668">
        <v>922</v>
      </c>
    </row>
    <row r="1669" spans="1:23" x14ac:dyDescent="0.25">
      <c r="H1669" t="s">
        <v>3084</v>
      </c>
    </row>
    <row r="1670" spans="1:23" x14ac:dyDescent="0.25">
      <c r="A1670">
        <v>832</v>
      </c>
      <c r="B1670">
        <v>7978</v>
      </c>
      <c r="C1670" t="s">
        <v>3085</v>
      </c>
      <c r="D1670" t="s">
        <v>368</v>
      </c>
      <c r="E1670" t="s">
        <v>1406</v>
      </c>
      <c r="F1670" t="s">
        <v>3086</v>
      </c>
      <c r="G1670" t="str">
        <f>"201511036245"</f>
        <v>201511036245</v>
      </c>
      <c r="H1670" t="s">
        <v>2883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0</v>
      </c>
      <c r="S1670">
        <v>0</v>
      </c>
      <c r="V1670">
        <v>1</v>
      </c>
      <c r="W1670" t="s">
        <v>2883</v>
      </c>
    </row>
    <row r="1671" spans="1:23" x14ac:dyDescent="0.25">
      <c r="H1671" t="s">
        <v>3087</v>
      </c>
    </row>
    <row r="1672" spans="1:23" x14ac:dyDescent="0.25">
      <c r="A1672">
        <v>833</v>
      </c>
      <c r="B1672">
        <v>6236</v>
      </c>
      <c r="C1672" t="s">
        <v>3088</v>
      </c>
      <c r="D1672" t="s">
        <v>1006</v>
      </c>
      <c r="E1672" t="s">
        <v>80</v>
      </c>
      <c r="F1672" t="s">
        <v>3089</v>
      </c>
      <c r="G1672" t="str">
        <f>"00089376"</f>
        <v>00089376</v>
      </c>
      <c r="H1672" t="s">
        <v>3090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8</v>
      </c>
      <c r="S1672">
        <v>56</v>
      </c>
      <c r="V1672">
        <v>1</v>
      </c>
      <c r="W1672" t="s">
        <v>3091</v>
      </c>
    </row>
    <row r="1673" spans="1:23" x14ac:dyDescent="0.25">
      <c r="H1673" t="s">
        <v>3092</v>
      </c>
    </row>
    <row r="1674" spans="1:23" x14ac:dyDescent="0.25">
      <c r="A1674">
        <v>834</v>
      </c>
      <c r="B1674">
        <v>9520</v>
      </c>
      <c r="C1674" t="s">
        <v>2770</v>
      </c>
      <c r="D1674" t="s">
        <v>427</v>
      </c>
      <c r="E1674" t="s">
        <v>3093</v>
      </c>
      <c r="F1674" t="s">
        <v>3094</v>
      </c>
      <c r="G1674" t="str">
        <f>"201511042385"</f>
        <v>201511042385</v>
      </c>
      <c r="H1674" t="s">
        <v>3090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8</v>
      </c>
      <c r="S1674">
        <v>56</v>
      </c>
      <c r="V1674">
        <v>3</v>
      </c>
      <c r="W1674" t="s">
        <v>3091</v>
      </c>
    </row>
    <row r="1675" spans="1:23" x14ac:dyDescent="0.25">
      <c r="H1675">
        <v>818</v>
      </c>
    </row>
    <row r="1676" spans="1:23" x14ac:dyDescent="0.25">
      <c r="A1676">
        <v>835</v>
      </c>
      <c r="B1676">
        <v>8716</v>
      </c>
      <c r="C1676" t="s">
        <v>3095</v>
      </c>
      <c r="D1676" t="s">
        <v>51</v>
      </c>
      <c r="E1676" t="s">
        <v>37</v>
      </c>
      <c r="F1676" t="s">
        <v>3096</v>
      </c>
      <c r="G1676" t="str">
        <f>"00020816"</f>
        <v>00020816</v>
      </c>
      <c r="H1676" t="s">
        <v>3097</v>
      </c>
      <c r="I1676">
        <v>150</v>
      </c>
      <c r="J1676">
        <v>30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39</v>
      </c>
      <c r="S1676">
        <v>273</v>
      </c>
      <c r="V1676">
        <v>1</v>
      </c>
      <c r="W1676" t="s">
        <v>3098</v>
      </c>
    </row>
    <row r="1677" spans="1:23" x14ac:dyDescent="0.25">
      <c r="H1677" t="s">
        <v>3099</v>
      </c>
    </row>
    <row r="1678" spans="1:23" x14ac:dyDescent="0.25">
      <c r="A1678">
        <v>836</v>
      </c>
      <c r="B1678">
        <v>4848</v>
      </c>
      <c r="C1678" t="s">
        <v>3100</v>
      </c>
      <c r="D1678" t="s">
        <v>29</v>
      </c>
      <c r="E1678" t="s">
        <v>20</v>
      </c>
      <c r="F1678" t="s">
        <v>3101</v>
      </c>
      <c r="G1678" t="str">
        <f>"00102594"</f>
        <v>00102594</v>
      </c>
      <c r="H1678" t="s">
        <v>3102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0</v>
      </c>
      <c r="S1678">
        <v>0</v>
      </c>
      <c r="V1678">
        <v>1</v>
      </c>
      <c r="W1678" t="s">
        <v>3102</v>
      </c>
    </row>
    <row r="1679" spans="1:23" x14ac:dyDescent="0.25">
      <c r="H1679" t="s">
        <v>3103</v>
      </c>
    </row>
    <row r="1680" spans="1:23" x14ac:dyDescent="0.25">
      <c r="A1680">
        <v>837</v>
      </c>
      <c r="B1680">
        <v>1940</v>
      </c>
      <c r="C1680" t="s">
        <v>3104</v>
      </c>
      <c r="D1680" t="s">
        <v>1464</v>
      </c>
      <c r="E1680" t="s">
        <v>910</v>
      </c>
      <c r="F1680" t="s">
        <v>3105</v>
      </c>
      <c r="G1680" t="str">
        <f>"00041777"</f>
        <v>00041777</v>
      </c>
      <c r="H1680" t="s">
        <v>370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S1680">
        <v>0</v>
      </c>
      <c r="V1680">
        <v>1</v>
      </c>
      <c r="W1680" t="s">
        <v>370</v>
      </c>
    </row>
    <row r="1681" spans="1:23" x14ac:dyDescent="0.25">
      <c r="H1681" t="s">
        <v>3106</v>
      </c>
    </row>
    <row r="1682" spans="1:23" x14ac:dyDescent="0.25">
      <c r="A1682">
        <v>838</v>
      </c>
      <c r="B1682">
        <v>2365</v>
      </c>
      <c r="C1682" t="s">
        <v>3107</v>
      </c>
      <c r="D1682" t="s">
        <v>208</v>
      </c>
      <c r="E1682" t="s">
        <v>57</v>
      </c>
      <c r="F1682" t="s">
        <v>3108</v>
      </c>
      <c r="G1682" t="str">
        <f>"00021684"</f>
        <v>00021684</v>
      </c>
      <c r="H1682" t="s">
        <v>370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0</v>
      </c>
      <c r="S1682">
        <v>0</v>
      </c>
      <c r="V1682">
        <v>1</v>
      </c>
      <c r="W1682" t="s">
        <v>370</v>
      </c>
    </row>
    <row r="1683" spans="1:23" x14ac:dyDescent="0.25">
      <c r="H1683" t="s">
        <v>472</v>
      </c>
    </row>
    <row r="1684" spans="1:23" x14ac:dyDescent="0.25">
      <c r="A1684">
        <v>839</v>
      </c>
      <c r="B1684">
        <v>5904</v>
      </c>
      <c r="C1684" t="s">
        <v>3109</v>
      </c>
      <c r="D1684" t="s">
        <v>37</v>
      </c>
      <c r="E1684" t="s">
        <v>1054</v>
      </c>
      <c r="F1684" t="s">
        <v>3110</v>
      </c>
      <c r="G1684" t="str">
        <f>"00029195"</f>
        <v>00029195</v>
      </c>
      <c r="H1684">
        <v>847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10</v>
      </c>
      <c r="S1684">
        <v>70</v>
      </c>
      <c r="V1684">
        <v>1</v>
      </c>
      <c r="W1684">
        <v>917</v>
      </c>
    </row>
    <row r="1685" spans="1:23" x14ac:dyDescent="0.25">
      <c r="H1685" t="s">
        <v>3111</v>
      </c>
    </row>
    <row r="1686" spans="1:23" x14ac:dyDescent="0.25">
      <c r="A1686">
        <v>840</v>
      </c>
      <c r="B1686">
        <v>7283</v>
      </c>
      <c r="C1686" t="s">
        <v>1167</v>
      </c>
      <c r="D1686" t="s">
        <v>351</v>
      </c>
      <c r="E1686" t="s">
        <v>3112</v>
      </c>
      <c r="F1686" t="s">
        <v>3113</v>
      </c>
      <c r="G1686" t="str">
        <f>"201511043211"</f>
        <v>201511043211</v>
      </c>
      <c r="H1686" t="s">
        <v>2800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0</v>
      </c>
      <c r="S1686">
        <v>0</v>
      </c>
      <c r="V1686">
        <v>1</v>
      </c>
      <c r="W1686" t="s">
        <v>2800</v>
      </c>
    </row>
    <row r="1687" spans="1:23" x14ac:dyDescent="0.25">
      <c r="H1687" t="s">
        <v>3114</v>
      </c>
    </row>
    <row r="1688" spans="1:23" x14ac:dyDescent="0.25">
      <c r="A1688">
        <v>841</v>
      </c>
      <c r="B1688">
        <v>3115</v>
      </c>
      <c r="C1688" t="s">
        <v>3115</v>
      </c>
      <c r="D1688" t="s">
        <v>1393</v>
      </c>
      <c r="E1688" t="s">
        <v>57</v>
      </c>
      <c r="F1688" t="s">
        <v>3116</v>
      </c>
      <c r="G1688" t="str">
        <f>"00089628"</f>
        <v>00089628</v>
      </c>
      <c r="H1688" t="s">
        <v>2800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0</v>
      </c>
      <c r="S1688">
        <v>0</v>
      </c>
      <c r="V1688">
        <v>3</v>
      </c>
      <c r="W1688" t="s">
        <v>2800</v>
      </c>
    </row>
    <row r="1689" spans="1:23" x14ac:dyDescent="0.25">
      <c r="H1689">
        <v>818</v>
      </c>
    </row>
    <row r="1690" spans="1:23" x14ac:dyDescent="0.25">
      <c r="A1690">
        <v>842</v>
      </c>
      <c r="B1690">
        <v>8177</v>
      </c>
      <c r="C1690" t="s">
        <v>3117</v>
      </c>
      <c r="D1690" t="s">
        <v>172</v>
      </c>
      <c r="E1690" t="s">
        <v>80</v>
      </c>
      <c r="F1690" t="s">
        <v>3118</v>
      </c>
      <c r="G1690" t="str">
        <f>"00085642"</f>
        <v>00085642</v>
      </c>
      <c r="H1690" t="s">
        <v>2800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0</v>
      </c>
      <c r="S1690">
        <v>0</v>
      </c>
      <c r="V1690">
        <v>1</v>
      </c>
      <c r="W1690" t="s">
        <v>2800</v>
      </c>
    </row>
    <row r="1691" spans="1:23" x14ac:dyDescent="0.25">
      <c r="H1691" t="s">
        <v>3119</v>
      </c>
    </row>
    <row r="1692" spans="1:23" x14ac:dyDescent="0.25">
      <c r="A1692">
        <v>843</v>
      </c>
      <c r="B1692">
        <v>7231</v>
      </c>
      <c r="C1692" t="s">
        <v>3120</v>
      </c>
      <c r="D1692" t="s">
        <v>183</v>
      </c>
      <c r="E1692" t="s">
        <v>37</v>
      </c>
      <c r="F1692" t="s">
        <v>3121</v>
      </c>
      <c r="G1692" t="str">
        <f>"00040242"</f>
        <v>00040242</v>
      </c>
      <c r="H1692">
        <v>880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5</v>
      </c>
      <c r="S1692">
        <v>35</v>
      </c>
      <c r="V1692">
        <v>1</v>
      </c>
      <c r="W1692">
        <v>915</v>
      </c>
    </row>
    <row r="1693" spans="1:23" x14ac:dyDescent="0.25">
      <c r="H1693" t="s">
        <v>3122</v>
      </c>
    </row>
    <row r="1694" spans="1:23" x14ac:dyDescent="0.25">
      <c r="A1694">
        <v>844</v>
      </c>
      <c r="B1694">
        <v>2721</v>
      </c>
      <c r="C1694" t="s">
        <v>3123</v>
      </c>
      <c r="D1694" t="s">
        <v>158</v>
      </c>
      <c r="E1694" t="s">
        <v>56</v>
      </c>
      <c r="F1694" t="s">
        <v>3124</v>
      </c>
      <c r="G1694" t="str">
        <f>"201511036040"</f>
        <v>201511036040</v>
      </c>
      <c r="H1694" t="s">
        <v>3125</v>
      </c>
      <c r="I1694">
        <v>0</v>
      </c>
      <c r="J1694">
        <v>30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0</v>
      </c>
      <c r="S1694">
        <v>0</v>
      </c>
      <c r="V1694">
        <v>1</v>
      </c>
      <c r="W1694" t="s">
        <v>3126</v>
      </c>
    </row>
    <row r="1695" spans="1:23" x14ac:dyDescent="0.25">
      <c r="H1695" t="s">
        <v>3127</v>
      </c>
    </row>
    <row r="1696" spans="1:23" x14ac:dyDescent="0.25">
      <c r="A1696">
        <v>845</v>
      </c>
      <c r="B1696">
        <v>235</v>
      </c>
      <c r="C1696" t="s">
        <v>3128</v>
      </c>
      <c r="D1696" t="s">
        <v>3129</v>
      </c>
      <c r="E1696" t="s">
        <v>500</v>
      </c>
      <c r="F1696" t="s">
        <v>3130</v>
      </c>
      <c r="G1696" t="str">
        <f>"201511040653"</f>
        <v>201511040653</v>
      </c>
      <c r="H1696">
        <v>913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V1696">
        <v>1</v>
      </c>
      <c r="W1696">
        <v>913</v>
      </c>
    </row>
    <row r="1697" spans="1:23" x14ac:dyDescent="0.25">
      <c r="H1697" t="s">
        <v>3131</v>
      </c>
    </row>
    <row r="1698" spans="1:23" x14ac:dyDescent="0.25">
      <c r="A1698">
        <v>846</v>
      </c>
      <c r="B1698">
        <v>9959</v>
      </c>
      <c r="C1698" t="s">
        <v>3132</v>
      </c>
      <c r="D1698" t="s">
        <v>183</v>
      </c>
      <c r="E1698" t="s">
        <v>20</v>
      </c>
      <c r="F1698" t="s">
        <v>3133</v>
      </c>
      <c r="G1698" t="str">
        <f>"00090277"</f>
        <v>00090277</v>
      </c>
      <c r="H1698">
        <v>880</v>
      </c>
      <c r="I1698">
        <v>0</v>
      </c>
      <c r="J1698">
        <v>30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0</v>
      </c>
      <c r="S1698">
        <v>0</v>
      </c>
      <c r="V1698">
        <v>1</v>
      </c>
      <c r="W1698">
        <v>910</v>
      </c>
    </row>
    <row r="1699" spans="1:23" x14ac:dyDescent="0.25">
      <c r="H1699" t="s">
        <v>3134</v>
      </c>
    </row>
    <row r="1700" spans="1:23" x14ac:dyDescent="0.25">
      <c r="A1700">
        <v>847</v>
      </c>
      <c r="B1700">
        <v>9917</v>
      </c>
      <c r="C1700" t="s">
        <v>713</v>
      </c>
      <c r="D1700" t="s">
        <v>465</v>
      </c>
      <c r="E1700" t="s">
        <v>474</v>
      </c>
      <c r="F1700" t="s">
        <v>3135</v>
      </c>
      <c r="G1700" t="str">
        <f>"201511036859"</f>
        <v>201511036859</v>
      </c>
      <c r="H1700">
        <v>880</v>
      </c>
      <c r="I1700">
        <v>0</v>
      </c>
      <c r="J1700">
        <v>30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0</v>
      </c>
      <c r="S1700">
        <v>0</v>
      </c>
      <c r="V1700">
        <v>1</v>
      </c>
      <c r="W1700">
        <v>910</v>
      </c>
    </row>
    <row r="1701" spans="1:23" x14ac:dyDescent="0.25">
      <c r="H1701" t="s">
        <v>3136</v>
      </c>
    </row>
    <row r="1702" spans="1:23" x14ac:dyDescent="0.25">
      <c r="A1702">
        <v>848</v>
      </c>
      <c r="B1702">
        <v>409</v>
      </c>
      <c r="C1702" t="s">
        <v>3137</v>
      </c>
      <c r="D1702" t="s">
        <v>3138</v>
      </c>
      <c r="E1702" t="s">
        <v>70</v>
      </c>
      <c r="F1702" t="s">
        <v>3139</v>
      </c>
      <c r="G1702" t="str">
        <f>"00021425"</f>
        <v>00021425</v>
      </c>
      <c r="H1702" t="s">
        <v>3140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S1702">
        <v>0</v>
      </c>
      <c r="V1702">
        <v>1</v>
      </c>
      <c r="W1702" t="s">
        <v>3140</v>
      </c>
    </row>
    <row r="1703" spans="1:23" x14ac:dyDescent="0.25">
      <c r="H1703" t="s">
        <v>3141</v>
      </c>
    </row>
    <row r="1704" spans="1:23" x14ac:dyDescent="0.25">
      <c r="A1704">
        <v>849</v>
      </c>
      <c r="B1704">
        <v>463</v>
      </c>
      <c r="C1704" t="s">
        <v>2572</v>
      </c>
      <c r="D1704" t="s">
        <v>23</v>
      </c>
      <c r="E1704" t="s">
        <v>374</v>
      </c>
      <c r="F1704" t="s">
        <v>2573</v>
      </c>
      <c r="G1704" t="str">
        <f>"201511031019"</f>
        <v>201511031019</v>
      </c>
      <c r="H1704">
        <v>825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12</v>
      </c>
      <c r="S1704">
        <v>84</v>
      </c>
      <c r="V1704">
        <v>1</v>
      </c>
      <c r="W1704">
        <v>909</v>
      </c>
    </row>
    <row r="1705" spans="1:23" x14ac:dyDescent="0.25">
      <c r="H1705" t="s">
        <v>2574</v>
      </c>
    </row>
    <row r="1706" spans="1:23" x14ac:dyDescent="0.25">
      <c r="A1706">
        <v>850</v>
      </c>
      <c r="B1706">
        <v>9404</v>
      </c>
      <c r="C1706" t="s">
        <v>3142</v>
      </c>
      <c r="D1706" t="s">
        <v>382</v>
      </c>
      <c r="E1706" t="s">
        <v>500</v>
      </c>
      <c r="F1706" t="s">
        <v>3143</v>
      </c>
      <c r="G1706" t="str">
        <f>"00037372"</f>
        <v>00037372</v>
      </c>
      <c r="H1706" t="s">
        <v>600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0</v>
      </c>
      <c r="S1706">
        <v>0</v>
      </c>
      <c r="V1706">
        <v>1</v>
      </c>
      <c r="W1706" t="s">
        <v>600</v>
      </c>
    </row>
    <row r="1707" spans="1:23" x14ac:dyDescent="0.25">
      <c r="H1707" t="s">
        <v>3144</v>
      </c>
    </row>
    <row r="1708" spans="1:23" x14ac:dyDescent="0.25">
      <c r="A1708">
        <v>851</v>
      </c>
      <c r="B1708">
        <v>5300</v>
      </c>
      <c r="C1708" t="s">
        <v>2851</v>
      </c>
      <c r="D1708" t="s">
        <v>1893</v>
      </c>
      <c r="E1708" t="s">
        <v>344</v>
      </c>
      <c r="F1708" t="s">
        <v>3145</v>
      </c>
      <c r="G1708" t="str">
        <f>"00094232"</f>
        <v>00094232</v>
      </c>
      <c r="H1708" t="s">
        <v>600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0</v>
      </c>
      <c r="S1708">
        <v>0</v>
      </c>
      <c r="V1708">
        <v>3</v>
      </c>
      <c r="W1708" t="s">
        <v>600</v>
      </c>
    </row>
    <row r="1709" spans="1:23" x14ac:dyDescent="0.25">
      <c r="H1709">
        <v>818</v>
      </c>
    </row>
    <row r="1710" spans="1:23" x14ac:dyDescent="0.25">
      <c r="A1710">
        <v>852</v>
      </c>
      <c r="B1710">
        <v>3574</v>
      </c>
      <c r="C1710" t="s">
        <v>3146</v>
      </c>
      <c r="D1710" t="s">
        <v>2255</v>
      </c>
      <c r="E1710" t="s">
        <v>154</v>
      </c>
      <c r="F1710" t="s">
        <v>3147</v>
      </c>
      <c r="G1710" t="str">
        <f>"201511039259"</f>
        <v>201511039259</v>
      </c>
      <c r="H1710" t="s">
        <v>600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S1710">
        <v>0</v>
      </c>
      <c r="V1710">
        <v>1</v>
      </c>
      <c r="W1710" t="s">
        <v>600</v>
      </c>
    </row>
    <row r="1711" spans="1:23" x14ac:dyDescent="0.25">
      <c r="H1711" t="s">
        <v>3148</v>
      </c>
    </row>
    <row r="1712" spans="1:23" x14ac:dyDescent="0.25">
      <c r="A1712">
        <v>853</v>
      </c>
      <c r="B1712">
        <v>6003</v>
      </c>
      <c r="C1712" t="s">
        <v>3149</v>
      </c>
      <c r="D1712" t="s">
        <v>3150</v>
      </c>
      <c r="E1712" t="s">
        <v>20</v>
      </c>
      <c r="F1712" t="s">
        <v>3151</v>
      </c>
      <c r="G1712" t="str">
        <f>"201511025786"</f>
        <v>201511025786</v>
      </c>
      <c r="H1712" t="s">
        <v>600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S1712">
        <v>0</v>
      </c>
      <c r="V1712">
        <v>1</v>
      </c>
      <c r="W1712" t="s">
        <v>600</v>
      </c>
    </row>
    <row r="1713" spans="1:23" x14ac:dyDescent="0.25">
      <c r="H1713" t="s">
        <v>3152</v>
      </c>
    </row>
    <row r="1714" spans="1:23" x14ac:dyDescent="0.25">
      <c r="A1714">
        <v>854</v>
      </c>
      <c r="B1714">
        <v>7207</v>
      </c>
      <c r="C1714" t="s">
        <v>3153</v>
      </c>
      <c r="D1714" t="s">
        <v>392</v>
      </c>
      <c r="E1714" t="s">
        <v>71</v>
      </c>
      <c r="F1714" t="s">
        <v>3154</v>
      </c>
      <c r="G1714" t="str">
        <f>"201510004537"</f>
        <v>201510004537</v>
      </c>
      <c r="H1714">
        <v>781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18</v>
      </c>
      <c r="S1714">
        <v>126</v>
      </c>
      <c r="V1714">
        <v>1</v>
      </c>
      <c r="W1714">
        <v>907</v>
      </c>
    </row>
    <row r="1715" spans="1:23" x14ac:dyDescent="0.25">
      <c r="H1715" t="s">
        <v>3155</v>
      </c>
    </row>
    <row r="1716" spans="1:23" x14ac:dyDescent="0.25">
      <c r="A1716">
        <v>855</v>
      </c>
      <c r="B1716">
        <v>2282</v>
      </c>
      <c r="C1716" t="s">
        <v>946</v>
      </c>
      <c r="D1716" t="s">
        <v>3156</v>
      </c>
      <c r="E1716" t="s">
        <v>184</v>
      </c>
      <c r="F1716" t="s">
        <v>3157</v>
      </c>
      <c r="G1716" t="str">
        <f>"201511020231"</f>
        <v>201511020231</v>
      </c>
      <c r="H1716" t="s">
        <v>407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4</v>
      </c>
      <c r="S1716">
        <v>28</v>
      </c>
      <c r="V1716">
        <v>1</v>
      </c>
      <c r="W1716" t="s">
        <v>3158</v>
      </c>
    </row>
    <row r="1717" spans="1:23" x14ac:dyDescent="0.25">
      <c r="H1717" t="s">
        <v>3159</v>
      </c>
    </row>
    <row r="1718" spans="1:23" x14ac:dyDescent="0.25">
      <c r="A1718">
        <v>856</v>
      </c>
      <c r="B1718">
        <v>2368</v>
      </c>
      <c r="C1718" t="s">
        <v>3160</v>
      </c>
      <c r="D1718" t="s">
        <v>3161</v>
      </c>
      <c r="E1718" t="s">
        <v>862</v>
      </c>
      <c r="F1718" t="s">
        <v>3162</v>
      </c>
      <c r="G1718" t="str">
        <f>"00041053"</f>
        <v>00041053</v>
      </c>
      <c r="H1718">
        <v>902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0</v>
      </c>
      <c r="S1718">
        <v>0</v>
      </c>
      <c r="V1718">
        <v>1</v>
      </c>
      <c r="W1718">
        <v>902</v>
      </c>
    </row>
    <row r="1719" spans="1:23" x14ac:dyDescent="0.25">
      <c r="H1719" t="s">
        <v>3163</v>
      </c>
    </row>
    <row r="1720" spans="1:23" x14ac:dyDescent="0.25">
      <c r="A1720">
        <v>857</v>
      </c>
      <c r="B1720">
        <v>3561</v>
      </c>
      <c r="C1720" t="s">
        <v>3164</v>
      </c>
      <c r="D1720" t="s">
        <v>3165</v>
      </c>
      <c r="E1720" t="s">
        <v>20</v>
      </c>
      <c r="F1720" t="s">
        <v>3166</v>
      </c>
      <c r="G1720" t="str">
        <f>"201511014743"</f>
        <v>201511014743</v>
      </c>
      <c r="H1720">
        <v>902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0</v>
      </c>
      <c r="S1720">
        <v>0</v>
      </c>
      <c r="V1720">
        <v>1</v>
      </c>
      <c r="W1720">
        <v>902</v>
      </c>
    </row>
    <row r="1721" spans="1:23" x14ac:dyDescent="0.25">
      <c r="H1721" t="s">
        <v>3167</v>
      </c>
    </row>
    <row r="1722" spans="1:23" x14ac:dyDescent="0.25">
      <c r="A1722">
        <v>858</v>
      </c>
      <c r="B1722">
        <v>4472</v>
      </c>
      <c r="C1722" t="s">
        <v>3168</v>
      </c>
      <c r="D1722" t="s">
        <v>29</v>
      </c>
      <c r="E1722" t="s">
        <v>37</v>
      </c>
      <c r="F1722" t="s">
        <v>3169</v>
      </c>
      <c r="G1722" t="str">
        <f>"00082080"</f>
        <v>00082080</v>
      </c>
      <c r="H1722">
        <v>858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6</v>
      </c>
      <c r="S1722">
        <v>42</v>
      </c>
      <c r="V1722">
        <v>1</v>
      </c>
      <c r="W1722">
        <v>900</v>
      </c>
    </row>
    <row r="1723" spans="1:23" x14ac:dyDescent="0.25">
      <c r="H1723" t="s">
        <v>3170</v>
      </c>
    </row>
    <row r="1724" spans="1:23" x14ac:dyDescent="0.25">
      <c r="A1724">
        <v>859</v>
      </c>
      <c r="B1724">
        <v>9901</v>
      </c>
      <c r="C1724" t="s">
        <v>3171</v>
      </c>
      <c r="D1724" t="s">
        <v>51</v>
      </c>
      <c r="E1724" t="s">
        <v>374</v>
      </c>
      <c r="F1724" t="s">
        <v>3172</v>
      </c>
      <c r="G1724" t="str">
        <f>"201511042746"</f>
        <v>201511042746</v>
      </c>
      <c r="H1724">
        <v>869</v>
      </c>
      <c r="I1724">
        <v>0</v>
      </c>
      <c r="J1724">
        <v>30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0</v>
      </c>
      <c r="S1724">
        <v>0</v>
      </c>
      <c r="V1724">
        <v>1</v>
      </c>
      <c r="W1724">
        <v>899</v>
      </c>
    </row>
    <row r="1725" spans="1:23" x14ac:dyDescent="0.25">
      <c r="H1725" t="s">
        <v>3173</v>
      </c>
    </row>
    <row r="1726" spans="1:23" x14ac:dyDescent="0.25">
      <c r="A1726">
        <v>860</v>
      </c>
      <c r="B1726">
        <v>2021</v>
      </c>
      <c r="C1726" t="s">
        <v>3174</v>
      </c>
      <c r="D1726" t="s">
        <v>1613</v>
      </c>
      <c r="E1726" t="s">
        <v>276</v>
      </c>
      <c r="F1726" t="s">
        <v>3175</v>
      </c>
      <c r="G1726" t="str">
        <f>"201502000612"</f>
        <v>201502000612</v>
      </c>
      <c r="H1726">
        <v>869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4</v>
      </c>
      <c r="S1726">
        <v>28</v>
      </c>
      <c r="V1726">
        <v>1</v>
      </c>
      <c r="W1726">
        <v>897</v>
      </c>
    </row>
    <row r="1727" spans="1:23" x14ac:dyDescent="0.25">
      <c r="H1727" t="s">
        <v>3176</v>
      </c>
    </row>
    <row r="1728" spans="1:23" x14ac:dyDescent="0.25">
      <c r="A1728">
        <v>861</v>
      </c>
      <c r="B1728">
        <v>7970</v>
      </c>
      <c r="C1728" t="s">
        <v>3177</v>
      </c>
      <c r="D1728" t="s">
        <v>351</v>
      </c>
      <c r="E1728" t="s">
        <v>20</v>
      </c>
      <c r="F1728" t="s">
        <v>3178</v>
      </c>
      <c r="G1728" t="str">
        <f>"00050161"</f>
        <v>00050161</v>
      </c>
      <c r="H1728" t="s">
        <v>453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6</v>
      </c>
      <c r="S1728">
        <v>42</v>
      </c>
      <c r="V1728">
        <v>1</v>
      </c>
      <c r="W1728" t="s">
        <v>3179</v>
      </c>
    </row>
    <row r="1729" spans="1:23" x14ac:dyDescent="0.25">
      <c r="H1729" t="s">
        <v>3180</v>
      </c>
    </row>
    <row r="1730" spans="1:23" x14ac:dyDescent="0.25">
      <c r="A1730">
        <v>862</v>
      </c>
      <c r="B1730">
        <v>8076</v>
      </c>
      <c r="C1730" t="s">
        <v>3181</v>
      </c>
      <c r="D1730" t="s">
        <v>327</v>
      </c>
      <c r="E1730" t="s">
        <v>276</v>
      </c>
      <c r="F1730" t="s">
        <v>3182</v>
      </c>
      <c r="G1730" t="str">
        <f>"201511035586"</f>
        <v>201511035586</v>
      </c>
      <c r="H1730" t="s">
        <v>2522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11</v>
      </c>
      <c r="S1730">
        <v>77</v>
      </c>
      <c r="V1730">
        <v>1</v>
      </c>
      <c r="W1730" t="s">
        <v>2957</v>
      </c>
    </row>
    <row r="1731" spans="1:23" x14ac:dyDescent="0.25">
      <c r="H1731" t="s">
        <v>2524</v>
      </c>
    </row>
    <row r="1732" spans="1:23" x14ac:dyDescent="0.25">
      <c r="A1732">
        <v>863</v>
      </c>
      <c r="B1732">
        <v>8320</v>
      </c>
      <c r="C1732" t="s">
        <v>3183</v>
      </c>
      <c r="D1732" t="s">
        <v>128</v>
      </c>
      <c r="E1732" t="s">
        <v>276</v>
      </c>
      <c r="F1732" t="s">
        <v>3184</v>
      </c>
      <c r="G1732" t="str">
        <f>"201511033375"</f>
        <v>201511033375</v>
      </c>
      <c r="H1732" t="s">
        <v>820</v>
      </c>
      <c r="I1732">
        <v>0</v>
      </c>
      <c r="J1732">
        <v>50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S1732">
        <v>0</v>
      </c>
      <c r="V1732">
        <v>1</v>
      </c>
      <c r="W1732" t="s">
        <v>3185</v>
      </c>
    </row>
    <row r="1733" spans="1:23" x14ac:dyDescent="0.25">
      <c r="H1733" t="s">
        <v>3186</v>
      </c>
    </row>
    <row r="1734" spans="1:23" x14ac:dyDescent="0.25">
      <c r="A1734">
        <v>864</v>
      </c>
      <c r="B1734">
        <v>4545</v>
      </c>
      <c r="C1734" t="s">
        <v>3187</v>
      </c>
      <c r="D1734" t="s">
        <v>56</v>
      </c>
      <c r="E1734" t="s">
        <v>298</v>
      </c>
      <c r="F1734" t="s">
        <v>3188</v>
      </c>
      <c r="G1734" t="str">
        <f>"00073165"</f>
        <v>00073165</v>
      </c>
      <c r="H1734">
        <v>891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S1734">
        <v>0</v>
      </c>
      <c r="V1734">
        <v>1</v>
      </c>
      <c r="W1734">
        <v>891</v>
      </c>
    </row>
    <row r="1735" spans="1:23" x14ac:dyDescent="0.25">
      <c r="H1735" t="s">
        <v>3189</v>
      </c>
    </row>
    <row r="1736" spans="1:23" x14ac:dyDescent="0.25">
      <c r="A1736">
        <v>865</v>
      </c>
      <c r="B1736">
        <v>2857</v>
      </c>
      <c r="C1736" t="s">
        <v>3190</v>
      </c>
      <c r="D1736" t="s">
        <v>128</v>
      </c>
      <c r="E1736" t="s">
        <v>154</v>
      </c>
      <c r="F1736" t="s">
        <v>3191</v>
      </c>
      <c r="G1736" t="str">
        <f>"201511020710"</f>
        <v>201511020710</v>
      </c>
      <c r="H1736">
        <v>891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S1736">
        <v>0</v>
      </c>
      <c r="V1736">
        <v>3</v>
      </c>
      <c r="W1736">
        <v>891</v>
      </c>
    </row>
    <row r="1737" spans="1:23" x14ac:dyDescent="0.25">
      <c r="H1737" t="s">
        <v>3192</v>
      </c>
    </row>
    <row r="1738" spans="1:23" x14ac:dyDescent="0.25">
      <c r="A1738">
        <v>866</v>
      </c>
      <c r="B1738">
        <v>5262</v>
      </c>
      <c r="C1738" t="s">
        <v>3193</v>
      </c>
      <c r="D1738" t="s">
        <v>3194</v>
      </c>
      <c r="E1738" t="s">
        <v>3195</v>
      </c>
      <c r="F1738" t="s">
        <v>3196</v>
      </c>
      <c r="G1738" t="str">
        <f>"201512004021"</f>
        <v>201512004021</v>
      </c>
      <c r="H1738">
        <v>770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17</v>
      </c>
      <c r="S1738">
        <v>119</v>
      </c>
      <c r="V1738">
        <v>1</v>
      </c>
      <c r="W1738">
        <v>889</v>
      </c>
    </row>
    <row r="1739" spans="1:23" x14ac:dyDescent="0.25">
      <c r="H1739">
        <v>876</v>
      </c>
    </row>
    <row r="1740" spans="1:23" x14ac:dyDescent="0.25">
      <c r="A1740">
        <v>867</v>
      </c>
      <c r="B1740">
        <v>1099</v>
      </c>
      <c r="C1740" t="s">
        <v>1966</v>
      </c>
      <c r="D1740" t="s">
        <v>51</v>
      </c>
      <c r="E1740" t="s">
        <v>158</v>
      </c>
      <c r="F1740" t="s">
        <v>3197</v>
      </c>
      <c r="G1740" t="str">
        <f>"201511039818"</f>
        <v>201511039818</v>
      </c>
      <c r="H1740">
        <v>825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9</v>
      </c>
      <c r="S1740">
        <v>63</v>
      </c>
      <c r="V1740">
        <v>1</v>
      </c>
      <c r="W1740">
        <v>888</v>
      </c>
    </row>
    <row r="1741" spans="1:23" x14ac:dyDescent="0.25">
      <c r="H1741" t="s">
        <v>3198</v>
      </c>
    </row>
    <row r="1742" spans="1:23" x14ac:dyDescent="0.25">
      <c r="A1742">
        <v>868</v>
      </c>
      <c r="B1742">
        <v>9795</v>
      </c>
      <c r="C1742" t="s">
        <v>3199</v>
      </c>
      <c r="D1742" t="s">
        <v>276</v>
      </c>
      <c r="E1742" t="s">
        <v>158</v>
      </c>
      <c r="F1742" t="s">
        <v>3200</v>
      </c>
      <c r="G1742" t="str">
        <f>"00094013"</f>
        <v>00094013</v>
      </c>
      <c r="H1742" t="s">
        <v>3201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0</v>
      </c>
      <c r="S1742">
        <v>0</v>
      </c>
      <c r="V1742">
        <v>1</v>
      </c>
      <c r="W1742" t="s">
        <v>3201</v>
      </c>
    </row>
    <row r="1743" spans="1:23" x14ac:dyDescent="0.25">
      <c r="H1743" t="s">
        <v>3202</v>
      </c>
    </row>
    <row r="1744" spans="1:23" x14ac:dyDescent="0.25">
      <c r="A1744">
        <v>869</v>
      </c>
      <c r="B1744">
        <v>496</v>
      </c>
      <c r="C1744" t="s">
        <v>3203</v>
      </c>
      <c r="D1744" t="s">
        <v>29</v>
      </c>
      <c r="E1744" t="s">
        <v>154</v>
      </c>
      <c r="F1744" t="s">
        <v>3204</v>
      </c>
      <c r="G1744" t="str">
        <f>"00035001"</f>
        <v>00035001</v>
      </c>
      <c r="H1744" t="s">
        <v>3201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0</v>
      </c>
      <c r="P1744">
        <v>0</v>
      </c>
      <c r="Q1744">
        <v>0</v>
      </c>
      <c r="R1744">
        <v>0</v>
      </c>
      <c r="S1744">
        <v>0</v>
      </c>
      <c r="V1744">
        <v>1</v>
      </c>
      <c r="W1744" t="s">
        <v>3201</v>
      </c>
    </row>
    <row r="1745" spans="1:23" x14ac:dyDescent="0.25">
      <c r="H1745" t="s">
        <v>3205</v>
      </c>
    </row>
    <row r="1746" spans="1:23" x14ac:dyDescent="0.25">
      <c r="A1746">
        <v>870</v>
      </c>
      <c r="B1746">
        <v>3293</v>
      </c>
      <c r="C1746" t="s">
        <v>1733</v>
      </c>
      <c r="D1746" t="s">
        <v>128</v>
      </c>
      <c r="E1746" t="s">
        <v>500</v>
      </c>
      <c r="F1746" t="s">
        <v>3206</v>
      </c>
      <c r="G1746" t="str">
        <f>"201511043325"</f>
        <v>201511043325</v>
      </c>
      <c r="H1746" t="s">
        <v>453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5</v>
      </c>
      <c r="S1746">
        <v>35</v>
      </c>
      <c r="V1746">
        <v>3</v>
      </c>
      <c r="W1746" t="s">
        <v>3207</v>
      </c>
    </row>
    <row r="1747" spans="1:23" x14ac:dyDescent="0.25">
      <c r="H1747" t="s">
        <v>3208</v>
      </c>
    </row>
    <row r="1748" spans="1:23" x14ac:dyDescent="0.25">
      <c r="A1748">
        <v>871</v>
      </c>
      <c r="B1748">
        <v>5671</v>
      </c>
      <c r="C1748" t="s">
        <v>3209</v>
      </c>
      <c r="D1748" t="s">
        <v>368</v>
      </c>
      <c r="E1748" t="s">
        <v>378</v>
      </c>
      <c r="F1748" t="s">
        <v>3210</v>
      </c>
      <c r="G1748" t="str">
        <f>"201511022825"</f>
        <v>201511022825</v>
      </c>
      <c r="H1748">
        <v>704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26</v>
      </c>
      <c r="S1748">
        <v>182</v>
      </c>
      <c r="V1748">
        <v>3</v>
      </c>
      <c r="W1748">
        <v>886</v>
      </c>
    </row>
    <row r="1749" spans="1:23" x14ac:dyDescent="0.25">
      <c r="H1749" t="s">
        <v>3211</v>
      </c>
    </row>
    <row r="1750" spans="1:23" x14ac:dyDescent="0.25">
      <c r="A1750">
        <v>872</v>
      </c>
      <c r="B1750">
        <v>10403</v>
      </c>
      <c r="C1750" t="s">
        <v>3212</v>
      </c>
      <c r="D1750" t="s">
        <v>172</v>
      </c>
      <c r="E1750" t="s">
        <v>344</v>
      </c>
      <c r="F1750" t="s">
        <v>3213</v>
      </c>
      <c r="G1750" t="str">
        <f>"00019188"</f>
        <v>00019188</v>
      </c>
      <c r="H1750" t="s">
        <v>1722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3</v>
      </c>
      <c r="S1750">
        <v>21</v>
      </c>
      <c r="V1750">
        <v>1</v>
      </c>
      <c r="W1750" t="s">
        <v>3214</v>
      </c>
    </row>
    <row r="1751" spans="1:23" x14ac:dyDescent="0.25">
      <c r="H1751" t="s">
        <v>3215</v>
      </c>
    </row>
    <row r="1752" spans="1:23" x14ac:dyDescent="0.25">
      <c r="A1752">
        <v>873</v>
      </c>
      <c r="B1752">
        <v>3078</v>
      </c>
      <c r="C1752" t="s">
        <v>3216</v>
      </c>
      <c r="D1752" t="s">
        <v>3217</v>
      </c>
      <c r="E1752" t="s">
        <v>20</v>
      </c>
      <c r="F1752" t="s">
        <v>3218</v>
      </c>
      <c r="G1752" t="str">
        <f>"00017882"</f>
        <v>00017882</v>
      </c>
      <c r="H1752" t="s">
        <v>1582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0</v>
      </c>
      <c r="S1752">
        <v>0</v>
      </c>
      <c r="V1752">
        <v>1</v>
      </c>
      <c r="W1752" t="s">
        <v>1582</v>
      </c>
    </row>
    <row r="1753" spans="1:23" x14ac:dyDescent="0.25">
      <c r="H1753" t="s">
        <v>3219</v>
      </c>
    </row>
    <row r="1754" spans="1:23" x14ac:dyDescent="0.25">
      <c r="A1754">
        <v>874</v>
      </c>
      <c r="B1754">
        <v>7109</v>
      </c>
      <c r="C1754" t="s">
        <v>3220</v>
      </c>
      <c r="D1754" t="s">
        <v>3221</v>
      </c>
      <c r="E1754" t="s">
        <v>229</v>
      </c>
      <c r="F1754" t="s">
        <v>3222</v>
      </c>
      <c r="G1754" t="str">
        <f>"00023208"</f>
        <v>00023208</v>
      </c>
      <c r="H1754">
        <v>836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7</v>
      </c>
      <c r="S1754">
        <v>49</v>
      </c>
      <c r="V1754">
        <v>1</v>
      </c>
      <c r="W1754">
        <v>885</v>
      </c>
    </row>
    <row r="1755" spans="1:23" x14ac:dyDescent="0.25">
      <c r="H1755" t="s">
        <v>3223</v>
      </c>
    </row>
    <row r="1756" spans="1:23" x14ac:dyDescent="0.25">
      <c r="A1756">
        <v>875</v>
      </c>
      <c r="B1756">
        <v>3592</v>
      </c>
      <c r="C1756" t="s">
        <v>3224</v>
      </c>
      <c r="D1756" t="s">
        <v>388</v>
      </c>
      <c r="E1756" t="s">
        <v>158</v>
      </c>
      <c r="F1756" t="s">
        <v>3225</v>
      </c>
      <c r="G1756" t="str">
        <f>"201511043231"</f>
        <v>201511043231</v>
      </c>
      <c r="H1756">
        <v>825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8</v>
      </c>
      <c r="S1756">
        <v>56</v>
      </c>
      <c r="V1756">
        <v>1</v>
      </c>
      <c r="W1756">
        <v>881</v>
      </c>
    </row>
    <row r="1757" spans="1:23" x14ac:dyDescent="0.25">
      <c r="H1757" t="s">
        <v>3226</v>
      </c>
    </row>
    <row r="1758" spans="1:23" x14ac:dyDescent="0.25">
      <c r="A1758">
        <v>876</v>
      </c>
      <c r="B1758">
        <v>9834</v>
      </c>
      <c r="C1758" t="s">
        <v>311</v>
      </c>
      <c r="D1758" t="s">
        <v>276</v>
      </c>
      <c r="E1758" t="s">
        <v>57</v>
      </c>
      <c r="F1758" t="s">
        <v>3227</v>
      </c>
      <c r="G1758" t="str">
        <f>"201511033293"</f>
        <v>201511033293</v>
      </c>
      <c r="H1758">
        <v>748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19</v>
      </c>
      <c r="S1758">
        <v>133</v>
      </c>
      <c r="V1758">
        <v>1</v>
      </c>
      <c r="W1758">
        <v>881</v>
      </c>
    </row>
    <row r="1759" spans="1:23" x14ac:dyDescent="0.25">
      <c r="H1759" t="s">
        <v>3228</v>
      </c>
    </row>
    <row r="1760" spans="1:23" x14ac:dyDescent="0.25">
      <c r="A1760">
        <v>877</v>
      </c>
      <c r="B1760">
        <v>1799</v>
      </c>
      <c r="C1760" t="s">
        <v>3229</v>
      </c>
      <c r="D1760" t="s">
        <v>29</v>
      </c>
      <c r="E1760" t="s">
        <v>1135</v>
      </c>
      <c r="F1760" t="s">
        <v>3230</v>
      </c>
      <c r="G1760" t="str">
        <f>"00022019"</f>
        <v>00022019</v>
      </c>
      <c r="H1760">
        <v>880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0</v>
      </c>
      <c r="R1760">
        <v>0</v>
      </c>
      <c r="S1760">
        <v>0</v>
      </c>
      <c r="V1760">
        <v>1</v>
      </c>
      <c r="W1760">
        <v>880</v>
      </c>
    </row>
    <row r="1761" spans="1:23" x14ac:dyDescent="0.25">
      <c r="H1761">
        <v>828</v>
      </c>
    </row>
    <row r="1762" spans="1:23" x14ac:dyDescent="0.25">
      <c r="A1762">
        <v>878</v>
      </c>
      <c r="B1762">
        <v>2582</v>
      </c>
      <c r="C1762" t="s">
        <v>456</v>
      </c>
      <c r="D1762" t="s">
        <v>934</v>
      </c>
      <c r="E1762" t="s">
        <v>37</v>
      </c>
      <c r="F1762" t="s">
        <v>3231</v>
      </c>
      <c r="G1762" t="str">
        <f>"00030232"</f>
        <v>00030232</v>
      </c>
      <c r="H1762">
        <v>880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0</v>
      </c>
      <c r="V1762">
        <v>3</v>
      </c>
      <c r="W1762">
        <v>880</v>
      </c>
    </row>
    <row r="1763" spans="1:23" x14ac:dyDescent="0.25">
      <c r="H1763" t="s">
        <v>3232</v>
      </c>
    </row>
    <row r="1764" spans="1:23" x14ac:dyDescent="0.25">
      <c r="A1764">
        <v>879</v>
      </c>
      <c r="B1764">
        <v>1066</v>
      </c>
      <c r="C1764" t="s">
        <v>3233</v>
      </c>
      <c r="D1764" t="s">
        <v>3234</v>
      </c>
      <c r="E1764" t="s">
        <v>3235</v>
      </c>
      <c r="F1764" t="s">
        <v>3236</v>
      </c>
      <c r="G1764" t="str">
        <f>"00020041"</f>
        <v>00020041</v>
      </c>
      <c r="H1764">
        <v>880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S1764">
        <v>0</v>
      </c>
      <c r="V1764">
        <v>1</v>
      </c>
      <c r="W1764">
        <v>880</v>
      </c>
    </row>
    <row r="1765" spans="1:23" x14ac:dyDescent="0.25">
      <c r="H1765" t="s">
        <v>3237</v>
      </c>
    </row>
    <row r="1766" spans="1:23" x14ac:dyDescent="0.25">
      <c r="A1766">
        <v>880</v>
      </c>
      <c r="B1766">
        <v>3539</v>
      </c>
      <c r="C1766" t="s">
        <v>3238</v>
      </c>
      <c r="D1766" t="s">
        <v>3239</v>
      </c>
      <c r="E1766" t="s">
        <v>57</v>
      </c>
      <c r="F1766" t="s">
        <v>3240</v>
      </c>
      <c r="G1766" t="str">
        <f>"00028414"</f>
        <v>00028414</v>
      </c>
      <c r="H1766">
        <v>880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S1766">
        <v>0</v>
      </c>
      <c r="V1766">
        <v>1</v>
      </c>
      <c r="W1766">
        <v>880</v>
      </c>
    </row>
    <row r="1767" spans="1:23" x14ac:dyDescent="0.25">
      <c r="H1767" t="s">
        <v>3241</v>
      </c>
    </row>
    <row r="1768" spans="1:23" x14ac:dyDescent="0.25">
      <c r="A1768">
        <v>881</v>
      </c>
      <c r="B1768">
        <v>8519</v>
      </c>
      <c r="C1768" t="s">
        <v>2250</v>
      </c>
      <c r="D1768" t="s">
        <v>368</v>
      </c>
      <c r="E1768" t="s">
        <v>2639</v>
      </c>
      <c r="F1768" t="s">
        <v>3242</v>
      </c>
      <c r="G1768" t="str">
        <f>"00074542"</f>
        <v>00074542</v>
      </c>
      <c r="H1768">
        <v>880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S1768">
        <v>0</v>
      </c>
      <c r="V1768">
        <v>1</v>
      </c>
      <c r="W1768">
        <v>880</v>
      </c>
    </row>
    <row r="1769" spans="1:23" x14ac:dyDescent="0.25">
      <c r="H1769" t="s">
        <v>3243</v>
      </c>
    </row>
    <row r="1770" spans="1:23" x14ac:dyDescent="0.25">
      <c r="A1770">
        <v>882</v>
      </c>
      <c r="B1770">
        <v>5527</v>
      </c>
      <c r="C1770" t="s">
        <v>1177</v>
      </c>
      <c r="D1770" t="s">
        <v>491</v>
      </c>
      <c r="E1770" t="s">
        <v>52</v>
      </c>
      <c r="F1770" t="s">
        <v>3244</v>
      </c>
      <c r="G1770" t="str">
        <f>"201512001778"</f>
        <v>201512001778</v>
      </c>
      <c r="H1770">
        <v>880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S1770">
        <v>0</v>
      </c>
      <c r="V1770">
        <v>1</v>
      </c>
      <c r="W1770">
        <v>880</v>
      </c>
    </row>
    <row r="1771" spans="1:23" x14ac:dyDescent="0.25">
      <c r="H1771" t="s">
        <v>3245</v>
      </c>
    </row>
    <row r="1772" spans="1:23" x14ac:dyDescent="0.25">
      <c r="A1772">
        <v>883</v>
      </c>
      <c r="B1772">
        <v>508</v>
      </c>
      <c r="C1772" t="s">
        <v>3246</v>
      </c>
      <c r="D1772" t="s">
        <v>56</v>
      </c>
      <c r="E1772" t="s">
        <v>262</v>
      </c>
      <c r="F1772" t="s">
        <v>3247</v>
      </c>
      <c r="G1772" t="str">
        <f>"201511036496"</f>
        <v>201511036496</v>
      </c>
      <c r="H1772">
        <v>880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S1772">
        <v>0</v>
      </c>
      <c r="V1772">
        <v>1</v>
      </c>
      <c r="W1772">
        <v>880</v>
      </c>
    </row>
    <row r="1773" spans="1:23" x14ac:dyDescent="0.25">
      <c r="H1773" t="s">
        <v>3248</v>
      </c>
    </row>
    <row r="1774" spans="1:23" x14ac:dyDescent="0.25">
      <c r="A1774">
        <v>884</v>
      </c>
      <c r="B1774">
        <v>7729</v>
      </c>
      <c r="C1774" t="s">
        <v>3249</v>
      </c>
      <c r="D1774" t="s">
        <v>275</v>
      </c>
      <c r="E1774" t="s">
        <v>80</v>
      </c>
      <c r="F1774" t="s">
        <v>3250</v>
      </c>
      <c r="G1774" t="str">
        <f>"00023854"</f>
        <v>00023854</v>
      </c>
      <c r="H1774">
        <v>880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v>0</v>
      </c>
      <c r="V1774">
        <v>1</v>
      </c>
      <c r="W1774">
        <v>880</v>
      </c>
    </row>
    <row r="1775" spans="1:23" x14ac:dyDescent="0.25">
      <c r="H1775" t="s">
        <v>3251</v>
      </c>
    </row>
    <row r="1776" spans="1:23" x14ac:dyDescent="0.25">
      <c r="A1776">
        <v>885</v>
      </c>
      <c r="B1776">
        <v>2364</v>
      </c>
      <c r="C1776" t="s">
        <v>3252</v>
      </c>
      <c r="D1776" t="s">
        <v>388</v>
      </c>
      <c r="E1776" t="s">
        <v>57</v>
      </c>
      <c r="F1776" t="s">
        <v>3253</v>
      </c>
      <c r="G1776" t="str">
        <f>"201511043408"</f>
        <v>201511043408</v>
      </c>
      <c r="H1776">
        <v>880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0</v>
      </c>
      <c r="S1776">
        <v>0</v>
      </c>
      <c r="V1776">
        <v>1</v>
      </c>
      <c r="W1776">
        <v>880</v>
      </c>
    </row>
    <row r="1777" spans="1:23" x14ac:dyDescent="0.25">
      <c r="H1777" t="s">
        <v>3254</v>
      </c>
    </row>
    <row r="1778" spans="1:23" x14ac:dyDescent="0.25">
      <c r="A1778">
        <v>886</v>
      </c>
      <c r="B1778">
        <v>1192</v>
      </c>
      <c r="C1778" t="s">
        <v>3255</v>
      </c>
      <c r="D1778" t="s">
        <v>154</v>
      </c>
      <c r="E1778" t="s">
        <v>56</v>
      </c>
      <c r="F1778" t="s">
        <v>3256</v>
      </c>
      <c r="G1778" t="str">
        <f>"201511010325"</f>
        <v>201511010325</v>
      </c>
      <c r="H1778">
        <v>880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0</v>
      </c>
      <c r="S1778">
        <v>0</v>
      </c>
      <c r="V1778">
        <v>1</v>
      </c>
      <c r="W1778">
        <v>880</v>
      </c>
    </row>
    <row r="1779" spans="1:23" x14ac:dyDescent="0.25">
      <c r="H1779" t="s">
        <v>3257</v>
      </c>
    </row>
    <row r="1780" spans="1:23" x14ac:dyDescent="0.25">
      <c r="A1780">
        <v>887</v>
      </c>
      <c r="B1780">
        <v>7956</v>
      </c>
      <c r="C1780" t="s">
        <v>3258</v>
      </c>
      <c r="D1780" t="s">
        <v>104</v>
      </c>
      <c r="E1780" t="s">
        <v>229</v>
      </c>
      <c r="F1780" t="s">
        <v>3259</v>
      </c>
      <c r="G1780" t="str">
        <f>"00046466"</f>
        <v>00046466</v>
      </c>
      <c r="H1780">
        <v>880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S1780">
        <v>0</v>
      </c>
      <c r="V1780">
        <v>1</v>
      </c>
      <c r="W1780">
        <v>880</v>
      </c>
    </row>
    <row r="1781" spans="1:23" x14ac:dyDescent="0.25">
      <c r="H1781" t="s">
        <v>3260</v>
      </c>
    </row>
    <row r="1782" spans="1:23" x14ac:dyDescent="0.25">
      <c r="A1782">
        <v>888</v>
      </c>
      <c r="B1782">
        <v>5989</v>
      </c>
      <c r="C1782" t="s">
        <v>3261</v>
      </c>
      <c r="D1782" t="s">
        <v>1192</v>
      </c>
      <c r="E1782" t="s">
        <v>129</v>
      </c>
      <c r="F1782" t="s">
        <v>3262</v>
      </c>
      <c r="G1782" t="str">
        <f>"00070173"</f>
        <v>00070173</v>
      </c>
      <c r="H1782">
        <v>880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S1782">
        <v>0</v>
      </c>
      <c r="V1782">
        <v>1</v>
      </c>
      <c r="W1782">
        <v>880</v>
      </c>
    </row>
    <row r="1783" spans="1:23" x14ac:dyDescent="0.25">
      <c r="H1783" t="s">
        <v>3263</v>
      </c>
    </row>
    <row r="1784" spans="1:23" x14ac:dyDescent="0.25">
      <c r="A1784">
        <v>889</v>
      </c>
      <c r="B1784">
        <v>5235</v>
      </c>
      <c r="C1784" t="s">
        <v>3264</v>
      </c>
      <c r="D1784" t="s">
        <v>61</v>
      </c>
      <c r="E1784" t="s">
        <v>154</v>
      </c>
      <c r="F1784" t="s">
        <v>3265</v>
      </c>
      <c r="G1784" t="str">
        <f>"201511030622"</f>
        <v>201511030622</v>
      </c>
      <c r="H1784">
        <v>880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0</v>
      </c>
      <c r="S1784">
        <v>0</v>
      </c>
      <c r="V1784">
        <v>1</v>
      </c>
      <c r="W1784">
        <v>880</v>
      </c>
    </row>
    <row r="1785" spans="1:23" x14ac:dyDescent="0.25">
      <c r="H1785" t="s">
        <v>3266</v>
      </c>
    </row>
    <row r="1786" spans="1:23" x14ac:dyDescent="0.25">
      <c r="A1786">
        <v>890</v>
      </c>
      <c r="B1786">
        <v>800</v>
      </c>
      <c r="C1786" t="s">
        <v>3267</v>
      </c>
      <c r="D1786" t="s">
        <v>3268</v>
      </c>
      <c r="E1786" t="s">
        <v>168</v>
      </c>
      <c r="F1786" t="s">
        <v>3269</v>
      </c>
      <c r="G1786" t="str">
        <f>"00020046"</f>
        <v>00020046</v>
      </c>
      <c r="H1786">
        <v>880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S1786">
        <v>0</v>
      </c>
      <c r="V1786">
        <v>1</v>
      </c>
      <c r="W1786">
        <v>880</v>
      </c>
    </row>
    <row r="1787" spans="1:23" x14ac:dyDescent="0.25">
      <c r="H1787" t="s">
        <v>3270</v>
      </c>
    </row>
    <row r="1788" spans="1:23" x14ac:dyDescent="0.25">
      <c r="A1788">
        <v>891</v>
      </c>
      <c r="B1788">
        <v>1896</v>
      </c>
      <c r="C1788" t="s">
        <v>3271</v>
      </c>
      <c r="D1788" t="s">
        <v>351</v>
      </c>
      <c r="E1788" t="s">
        <v>451</v>
      </c>
      <c r="F1788" t="s">
        <v>3272</v>
      </c>
      <c r="G1788" t="str">
        <f>"201502000052"</f>
        <v>201502000052</v>
      </c>
      <c r="H1788">
        <v>880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V1788">
        <v>1</v>
      </c>
      <c r="W1788">
        <v>880</v>
      </c>
    </row>
    <row r="1789" spans="1:23" x14ac:dyDescent="0.25">
      <c r="H1789" t="s">
        <v>3273</v>
      </c>
    </row>
    <row r="1790" spans="1:23" x14ac:dyDescent="0.25">
      <c r="A1790">
        <v>892</v>
      </c>
      <c r="B1790">
        <v>7074</v>
      </c>
      <c r="C1790" t="s">
        <v>3274</v>
      </c>
      <c r="D1790" t="s">
        <v>96</v>
      </c>
      <c r="E1790" t="s">
        <v>344</v>
      </c>
      <c r="F1790" t="s">
        <v>3275</v>
      </c>
      <c r="G1790" t="str">
        <f>"00039127"</f>
        <v>00039127</v>
      </c>
      <c r="H1790" t="s">
        <v>3276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10</v>
      </c>
      <c r="S1790">
        <v>70</v>
      </c>
      <c r="V1790">
        <v>1</v>
      </c>
      <c r="W1790" t="s">
        <v>3277</v>
      </c>
    </row>
    <row r="1791" spans="1:23" x14ac:dyDescent="0.25">
      <c r="H1791" t="s">
        <v>3278</v>
      </c>
    </row>
    <row r="1792" spans="1:23" x14ac:dyDescent="0.25">
      <c r="A1792">
        <v>893</v>
      </c>
      <c r="B1792">
        <v>6168</v>
      </c>
      <c r="C1792" t="s">
        <v>3279</v>
      </c>
      <c r="D1792" t="s">
        <v>3280</v>
      </c>
      <c r="E1792" t="s">
        <v>3281</v>
      </c>
      <c r="F1792" t="s">
        <v>3282</v>
      </c>
      <c r="G1792" t="str">
        <f>"00010667"</f>
        <v>00010667</v>
      </c>
      <c r="H1792">
        <v>825</v>
      </c>
      <c r="I1792">
        <v>0</v>
      </c>
      <c r="J1792">
        <v>50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S1792">
        <v>0</v>
      </c>
      <c r="V1792">
        <v>1</v>
      </c>
      <c r="W1792">
        <v>875</v>
      </c>
    </row>
    <row r="1793" spans="1:23" x14ac:dyDescent="0.25">
      <c r="H1793" t="s">
        <v>3283</v>
      </c>
    </row>
    <row r="1794" spans="1:23" x14ac:dyDescent="0.25">
      <c r="A1794">
        <v>894</v>
      </c>
      <c r="B1794">
        <v>8007</v>
      </c>
      <c r="C1794" t="s">
        <v>3284</v>
      </c>
      <c r="D1794" t="s">
        <v>157</v>
      </c>
      <c r="E1794" t="s">
        <v>80</v>
      </c>
      <c r="F1794" t="s">
        <v>3285</v>
      </c>
      <c r="G1794" t="str">
        <f>"00086302"</f>
        <v>00086302</v>
      </c>
      <c r="H1794" t="s">
        <v>407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S1794">
        <v>0</v>
      </c>
      <c r="V1794">
        <v>1</v>
      </c>
      <c r="W1794" t="s">
        <v>407</v>
      </c>
    </row>
    <row r="1795" spans="1:23" x14ac:dyDescent="0.25">
      <c r="H1795" t="s">
        <v>3286</v>
      </c>
    </row>
    <row r="1796" spans="1:23" x14ac:dyDescent="0.25">
      <c r="A1796">
        <v>895</v>
      </c>
      <c r="B1796">
        <v>4975</v>
      </c>
      <c r="C1796" t="s">
        <v>3287</v>
      </c>
      <c r="D1796" t="s">
        <v>183</v>
      </c>
      <c r="E1796" t="s">
        <v>533</v>
      </c>
      <c r="F1796" t="s">
        <v>3288</v>
      </c>
      <c r="G1796" t="str">
        <f>"200910000836"</f>
        <v>200910000836</v>
      </c>
      <c r="H1796" t="s">
        <v>407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S1796">
        <v>0</v>
      </c>
      <c r="V1796">
        <v>1</v>
      </c>
      <c r="W1796" t="s">
        <v>407</v>
      </c>
    </row>
    <row r="1797" spans="1:23" x14ac:dyDescent="0.25">
      <c r="H1797" t="s">
        <v>3289</v>
      </c>
    </row>
    <row r="1798" spans="1:23" x14ac:dyDescent="0.25">
      <c r="A1798">
        <v>896</v>
      </c>
      <c r="B1798">
        <v>8017</v>
      </c>
      <c r="C1798" t="s">
        <v>189</v>
      </c>
      <c r="D1798" t="s">
        <v>3290</v>
      </c>
      <c r="E1798" t="s">
        <v>3291</v>
      </c>
      <c r="F1798" t="s">
        <v>3292</v>
      </c>
      <c r="G1798" t="str">
        <f>"00038557"</f>
        <v>00038557</v>
      </c>
      <c r="H1798">
        <v>814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8</v>
      </c>
      <c r="S1798">
        <v>56</v>
      </c>
      <c r="V1798">
        <v>1</v>
      </c>
      <c r="W1798">
        <v>870</v>
      </c>
    </row>
    <row r="1799" spans="1:23" x14ac:dyDescent="0.25">
      <c r="H1799" t="s">
        <v>3293</v>
      </c>
    </row>
    <row r="1800" spans="1:23" x14ac:dyDescent="0.25">
      <c r="A1800">
        <v>897</v>
      </c>
      <c r="B1800">
        <v>8061</v>
      </c>
      <c r="C1800" t="s">
        <v>3294</v>
      </c>
      <c r="D1800" t="s">
        <v>108</v>
      </c>
      <c r="E1800" t="s">
        <v>276</v>
      </c>
      <c r="F1800" t="s">
        <v>3295</v>
      </c>
      <c r="G1800" t="str">
        <f>"00094048"</f>
        <v>00094048</v>
      </c>
      <c r="H1800">
        <v>869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S1800">
        <v>0</v>
      </c>
      <c r="V1800">
        <v>3</v>
      </c>
      <c r="W1800">
        <v>869</v>
      </c>
    </row>
    <row r="1801" spans="1:23" x14ac:dyDescent="0.25">
      <c r="H1801" t="s">
        <v>3296</v>
      </c>
    </row>
    <row r="1802" spans="1:23" x14ac:dyDescent="0.25">
      <c r="A1802">
        <v>898</v>
      </c>
      <c r="B1802">
        <v>8594</v>
      </c>
      <c r="C1802" t="s">
        <v>3297</v>
      </c>
      <c r="D1802" t="s">
        <v>3298</v>
      </c>
      <c r="E1802" t="s">
        <v>80</v>
      </c>
      <c r="F1802" t="s">
        <v>3299</v>
      </c>
      <c r="G1802" t="str">
        <f>"201511042586"</f>
        <v>201511042586</v>
      </c>
      <c r="H1802">
        <v>869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R1802">
        <v>0</v>
      </c>
      <c r="S1802">
        <v>0</v>
      </c>
      <c r="V1802">
        <v>1</v>
      </c>
      <c r="W1802">
        <v>869</v>
      </c>
    </row>
    <row r="1803" spans="1:23" x14ac:dyDescent="0.25">
      <c r="H1803" t="s">
        <v>3300</v>
      </c>
    </row>
    <row r="1804" spans="1:23" x14ac:dyDescent="0.25">
      <c r="A1804">
        <v>899</v>
      </c>
      <c r="B1804">
        <v>9186</v>
      </c>
      <c r="C1804" t="s">
        <v>3301</v>
      </c>
      <c r="D1804" t="s">
        <v>183</v>
      </c>
      <c r="E1804" t="s">
        <v>500</v>
      </c>
      <c r="F1804" t="s">
        <v>3302</v>
      </c>
      <c r="G1804" t="str">
        <f>"201511030353"</f>
        <v>201511030353</v>
      </c>
      <c r="H1804">
        <v>770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0</v>
      </c>
      <c r="P1804">
        <v>0</v>
      </c>
      <c r="Q1804">
        <v>0</v>
      </c>
      <c r="R1804">
        <v>14</v>
      </c>
      <c r="S1804">
        <v>98</v>
      </c>
      <c r="V1804">
        <v>1</v>
      </c>
      <c r="W1804">
        <v>868</v>
      </c>
    </row>
    <row r="1805" spans="1:23" x14ac:dyDescent="0.25">
      <c r="H1805" t="s">
        <v>3303</v>
      </c>
    </row>
    <row r="1806" spans="1:23" x14ac:dyDescent="0.25">
      <c r="A1806">
        <v>900</v>
      </c>
      <c r="B1806">
        <v>463</v>
      </c>
      <c r="C1806" t="s">
        <v>2572</v>
      </c>
      <c r="D1806" t="s">
        <v>23</v>
      </c>
      <c r="E1806" t="s">
        <v>374</v>
      </c>
      <c r="F1806" t="s">
        <v>2573</v>
      </c>
      <c r="G1806" t="str">
        <f>"201511031019"</f>
        <v>201511031019</v>
      </c>
      <c r="H1806">
        <v>825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R1806">
        <v>6</v>
      </c>
      <c r="S1806">
        <v>42</v>
      </c>
      <c r="V1806">
        <v>1</v>
      </c>
      <c r="W1806">
        <v>867</v>
      </c>
    </row>
    <row r="1807" spans="1:23" x14ac:dyDescent="0.25">
      <c r="H1807" t="s">
        <v>2574</v>
      </c>
    </row>
    <row r="1808" spans="1:23" x14ac:dyDescent="0.25">
      <c r="A1808">
        <v>901</v>
      </c>
      <c r="B1808">
        <v>647</v>
      </c>
      <c r="C1808" t="s">
        <v>3025</v>
      </c>
      <c r="D1808" t="s">
        <v>3304</v>
      </c>
      <c r="E1808" t="s">
        <v>80</v>
      </c>
      <c r="F1808" t="s">
        <v>3305</v>
      </c>
      <c r="G1808" t="str">
        <f>"00026809"</f>
        <v>00026809</v>
      </c>
      <c r="H1808" t="s">
        <v>231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0</v>
      </c>
      <c r="S1808">
        <v>0</v>
      </c>
      <c r="V1808">
        <v>1</v>
      </c>
      <c r="W1808" t="s">
        <v>231</v>
      </c>
    </row>
    <row r="1809" spans="1:23" x14ac:dyDescent="0.25">
      <c r="H1809" t="s">
        <v>2686</v>
      </c>
    </row>
    <row r="1810" spans="1:23" x14ac:dyDescent="0.25">
      <c r="A1810">
        <v>902</v>
      </c>
      <c r="B1810">
        <v>10401</v>
      </c>
      <c r="C1810" t="s">
        <v>3306</v>
      </c>
      <c r="D1810" t="s">
        <v>465</v>
      </c>
      <c r="E1810" t="s">
        <v>509</v>
      </c>
      <c r="F1810" t="s">
        <v>3307</v>
      </c>
      <c r="G1810" t="str">
        <f>"00079667"</f>
        <v>00079667</v>
      </c>
      <c r="H1810" t="s">
        <v>3090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0</v>
      </c>
      <c r="S1810">
        <v>0</v>
      </c>
      <c r="V1810">
        <v>1</v>
      </c>
      <c r="W1810" t="s">
        <v>3090</v>
      </c>
    </row>
    <row r="1811" spans="1:23" x14ac:dyDescent="0.25">
      <c r="H1811" t="s">
        <v>3308</v>
      </c>
    </row>
    <row r="1812" spans="1:23" x14ac:dyDescent="0.25">
      <c r="A1812">
        <v>903</v>
      </c>
      <c r="B1812">
        <v>10509</v>
      </c>
      <c r="C1812" t="s">
        <v>596</v>
      </c>
      <c r="D1812" t="s">
        <v>276</v>
      </c>
      <c r="E1812" t="s">
        <v>20</v>
      </c>
      <c r="F1812" t="s">
        <v>3309</v>
      </c>
      <c r="G1812" t="str">
        <f>"00041245"</f>
        <v>00041245</v>
      </c>
      <c r="H1812">
        <v>781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12</v>
      </c>
      <c r="S1812">
        <v>84</v>
      </c>
      <c r="V1812">
        <v>1</v>
      </c>
      <c r="W1812">
        <v>865</v>
      </c>
    </row>
    <row r="1813" spans="1:23" x14ac:dyDescent="0.25">
      <c r="H1813" t="s">
        <v>3310</v>
      </c>
    </row>
    <row r="1814" spans="1:23" x14ac:dyDescent="0.25">
      <c r="A1814">
        <v>904</v>
      </c>
      <c r="B1814">
        <v>6786</v>
      </c>
      <c r="C1814" t="s">
        <v>3311</v>
      </c>
      <c r="D1814" t="s">
        <v>89</v>
      </c>
      <c r="E1814" t="s">
        <v>509</v>
      </c>
      <c r="F1814" t="s">
        <v>3312</v>
      </c>
      <c r="G1814" t="str">
        <f>"201405000130"</f>
        <v>201405000130</v>
      </c>
      <c r="H1814">
        <v>715</v>
      </c>
      <c r="I1814">
        <v>150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0</v>
      </c>
      <c r="Q1814">
        <v>0</v>
      </c>
      <c r="R1814">
        <v>0</v>
      </c>
      <c r="S1814">
        <v>0</v>
      </c>
      <c r="V1814">
        <v>1</v>
      </c>
      <c r="W1814">
        <v>865</v>
      </c>
    </row>
    <row r="1815" spans="1:23" x14ac:dyDescent="0.25">
      <c r="H1815" t="s">
        <v>3313</v>
      </c>
    </row>
    <row r="1816" spans="1:23" x14ac:dyDescent="0.25">
      <c r="A1816">
        <v>905</v>
      </c>
      <c r="B1816">
        <v>5115</v>
      </c>
      <c r="C1816" t="s">
        <v>3314</v>
      </c>
      <c r="D1816" t="s">
        <v>52</v>
      </c>
      <c r="E1816" t="s">
        <v>184</v>
      </c>
      <c r="F1816" t="s">
        <v>3315</v>
      </c>
      <c r="G1816" t="str">
        <f>"00069959"</f>
        <v>00069959</v>
      </c>
      <c r="H1816" t="s">
        <v>559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0</v>
      </c>
      <c r="S1816">
        <v>0</v>
      </c>
      <c r="V1816">
        <v>1</v>
      </c>
      <c r="W1816" t="s">
        <v>559</v>
      </c>
    </row>
    <row r="1817" spans="1:23" x14ac:dyDescent="0.25">
      <c r="H1817" t="s">
        <v>3316</v>
      </c>
    </row>
    <row r="1818" spans="1:23" x14ac:dyDescent="0.25">
      <c r="A1818">
        <v>906</v>
      </c>
      <c r="B1818">
        <v>2985</v>
      </c>
      <c r="C1818" t="s">
        <v>3317</v>
      </c>
      <c r="D1818" t="s">
        <v>427</v>
      </c>
      <c r="E1818" t="s">
        <v>158</v>
      </c>
      <c r="F1818" t="s">
        <v>3318</v>
      </c>
      <c r="G1818" t="str">
        <f>"00041665"</f>
        <v>00041665</v>
      </c>
      <c r="H1818" t="s">
        <v>559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0</v>
      </c>
      <c r="R1818">
        <v>0</v>
      </c>
      <c r="S1818">
        <v>0</v>
      </c>
      <c r="V1818">
        <v>1</v>
      </c>
      <c r="W1818" t="s">
        <v>559</v>
      </c>
    </row>
    <row r="1819" spans="1:23" x14ac:dyDescent="0.25">
      <c r="H1819">
        <v>841</v>
      </c>
    </row>
    <row r="1820" spans="1:23" x14ac:dyDescent="0.25">
      <c r="A1820">
        <v>907</v>
      </c>
      <c r="B1820">
        <v>5942</v>
      </c>
      <c r="C1820" t="s">
        <v>3319</v>
      </c>
      <c r="D1820" t="s">
        <v>3320</v>
      </c>
      <c r="E1820" t="s">
        <v>1406</v>
      </c>
      <c r="F1820" t="s">
        <v>3321</v>
      </c>
      <c r="G1820" t="str">
        <f>"00089187"</f>
        <v>00089187</v>
      </c>
      <c r="H1820" t="s">
        <v>559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  <c r="Q1820">
        <v>0</v>
      </c>
      <c r="R1820">
        <v>0</v>
      </c>
      <c r="S1820">
        <v>0</v>
      </c>
      <c r="V1820">
        <v>1</v>
      </c>
      <c r="W1820" t="s">
        <v>559</v>
      </c>
    </row>
    <row r="1821" spans="1:23" x14ac:dyDescent="0.25">
      <c r="H1821" t="s">
        <v>3322</v>
      </c>
    </row>
    <row r="1822" spans="1:23" x14ac:dyDescent="0.25">
      <c r="A1822">
        <v>908</v>
      </c>
      <c r="B1822">
        <v>9866</v>
      </c>
      <c r="C1822" t="s">
        <v>3323</v>
      </c>
      <c r="D1822" t="s">
        <v>3324</v>
      </c>
      <c r="E1822" t="s">
        <v>37</v>
      </c>
      <c r="F1822" t="s">
        <v>3325</v>
      </c>
      <c r="G1822" t="str">
        <f>"00097288"</f>
        <v>00097288</v>
      </c>
      <c r="H1822" t="s">
        <v>559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0</v>
      </c>
      <c r="P1822">
        <v>0</v>
      </c>
      <c r="Q1822">
        <v>0</v>
      </c>
      <c r="R1822">
        <v>0</v>
      </c>
      <c r="S1822">
        <v>0</v>
      </c>
      <c r="V1822">
        <v>3</v>
      </c>
      <c r="W1822" t="s">
        <v>559</v>
      </c>
    </row>
    <row r="1823" spans="1:23" x14ac:dyDescent="0.25">
      <c r="H1823" t="s">
        <v>3326</v>
      </c>
    </row>
    <row r="1824" spans="1:23" x14ac:dyDescent="0.25">
      <c r="A1824">
        <v>909</v>
      </c>
      <c r="B1824">
        <v>9312</v>
      </c>
      <c r="C1824" t="s">
        <v>3327</v>
      </c>
      <c r="D1824" t="s">
        <v>841</v>
      </c>
      <c r="E1824" t="s">
        <v>20</v>
      </c>
      <c r="F1824" t="s">
        <v>3328</v>
      </c>
      <c r="G1824" t="str">
        <f>"201511042366"</f>
        <v>201511042366</v>
      </c>
      <c r="H1824" t="s">
        <v>559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0</v>
      </c>
      <c r="Q1824">
        <v>0</v>
      </c>
      <c r="R1824">
        <v>0</v>
      </c>
      <c r="S1824">
        <v>0</v>
      </c>
      <c r="V1824">
        <v>1</v>
      </c>
      <c r="W1824" t="s">
        <v>559</v>
      </c>
    </row>
    <row r="1825" spans="1:23" x14ac:dyDescent="0.25">
      <c r="H1825" t="s">
        <v>3329</v>
      </c>
    </row>
    <row r="1826" spans="1:23" x14ac:dyDescent="0.25">
      <c r="A1826">
        <v>910</v>
      </c>
      <c r="B1826">
        <v>9577</v>
      </c>
      <c r="C1826" t="s">
        <v>3330</v>
      </c>
      <c r="D1826" t="s">
        <v>61</v>
      </c>
      <c r="E1826" t="s">
        <v>500</v>
      </c>
      <c r="F1826" t="s">
        <v>3331</v>
      </c>
      <c r="G1826" t="str">
        <f>"201511022509"</f>
        <v>201511022509</v>
      </c>
      <c r="H1826" t="s">
        <v>984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0</v>
      </c>
      <c r="R1826">
        <v>6</v>
      </c>
      <c r="S1826">
        <v>42</v>
      </c>
      <c r="V1826">
        <v>1</v>
      </c>
      <c r="W1826" t="s">
        <v>3332</v>
      </c>
    </row>
    <row r="1827" spans="1:23" x14ac:dyDescent="0.25">
      <c r="H1827" t="s">
        <v>3333</v>
      </c>
    </row>
    <row r="1828" spans="1:23" x14ac:dyDescent="0.25">
      <c r="A1828">
        <v>911</v>
      </c>
      <c r="B1828">
        <v>463</v>
      </c>
      <c r="C1828" t="s">
        <v>2572</v>
      </c>
      <c r="D1828" t="s">
        <v>23</v>
      </c>
      <c r="E1828" t="s">
        <v>374</v>
      </c>
      <c r="F1828" t="s">
        <v>2573</v>
      </c>
      <c r="G1828" t="str">
        <f>"201511031019"</f>
        <v>201511031019</v>
      </c>
      <c r="H1828">
        <v>825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R1828">
        <v>5</v>
      </c>
      <c r="S1828">
        <v>35</v>
      </c>
      <c r="V1828">
        <v>1</v>
      </c>
      <c r="W1828">
        <v>860</v>
      </c>
    </row>
    <row r="1829" spans="1:23" x14ac:dyDescent="0.25">
      <c r="H1829" t="s">
        <v>2574</v>
      </c>
    </row>
    <row r="1830" spans="1:23" x14ac:dyDescent="0.25">
      <c r="A1830">
        <v>912</v>
      </c>
      <c r="B1830">
        <v>5913</v>
      </c>
      <c r="C1830" t="s">
        <v>3334</v>
      </c>
      <c r="D1830" t="s">
        <v>392</v>
      </c>
      <c r="E1830" t="s">
        <v>327</v>
      </c>
      <c r="F1830" t="s">
        <v>3335</v>
      </c>
      <c r="G1830" t="str">
        <f>"00035949"</f>
        <v>00035949</v>
      </c>
      <c r="H1830" t="s">
        <v>3336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17</v>
      </c>
      <c r="S1830">
        <v>119</v>
      </c>
      <c r="V1830">
        <v>1</v>
      </c>
      <c r="W1830" t="s">
        <v>3337</v>
      </c>
    </row>
    <row r="1831" spans="1:23" x14ac:dyDescent="0.25">
      <c r="H1831" t="s">
        <v>3338</v>
      </c>
    </row>
    <row r="1832" spans="1:23" x14ac:dyDescent="0.25">
      <c r="A1832">
        <v>913</v>
      </c>
      <c r="B1832">
        <v>5130</v>
      </c>
      <c r="C1832" t="s">
        <v>3339</v>
      </c>
      <c r="D1832" t="s">
        <v>2439</v>
      </c>
      <c r="E1832" t="s">
        <v>3340</v>
      </c>
      <c r="F1832" t="s">
        <v>3341</v>
      </c>
      <c r="G1832" t="str">
        <f>"00017338"</f>
        <v>00017338</v>
      </c>
      <c r="H1832">
        <v>858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0</v>
      </c>
      <c r="R1832">
        <v>0</v>
      </c>
      <c r="S1832">
        <v>0</v>
      </c>
      <c r="V1832">
        <v>1</v>
      </c>
      <c r="W1832">
        <v>858</v>
      </c>
    </row>
    <row r="1833" spans="1:23" x14ac:dyDescent="0.25">
      <c r="H1833" t="s">
        <v>3342</v>
      </c>
    </row>
    <row r="1834" spans="1:23" x14ac:dyDescent="0.25">
      <c r="A1834">
        <v>914</v>
      </c>
      <c r="B1834">
        <v>1678</v>
      </c>
      <c r="C1834" t="s">
        <v>3343</v>
      </c>
      <c r="D1834" t="s">
        <v>910</v>
      </c>
      <c r="E1834" t="s">
        <v>1406</v>
      </c>
      <c r="F1834" t="s">
        <v>3344</v>
      </c>
      <c r="G1834" t="str">
        <f>"201511006559"</f>
        <v>201511006559</v>
      </c>
      <c r="H1834">
        <v>858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0</v>
      </c>
      <c r="P1834">
        <v>0</v>
      </c>
      <c r="Q1834">
        <v>0</v>
      </c>
      <c r="R1834">
        <v>0</v>
      </c>
      <c r="S1834">
        <v>0</v>
      </c>
      <c r="V1834">
        <v>1</v>
      </c>
      <c r="W1834">
        <v>858</v>
      </c>
    </row>
    <row r="1835" spans="1:23" x14ac:dyDescent="0.25">
      <c r="H1835" t="s">
        <v>3345</v>
      </c>
    </row>
    <row r="1836" spans="1:23" x14ac:dyDescent="0.25">
      <c r="A1836">
        <v>915</v>
      </c>
      <c r="B1836">
        <v>721</v>
      </c>
      <c r="C1836" t="s">
        <v>3346</v>
      </c>
      <c r="D1836" t="s">
        <v>30</v>
      </c>
      <c r="E1836" t="s">
        <v>708</v>
      </c>
      <c r="F1836" t="s">
        <v>3347</v>
      </c>
      <c r="G1836" t="str">
        <f>"201511027664"</f>
        <v>201511027664</v>
      </c>
      <c r="H1836">
        <v>858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0</v>
      </c>
      <c r="S1836">
        <v>0</v>
      </c>
      <c r="V1836">
        <v>1</v>
      </c>
      <c r="W1836">
        <v>858</v>
      </c>
    </row>
    <row r="1837" spans="1:23" x14ac:dyDescent="0.25">
      <c r="H1837" t="s">
        <v>3348</v>
      </c>
    </row>
    <row r="1838" spans="1:23" x14ac:dyDescent="0.25">
      <c r="A1838">
        <v>916</v>
      </c>
      <c r="B1838">
        <v>4472</v>
      </c>
      <c r="C1838" t="s">
        <v>3168</v>
      </c>
      <c r="D1838" t="s">
        <v>29</v>
      </c>
      <c r="E1838" t="s">
        <v>37</v>
      </c>
      <c r="F1838" t="s">
        <v>3169</v>
      </c>
      <c r="G1838" t="str">
        <f>"00082080"</f>
        <v>00082080</v>
      </c>
      <c r="H1838">
        <v>858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0</v>
      </c>
      <c r="S1838">
        <v>0</v>
      </c>
      <c r="V1838">
        <v>1</v>
      </c>
      <c r="W1838">
        <v>858</v>
      </c>
    </row>
    <row r="1839" spans="1:23" x14ac:dyDescent="0.25">
      <c r="H1839" t="s">
        <v>3170</v>
      </c>
    </row>
    <row r="1840" spans="1:23" x14ac:dyDescent="0.25">
      <c r="A1840">
        <v>917</v>
      </c>
      <c r="B1840">
        <v>6657</v>
      </c>
      <c r="C1840" t="s">
        <v>3349</v>
      </c>
      <c r="D1840" t="s">
        <v>351</v>
      </c>
      <c r="E1840" t="s">
        <v>3350</v>
      </c>
      <c r="F1840" t="s">
        <v>3351</v>
      </c>
      <c r="G1840" t="str">
        <f>"00101266"</f>
        <v>00101266</v>
      </c>
      <c r="H1840">
        <v>781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11</v>
      </c>
      <c r="S1840">
        <v>77</v>
      </c>
      <c r="V1840">
        <v>1</v>
      </c>
      <c r="W1840">
        <v>858</v>
      </c>
    </row>
    <row r="1841" spans="1:23" x14ac:dyDescent="0.25">
      <c r="H1841" t="s">
        <v>1536</v>
      </c>
    </row>
    <row r="1842" spans="1:23" x14ac:dyDescent="0.25">
      <c r="A1842">
        <v>918</v>
      </c>
      <c r="B1842">
        <v>2508</v>
      </c>
      <c r="C1842" t="s">
        <v>3352</v>
      </c>
      <c r="D1842" t="s">
        <v>158</v>
      </c>
      <c r="E1842" t="s">
        <v>20</v>
      </c>
      <c r="F1842" t="s">
        <v>3353</v>
      </c>
      <c r="G1842" t="str">
        <f>"00024105"</f>
        <v>00024105</v>
      </c>
      <c r="H1842" t="s">
        <v>3354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0</v>
      </c>
      <c r="R1842">
        <v>0</v>
      </c>
      <c r="S1842">
        <v>0</v>
      </c>
      <c r="V1842">
        <v>3</v>
      </c>
      <c r="W1842" t="s">
        <v>3354</v>
      </c>
    </row>
    <row r="1843" spans="1:23" x14ac:dyDescent="0.25">
      <c r="H1843" t="s">
        <v>3355</v>
      </c>
    </row>
    <row r="1844" spans="1:23" x14ac:dyDescent="0.25">
      <c r="A1844">
        <v>919</v>
      </c>
      <c r="B1844">
        <v>3424</v>
      </c>
      <c r="C1844" t="s">
        <v>3356</v>
      </c>
      <c r="D1844" t="s">
        <v>433</v>
      </c>
      <c r="E1844" t="s">
        <v>3357</v>
      </c>
      <c r="F1844" t="s">
        <v>3358</v>
      </c>
      <c r="G1844" t="str">
        <f>"201511008371"</f>
        <v>201511008371</v>
      </c>
      <c r="H1844">
        <v>814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0</v>
      </c>
      <c r="P1844">
        <v>0</v>
      </c>
      <c r="Q1844">
        <v>0</v>
      </c>
      <c r="R1844">
        <v>6</v>
      </c>
      <c r="S1844">
        <v>42</v>
      </c>
      <c r="V1844">
        <v>1</v>
      </c>
      <c r="W1844">
        <v>856</v>
      </c>
    </row>
    <row r="1845" spans="1:23" x14ac:dyDescent="0.25">
      <c r="H1845" t="s">
        <v>3359</v>
      </c>
    </row>
    <row r="1846" spans="1:23" x14ac:dyDescent="0.25">
      <c r="A1846">
        <v>920</v>
      </c>
      <c r="B1846">
        <v>5256</v>
      </c>
      <c r="C1846" t="s">
        <v>3360</v>
      </c>
      <c r="D1846" t="s">
        <v>368</v>
      </c>
      <c r="E1846" t="s">
        <v>37</v>
      </c>
      <c r="F1846" t="s">
        <v>3361</v>
      </c>
      <c r="G1846" t="str">
        <f>"201511014889"</f>
        <v>201511014889</v>
      </c>
      <c r="H1846">
        <v>825</v>
      </c>
      <c r="I1846">
        <v>0</v>
      </c>
      <c r="J1846">
        <v>30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</v>
      </c>
      <c r="R1846">
        <v>0</v>
      </c>
      <c r="S1846">
        <v>0</v>
      </c>
      <c r="V1846">
        <v>1</v>
      </c>
      <c r="W1846">
        <v>855</v>
      </c>
    </row>
    <row r="1847" spans="1:23" x14ac:dyDescent="0.25">
      <c r="H1847" t="s">
        <v>3362</v>
      </c>
    </row>
    <row r="1848" spans="1:23" x14ac:dyDescent="0.25">
      <c r="A1848">
        <v>921</v>
      </c>
      <c r="B1848">
        <v>6573</v>
      </c>
      <c r="C1848" t="s">
        <v>3363</v>
      </c>
      <c r="D1848" t="s">
        <v>2480</v>
      </c>
      <c r="E1848" t="s">
        <v>229</v>
      </c>
      <c r="F1848" t="s">
        <v>3364</v>
      </c>
      <c r="G1848" t="str">
        <f>"200805001208"</f>
        <v>200805001208</v>
      </c>
      <c r="H1848">
        <v>825</v>
      </c>
      <c r="I1848">
        <v>0</v>
      </c>
      <c r="J1848">
        <v>30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0</v>
      </c>
      <c r="S1848">
        <v>0</v>
      </c>
      <c r="V1848">
        <v>1</v>
      </c>
      <c r="W1848">
        <v>855</v>
      </c>
    </row>
    <row r="1849" spans="1:23" x14ac:dyDescent="0.25">
      <c r="H1849" t="s">
        <v>3365</v>
      </c>
    </row>
    <row r="1850" spans="1:23" x14ac:dyDescent="0.25">
      <c r="A1850">
        <v>922</v>
      </c>
      <c r="B1850">
        <v>7983</v>
      </c>
      <c r="C1850" t="s">
        <v>3366</v>
      </c>
      <c r="D1850" t="s">
        <v>235</v>
      </c>
      <c r="E1850" t="s">
        <v>80</v>
      </c>
      <c r="F1850" t="s">
        <v>3367</v>
      </c>
      <c r="G1850" t="str">
        <f>"201511009773"</f>
        <v>201511009773</v>
      </c>
      <c r="H1850">
        <v>825</v>
      </c>
      <c r="I1850">
        <v>0</v>
      </c>
      <c r="J1850">
        <v>30</v>
      </c>
      <c r="K1850">
        <v>0</v>
      </c>
      <c r="L1850">
        <v>0</v>
      </c>
      <c r="M1850">
        <v>0</v>
      </c>
      <c r="N1850">
        <v>0</v>
      </c>
      <c r="O1850">
        <v>0</v>
      </c>
      <c r="P1850">
        <v>0</v>
      </c>
      <c r="Q1850">
        <v>0</v>
      </c>
      <c r="R1850">
        <v>0</v>
      </c>
      <c r="S1850">
        <v>0</v>
      </c>
      <c r="V1850">
        <v>1</v>
      </c>
      <c r="W1850">
        <v>855</v>
      </c>
    </row>
    <row r="1851" spans="1:23" x14ac:dyDescent="0.25">
      <c r="H1851" t="s">
        <v>3368</v>
      </c>
    </row>
    <row r="1852" spans="1:23" x14ac:dyDescent="0.25">
      <c r="A1852">
        <v>923</v>
      </c>
      <c r="B1852">
        <v>7299</v>
      </c>
      <c r="C1852" t="s">
        <v>3369</v>
      </c>
      <c r="D1852" t="s">
        <v>1405</v>
      </c>
      <c r="E1852" t="s">
        <v>62</v>
      </c>
      <c r="F1852" t="s">
        <v>3370</v>
      </c>
      <c r="G1852" t="str">
        <f>"00039804"</f>
        <v>00039804</v>
      </c>
      <c r="H1852" t="s">
        <v>453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0</v>
      </c>
      <c r="P1852">
        <v>0</v>
      </c>
      <c r="Q1852">
        <v>0</v>
      </c>
      <c r="R1852">
        <v>0</v>
      </c>
      <c r="S1852">
        <v>0</v>
      </c>
      <c r="V1852">
        <v>1</v>
      </c>
      <c r="W1852" t="s">
        <v>453</v>
      </c>
    </row>
    <row r="1853" spans="1:23" x14ac:dyDescent="0.25">
      <c r="H1853" t="s">
        <v>3371</v>
      </c>
    </row>
    <row r="1854" spans="1:23" x14ac:dyDescent="0.25">
      <c r="A1854">
        <v>924</v>
      </c>
      <c r="B1854">
        <v>2277</v>
      </c>
      <c r="C1854" t="s">
        <v>171</v>
      </c>
      <c r="D1854" t="s">
        <v>3372</v>
      </c>
      <c r="E1854" t="s">
        <v>284</v>
      </c>
      <c r="F1854" t="s">
        <v>3373</v>
      </c>
      <c r="G1854" t="str">
        <f>"201106000053"</f>
        <v>201106000053</v>
      </c>
      <c r="H1854" t="s">
        <v>453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0</v>
      </c>
      <c r="S1854">
        <v>0</v>
      </c>
      <c r="V1854">
        <v>1</v>
      </c>
      <c r="W1854" t="s">
        <v>453</v>
      </c>
    </row>
    <row r="1855" spans="1:23" x14ac:dyDescent="0.25">
      <c r="H1855" t="s">
        <v>3374</v>
      </c>
    </row>
    <row r="1856" spans="1:23" x14ac:dyDescent="0.25">
      <c r="A1856">
        <v>925</v>
      </c>
      <c r="B1856">
        <v>991</v>
      </c>
      <c r="C1856" t="s">
        <v>189</v>
      </c>
      <c r="D1856" t="s">
        <v>51</v>
      </c>
      <c r="E1856" t="s">
        <v>158</v>
      </c>
      <c r="F1856" t="s">
        <v>3375</v>
      </c>
      <c r="G1856" t="str">
        <f>"201511040071"</f>
        <v>201511040071</v>
      </c>
      <c r="H1856" t="s">
        <v>241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0</v>
      </c>
      <c r="P1856">
        <v>0</v>
      </c>
      <c r="Q1856">
        <v>0</v>
      </c>
      <c r="R1856">
        <v>0</v>
      </c>
      <c r="S1856">
        <v>0</v>
      </c>
      <c r="V1856">
        <v>3</v>
      </c>
      <c r="W1856" t="s">
        <v>241</v>
      </c>
    </row>
    <row r="1857" spans="1:23" x14ac:dyDescent="0.25">
      <c r="H1857" t="s">
        <v>3376</v>
      </c>
    </row>
    <row r="1858" spans="1:23" x14ac:dyDescent="0.25">
      <c r="A1858">
        <v>926</v>
      </c>
      <c r="B1858">
        <v>6366</v>
      </c>
      <c r="C1858" t="s">
        <v>3377</v>
      </c>
      <c r="D1858" t="s">
        <v>513</v>
      </c>
      <c r="E1858" t="s">
        <v>298</v>
      </c>
      <c r="F1858" t="s">
        <v>3378</v>
      </c>
      <c r="G1858" t="str">
        <f>"201511016048"</f>
        <v>201511016048</v>
      </c>
      <c r="H1858" t="s">
        <v>3379</v>
      </c>
      <c r="I1858">
        <v>150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8</v>
      </c>
      <c r="S1858">
        <v>56</v>
      </c>
      <c r="V1858">
        <v>1</v>
      </c>
      <c r="W1858" t="s">
        <v>3380</v>
      </c>
    </row>
    <row r="1859" spans="1:23" x14ac:dyDescent="0.25">
      <c r="H1859" t="s">
        <v>3381</v>
      </c>
    </row>
    <row r="1860" spans="1:23" x14ac:dyDescent="0.25">
      <c r="A1860">
        <v>927</v>
      </c>
      <c r="B1860">
        <v>8740</v>
      </c>
      <c r="C1860" t="s">
        <v>3382</v>
      </c>
      <c r="D1860" t="s">
        <v>56</v>
      </c>
      <c r="E1860" t="s">
        <v>97</v>
      </c>
      <c r="F1860" t="s">
        <v>3383</v>
      </c>
      <c r="G1860" t="str">
        <f>"201511025067"</f>
        <v>201511025067</v>
      </c>
      <c r="H1860" t="s">
        <v>535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18</v>
      </c>
      <c r="S1860">
        <v>126</v>
      </c>
      <c r="V1860">
        <v>1</v>
      </c>
      <c r="W1860" t="s">
        <v>3384</v>
      </c>
    </row>
    <row r="1861" spans="1:23" x14ac:dyDescent="0.25">
      <c r="H1861" t="s">
        <v>3385</v>
      </c>
    </row>
    <row r="1862" spans="1:23" x14ac:dyDescent="0.25">
      <c r="A1862">
        <v>928</v>
      </c>
      <c r="B1862">
        <v>7986</v>
      </c>
      <c r="C1862" t="s">
        <v>3386</v>
      </c>
      <c r="D1862" t="s">
        <v>190</v>
      </c>
      <c r="E1862" t="s">
        <v>184</v>
      </c>
      <c r="F1862" t="s">
        <v>3387</v>
      </c>
      <c r="G1862" t="str">
        <f>"201511023878"</f>
        <v>201511023878</v>
      </c>
      <c r="H1862">
        <v>847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  <c r="Q1862">
        <v>0</v>
      </c>
      <c r="R1862">
        <v>0</v>
      </c>
      <c r="S1862">
        <v>0</v>
      </c>
      <c r="V1862">
        <v>1</v>
      </c>
      <c r="W1862">
        <v>847</v>
      </c>
    </row>
    <row r="1863" spans="1:23" x14ac:dyDescent="0.25">
      <c r="H1863" t="s">
        <v>3388</v>
      </c>
    </row>
    <row r="1864" spans="1:23" x14ac:dyDescent="0.25">
      <c r="A1864">
        <v>929</v>
      </c>
      <c r="B1864">
        <v>1579</v>
      </c>
      <c r="C1864" t="s">
        <v>3389</v>
      </c>
      <c r="D1864" t="s">
        <v>3390</v>
      </c>
      <c r="E1864" t="s">
        <v>154</v>
      </c>
      <c r="F1864" t="s">
        <v>3391</v>
      </c>
      <c r="G1864" t="str">
        <f>"00069447"</f>
        <v>00069447</v>
      </c>
      <c r="H1864">
        <v>847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S1864">
        <v>0</v>
      </c>
      <c r="V1864">
        <v>1</v>
      </c>
      <c r="W1864">
        <v>847</v>
      </c>
    </row>
    <row r="1865" spans="1:23" x14ac:dyDescent="0.25">
      <c r="H1865" t="s">
        <v>3392</v>
      </c>
    </row>
    <row r="1866" spans="1:23" x14ac:dyDescent="0.25">
      <c r="A1866">
        <v>930</v>
      </c>
      <c r="B1866">
        <v>3396</v>
      </c>
      <c r="C1866" t="s">
        <v>3393</v>
      </c>
      <c r="D1866" t="s">
        <v>96</v>
      </c>
      <c r="E1866" t="s">
        <v>45</v>
      </c>
      <c r="F1866" t="s">
        <v>3394</v>
      </c>
      <c r="G1866" t="str">
        <f>"201511038441"</f>
        <v>201511038441</v>
      </c>
      <c r="H1866" t="s">
        <v>3395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5</v>
      </c>
      <c r="S1866">
        <v>35</v>
      </c>
      <c r="V1866">
        <v>1</v>
      </c>
      <c r="W1866" t="s">
        <v>3396</v>
      </c>
    </row>
    <row r="1867" spans="1:23" x14ac:dyDescent="0.25">
      <c r="H1867" t="s">
        <v>3397</v>
      </c>
    </row>
    <row r="1868" spans="1:23" x14ac:dyDescent="0.25">
      <c r="A1868">
        <v>931</v>
      </c>
      <c r="B1868">
        <v>2952</v>
      </c>
      <c r="C1868" t="s">
        <v>2568</v>
      </c>
      <c r="D1868" t="s">
        <v>37</v>
      </c>
      <c r="E1868" t="s">
        <v>80</v>
      </c>
      <c r="F1868" t="s">
        <v>3398</v>
      </c>
      <c r="G1868" t="str">
        <f>"201507001201"</f>
        <v>201507001201</v>
      </c>
      <c r="H1868" t="s">
        <v>592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  <c r="Q1868">
        <v>0</v>
      </c>
      <c r="R1868">
        <v>0</v>
      </c>
      <c r="S1868">
        <v>0</v>
      </c>
      <c r="V1868">
        <v>1</v>
      </c>
      <c r="W1868" t="s">
        <v>592</v>
      </c>
    </row>
    <row r="1869" spans="1:23" x14ac:dyDescent="0.25">
      <c r="H1869" t="s">
        <v>3399</v>
      </c>
    </row>
    <row r="1870" spans="1:23" x14ac:dyDescent="0.25">
      <c r="A1870">
        <v>932</v>
      </c>
      <c r="B1870">
        <v>7855</v>
      </c>
      <c r="C1870" t="s">
        <v>3400</v>
      </c>
      <c r="D1870" t="s">
        <v>351</v>
      </c>
      <c r="E1870" t="s">
        <v>154</v>
      </c>
      <c r="F1870" t="s">
        <v>3401</v>
      </c>
      <c r="G1870" t="str">
        <f>"00022348"</f>
        <v>00022348</v>
      </c>
      <c r="H1870">
        <v>803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6</v>
      </c>
      <c r="S1870">
        <v>42</v>
      </c>
      <c r="V1870">
        <v>1</v>
      </c>
      <c r="W1870">
        <v>845</v>
      </c>
    </row>
    <row r="1871" spans="1:23" x14ac:dyDescent="0.25">
      <c r="H1871" t="s">
        <v>3402</v>
      </c>
    </row>
    <row r="1872" spans="1:23" x14ac:dyDescent="0.25">
      <c r="A1872">
        <v>933</v>
      </c>
      <c r="B1872">
        <v>5776</v>
      </c>
      <c r="C1872" t="s">
        <v>3403</v>
      </c>
      <c r="D1872" t="s">
        <v>3404</v>
      </c>
      <c r="E1872" t="s">
        <v>284</v>
      </c>
      <c r="F1872" t="s">
        <v>3405</v>
      </c>
      <c r="G1872" t="str">
        <f>"201511034083"</f>
        <v>201511034083</v>
      </c>
      <c r="H1872" t="s">
        <v>1217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0</v>
      </c>
      <c r="S1872">
        <v>0</v>
      </c>
      <c r="V1872">
        <v>3</v>
      </c>
      <c r="W1872" t="s">
        <v>1217</v>
      </c>
    </row>
    <row r="1873" spans="1:23" x14ac:dyDescent="0.25">
      <c r="H1873" t="s">
        <v>3406</v>
      </c>
    </row>
    <row r="1874" spans="1:23" x14ac:dyDescent="0.25">
      <c r="A1874">
        <v>934</v>
      </c>
      <c r="B1874">
        <v>1852</v>
      </c>
      <c r="C1874" t="s">
        <v>3407</v>
      </c>
      <c r="D1874" t="s">
        <v>51</v>
      </c>
      <c r="E1874" t="s">
        <v>184</v>
      </c>
      <c r="F1874" t="s">
        <v>3408</v>
      </c>
      <c r="G1874" t="str">
        <f>"00069976"</f>
        <v>00069976</v>
      </c>
      <c r="H1874" t="s">
        <v>820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0</v>
      </c>
      <c r="P1874">
        <v>0</v>
      </c>
      <c r="Q1874">
        <v>0</v>
      </c>
      <c r="R1874">
        <v>0</v>
      </c>
      <c r="S1874">
        <v>0</v>
      </c>
      <c r="V1874">
        <v>3</v>
      </c>
      <c r="W1874" t="s">
        <v>820</v>
      </c>
    </row>
    <row r="1875" spans="1:23" x14ac:dyDescent="0.25">
      <c r="H1875" t="s">
        <v>310</v>
      </c>
    </row>
    <row r="1876" spans="1:23" x14ac:dyDescent="0.25">
      <c r="A1876">
        <v>935</v>
      </c>
      <c r="B1876">
        <v>3703</v>
      </c>
      <c r="C1876" t="s">
        <v>3409</v>
      </c>
      <c r="D1876" t="s">
        <v>122</v>
      </c>
      <c r="E1876" t="s">
        <v>37</v>
      </c>
      <c r="F1876" t="s">
        <v>3410</v>
      </c>
      <c r="G1876" t="str">
        <f>"00074271"</f>
        <v>00074271</v>
      </c>
      <c r="H1876" t="s">
        <v>820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0</v>
      </c>
      <c r="P1876">
        <v>0</v>
      </c>
      <c r="Q1876">
        <v>0</v>
      </c>
      <c r="R1876">
        <v>0</v>
      </c>
      <c r="S1876">
        <v>0</v>
      </c>
      <c r="V1876">
        <v>1</v>
      </c>
      <c r="W1876" t="s">
        <v>820</v>
      </c>
    </row>
    <row r="1877" spans="1:23" x14ac:dyDescent="0.25">
      <c r="H1877" t="s">
        <v>3411</v>
      </c>
    </row>
    <row r="1878" spans="1:23" x14ac:dyDescent="0.25">
      <c r="A1878">
        <v>936</v>
      </c>
      <c r="B1878">
        <v>7691</v>
      </c>
      <c r="C1878" t="s">
        <v>3412</v>
      </c>
      <c r="D1878" t="s">
        <v>3413</v>
      </c>
      <c r="E1878" t="s">
        <v>474</v>
      </c>
      <c r="F1878" t="s">
        <v>3414</v>
      </c>
      <c r="G1878" t="str">
        <f>"201511030315"</f>
        <v>201511030315</v>
      </c>
      <c r="H1878" t="s">
        <v>820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0</v>
      </c>
      <c r="S1878">
        <v>0</v>
      </c>
      <c r="V1878">
        <v>1</v>
      </c>
      <c r="W1878" t="s">
        <v>820</v>
      </c>
    </row>
    <row r="1879" spans="1:23" x14ac:dyDescent="0.25">
      <c r="H1879" t="s">
        <v>3415</v>
      </c>
    </row>
    <row r="1880" spans="1:23" x14ac:dyDescent="0.25">
      <c r="A1880">
        <v>937</v>
      </c>
      <c r="B1880">
        <v>6699</v>
      </c>
      <c r="C1880" t="s">
        <v>3416</v>
      </c>
      <c r="D1880" t="s">
        <v>3417</v>
      </c>
      <c r="E1880" t="s">
        <v>37</v>
      </c>
      <c r="F1880" t="s">
        <v>3418</v>
      </c>
      <c r="G1880" t="str">
        <f>"00069161"</f>
        <v>00069161</v>
      </c>
      <c r="H1880" t="s">
        <v>820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0</v>
      </c>
      <c r="S1880">
        <v>0</v>
      </c>
      <c r="V1880">
        <v>1</v>
      </c>
      <c r="W1880" t="s">
        <v>820</v>
      </c>
    </row>
    <row r="1881" spans="1:23" x14ac:dyDescent="0.25">
      <c r="H1881" t="s">
        <v>3419</v>
      </c>
    </row>
    <row r="1882" spans="1:23" x14ac:dyDescent="0.25">
      <c r="A1882">
        <v>938</v>
      </c>
      <c r="B1882">
        <v>5602</v>
      </c>
      <c r="C1882" t="s">
        <v>3420</v>
      </c>
      <c r="D1882" t="s">
        <v>275</v>
      </c>
      <c r="E1882" t="s">
        <v>20</v>
      </c>
      <c r="F1882" t="s">
        <v>3421</v>
      </c>
      <c r="G1882" t="str">
        <f>"201511032169"</f>
        <v>201511032169</v>
      </c>
      <c r="H1882" t="s">
        <v>3422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28</v>
      </c>
      <c r="S1882">
        <v>196</v>
      </c>
      <c r="V1882">
        <v>1</v>
      </c>
      <c r="W1882" t="s">
        <v>3423</v>
      </c>
    </row>
    <row r="1883" spans="1:23" x14ac:dyDescent="0.25">
      <c r="H1883" t="s">
        <v>3424</v>
      </c>
    </row>
    <row r="1884" spans="1:23" x14ac:dyDescent="0.25">
      <c r="A1884">
        <v>939</v>
      </c>
      <c r="B1884">
        <v>3400</v>
      </c>
      <c r="C1884" t="s">
        <v>734</v>
      </c>
      <c r="D1884" t="s">
        <v>158</v>
      </c>
      <c r="E1884" t="s">
        <v>52</v>
      </c>
      <c r="F1884" t="s">
        <v>3425</v>
      </c>
      <c r="G1884" t="str">
        <f>"201511024403"</f>
        <v>201511024403</v>
      </c>
      <c r="H1884" t="s">
        <v>264</v>
      </c>
      <c r="I1884">
        <v>0</v>
      </c>
      <c r="J1884">
        <v>30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0</v>
      </c>
      <c r="R1884">
        <v>0</v>
      </c>
      <c r="S1884">
        <v>0</v>
      </c>
      <c r="V1884">
        <v>1</v>
      </c>
      <c r="W1884" t="s">
        <v>3426</v>
      </c>
    </row>
    <row r="1885" spans="1:23" x14ac:dyDescent="0.25">
      <c r="H1885" t="s">
        <v>3427</v>
      </c>
    </row>
    <row r="1886" spans="1:23" x14ac:dyDescent="0.25">
      <c r="A1886">
        <v>940</v>
      </c>
      <c r="B1886">
        <v>5763</v>
      </c>
      <c r="C1886" t="s">
        <v>3428</v>
      </c>
      <c r="D1886" t="s">
        <v>3429</v>
      </c>
      <c r="E1886" t="s">
        <v>3430</v>
      </c>
      <c r="F1886" t="s">
        <v>3431</v>
      </c>
      <c r="G1886" t="str">
        <f>"00020619"</f>
        <v>00020619</v>
      </c>
      <c r="H1886" t="s">
        <v>3432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0</v>
      </c>
      <c r="R1886">
        <v>12</v>
      </c>
      <c r="S1886">
        <v>84</v>
      </c>
      <c r="V1886">
        <v>3</v>
      </c>
      <c r="W1886" t="s">
        <v>3433</v>
      </c>
    </row>
    <row r="1887" spans="1:23" x14ac:dyDescent="0.25">
      <c r="H1887">
        <v>815</v>
      </c>
    </row>
    <row r="1888" spans="1:23" x14ac:dyDescent="0.25">
      <c r="A1888">
        <v>941</v>
      </c>
      <c r="B1888">
        <v>9009</v>
      </c>
      <c r="C1888" t="s">
        <v>3434</v>
      </c>
      <c r="D1888" t="s">
        <v>729</v>
      </c>
      <c r="E1888" t="s">
        <v>158</v>
      </c>
      <c r="F1888" t="s">
        <v>3435</v>
      </c>
      <c r="G1888" t="str">
        <f>"00025560"</f>
        <v>00025560</v>
      </c>
      <c r="H1888" t="s">
        <v>3436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0</v>
      </c>
      <c r="P1888">
        <v>0</v>
      </c>
      <c r="Q1888">
        <v>0</v>
      </c>
      <c r="R1888">
        <v>0</v>
      </c>
      <c r="S1888">
        <v>0</v>
      </c>
      <c r="V1888">
        <v>1</v>
      </c>
      <c r="W1888" t="s">
        <v>3436</v>
      </c>
    </row>
    <row r="1889" spans="1:23" x14ac:dyDescent="0.25">
      <c r="H1889" t="s">
        <v>3437</v>
      </c>
    </row>
    <row r="1890" spans="1:23" x14ac:dyDescent="0.25">
      <c r="A1890">
        <v>942</v>
      </c>
      <c r="B1890">
        <v>2030</v>
      </c>
      <c r="C1890" t="s">
        <v>1736</v>
      </c>
      <c r="D1890" t="s">
        <v>3438</v>
      </c>
      <c r="E1890" t="s">
        <v>20</v>
      </c>
      <c r="F1890" t="s">
        <v>3439</v>
      </c>
      <c r="G1890" t="str">
        <f>"201511039520"</f>
        <v>201511039520</v>
      </c>
      <c r="H1890">
        <v>836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0</v>
      </c>
      <c r="S1890">
        <v>0</v>
      </c>
      <c r="V1890">
        <v>1</v>
      </c>
      <c r="W1890">
        <v>836</v>
      </c>
    </row>
    <row r="1891" spans="1:23" x14ac:dyDescent="0.25">
      <c r="H1891" t="s">
        <v>3440</v>
      </c>
    </row>
    <row r="1892" spans="1:23" x14ac:dyDescent="0.25">
      <c r="A1892">
        <v>943</v>
      </c>
      <c r="B1892">
        <v>6343</v>
      </c>
      <c r="C1892" t="s">
        <v>1005</v>
      </c>
      <c r="D1892" t="s">
        <v>351</v>
      </c>
      <c r="E1892" t="s">
        <v>62</v>
      </c>
      <c r="F1892" t="s">
        <v>3441</v>
      </c>
      <c r="G1892" t="str">
        <f>"00073003"</f>
        <v>00073003</v>
      </c>
      <c r="H1892">
        <v>836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0</v>
      </c>
      <c r="P1892">
        <v>0</v>
      </c>
      <c r="Q1892">
        <v>0</v>
      </c>
      <c r="R1892">
        <v>0</v>
      </c>
      <c r="S1892">
        <v>0</v>
      </c>
      <c r="V1892">
        <v>1</v>
      </c>
      <c r="W1892">
        <v>836</v>
      </c>
    </row>
    <row r="1893" spans="1:23" x14ac:dyDescent="0.25">
      <c r="H1893" t="s">
        <v>3442</v>
      </c>
    </row>
    <row r="1894" spans="1:23" x14ac:dyDescent="0.25">
      <c r="A1894">
        <v>944</v>
      </c>
      <c r="B1894">
        <v>5761</v>
      </c>
      <c r="C1894" t="s">
        <v>3443</v>
      </c>
      <c r="D1894" t="s">
        <v>202</v>
      </c>
      <c r="E1894" t="s">
        <v>276</v>
      </c>
      <c r="F1894" t="s">
        <v>3444</v>
      </c>
      <c r="G1894" t="str">
        <f>"00045825"</f>
        <v>00045825</v>
      </c>
      <c r="H1894">
        <v>836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0</v>
      </c>
      <c r="S1894">
        <v>0</v>
      </c>
      <c r="V1894">
        <v>1</v>
      </c>
      <c r="W1894">
        <v>836</v>
      </c>
    </row>
    <row r="1895" spans="1:23" x14ac:dyDescent="0.25">
      <c r="H1895" t="s">
        <v>3445</v>
      </c>
    </row>
    <row r="1896" spans="1:23" x14ac:dyDescent="0.25">
      <c r="A1896">
        <v>945</v>
      </c>
      <c r="B1896">
        <v>10417</v>
      </c>
      <c r="C1896" t="s">
        <v>1430</v>
      </c>
      <c r="D1896" t="s">
        <v>1431</v>
      </c>
      <c r="E1896" t="s">
        <v>37</v>
      </c>
      <c r="F1896" t="s">
        <v>1432</v>
      </c>
      <c r="G1896" t="str">
        <f>"00045402"</f>
        <v>00045402</v>
      </c>
      <c r="H1896">
        <v>803</v>
      </c>
      <c r="I1896">
        <v>0</v>
      </c>
      <c r="J1896">
        <v>30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0</v>
      </c>
      <c r="S1896">
        <v>0</v>
      </c>
      <c r="V1896">
        <v>1</v>
      </c>
      <c r="W1896">
        <v>833</v>
      </c>
    </row>
    <row r="1897" spans="1:23" x14ac:dyDescent="0.25">
      <c r="H1897" t="s">
        <v>1433</v>
      </c>
    </row>
    <row r="1898" spans="1:23" x14ac:dyDescent="0.25">
      <c r="A1898">
        <v>946</v>
      </c>
      <c r="B1898">
        <v>10462</v>
      </c>
      <c r="C1898" t="s">
        <v>3446</v>
      </c>
      <c r="D1898" t="s">
        <v>1192</v>
      </c>
      <c r="E1898" t="s">
        <v>37</v>
      </c>
      <c r="F1898" t="s">
        <v>3447</v>
      </c>
      <c r="G1898" t="str">
        <f>"201511040822"</f>
        <v>201511040822</v>
      </c>
      <c r="H1898">
        <v>770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0</v>
      </c>
      <c r="Q1898">
        <v>0</v>
      </c>
      <c r="R1898">
        <v>9</v>
      </c>
      <c r="S1898">
        <v>63</v>
      </c>
      <c r="V1898">
        <v>3</v>
      </c>
      <c r="W1898">
        <v>833</v>
      </c>
    </row>
    <row r="1899" spans="1:23" x14ac:dyDescent="0.25">
      <c r="H1899" t="s">
        <v>3448</v>
      </c>
    </row>
    <row r="1900" spans="1:23" x14ac:dyDescent="0.25">
      <c r="A1900">
        <v>947</v>
      </c>
      <c r="B1900">
        <v>9156</v>
      </c>
      <c r="C1900" t="s">
        <v>3449</v>
      </c>
      <c r="D1900" t="s">
        <v>108</v>
      </c>
      <c r="E1900" t="s">
        <v>56</v>
      </c>
      <c r="F1900" t="s">
        <v>3450</v>
      </c>
      <c r="G1900" t="str">
        <f>"201511015701"</f>
        <v>201511015701</v>
      </c>
      <c r="H1900" t="s">
        <v>1008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0</v>
      </c>
      <c r="Q1900">
        <v>0</v>
      </c>
      <c r="R1900">
        <v>0</v>
      </c>
      <c r="S1900">
        <v>0</v>
      </c>
      <c r="V1900">
        <v>1</v>
      </c>
      <c r="W1900" t="s">
        <v>1008</v>
      </c>
    </row>
    <row r="1901" spans="1:23" x14ac:dyDescent="0.25">
      <c r="H1901" t="s">
        <v>3451</v>
      </c>
    </row>
    <row r="1902" spans="1:23" x14ac:dyDescent="0.25">
      <c r="A1902">
        <v>948</v>
      </c>
      <c r="B1902">
        <v>8163</v>
      </c>
      <c r="C1902" t="s">
        <v>3452</v>
      </c>
      <c r="D1902" t="s">
        <v>57</v>
      </c>
      <c r="E1902" t="s">
        <v>327</v>
      </c>
      <c r="F1902" t="s">
        <v>3453</v>
      </c>
      <c r="G1902" t="str">
        <f>"201511029446"</f>
        <v>201511029446</v>
      </c>
      <c r="H1902" t="s">
        <v>1008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0</v>
      </c>
      <c r="P1902">
        <v>0</v>
      </c>
      <c r="Q1902">
        <v>0</v>
      </c>
      <c r="R1902">
        <v>0</v>
      </c>
      <c r="S1902">
        <v>0</v>
      </c>
      <c r="V1902">
        <v>1</v>
      </c>
      <c r="W1902" t="s">
        <v>1008</v>
      </c>
    </row>
    <row r="1903" spans="1:23" x14ac:dyDescent="0.25">
      <c r="H1903" t="s">
        <v>3454</v>
      </c>
    </row>
    <row r="1904" spans="1:23" x14ac:dyDescent="0.25">
      <c r="A1904">
        <v>949</v>
      </c>
      <c r="B1904">
        <v>5656</v>
      </c>
      <c r="C1904" t="s">
        <v>3455</v>
      </c>
      <c r="D1904" t="s">
        <v>275</v>
      </c>
      <c r="E1904" t="s">
        <v>276</v>
      </c>
      <c r="F1904" t="s">
        <v>3456</v>
      </c>
      <c r="G1904" t="str">
        <f>"00020999"</f>
        <v>00020999</v>
      </c>
      <c r="H1904" t="s">
        <v>1008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0</v>
      </c>
      <c r="S1904">
        <v>0</v>
      </c>
      <c r="V1904">
        <v>1</v>
      </c>
      <c r="W1904" t="s">
        <v>1008</v>
      </c>
    </row>
    <row r="1905" spans="1:23" x14ac:dyDescent="0.25">
      <c r="H1905" t="s">
        <v>3457</v>
      </c>
    </row>
    <row r="1906" spans="1:23" x14ac:dyDescent="0.25">
      <c r="A1906">
        <v>950</v>
      </c>
      <c r="B1906">
        <v>5631</v>
      </c>
      <c r="C1906" t="s">
        <v>1579</v>
      </c>
      <c r="D1906" t="s">
        <v>686</v>
      </c>
      <c r="E1906" t="s">
        <v>229</v>
      </c>
      <c r="F1906" t="s">
        <v>3458</v>
      </c>
      <c r="G1906" t="str">
        <f>"201511041693"</f>
        <v>201511041693</v>
      </c>
      <c r="H1906" t="s">
        <v>3459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0</v>
      </c>
      <c r="S1906">
        <v>0</v>
      </c>
      <c r="V1906">
        <v>1</v>
      </c>
      <c r="W1906" t="s">
        <v>3459</v>
      </c>
    </row>
    <row r="1907" spans="1:23" x14ac:dyDescent="0.25">
      <c r="H1907" t="s">
        <v>3460</v>
      </c>
    </row>
    <row r="1908" spans="1:23" x14ac:dyDescent="0.25">
      <c r="A1908">
        <v>951</v>
      </c>
      <c r="B1908">
        <v>463</v>
      </c>
      <c r="C1908" t="s">
        <v>2572</v>
      </c>
      <c r="D1908" t="s">
        <v>23</v>
      </c>
      <c r="E1908" t="s">
        <v>374</v>
      </c>
      <c r="F1908" t="s">
        <v>2573</v>
      </c>
      <c r="G1908" t="str">
        <f>"201511031019"</f>
        <v>201511031019</v>
      </c>
      <c r="H1908">
        <v>825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0</v>
      </c>
      <c r="S1908">
        <v>0</v>
      </c>
      <c r="V1908">
        <v>1</v>
      </c>
      <c r="W1908">
        <v>825</v>
      </c>
    </row>
    <row r="1909" spans="1:23" x14ac:dyDescent="0.25">
      <c r="H1909" t="s">
        <v>2574</v>
      </c>
    </row>
    <row r="1910" spans="1:23" x14ac:dyDescent="0.25">
      <c r="A1910">
        <v>952</v>
      </c>
      <c r="B1910">
        <v>8893</v>
      </c>
      <c r="C1910" t="s">
        <v>3461</v>
      </c>
      <c r="D1910" t="s">
        <v>190</v>
      </c>
      <c r="E1910" t="s">
        <v>20</v>
      </c>
      <c r="F1910" t="s">
        <v>3462</v>
      </c>
      <c r="G1910" t="str">
        <f>"00093287"</f>
        <v>00093287</v>
      </c>
      <c r="H1910">
        <v>825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0</v>
      </c>
      <c r="P1910">
        <v>0</v>
      </c>
      <c r="Q1910">
        <v>0</v>
      </c>
      <c r="R1910">
        <v>0</v>
      </c>
      <c r="S1910">
        <v>0</v>
      </c>
      <c r="V1910">
        <v>3</v>
      </c>
      <c r="W1910">
        <v>825</v>
      </c>
    </row>
    <row r="1911" spans="1:23" x14ac:dyDescent="0.25">
      <c r="H1911" t="s">
        <v>3463</v>
      </c>
    </row>
    <row r="1912" spans="1:23" x14ac:dyDescent="0.25">
      <c r="A1912">
        <v>953</v>
      </c>
      <c r="B1912">
        <v>10501</v>
      </c>
      <c r="C1912" t="s">
        <v>3464</v>
      </c>
      <c r="D1912" t="s">
        <v>3465</v>
      </c>
      <c r="E1912" t="s">
        <v>298</v>
      </c>
      <c r="F1912" t="s">
        <v>3466</v>
      </c>
      <c r="G1912" t="str">
        <f>"00018305"</f>
        <v>00018305</v>
      </c>
      <c r="H1912">
        <v>825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0</v>
      </c>
      <c r="P1912">
        <v>0</v>
      </c>
      <c r="Q1912">
        <v>0</v>
      </c>
      <c r="R1912">
        <v>0</v>
      </c>
      <c r="S1912">
        <v>0</v>
      </c>
      <c r="V1912">
        <v>1</v>
      </c>
      <c r="W1912">
        <v>825</v>
      </c>
    </row>
    <row r="1913" spans="1:23" x14ac:dyDescent="0.25">
      <c r="H1913" t="s">
        <v>3467</v>
      </c>
    </row>
    <row r="1914" spans="1:23" x14ac:dyDescent="0.25">
      <c r="A1914">
        <v>954</v>
      </c>
      <c r="B1914">
        <v>3689</v>
      </c>
      <c r="C1914" t="s">
        <v>3468</v>
      </c>
      <c r="D1914" t="s">
        <v>382</v>
      </c>
      <c r="E1914" t="s">
        <v>52</v>
      </c>
      <c r="F1914" t="s">
        <v>3469</v>
      </c>
      <c r="G1914" t="str">
        <f>"201512000139"</f>
        <v>201512000139</v>
      </c>
      <c r="H1914">
        <v>825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0</v>
      </c>
      <c r="S1914">
        <v>0</v>
      </c>
      <c r="V1914">
        <v>1</v>
      </c>
      <c r="W1914">
        <v>825</v>
      </c>
    </row>
    <row r="1915" spans="1:23" x14ac:dyDescent="0.25">
      <c r="H1915" t="s">
        <v>3470</v>
      </c>
    </row>
    <row r="1916" spans="1:23" x14ac:dyDescent="0.25">
      <c r="A1916">
        <v>955</v>
      </c>
      <c r="B1916">
        <v>2740</v>
      </c>
      <c r="C1916" t="s">
        <v>3471</v>
      </c>
      <c r="D1916" t="s">
        <v>104</v>
      </c>
      <c r="E1916" t="s">
        <v>3472</v>
      </c>
      <c r="F1916" t="s">
        <v>3473</v>
      </c>
      <c r="G1916" t="str">
        <f>"201511039732"</f>
        <v>201511039732</v>
      </c>
      <c r="H1916">
        <v>825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0</v>
      </c>
      <c r="R1916">
        <v>0</v>
      </c>
      <c r="S1916">
        <v>0</v>
      </c>
      <c r="V1916">
        <v>1</v>
      </c>
      <c r="W1916">
        <v>825</v>
      </c>
    </row>
    <row r="1917" spans="1:23" x14ac:dyDescent="0.25">
      <c r="H1917" t="s">
        <v>3474</v>
      </c>
    </row>
    <row r="1918" spans="1:23" x14ac:dyDescent="0.25">
      <c r="A1918">
        <v>956</v>
      </c>
      <c r="B1918">
        <v>3806</v>
      </c>
      <c r="C1918" t="s">
        <v>3475</v>
      </c>
      <c r="D1918" t="s">
        <v>96</v>
      </c>
      <c r="E1918" t="s">
        <v>158</v>
      </c>
      <c r="F1918" t="s">
        <v>3476</v>
      </c>
      <c r="G1918" t="str">
        <f>"00019419"</f>
        <v>00019419</v>
      </c>
      <c r="H1918">
        <v>825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0</v>
      </c>
      <c r="S1918">
        <v>0</v>
      </c>
      <c r="V1918">
        <v>1</v>
      </c>
      <c r="W1918">
        <v>825</v>
      </c>
    </row>
    <row r="1919" spans="1:23" x14ac:dyDescent="0.25">
      <c r="H1919" t="s">
        <v>3477</v>
      </c>
    </row>
    <row r="1920" spans="1:23" x14ac:dyDescent="0.25">
      <c r="A1920">
        <v>957</v>
      </c>
      <c r="B1920">
        <v>8784</v>
      </c>
      <c r="C1920" t="s">
        <v>3478</v>
      </c>
      <c r="D1920" t="s">
        <v>1827</v>
      </c>
      <c r="E1920" t="s">
        <v>20</v>
      </c>
      <c r="F1920" t="s">
        <v>3479</v>
      </c>
      <c r="G1920" t="str">
        <f>"201512002391"</f>
        <v>201512002391</v>
      </c>
      <c r="H1920">
        <v>825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S1920">
        <v>0</v>
      </c>
      <c r="V1920">
        <v>1</v>
      </c>
      <c r="W1920">
        <v>825</v>
      </c>
    </row>
    <row r="1921" spans="1:23" x14ac:dyDescent="0.25">
      <c r="H1921" t="s">
        <v>3480</v>
      </c>
    </row>
    <row r="1922" spans="1:23" x14ac:dyDescent="0.25">
      <c r="A1922">
        <v>958</v>
      </c>
      <c r="B1922">
        <v>8738</v>
      </c>
      <c r="C1922" t="s">
        <v>3481</v>
      </c>
      <c r="D1922" t="s">
        <v>153</v>
      </c>
      <c r="E1922" t="s">
        <v>154</v>
      </c>
      <c r="F1922" t="s">
        <v>3482</v>
      </c>
      <c r="G1922" t="str">
        <f>"201511005187"</f>
        <v>201511005187</v>
      </c>
      <c r="H1922">
        <v>825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0</v>
      </c>
      <c r="P1922">
        <v>0</v>
      </c>
      <c r="Q1922">
        <v>0</v>
      </c>
      <c r="V1922">
        <v>1</v>
      </c>
      <c r="W1922">
        <v>825</v>
      </c>
    </row>
    <row r="1923" spans="1:23" x14ac:dyDescent="0.25">
      <c r="H1923" t="s">
        <v>3483</v>
      </c>
    </row>
    <row r="1924" spans="1:23" x14ac:dyDescent="0.25">
      <c r="A1924">
        <v>959</v>
      </c>
      <c r="B1924">
        <v>8738</v>
      </c>
      <c r="C1924" t="s">
        <v>3481</v>
      </c>
      <c r="D1924" t="s">
        <v>153</v>
      </c>
      <c r="E1924" t="s">
        <v>154</v>
      </c>
      <c r="F1924" t="s">
        <v>3482</v>
      </c>
      <c r="G1924" t="str">
        <f>"201511005187"</f>
        <v>201511005187</v>
      </c>
      <c r="H1924">
        <v>825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0</v>
      </c>
      <c r="S1924">
        <v>0</v>
      </c>
      <c r="V1924">
        <v>1</v>
      </c>
      <c r="W1924">
        <v>825</v>
      </c>
    </row>
    <row r="1925" spans="1:23" x14ac:dyDescent="0.25">
      <c r="H1925" t="s">
        <v>3483</v>
      </c>
    </row>
    <row r="1926" spans="1:23" x14ac:dyDescent="0.25">
      <c r="A1926">
        <v>960</v>
      </c>
      <c r="B1926">
        <v>5569</v>
      </c>
      <c r="C1926" t="s">
        <v>3484</v>
      </c>
      <c r="D1926" t="s">
        <v>103</v>
      </c>
      <c r="E1926" t="s">
        <v>154</v>
      </c>
      <c r="F1926" t="s">
        <v>3485</v>
      </c>
      <c r="G1926" t="str">
        <f>"00094751"</f>
        <v>00094751</v>
      </c>
      <c r="H1926">
        <v>792</v>
      </c>
      <c r="I1926">
        <v>0</v>
      </c>
      <c r="J1926">
        <v>30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S1926">
        <v>0</v>
      </c>
      <c r="V1926">
        <v>1</v>
      </c>
      <c r="W1926">
        <v>822</v>
      </c>
    </row>
    <row r="1927" spans="1:23" x14ac:dyDescent="0.25">
      <c r="H1927" t="s">
        <v>3486</v>
      </c>
    </row>
    <row r="1928" spans="1:23" x14ac:dyDescent="0.25">
      <c r="A1928">
        <v>961</v>
      </c>
      <c r="B1928">
        <v>4564</v>
      </c>
      <c r="C1928" t="s">
        <v>3487</v>
      </c>
      <c r="D1928" t="s">
        <v>29</v>
      </c>
      <c r="E1928" t="s">
        <v>20</v>
      </c>
      <c r="F1928" t="s">
        <v>3488</v>
      </c>
      <c r="G1928" t="str">
        <f>"201511023726"</f>
        <v>201511023726</v>
      </c>
      <c r="H1928" t="s">
        <v>984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0</v>
      </c>
      <c r="P1928">
        <v>0</v>
      </c>
      <c r="Q1928">
        <v>0</v>
      </c>
      <c r="R1928">
        <v>0</v>
      </c>
      <c r="S1928">
        <v>0</v>
      </c>
      <c r="V1928">
        <v>1</v>
      </c>
      <c r="W1928" t="s">
        <v>984</v>
      </c>
    </row>
    <row r="1929" spans="1:23" x14ac:dyDescent="0.25">
      <c r="H1929" t="s">
        <v>3489</v>
      </c>
    </row>
    <row r="1930" spans="1:23" x14ac:dyDescent="0.25">
      <c r="A1930">
        <v>962</v>
      </c>
      <c r="B1930">
        <v>57</v>
      </c>
      <c r="C1930" t="s">
        <v>3490</v>
      </c>
      <c r="D1930" t="s">
        <v>172</v>
      </c>
      <c r="E1930" t="s">
        <v>1086</v>
      </c>
      <c r="F1930" t="s">
        <v>3491</v>
      </c>
      <c r="G1930" t="str">
        <f>"00025295"</f>
        <v>00025295</v>
      </c>
      <c r="H1930" t="s">
        <v>984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0</v>
      </c>
      <c r="Q1930">
        <v>0</v>
      </c>
      <c r="R1930">
        <v>0</v>
      </c>
      <c r="S1930">
        <v>0</v>
      </c>
      <c r="V1930">
        <v>1</v>
      </c>
      <c r="W1930" t="s">
        <v>984</v>
      </c>
    </row>
    <row r="1931" spans="1:23" x14ac:dyDescent="0.25">
      <c r="H1931" t="s">
        <v>3492</v>
      </c>
    </row>
    <row r="1932" spans="1:23" x14ac:dyDescent="0.25">
      <c r="A1932">
        <v>963</v>
      </c>
      <c r="B1932">
        <v>9577</v>
      </c>
      <c r="C1932" t="s">
        <v>3330</v>
      </c>
      <c r="D1932" t="s">
        <v>61</v>
      </c>
      <c r="E1932" t="s">
        <v>500</v>
      </c>
      <c r="F1932" t="s">
        <v>3331</v>
      </c>
      <c r="G1932" t="str">
        <f>"201511022509"</f>
        <v>201511022509</v>
      </c>
      <c r="H1932" t="s">
        <v>984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S1932">
        <v>0</v>
      </c>
      <c r="V1932">
        <v>1</v>
      </c>
      <c r="W1932" t="s">
        <v>984</v>
      </c>
    </row>
    <row r="1933" spans="1:23" x14ac:dyDescent="0.25">
      <c r="H1933" t="s">
        <v>3333</v>
      </c>
    </row>
    <row r="1934" spans="1:23" x14ac:dyDescent="0.25">
      <c r="A1934">
        <v>964</v>
      </c>
      <c r="B1934">
        <v>7550</v>
      </c>
      <c r="C1934" t="s">
        <v>3493</v>
      </c>
      <c r="D1934" t="s">
        <v>89</v>
      </c>
      <c r="E1934" t="s">
        <v>1686</v>
      </c>
      <c r="F1934" t="s">
        <v>3494</v>
      </c>
      <c r="G1934" t="str">
        <f>"201511007219"</f>
        <v>201511007219</v>
      </c>
      <c r="H1934" t="s">
        <v>3495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0</v>
      </c>
      <c r="P1934">
        <v>0</v>
      </c>
      <c r="Q1934">
        <v>0</v>
      </c>
      <c r="R1934">
        <v>0</v>
      </c>
      <c r="S1934">
        <v>0</v>
      </c>
      <c r="V1934">
        <v>1</v>
      </c>
      <c r="W1934" t="s">
        <v>3495</v>
      </c>
    </row>
    <row r="1935" spans="1:23" x14ac:dyDescent="0.25">
      <c r="H1935" t="s">
        <v>3496</v>
      </c>
    </row>
    <row r="1936" spans="1:23" x14ac:dyDescent="0.25">
      <c r="A1936">
        <v>965</v>
      </c>
      <c r="B1936">
        <v>10315</v>
      </c>
      <c r="C1936" t="s">
        <v>3497</v>
      </c>
      <c r="D1936" t="s">
        <v>351</v>
      </c>
      <c r="E1936" t="s">
        <v>80</v>
      </c>
      <c r="F1936" t="s">
        <v>3498</v>
      </c>
      <c r="G1936" t="str">
        <f>"00049305"</f>
        <v>00049305</v>
      </c>
      <c r="H1936" t="s">
        <v>3495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  <c r="Q1936">
        <v>0</v>
      </c>
      <c r="R1936">
        <v>0</v>
      </c>
      <c r="S1936">
        <v>0</v>
      </c>
      <c r="V1936">
        <v>1</v>
      </c>
      <c r="W1936" t="s">
        <v>3495</v>
      </c>
    </row>
    <row r="1937" spans="1:23" x14ac:dyDescent="0.25">
      <c r="H1937">
        <v>840</v>
      </c>
    </row>
    <row r="1938" spans="1:23" x14ac:dyDescent="0.25">
      <c r="A1938">
        <v>966</v>
      </c>
      <c r="B1938">
        <v>2744</v>
      </c>
      <c r="C1938" t="s">
        <v>3499</v>
      </c>
      <c r="D1938" t="s">
        <v>3500</v>
      </c>
      <c r="E1938" t="s">
        <v>80</v>
      </c>
      <c r="F1938" t="s">
        <v>3501</v>
      </c>
      <c r="G1938" t="str">
        <f>"00046492"</f>
        <v>00046492</v>
      </c>
      <c r="H1938">
        <v>704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16</v>
      </c>
      <c r="S1938">
        <v>112</v>
      </c>
      <c r="V1938">
        <v>1</v>
      </c>
      <c r="W1938">
        <v>816</v>
      </c>
    </row>
    <row r="1939" spans="1:23" x14ac:dyDescent="0.25">
      <c r="H1939" t="s">
        <v>472</v>
      </c>
    </row>
    <row r="1940" spans="1:23" x14ac:dyDescent="0.25">
      <c r="A1940">
        <v>967</v>
      </c>
      <c r="B1940">
        <v>7641</v>
      </c>
      <c r="C1940" t="s">
        <v>3502</v>
      </c>
      <c r="D1940" t="s">
        <v>3503</v>
      </c>
      <c r="E1940" t="s">
        <v>3504</v>
      </c>
      <c r="F1940" t="s">
        <v>3505</v>
      </c>
      <c r="G1940" t="str">
        <f>"201511038500"</f>
        <v>201511038500</v>
      </c>
      <c r="H1940">
        <v>660</v>
      </c>
      <c r="I1940">
        <v>150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0</v>
      </c>
      <c r="P1940">
        <v>0</v>
      </c>
      <c r="Q1940">
        <v>0</v>
      </c>
      <c r="R1940">
        <v>0</v>
      </c>
      <c r="S1940">
        <v>0</v>
      </c>
      <c r="V1940">
        <v>1</v>
      </c>
      <c r="W1940">
        <v>810</v>
      </c>
    </row>
    <row r="1941" spans="1:23" x14ac:dyDescent="0.25">
      <c r="H1941" t="s">
        <v>3506</v>
      </c>
    </row>
    <row r="1942" spans="1:23" x14ac:dyDescent="0.25">
      <c r="A1942">
        <v>968</v>
      </c>
      <c r="B1942">
        <v>4570</v>
      </c>
      <c r="C1942" t="s">
        <v>3507</v>
      </c>
      <c r="D1942" t="s">
        <v>1140</v>
      </c>
      <c r="E1942" t="s">
        <v>15</v>
      </c>
      <c r="F1942" t="s">
        <v>3508</v>
      </c>
      <c r="G1942" t="str">
        <f>"00093524"</f>
        <v>00093524</v>
      </c>
      <c r="H1942" t="s">
        <v>359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5</v>
      </c>
      <c r="S1942">
        <v>35</v>
      </c>
      <c r="V1942">
        <v>1</v>
      </c>
      <c r="W1942" t="s">
        <v>3509</v>
      </c>
    </row>
    <row r="1943" spans="1:23" x14ac:dyDescent="0.25">
      <c r="H1943" t="s">
        <v>3510</v>
      </c>
    </row>
    <row r="1944" spans="1:23" x14ac:dyDescent="0.25">
      <c r="A1944">
        <v>969</v>
      </c>
      <c r="B1944">
        <v>3138</v>
      </c>
      <c r="C1944" t="s">
        <v>3511</v>
      </c>
      <c r="D1944" t="s">
        <v>351</v>
      </c>
      <c r="E1944" t="s">
        <v>3112</v>
      </c>
      <c r="F1944" t="s">
        <v>3512</v>
      </c>
      <c r="G1944" t="str">
        <f>"201511030795"</f>
        <v>201511030795</v>
      </c>
      <c r="H1944">
        <v>781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4</v>
      </c>
      <c r="S1944">
        <v>28</v>
      </c>
      <c r="V1944">
        <v>1</v>
      </c>
      <c r="W1944">
        <v>809</v>
      </c>
    </row>
    <row r="1945" spans="1:23" x14ac:dyDescent="0.25">
      <c r="H1945" t="s">
        <v>3513</v>
      </c>
    </row>
    <row r="1946" spans="1:23" x14ac:dyDescent="0.25">
      <c r="A1946">
        <v>970</v>
      </c>
      <c r="B1946">
        <v>4117</v>
      </c>
      <c r="C1946" t="s">
        <v>3514</v>
      </c>
      <c r="D1946" t="s">
        <v>183</v>
      </c>
      <c r="E1946" t="s">
        <v>104</v>
      </c>
      <c r="F1946" t="s">
        <v>3515</v>
      </c>
      <c r="G1946" t="str">
        <f>"00070869"</f>
        <v>00070869</v>
      </c>
      <c r="H1946" t="s">
        <v>264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R1946">
        <v>0</v>
      </c>
      <c r="S1946">
        <v>0</v>
      </c>
      <c r="V1946">
        <v>1</v>
      </c>
      <c r="W1946" t="s">
        <v>264</v>
      </c>
    </row>
    <row r="1947" spans="1:23" x14ac:dyDescent="0.25">
      <c r="H1947" t="s">
        <v>3516</v>
      </c>
    </row>
    <row r="1948" spans="1:23" x14ac:dyDescent="0.25">
      <c r="A1948">
        <v>971</v>
      </c>
      <c r="B1948">
        <v>9062</v>
      </c>
      <c r="C1948" t="s">
        <v>2530</v>
      </c>
      <c r="D1948" t="s">
        <v>128</v>
      </c>
      <c r="E1948" t="s">
        <v>276</v>
      </c>
      <c r="F1948" t="s">
        <v>3517</v>
      </c>
      <c r="G1948" t="str">
        <f>"00102467"</f>
        <v>00102467</v>
      </c>
      <c r="H1948" t="s">
        <v>264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0</v>
      </c>
      <c r="S1948">
        <v>0</v>
      </c>
      <c r="V1948">
        <v>1</v>
      </c>
      <c r="W1948" t="s">
        <v>264</v>
      </c>
    </row>
    <row r="1949" spans="1:23" x14ac:dyDescent="0.25">
      <c r="H1949" t="s">
        <v>3518</v>
      </c>
    </row>
    <row r="1950" spans="1:23" x14ac:dyDescent="0.25">
      <c r="A1950">
        <v>972</v>
      </c>
      <c r="B1950">
        <v>2683</v>
      </c>
      <c r="C1950" t="s">
        <v>3519</v>
      </c>
      <c r="D1950" t="s">
        <v>3520</v>
      </c>
      <c r="E1950" t="s">
        <v>20</v>
      </c>
      <c r="F1950" t="s">
        <v>3521</v>
      </c>
      <c r="G1950" t="str">
        <f>"201511041276"</f>
        <v>201511041276</v>
      </c>
      <c r="H1950">
        <v>803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0</v>
      </c>
      <c r="S1950">
        <v>0</v>
      </c>
      <c r="V1950">
        <v>1</v>
      </c>
      <c r="W1950">
        <v>803</v>
      </c>
    </row>
    <row r="1951" spans="1:23" x14ac:dyDescent="0.25">
      <c r="H1951" t="s">
        <v>3522</v>
      </c>
    </row>
    <row r="1952" spans="1:23" x14ac:dyDescent="0.25">
      <c r="A1952">
        <v>973</v>
      </c>
      <c r="B1952">
        <v>10142</v>
      </c>
      <c r="C1952" t="s">
        <v>3523</v>
      </c>
      <c r="D1952" t="s">
        <v>3524</v>
      </c>
      <c r="E1952" t="s">
        <v>57</v>
      </c>
      <c r="F1952" t="s">
        <v>3525</v>
      </c>
      <c r="G1952" t="str">
        <f>"00091177"</f>
        <v>00091177</v>
      </c>
      <c r="H1952">
        <v>803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0</v>
      </c>
      <c r="S1952">
        <v>0</v>
      </c>
      <c r="V1952">
        <v>1</v>
      </c>
      <c r="W1952">
        <v>803</v>
      </c>
    </row>
    <row r="1953" spans="1:23" x14ac:dyDescent="0.25">
      <c r="H1953" t="s">
        <v>3526</v>
      </c>
    </row>
    <row r="1954" spans="1:23" x14ac:dyDescent="0.25">
      <c r="A1954">
        <v>974</v>
      </c>
      <c r="B1954">
        <v>8932</v>
      </c>
      <c r="C1954" t="s">
        <v>3527</v>
      </c>
      <c r="D1954" t="s">
        <v>1221</v>
      </c>
      <c r="E1954" t="s">
        <v>2134</v>
      </c>
      <c r="F1954" t="s">
        <v>3528</v>
      </c>
      <c r="G1954" t="str">
        <f>"201511023365"</f>
        <v>201511023365</v>
      </c>
      <c r="H1954">
        <v>770</v>
      </c>
      <c r="I1954">
        <v>0</v>
      </c>
      <c r="J1954">
        <v>0</v>
      </c>
      <c r="K1954">
        <v>30</v>
      </c>
      <c r="L1954">
        <v>0</v>
      </c>
      <c r="M1954">
        <v>0</v>
      </c>
      <c r="N1954">
        <v>0</v>
      </c>
      <c r="O1954">
        <v>0</v>
      </c>
      <c r="P1954">
        <v>0</v>
      </c>
      <c r="Q1954">
        <v>0</v>
      </c>
      <c r="R1954">
        <v>0</v>
      </c>
      <c r="S1954">
        <v>0</v>
      </c>
      <c r="V1954">
        <v>1</v>
      </c>
      <c r="W1954">
        <v>800</v>
      </c>
    </row>
    <row r="1955" spans="1:23" x14ac:dyDescent="0.25">
      <c r="H1955" t="s">
        <v>3529</v>
      </c>
    </row>
    <row r="1956" spans="1:23" x14ac:dyDescent="0.25">
      <c r="A1956">
        <v>975</v>
      </c>
      <c r="B1956">
        <v>7001</v>
      </c>
      <c r="C1956" t="s">
        <v>3530</v>
      </c>
      <c r="D1956" t="s">
        <v>934</v>
      </c>
      <c r="E1956" t="s">
        <v>56</v>
      </c>
      <c r="F1956" t="s">
        <v>3531</v>
      </c>
      <c r="G1956" t="str">
        <f>"201511007468"</f>
        <v>201511007468</v>
      </c>
      <c r="H1956">
        <v>770</v>
      </c>
      <c r="I1956">
        <v>0</v>
      </c>
      <c r="J1956">
        <v>30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0</v>
      </c>
      <c r="Q1956">
        <v>0</v>
      </c>
      <c r="R1956">
        <v>0</v>
      </c>
      <c r="S1956">
        <v>0</v>
      </c>
      <c r="V1956">
        <v>1</v>
      </c>
      <c r="W1956">
        <v>800</v>
      </c>
    </row>
    <row r="1957" spans="1:23" x14ac:dyDescent="0.25">
      <c r="H1957" t="s">
        <v>3532</v>
      </c>
    </row>
    <row r="1958" spans="1:23" x14ac:dyDescent="0.25">
      <c r="A1958">
        <v>976</v>
      </c>
      <c r="B1958">
        <v>5163</v>
      </c>
      <c r="C1958" t="s">
        <v>3533</v>
      </c>
      <c r="D1958" t="s">
        <v>96</v>
      </c>
      <c r="E1958" t="s">
        <v>154</v>
      </c>
      <c r="F1958" t="s">
        <v>3534</v>
      </c>
      <c r="G1958" t="str">
        <f>"201511036095"</f>
        <v>201511036095</v>
      </c>
      <c r="H1958">
        <v>660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0</v>
      </c>
      <c r="P1958">
        <v>0</v>
      </c>
      <c r="Q1958">
        <v>0</v>
      </c>
      <c r="R1958">
        <v>20</v>
      </c>
      <c r="S1958">
        <v>140</v>
      </c>
      <c r="V1958">
        <v>1</v>
      </c>
      <c r="W1958">
        <v>800</v>
      </c>
    </row>
    <row r="1959" spans="1:23" x14ac:dyDescent="0.25">
      <c r="H1959" t="s">
        <v>3535</v>
      </c>
    </row>
    <row r="1960" spans="1:23" x14ac:dyDescent="0.25">
      <c r="A1960">
        <v>977</v>
      </c>
      <c r="B1960">
        <v>4085</v>
      </c>
      <c r="C1960" t="s">
        <v>3536</v>
      </c>
      <c r="D1960" t="s">
        <v>392</v>
      </c>
      <c r="E1960" t="s">
        <v>20</v>
      </c>
      <c r="F1960" t="s">
        <v>3537</v>
      </c>
      <c r="G1960" t="str">
        <f>"201512001371"</f>
        <v>201512001371</v>
      </c>
      <c r="H1960">
        <v>726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10</v>
      </c>
      <c r="S1960">
        <v>70</v>
      </c>
      <c r="V1960">
        <v>1</v>
      </c>
      <c r="W1960">
        <v>796</v>
      </c>
    </row>
    <row r="1961" spans="1:23" x14ac:dyDescent="0.25">
      <c r="H1961" t="s">
        <v>3538</v>
      </c>
    </row>
    <row r="1962" spans="1:23" x14ac:dyDescent="0.25">
      <c r="A1962">
        <v>978</v>
      </c>
      <c r="B1962">
        <v>1637</v>
      </c>
      <c r="C1962" t="s">
        <v>557</v>
      </c>
      <c r="D1962" t="s">
        <v>3539</v>
      </c>
      <c r="E1962" t="s">
        <v>327</v>
      </c>
      <c r="F1962" t="s">
        <v>3540</v>
      </c>
      <c r="G1962" t="str">
        <f>"00030406"</f>
        <v>00030406</v>
      </c>
      <c r="H1962" t="s">
        <v>3541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0</v>
      </c>
      <c r="S1962">
        <v>0</v>
      </c>
      <c r="V1962">
        <v>1</v>
      </c>
      <c r="W1962" t="s">
        <v>3541</v>
      </c>
    </row>
    <row r="1963" spans="1:23" x14ac:dyDescent="0.25">
      <c r="H1963" t="s">
        <v>3542</v>
      </c>
    </row>
    <row r="1964" spans="1:23" x14ac:dyDescent="0.25">
      <c r="A1964">
        <v>979</v>
      </c>
      <c r="B1964">
        <v>1704</v>
      </c>
      <c r="C1964" t="s">
        <v>3543</v>
      </c>
      <c r="D1964" t="s">
        <v>427</v>
      </c>
      <c r="E1964" t="s">
        <v>154</v>
      </c>
      <c r="F1964" t="s">
        <v>3544</v>
      </c>
      <c r="G1964" t="str">
        <f>"201512001241"</f>
        <v>201512001241</v>
      </c>
      <c r="H1964">
        <v>605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  <c r="Q1964">
        <v>0</v>
      </c>
      <c r="R1964">
        <v>27</v>
      </c>
      <c r="S1964">
        <v>189</v>
      </c>
      <c r="V1964">
        <v>1</v>
      </c>
      <c r="W1964">
        <v>794</v>
      </c>
    </row>
    <row r="1965" spans="1:23" x14ac:dyDescent="0.25">
      <c r="H1965" t="s">
        <v>3545</v>
      </c>
    </row>
    <row r="1966" spans="1:23" x14ac:dyDescent="0.25">
      <c r="A1966">
        <v>980</v>
      </c>
      <c r="B1966">
        <v>10348</v>
      </c>
      <c r="C1966" t="s">
        <v>3546</v>
      </c>
      <c r="D1966" t="s">
        <v>122</v>
      </c>
      <c r="E1966" t="s">
        <v>198</v>
      </c>
      <c r="F1966" t="s">
        <v>3547</v>
      </c>
      <c r="G1966" t="str">
        <f>"201511013377"</f>
        <v>201511013377</v>
      </c>
      <c r="H1966">
        <v>792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0</v>
      </c>
      <c r="Q1966">
        <v>0</v>
      </c>
      <c r="R1966">
        <v>0</v>
      </c>
      <c r="S1966">
        <v>0</v>
      </c>
      <c r="V1966">
        <v>1</v>
      </c>
      <c r="W1966">
        <v>792</v>
      </c>
    </row>
    <row r="1967" spans="1:23" x14ac:dyDescent="0.25">
      <c r="H1967" t="s">
        <v>3548</v>
      </c>
    </row>
    <row r="1968" spans="1:23" x14ac:dyDescent="0.25">
      <c r="A1968">
        <v>981</v>
      </c>
      <c r="B1968">
        <v>8762</v>
      </c>
      <c r="C1968" t="s">
        <v>3549</v>
      </c>
      <c r="D1968" t="s">
        <v>3550</v>
      </c>
      <c r="E1968" t="s">
        <v>276</v>
      </c>
      <c r="F1968" t="s">
        <v>3551</v>
      </c>
      <c r="G1968" t="str">
        <f>"00091680"</f>
        <v>00091680</v>
      </c>
      <c r="H1968">
        <v>792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0</v>
      </c>
      <c r="S1968">
        <v>0</v>
      </c>
      <c r="V1968">
        <v>1</v>
      </c>
      <c r="W1968">
        <v>792</v>
      </c>
    </row>
    <row r="1969" spans="1:23" x14ac:dyDescent="0.25">
      <c r="H1969" t="s">
        <v>472</v>
      </c>
    </row>
    <row r="1970" spans="1:23" x14ac:dyDescent="0.25">
      <c r="A1970">
        <v>982</v>
      </c>
      <c r="B1970">
        <v>2370</v>
      </c>
      <c r="C1970" t="s">
        <v>3552</v>
      </c>
      <c r="D1970" t="s">
        <v>681</v>
      </c>
      <c r="E1970" t="s">
        <v>37</v>
      </c>
      <c r="F1970" t="s">
        <v>3553</v>
      </c>
      <c r="G1970" t="str">
        <f>"201510003601"</f>
        <v>201510003601</v>
      </c>
      <c r="H1970">
        <v>770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3</v>
      </c>
      <c r="S1970">
        <v>21</v>
      </c>
      <c r="V1970">
        <v>1</v>
      </c>
      <c r="W1970">
        <v>791</v>
      </c>
    </row>
    <row r="1971" spans="1:23" x14ac:dyDescent="0.25">
      <c r="H1971" t="s">
        <v>3554</v>
      </c>
    </row>
    <row r="1972" spans="1:23" x14ac:dyDescent="0.25">
      <c r="A1972">
        <v>983</v>
      </c>
      <c r="B1972">
        <v>6099</v>
      </c>
      <c r="C1972" t="s">
        <v>3555</v>
      </c>
      <c r="D1972" t="s">
        <v>351</v>
      </c>
      <c r="E1972" t="s">
        <v>276</v>
      </c>
      <c r="F1972" t="s">
        <v>3556</v>
      </c>
      <c r="G1972" t="str">
        <f>"00087268"</f>
        <v>00087268</v>
      </c>
      <c r="H1972" t="s">
        <v>906</v>
      </c>
      <c r="I1972">
        <v>0</v>
      </c>
      <c r="J1972">
        <v>70</v>
      </c>
      <c r="K1972">
        <v>0</v>
      </c>
      <c r="L1972">
        <v>0</v>
      </c>
      <c r="M1972">
        <v>0</v>
      </c>
      <c r="N1972">
        <v>0</v>
      </c>
      <c r="O1972">
        <v>0</v>
      </c>
      <c r="P1972">
        <v>0</v>
      </c>
      <c r="Q1972">
        <v>0</v>
      </c>
      <c r="R1972">
        <v>0</v>
      </c>
      <c r="S1972">
        <v>0</v>
      </c>
      <c r="V1972">
        <v>1</v>
      </c>
      <c r="W1972" t="s">
        <v>3557</v>
      </c>
    </row>
    <row r="1973" spans="1:23" x14ac:dyDescent="0.25">
      <c r="H1973" t="s">
        <v>3558</v>
      </c>
    </row>
    <row r="1974" spans="1:23" x14ac:dyDescent="0.25">
      <c r="A1974">
        <v>984</v>
      </c>
      <c r="B1974">
        <v>7389</v>
      </c>
      <c r="C1974" t="s">
        <v>3559</v>
      </c>
      <c r="D1974" t="s">
        <v>351</v>
      </c>
      <c r="E1974" t="s">
        <v>57</v>
      </c>
      <c r="F1974" t="s">
        <v>3560</v>
      </c>
      <c r="G1974" t="str">
        <f>"00049331"</f>
        <v>00049331</v>
      </c>
      <c r="H1974" t="s">
        <v>724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5</v>
      </c>
      <c r="S1974">
        <v>35</v>
      </c>
      <c r="V1974">
        <v>1</v>
      </c>
      <c r="W1974" t="s">
        <v>3561</v>
      </c>
    </row>
    <row r="1975" spans="1:23" x14ac:dyDescent="0.25">
      <c r="H1975" t="s">
        <v>3562</v>
      </c>
    </row>
    <row r="1976" spans="1:23" x14ac:dyDescent="0.25">
      <c r="A1976">
        <v>985</v>
      </c>
      <c r="B1976">
        <v>184</v>
      </c>
      <c r="C1976" t="s">
        <v>3563</v>
      </c>
      <c r="D1976" t="s">
        <v>392</v>
      </c>
      <c r="E1976" t="s">
        <v>158</v>
      </c>
      <c r="F1976" t="s">
        <v>3564</v>
      </c>
      <c r="G1976" t="str">
        <f>"00024638"</f>
        <v>00024638</v>
      </c>
      <c r="H1976" t="s">
        <v>3565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0</v>
      </c>
      <c r="P1976">
        <v>0</v>
      </c>
      <c r="Q1976">
        <v>0</v>
      </c>
      <c r="R1976">
        <v>0</v>
      </c>
      <c r="S1976">
        <v>0</v>
      </c>
      <c r="V1976">
        <v>1</v>
      </c>
      <c r="W1976" t="s">
        <v>3565</v>
      </c>
    </row>
    <row r="1977" spans="1:23" x14ac:dyDescent="0.25">
      <c r="H1977" t="s">
        <v>3566</v>
      </c>
    </row>
    <row r="1978" spans="1:23" x14ac:dyDescent="0.25">
      <c r="A1978">
        <v>986</v>
      </c>
      <c r="B1978">
        <v>6700</v>
      </c>
      <c r="C1978" t="s">
        <v>3434</v>
      </c>
      <c r="D1978" t="s">
        <v>183</v>
      </c>
      <c r="E1978" t="s">
        <v>158</v>
      </c>
      <c r="F1978" t="s">
        <v>3567</v>
      </c>
      <c r="G1978" t="str">
        <f>"201504000168"</f>
        <v>201504000168</v>
      </c>
      <c r="H1978" t="s">
        <v>698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0</v>
      </c>
      <c r="S1978">
        <v>0</v>
      </c>
      <c r="V1978">
        <v>1</v>
      </c>
      <c r="W1978" t="s">
        <v>698</v>
      </c>
    </row>
    <row r="1979" spans="1:23" x14ac:dyDescent="0.25">
      <c r="H1979" t="s">
        <v>3568</v>
      </c>
    </row>
    <row r="1980" spans="1:23" x14ac:dyDescent="0.25">
      <c r="A1980">
        <v>987</v>
      </c>
      <c r="B1980">
        <v>9118</v>
      </c>
      <c r="C1980" t="s">
        <v>102</v>
      </c>
      <c r="D1980" t="s">
        <v>988</v>
      </c>
      <c r="E1980" t="s">
        <v>276</v>
      </c>
      <c r="F1980" t="s">
        <v>3569</v>
      </c>
      <c r="G1980" t="str">
        <f>"00100408"</f>
        <v>00100408</v>
      </c>
      <c r="H1980" t="s">
        <v>698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0</v>
      </c>
      <c r="P1980">
        <v>0</v>
      </c>
      <c r="Q1980">
        <v>0</v>
      </c>
      <c r="R1980">
        <v>0</v>
      </c>
      <c r="S1980">
        <v>0</v>
      </c>
      <c r="V1980">
        <v>1</v>
      </c>
      <c r="W1980" t="s">
        <v>698</v>
      </c>
    </row>
    <row r="1981" spans="1:23" x14ac:dyDescent="0.25">
      <c r="H1981" t="s">
        <v>3570</v>
      </c>
    </row>
    <row r="1982" spans="1:23" x14ac:dyDescent="0.25">
      <c r="A1982">
        <v>988</v>
      </c>
      <c r="B1982">
        <v>9184</v>
      </c>
      <c r="C1982" t="s">
        <v>2175</v>
      </c>
      <c r="D1982" t="s">
        <v>340</v>
      </c>
      <c r="E1982" t="s">
        <v>664</v>
      </c>
      <c r="F1982" t="s">
        <v>3571</v>
      </c>
      <c r="G1982" t="str">
        <f>"201511036141"</f>
        <v>201511036141</v>
      </c>
      <c r="H1982" t="s">
        <v>3572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0</v>
      </c>
      <c r="S1982">
        <v>0</v>
      </c>
      <c r="V1982">
        <v>1</v>
      </c>
      <c r="W1982" t="s">
        <v>3572</v>
      </c>
    </row>
    <row r="1983" spans="1:23" x14ac:dyDescent="0.25">
      <c r="H1983" t="s">
        <v>3573</v>
      </c>
    </row>
    <row r="1984" spans="1:23" x14ac:dyDescent="0.25">
      <c r="A1984">
        <v>989</v>
      </c>
      <c r="B1984">
        <v>2829</v>
      </c>
      <c r="C1984" t="s">
        <v>3574</v>
      </c>
      <c r="D1984" t="s">
        <v>268</v>
      </c>
      <c r="E1984" t="s">
        <v>129</v>
      </c>
      <c r="F1984" t="s">
        <v>3575</v>
      </c>
      <c r="G1984" t="str">
        <f>"00080291"</f>
        <v>00080291</v>
      </c>
      <c r="H1984" t="s">
        <v>3576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0</v>
      </c>
      <c r="P1984">
        <v>0</v>
      </c>
      <c r="Q1984">
        <v>0</v>
      </c>
      <c r="R1984">
        <v>0</v>
      </c>
      <c r="S1984">
        <v>0</v>
      </c>
      <c r="V1984">
        <v>1</v>
      </c>
      <c r="W1984" t="s">
        <v>3576</v>
      </c>
    </row>
    <row r="1985" spans="1:23" x14ac:dyDescent="0.25">
      <c r="H1985" t="s">
        <v>3577</v>
      </c>
    </row>
    <row r="1986" spans="1:23" x14ac:dyDescent="0.25">
      <c r="A1986">
        <v>990</v>
      </c>
      <c r="B1986">
        <v>2818</v>
      </c>
      <c r="C1986" t="s">
        <v>3578</v>
      </c>
      <c r="D1986" t="s">
        <v>1897</v>
      </c>
      <c r="E1986" t="s">
        <v>158</v>
      </c>
      <c r="F1986" t="s">
        <v>3579</v>
      </c>
      <c r="G1986" t="str">
        <f>"00082884"</f>
        <v>00082884</v>
      </c>
      <c r="H1986">
        <v>781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  <c r="Q1986">
        <v>0</v>
      </c>
      <c r="R1986">
        <v>0</v>
      </c>
      <c r="S1986">
        <v>0</v>
      </c>
      <c r="V1986">
        <v>1</v>
      </c>
      <c r="W1986">
        <v>781</v>
      </c>
    </row>
    <row r="1987" spans="1:23" x14ac:dyDescent="0.25">
      <c r="H1987" t="s">
        <v>3580</v>
      </c>
    </row>
    <row r="1988" spans="1:23" x14ac:dyDescent="0.25">
      <c r="A1988">
        <v>991</v>
      </c>
      <c r="B1988">
        <v>9990</v>
      </c>
      <c r="C1988" t="s">
        <v>3581</v>
      </c>
      <c r="D1988" t="s">
        <v>3582</v>
      </c>
      <c r="E1988" t="s">
        <v>184</v>
      </c>
      <c r="F1988" t="s">
        <v>3583</v>
      </c>
      <c r="G1988" t="str">
        <f>"00030630"</f>
        <v>00030630</v>
      </c>
      <c r="H1988">
        <v>781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  <c r="Q1988">
        <v>0</v>
      </c>
      <c r="R1988">
        <v>0</v>
      </c>
      <c r="S1988">
        <v>0</v>
      </c>
      <c r="V1988">
        <v>1</v>
      </c>
      <c r="W1988">
        <v>781</v>
      </c>
    </row>
    <row r="1989" spans="1:23" x14ac:dyDescent="0.25">
      <c r="H1989" t="s">
        <v>3584</v>
      </c>
    </row>
    <row r="1990" spans="1:23" x14ac:dyDescent="0.25">
      <c r="A1990">
        <v>992</v>
      </c>
      <c r="B1990">
        <v>3771</v>
      </c>
      <c r="C1990" t="s">
        <v>3585</v>
      </c>
      <c r="D1990" t="s">
        <v>392</v>
      </c>
      <c r="E1990" t="s">
        <v>184</v>
      </c>
      <c r="F1990" t="s">
        <v>3586</v>
      </c>
      <c r="G1990" t="str">
        <f>"201512000297"</f>
        <v>201512000297</v>
      </c>
      <c r="H1990" t="s">
        <v>777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  <c r="Q1990">
        <v>0</v>
      </c>
      <c r="R1990">
        <v>0</v>
      </c>
      <c r="S1990">
        <v>0</v>
      </c>
      <c r="V1990">
        <v>1</v>
      </c>
      <c r="W1990" t="s">
        <v>777</v>
      </c>
    </row>
    <row r="1991" spans="1:23" x14ac:dyDescent="0.25">
      <c r="H1991" t="s">
        <v>3587</v>
      </c>
    </row>
    <row r="1992" spans="1:23" x14ac:dyDescent="0.25">
      <c r="A1992">
        <v>993</v>
      </c>
      <c r="B1992">
        <v>8371</v>
      </c>
      <c r="C1992" t="s">
        <v>3588</v>
      </c>
      <c r="D1992" t="s">
        <v>344</v>
      </c>
      <c r="E1992" t="s">
        <v>229</v>
      </c>
      <c r="F1992" t="s">
        <v>3589</v>
      </c>
      <c r="G1992" t="str">
        <f>"201511017725"</f>
        <v>201511017725</v>
      </c>
      <c r="H1992" t="s">
        <v>777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0</v>
      </c>
      <c r="S1992">
        <v>0</v>
      </c>
      <c r="V1992">
        <v>1</v>
      </c>
      <c r="W1992" t="s">
        <v>777</v>
      </c>
    </row>
    <row r="1993" spans="1:23" x14ac:dyDescent="0.25">
      <c r="H1993">
        <v>875</v>
      </c>
    </row>
    <row r="1994" spans="1:23" x14ac:dyDescent="0.25">
      <c r="A1994">
        <v>994</v>
      </c>
      <c r="B1994">
        <v>4460</v>
      </c>
      <c r="C1994" t="s">
        <v>3590</v>
      </c>
      <c r="D1994" t="s">
        <v>351</v>
      </c>
      <c r="E1994" t="s">
        <v>298</v>
      </c>
      <c r="F1994" t="s">
        <v>3591</v>
      </c>
      <c r="G1994" t="str">
        <f>"00025621"</f>
        <v>00025621</v>
      </c>
      <c r="H1994">
        <v>627</v>
      </c>
      <c r="I1994">
        <v>150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0</v>
      </c>
      <c r="P1994">
        <v>0</v>
      </c>
      <c r="Q1994">
        <v>0</v>
      </c>
      <c r="R1994">
        <v>0</v>
      </c>
      <c r="S1994">
        <v>0</v>
      </c>
      <c r="V1994">
        <v>1</v>
      </c>
      <c r="W1994">
        <v>777</v>
      </c>
    </row>
    <row r="1995" spans="1:23" x14ac:dyDescent="0.25">
      <c r="H1995" t="s">
        <v>3592</v>
      </c>
    </row>
    <row r="1996" spans="1:23" x14ac:dyDescent="0.25">
      <c r="A1996">
        <v>995</v>
      </c>
      <c r="B1996">
        <v>6361</v>
      </c>
      <c r="C1996" t="s">
        <v>3593</v>
      </c>
      <c r="D1996" t="s">
        <v>491</v>
      </c>
      <c r="E1996" t="s">
        <v>20</v>
      </c>
      <c r="F1996" t="s">
        <v>3594</v>
      </c>
      <c r="G1996" t="str">
        <f>"00023638"</f>
        <v>00023638</v>
      </c>
      <c r="H1996">
        <v>770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R1996">
        <v>0</v>
      </c>
      <c r="S1996">
        <v>0</v>
      </c>
      <c r="V1996">
        <v>3</v>
      </c>
      <c r="W1996">
        <v>770</v>
      </c>
    </row>
    <row r="1997" spans="1:23" x14ac:dyDescent="0.25">
      <c r="H1997" t="s">
        <v>3595</v>
      </c>
    </row>
    <row r="1998" spans="1:23" x14ac:dyDescent="0.25">
      <c r="A1998">
        <v>996</v>
      </c>
      <c r="B1998">
        <v>10462</v>
      </c>
      <c r="C1998" t="s">
        <v>3446</v>
      </c>
      <c r="D1998" t="s">
        <v>1192</v>
      </c>
      <c r="E1998" t="s">
        <v>37</v>
      </c>
      <c r="F1998" t="s">
        <v>3447</v>
      </c>
      <c r="G1998" t="str">
        <f>"201511040822"</f>
        <v>201511040822</v>
      </c>
      <c r="H1998">
        <v>770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S1998">
        <v>0</v>
      </c>
      <c r="V1998">
        <v>3</v>
      </c>
      <c r="W1998">
        <v>770</v>
      </c>
    </row>
    <row r="1999" spans="1:23" x14ac:dyDescent="0.25">
      <c r="H1999" t="s">
        <v>3448</v>
      </c>
    </row>
    <row r="2000" spans="1:23" x14ac:dyDescent="0.25">
      <c r="A2000">
        <v>997</v>
      </c>
      <c r="B2000">
        <v>2288</v>
      </c>
      <c r="C2000" t="s">
        <v>3596</v>
      </c>
      <c r="D2000" t="s">
        <v>2255</v>
      </c>
      <c r="E2000" t="s">
        <v>3082</v>
      </c>
      <c r="F2000" t="s">
        <v>3597</v>
      </c>
      <c r="G2000" t="str">
        <f>"00017110"</f>
        <v>00017110</v>
      </c>
      <c r="H2000">
        <v>770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0</v>
      </c>
      <c r="P2000">
        <v>0</v>
      </c>
      <c r="Q2000">
        <v>0</v>
      </c>
      <c r="R2000">
        <v>0</v>
      </c>
      <c r="S2000">
        <v>0</v>
      </c>
      <c r="V2000">
        <v>1</v>
      </c>
      <c r="W2000">
        <v>770</v>
      </c>
    </row>
    <row r="2001" spans="1:23" x14ac:dyDescent="0.25">
      <c r="H2001" t="s">
        <v>3598</v>
      </c>
    </row>
    <row r="2002" spans="1:23" x14ac:dyDescent="0.25">
      <c r="A2002">
        <v>998</v>
      </c>
      <c r="B2002">
        <v>10519</v>
      </c>
      <c r="C2002" t="s">
        <v>3599</v>
      </c>
      <c r="D2002" t="s">
        <v>172</v>
      </c>
      <c r="E2002" t="s">
        <v>158</v>
      </c>
      <c r="F2002" t="s">
        <v>3600</v>
      </c>
      <c r="G2002" t="str">
        <f>"201511022944"</f>
        <v>201511022944</v>
      </c>
      <c r="H2002">
        <v>770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0</v>
      </c>
      <c r="P2002">
        <v>0</v>
      </c>
      <c r="Q2002">
        <v>0</v>
      </c>
      <c r="R2002">
        <v>0</v>
      </c>
      <c r="S2002">
        <v>0</v>
      </c>
      <c r="V2002">
        <v>1</v>
      </c>
      <c r="W2002">
        <v>770</v>
      </c>
    </row>
    <row r="2003" spans="1:23" x14ac:dyDescent="0.25">
      <c r="H2003" t="s">
        <v>3601</v>
      </c>
    </row>
    <row r="2004" spans="1:23" x14ac:dyDescent="0.25">
      <c r="A2004">
        <v>999</v>
      </c>
      <c r="B2004">
        <v>6440</v>
      </c>
      <c r="C2004" t="s">
        <v>3602</v>
      </c>
      <c r="D2004" t="s">
        <v>3603</v>
      </c>
      <c r="E2004" t="s">
        <v>3604</v>
      </c>
      <c r="F2004" t="s">
        <v>3605</v>
      </c>
      <c r="G2004" t="str">
        <f>"201511042834"</f>
        <v>201511042834</v>
      </c>
      <c r="H2004">
        <v>770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  <c r="Q2004">
        <v>0</v>
      </c>
      <c r="R2004">
        <v>0</v>
      </c>
      <c r="S2004">
        <v>0</v>
      </c>
      <c r="V2004">
        <v>1</v>
      </c>
      <c r="W2004">
        <v>770</v>
      </c>
    </row>
    <row r="2005" spans="1:23" x14ac:dyDescent="0.25">
      <c r="H2005" t="s">
        <v>3606</v>
      </c>
    </row>
    <row r="2006" spans="1:23" x14ac:dyDescent="0.25">
      <c r="A2006">
        <v>1000</v>
      </c>
      <c r="B2006">
        <v>775</v>
      </c>
      <c r="C2006" t="s">
        <v>3607</v>
      </c>
      <c r="D2006" t="s">
        <v>3608</v>
      </c>
      <c r="E2006" t="s">
        <v>1135</v>
      </c>
      <c r="F2006" t="s">
        <v>3609</v>
      </c>
      <c r="G2006" t="str">
        <f>"00020812"</f>
        <v>00020812</v>
      </c>
      <c r="H2006">
        <v>770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0</v>
      </c>
      <c r="P2006">
        <v>0</v>
      </c>
      <c r="Q2006">
        <v>0</v>
      </c>
      <c r="R2006">
        <v>0</v>
      </c>
      <c r="S2006">
        <v>0</v>
      </c>
      <c r="V2006">
        <v>1</v>
      </c>
      <c r="W2006">
        <v>770</v>
      </c>
    </row>
    <row r="2007" spans="1:23" x14ac:dyDescent="0.25">
      <c r="H2007" t="s">
        <v>3610</v>
      </c>
    </row>
    <row r="2008" spans="1:23" x14ac:dyDescent="0.25">
      <c r="A2008">
        <v>1001</v>
      </c>
      <c r="B2008">
        <v>2531</v>
      </c>
      <c r="C2008" t="s">
        <v>3611</v>
      </c>
      <c r="D2008" t="s">
        <v>3612</v>
      </c>
      <c r="E2008" t="s">
        <v>500</v>
      </c>
      <c r="F2008" t="s">
        <v>3613</v>
      </c>
      <c r="G2008" t="str">
        <f>"201511005567"</f>
        <v>201511005567</v>
      </c>
      <c r="H2008">
        <v>737</v>
      </c>
      <c r="I2008">
        <v>0</v>
      </c>
      <c r="J2008">
        <v>30</v>
      </c>
      <c r="K2008">
        <v>0</v>
      </c>
      <c r="L2008">
        <v>0</v>
      </c>
      <c r="M2008">
        <v>0</v>
      </c>
      <c r="N2008">
        <v>0</v>
      </c>
      <c r="O2008">
        <v>0</v>
      </c>
      <c r="P2008">
        <v>0</v>
      </c>
      <c r="Q2008">
        <v>0</v>
      </c>
      <c r="R2008">
        <v>0</v>
      </c>
      <c r="S2008">
        <v>0</v>
      </c>
      <c r="V2008">
        <v>1</v>
      </c>
      <c r="W2008">
        <v>767</v>
      </c>
    </row>
    <row r="2009" spans="1:23" x14ac:dyDescent="0.25">
      <c r="H2009" t="s">
        <v>3614</v>
      </c>
    </row>
    <row r="2010" spans="1:23" x14ac:dyDescent="0.25">
      <c r="A2010">
        <v>1002</v>
      </c>
      <c r="B2010">
        <v>5326</v>
      </c>
      <c r="C2010" t="s">
        <v>994</v>
      </c>
      <c r="D2010" t="s">
        <v>51</v>
      </c>
      <c r="E2010" t="s">
        <v>276</v>
      </c>
      <c r="F2010" t="s">
        <v>3615</v>
      </c>
      <c r="G2010" t="str">
        <f>"00045285"</f>
        <v>00045285</v>
      </c>
      <c r="H2010" t="s">
        <v>476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0</v>
      </c>
      <c r="Q2010">
        <v>0</v>
      </c>
      <c r="R2010">
        <v>5</v>
      </c>
      <c r="S2010">
        <v>35</v>
      </c>
      <c r="V2010">
        <v>1</v>
      </c>
      <c r="W2010" t="s">
        <v>3616</v>
      </c>
    </row>
    <row r="2011" spans="1:23" x14ac:dyDescent="0.25">
      <c r="H2011" t="s">
        <v>3617</v>
      </c>
    </row>
    <row r="2012" spans="1:23" x14ac:dyDescent="0.25">
      <c r="A2012">
        <v>1003</v>
      </c>
      <c r="B2012">
        <v>9658</v>
      </c>
      <c r="C2012" t="s">
        <v>3618</v>
      </c>
      <c r="D2012" t="s">
        <v>37</v>
      </c>
      <c r="E2012" t="s">
        <v>1054</v>
      </c>
      <c r="F2012" t="s">
        <v>3619</v>
      </c>
      <c r="G2012" t="str">
        <f>"201511043046"</f>
        <v>201511043046</v>
      </c>
      <c r="H2012" t="s">
        <v>893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0</v>
      </c>
      <c r="P2012">
        <v>0</v>
      </c>
      <c r="Q2012">
        <v>0</v>
      </c>
      <c r="R2012">
        <v>6</v>
      </c>
      <c r="S2012">
        <v>42</v>
      </c>
      <c r="V2012">
        <v>1</v>
      </c>
      <c r="W2012" t="s">
        <v>3620</v>
      </c>
    </row>
    <row r="2013" spans="1:23" x14ac:dyDescent="0.25">
      <c r="H2013" t="s">
        <v>3621</v>
      </c>
    </row>
    <row r="2014" spans="1:23" x14ac:dyDescent="0.25">
      <c r="A2014">
        <v>1004</v>
      </c>
      <c r="B2014">
        <v>1500</v>
      </c>
      <c r="C2014" t="s">
        <v>3622</v>
      </c>
      <c r="D2014" t="s">
        <v>183</v>
      </c>
      <c r="E2014" t="s">
        <v>56</v>
      </c>
      <c r="F2014" t="s">
        <v>3623</v>
      </c>
      <c r="G2014" t="str">
        <f>"201511032450"</f>
        <v>201511032450</v>
      </c>
      <c r="H2014">
        <v>715</v>
      </c>
      <c r="I2014">
        <v>0</v>
      </c>
      <c r="J2014">
        <v>50</v>
      </c>
      <c r="K2014">
        <v>0</v>
      </c>
      <c r="L2014">
        <v>0</v>
      </c>
      <c r="M2014">
        <v>0</v>
      </c>
      <c r="N2014">
        <v>0</v>
      </c>
      <c r="O2014">
        <v>0</v>
      </c>
      <c r="P2014">
        <v>0</v>
      </c>
      <c r="Q2014">
        <v>0</v>
      </c>
      <c r="R2014">
        <v>0</v>
      </c>
      <c r="S2014">
        <v>0</v>
      </c>
      <c r="V2014">
        <v>1</v>
      </c>
      <c r="W2014">
        <v>765</v>
      </c>
    </row>
    <row r="2015" spans="1:23" x14ac:dyDescent="0.25">
      <c r="H2015" t="s">
        <v>3624</v>
      </c>
    </row>
    <row r="2016" spans="1:23" x14ac:dyDescent="0.25">
      <c r="A2016">
        <v>1005</v>
      </c>
      <c r="B2016">
        <v>2614</v>
      </c>
      <c r="C2016" t="s">
        <v>2109</v>
      </c>
      <c r="D2016" t="s">
        <v>153</v>
      </c>
      <c r="E2016" t="s">
        <v>3051</v>
      </c>
      <c r="F2016" t="s">
        <v>3625</v>
      </c>
      <c r="G2016" t="str">
        <f>"201412006049"</f>
        <v>201412006049</v>
      </c>
      <c r="H2016">
        <v>715</v>
      </c>
      <c r="I2016">
        <v>0</v>
      </c>
      <c r="J2016">
        <v>0</v>
      </c>
      <c r="K2016">
        <v>0</v>
      </c>
      <c r="L2016">
        <v>0</v>
      </c>
      <c r="M2016">
        <v>50</v>
      </c>
      <c r="N2016">
        <v>0</v>
      </c>
      <c r="O2016">
        <v>0</v>
      </c>
      <c r="P2016">
        <v>0</v>
      </c>
      <c r="Q2016">
        <v>0</v>
      </c>
      <c r="R2016">
        <v>0</v>
      </c>
      <c r="S2016">
        <v>0</v>
      </c>
      <c r="V2016">
        <v>1</v>
      </c>
      <c r="W2016">
        <v>765</v>
      </c>
    </row>
    <row r="2017" spans="1:23" x14ac:dyDescent="0.25">
      <c r="H2017" t="s">
        <v>3626</v>
      </c>
    </row>
    <row r="2018" spans="1:23" x14ac:dyDescent="0.25">
      <c r="A2018">
        <v>1006</v>
      </c>
      <c r="B2018">
        <v>8773</v>
      </c>
      <c r="C2018" t="s">
        <v>1936</v>
      </c>
      <c r="D2018" t="s">
        <v>96</v>
      </c>
      <c r="E2018" t="s">
        <v>37</v>
      </c>
      <c r="F2018" t="s">
        <v>3627</v>
      </c>
      <c r="G2018" t="str">
        <f>"201511007293"</f>
        <v>201511007293</v>
      </c>
      <c r="H2018" t="s">
        <v>3628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0</v>
      </c>
      <c r="P2018">
        <v>0</v>
      </c>
      <c r="Q2018">
        <v>0</v>
      </c>
      <c r="R2018">
        <v>6</v>
      </c>
      <c r="S2018">
        <v>42</v>
      </c>
      <c r="V2018">
        <v>1</v>
      </c>
      <c r="W2018" t="s">
        <v>3629</v>
      </c>
    </row>
    <row r="2019" spans="1:23" x14ac:dyDescent="0.25">
      <c r="H2019" t="s">
        <v>3630</v>
      </c>
    </row>
    <row r="2020" spans="1:23" x14ac:dyDescent="0.25">
      <c r="A2020">
        <v>1007</v>
      </c>
      <c r="B2020">
        <v>9094</v>
      </c>
      <c r="C2020" t="s">
        <v>3631</v>
      </c>
      <c r="D2020" t="s">
        <v>172</v>
      </c>
      <c r="E2020" t="s">
        <v>104</v>
      </c>
      <c r="F2020" t="s">
        <v>3632</v>
      </c>
      <c r="G2020" t="str">
        <f>"00024958"</f>
        <v>00024958</v>
      </c>
      <c r="H2020">
        <v>759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0</v>
      </c>
      <c r="P2020">
        <v>0</v>
      </c>
      <c r="Q2020">
        <v>0</v>
      </c>
      <c r="R2020">
        <v>0</v>
      </c>
      <c r="S2020">
        <v>0</v>
      </c>
      <c r="V2020">
        <v>1</v>
      </c>
      <c r="W2020">
        <v>759</v>
      </c>
    </row>
    <row r="2021" spans="1:23" x14ac:dyDescent="0.25">
      <c r="H2021" t="s">
        <v>3633</v>
      </c>
    </row>
    <row r="2022" spans="1:23" x14ac:dyDescent="0.25">
      <c r="A2022">
        <v>1008</v>
      </c>
      <c r="B2022">
        <v>1691</v>
      </c>
      <c r="C2022" t="s">
        <v>3634</v>
      </c>
      <c r="D2022" t="s">
        <v>275</v>
      </c>
      <c r="E2022" t="s">
        <v>104</v>
      </c>
      <c r="F2022" t="s">
        <v>3635</v>
      </c>
      <c r="G2022" t="str">
        <f>"201511009629"</f>
        <v>201511009629</v>
      </c>
      <c r="H2022">
        <v>759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R2022">
        <v>0</v>
      </c>
      <c r="S2022">
        <v>0</v>
      </c>
      <c r="V2022">
        <v>1</v>
      </c>
      <c r="W2022">
        <v>759</v>
      </c>
    </row>
    <row r="2023" spans="1:23" x14ac:dyDescent="0.25">
      <c r="H2023" t="s">
        <v>3636</v>
      </c>
    </row>
    <row r="2024" spans="1:23" x14ac:dyDescent="0.25">
      <c r="A2024">
        <v>1009</v>
      </c>
      <c r="B2024">
        <v>2458</v>
      </c>
      <c r="C2024" t="s">
        <v>3637</v>
      </c>
      <c r="D2024" t="s">
        <v>3638</v>
      </c>
      <c r="E2024" t="s">
        <v>3550</v>
      </c>
      <c r="F2024" t="s">
        <v>3639</v>
      </c>
      <c r="G2024" t="str">
        <f>"00028932"</f>
        <v>00028932</v>
      </c>
      <c r="H2024" t="s">
        <v>605</v>
      </c>
      <c r="I2024">
        <v>0</v>
      </c>
      <c r="J2024">
        <v>70</v>
      </c>
      <c r="K2024">
        <v>0</v>
      </c>
      <c r="L2024">
        <v>0</v>
      </c>
      <c r="M2024">
        <v>0</v>
      </c>
      <c r="N2024">
        <v>0</v>
      </c>
      <c r="O2024">
        <v>0</v>
      </c>
      <c r="P2024">
        <v>0</v>
      </c>
      <c r="Q2024">
        <v>0</v>
      </c>
      <c r="R2024">
        <v>0</v>
      </c>
      <c r="S2024">
        <v>0</v>
      </c>
      <c r="V2024">
        <v>1</v>
      </c>
      <c r="W2024" t="s">
        <v>3640</v>
      </c>
    </row>
    <row r="2025" spans="1:23" x14ac:dyDescent="0.25">
      <c r="H2025" t="s">
        <v>3641</v>
      </c>
    </row>
    <row r="2026" spans="1:23" x14ac:dyDescent="0.25">
      <c r="A2026">
        <v>1010</v>
      </c>
      <c r="B2026">
        <v>5512</v>
      </c>
      <c r="C2026" t="s">
        <v>415</v>
      </c>
      <c r="D2026" t="s">
        <v>351</v>
      </c>
      <c r="E2026" t="s">
        <v>276</v>
      </c>
      <c r="F2026" t="s">
        <v>3642</v>
      </c>
      <c r="G2026" t="str">
        <f>"00033740"</f>
        <v>00033740</v>
      </c>
      <c r="H2026">
        <v>605</v>
      </c>
      <c r="I2026">
        <v>150</v>
      </c>
      <c r="J2026">
        <v>0</v>
      </c>
      <c r="K2026">
        <v>0</v>
      </c>
      <c r="L2026">
        <v>0</v>
      </c>
      <c r="M2026">
        <v>0</v>
      </c>
      <c r="N2026">
        <v>0</v>
      </c>
      <c r="O2026">
        <v>0</v>
      </c>
      <c r="P2026">
        <v>0</v>
      </c>
      <c r="Q2026">
        <v>0</v>
      </c>
      <c r="R2026">
        <v>0</v>
      </c>
      <c r="S2026">
        <v>0</v>
      </c>
      <c r="V2026">
        <v>1</v>
      </c>
      <c r="W2026">
        <v>755</v>
      </c>
    </row>
    <row r="2027" spans="1:23" x14ac:dyDescent="0.25">
      <c r="H2027" t="s">
        <v>3643</v>
      </c>
    </row>
    <row r="2028" spans="1:23" x14ac:dyDescent="0.25">
      <c r="A2028">
        <v>1011</v>
      </c>
      <c r="B2028">
        <v>595</v>
      </c>
      <c r="C2028" t="s">
        <v>1892</v>
      </c>
      <c r="D2028" t="s">
        <v>276</v>
      </c>
      <c r="E2028" t="s">
        <v>37</v>
      </c>
      <c r="F2028" t="s">
        <v>3644</v>
      </c>
      <c r="G2028" t="str">
        <f>"201510001244"</f>
        <v>201510001244</v>
      </c>
      <c r="H2028" t="s">
        <v>3432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0</v>
      </c>
      <c r="P2028">
        <v>0</v>
      </c>
      <c r="Q2028">
        <v>0</v>
      </c>
      <c r="R2028">
        <v>0</v>
      </c>
      <c r="S2028">
        <v>0</v>
      </c>
      <c r="V2028">
        <v>1</v>
      </c>
      <c r="W2028" t="s">
        <v>3432</v>
      </c>
    </row>
    <row r="2029" spans="1:23" x14ac:dyDescent="0.25">
      <c r="H2029" t="s">
        <v>3645</v>
      </c>
    </row>
    <row r="2030" spans="1:23" x14ac:dyDescent="0.25">
      <c r="A2030">
        <v>1012</v>
      </c>
      <c r="B2030">
        <v>7829</v>
      </c>
      <c r="C2030" t="s">
        <v>3646</v>
      </c>
      <c r="D2030" t="s">
        <v>56</v>
      </c>
      <c r="E2030" t="s">
        <v>276</v>
      </c>
      <c r="F2030" t="s">
        <v>3647</v>
      </c>
      <c r="G2030" t="str">
        <f>"201511010968"</f>
        <v>201511010968</v>
      </c>
      <c r="H2030" t="s">
        <v>3432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0</v>
      </c>
      <c r="P2030">
        <v>0</v>
      </c>
      <c r="Q2030">
        <v>0</v>
      </c>
      <c r="R2030">
        <v>0</v>
      </c>
      <c r="S2030">
        <v>0</v>
      </c>
      <c r="V2030">
        <v>1</v>
      </c>
      <c r="W2030" t="s">
        <v>3432</v>
      </c>
    </row>
    <row r="2031" spans="1:23" x14ac:dyDescent="0.25">
      <c r="H2031" t="s">
        <v>3648</v>
      </c>
    </row>
    <row r="2032" spans="1:23" x14ac:dyDescent="0.25">
      <c r="A2032">
        <v>1013</v>
      </c>
      <c r="B2032">
        <v>7251</v>
      </c>
      <c r="C2032" t="s">
        <v>3649</v>
      </c>
      <c r="D2032" t="s">
        <v>154</v>
      </c>
      <c r="E2032" t="s">
        <v>37</v>
      </c>
      <c r="F2032" t="s">
        <v>3650</v>
      </c>
      <c r="G2032" t="str">
        <f>"201511027474"</f>
        <v>201511027474</v>
      </c>
      <c r="H2032">
        <v>660</v>
      </c>
      <c r="I2032">
        <v>0</v>
      </c>
      <c r="J2032">
        <v>30</v>
      </c>
      <c r="K2032">
        <v>0</v>
      </c>
      <c r="L2032">
        <v>0</v>
      </c>
      <c r="M2032">
        <v>0</v>
      </c>
      <c r="N2032">
        <v>0</v>
      </c>
      <c r="O2032">
        <v>0</v>
      </c>
      <c r="P2032">
        <v>0</v>
      </c>
      <c r="Q2032">
        <v>0</v>
      </c>
      <c r="R2032">
        <v>9</v>
      </c>
      <c r="S2032">
        <v>63</v>
      </c>
      <c r="V2032">
        <v>1</v>
      </c>
      <c r="W2032">
        <v>753</v>
      </c>
    </row>
    <row r="2033" spans="1:23" x14ac:dyDescent="0.25">
      <c r="H2033" t="s">
        <v>3651</v>
      </c>
    </row>
    <row r="2034" spans="1:23" x14ac:dyDescent="0.25">
      <c r="A2034">
        <v>1014</v>
      </c>
      <c r="B2034">
        <v>2542</v>
      </c>
      <c r="C2034" t="s">
        <v>3261</v>
      </c>
      <c r="D2034" t="s">
        <v>3652</v>
      </c>
      <c r="E2034" t="s">
        <v>37</v>
      </c>
      <c r="F2034" t="s">
        <v>3653</v>
      </c>
      <c r="G2034" t="str">
        <f>"201502002321"</f>
        <v>201502002321</v>
      </c>
      <c r="H2034" t="s">
        <v>3654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0</v>
      </c>
      <c r="P2034">
        <v>0</v>
      </c>
      <c r="Q2034">
        <v>0</v>
      </c>
      <c r="R2034">
        <v>0</v>
      </c>
      <c r="S2034">
        <v>0</v>
      </c>
      <c r="V2034">
        <v>1</v>
      </c>
      <c r="W2034" t="s">
        <v>3654</v>
      </c>
    </row>
    <row r="2035" spans="1:23" x14ac:dyDescent="0.25">
      <c r="H2035" t="s">
        <v>3655</v>
      </c>
    </row>
    <row r="2036" spans="1:23" x14ac:dyDescent="0.25">
      <c r="A2036">
        <v>1015</v>
      </c>
      <c r="B2036">
        <v>5995</v>
      </c>
      <c r="C2036" t="s">
        <v>343</v>
      </c>
      <c r="D2036" t="s">
        <v>3656</v>
      </c>
      <c r="E2036" t="s">
        <v>218</v>
      </c>
      <c r="F2036" t="s">
        <v>3657</v>
      </c>
      <c r="G2036" t="str">
        <f>"00102105"</f>
        <v>00102105</v>
      </c>
      <c r="H2036" t="s">
        <v>794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0</v>
      </c>
      <c r="P2036">
        <v>0</v>
      </c>
      <c r="Q2036">
        <v>0</v>
      </c>
      <c r="R2036">
        <v>0</v>
      </c>
      <c r="S2036">
        <v>0</v>
      </c>
      <c r="V2036">
        <v>1</v>
      </c>
      <c r="W2036" t="s">
        <v>794</v>
      </c>
    </row>
    <row r="2037" spans="1:23" x14ac:dyDescent="0.25">
      <c r="H2037" t="s">
        <v>3658</v>
      </c>
    </row>
    <row r="2038" spans="1:23" x14ac:dyDescent="0.25">
      <c r="A2038">
        <v>1016</v>
      </c>
      <c r="B2038">
        <v>4411</v>
      </c>
      <c r="C2038" t="s">
        <v>3659</v>
      </c>
      <c r="D2038" t="s">
        <v>513</v>
      </c>
      <c r="E2038" t="s">
        <v>229</v>
      </c>
      <c r="F2038" t="s">
        <v>3660</v>
      </c>
      <c r="G2038" t="str">
        <f>"201511010896"</f>
        <v>201511010896</v>
      </c>
      <c r="H2038" t="s">
        <v>1101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0</v>
      </c>
      <c r="P2038">
        <v>0</v>
      </c>
      <c r="Q2038">
        <v>0</v>
      </c>
      <c r="R2038">
        <v>12</v>
      </c>
      <c r="S2038">
        <v>84</v>
      </c>
      <c r="V2038">
        <v>1</v>
      </c>
      <c r="W2038" t="s">
        <v>3661</v>
      </c>
    </row>
    <row r="2039" spans="1:23" x14ac:dyDescent="0.25">
      <c r="H2039" t="s">
        <v>3662</v>
      </c>
    </row>
    <row r="2040" spans="1:23" x14ac:dyDescent="0.25">
      <c r="A2040">
        <v>1017</v>
      </c>
      <c r="B2040">
        <v>2077</v>
      </c>
      <c r="C2040" t="s">
        <v>3663</v>
      </c>
      <c r="D2040" t="s">
        <v>51</v>
      </c>
      <c r="E2040" t="s">
        <v>3664</v>
      </c>
      <c r="F2040" t="s">
        <v>3665</v>
      </c>
      <c r="G2040" t="str">
        <f>"00050907"</f>
        <v>00050907</v>
      </c>
      <c r="H2040">
        <v>748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0</v>
      </c>
      <c r="P2040">
        <v>0</v>
      </c>
      <c r="Q2040">
        <v>0</v>
      </c>
      <c r="R2040">
        <v>0</v>
      </c>
      <c r="S2040">
        <v>0</v>
      </c>
      <c r="V2040">
        <v>1</v>
      </c>
      <c r="W2040">
        <v>748</v>
      </c>
    </row>
    <row r="2041" spans="1:23" x14ac:dyDescent="0.25">
      <c r="H2041" t="s">
        <v>3666</v>
      </c>
    </row>
    <row r="2042" spans="1:23" x14ac:dyDescent="0.25">
      <c r="A2042">
        <v>1018</v>
      </c>
      <c r="B2042">
        <v>10062</v>
      </c>
      <c r="C2042" t="s">
        <v>713</v>
      </c>
      <c r="D2042" t="s">
        <v>513</v>
      </c>
      <c r="E2042" t="s">
        <v>62</v>
      </c>
      <c r="F2042" t="s">
        <v>3667</v>
      </c>
      <c r="G2042" t="str">
        <f>"00041494"</f>
        <v>00041494</v>
      </c>
      <c r="H2042">
        <v>748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0</v>
      </c>
      <c r="O2042">
        <v>0</v>
      </c>
      <c r="P2042">
        <v>0</v>
      </c>
      <c r="Q2042">
        <v>0</v>
      </c>
      <c r="R2042">
        <v>0</v>
      </c>
      <c r="S2042">
        <v>0</v>
      </c>
      <c r="V2042">
        <v>1</v>
      </c>
      <c r="W2042">
        <v>748</v>
      </c>
    </row>
    <row r="2043" spans="1:23" x14ac:dyDescent="0.25">
      <c r="H2043" t="s">
        <v>3668</v>
      </c>
    </row>
    <row r="2044" spans="1:23" x14ac:dyDescent="0.25">
      <c r="A2044">
        <v>1019</v>
      </c>
      <c r="B2044">
        <v>4997</v>
      </c>
      <c r="C2044" t="s">
        <v>2392</v>
      </c>
      <c r="D2044" t="s">
        <v>229</v>
      </c>
      <c r="E2044" t="s">
        <v>80</v>
      </c>
      <c r="F2044" t="s">
        <v>3669</v>
      </c>
      <c r="G2044" t="str">
        <f>"00028050"</f>
        <v>00028050</v>
      </c>
      <c r="H2044">
        <v>704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0</v>
      </c>
      <c r="P2044">
        <v>0</v>
      </c>
      <c r="Q2044">
        <v>0</v>
      </c>
      <c r="R2044">
        <v>6</v>
      </c>
      <c r="S2044">
        <v>42</v>
      </c>
      <c r="V2044">
        <v>1</v>
      </c>
      <c r="W2044">
        <v>746</v>
      </c>
    </row>
    <row r="2045" spans="1:23" x14ac:dyDescent="0.25">
      <c r="H2045" t="s">
        <v>3670</v>
      </c>
    </row>
    <row r="2046" spans="1:23" x14ac:dyDescent="0.25">
      <c r="A2046">
        <v>1020</v>
      </c>
      <c r="B2046">
        <v>1124</v>
      </c>
      <c r="C2046" t="s">
        <v>3671</v>
      </c>
      <c r="D2046" t="s">
        <v>3672</v>
      </c>
      <c r="E2046" t="s">
        <v>158</v>
      </c>
      <c r="F2046" t="s">
        <v>3673</v>
      </c>
      <c r="G2046" t="str">
        <f>"201511030822"</f>
        <v>201511030822</v>
      </c>
      <c r="H2046">
        <v>715</v>
      </c>
      <c r="I2046">
        <v>0</v>
      </c>
      <c r="J2046">
        <v>30</v>
      </c>
      <c r="K2046">
        <v>0</v>
      </c>
      <c r="L2046">
        <v>0</v>
      </c>
      <c r="M2046">
        <v>0</v>
      </c>
      <c r="N2046">
        <v>0</v>
      </c>
      <c r="O2046">
        <v>0</v>
      </c>
      <c r="P2046">
        <v>0</v>
      </c>
      <c r="Q2046">
        <v>0</v>
      </c>
      <c r="R2046">
        <v>0</v>
      </c>
      <c r="S2046">
        <v>0</v>
      </c>
      <c r="V2046">
        <v>1</v>
      </c>
      <c r="W2046">
        <v>745</v>
      </c>
    </row>
    <row r="2047" spans="1:23" x14ac:dyDescent="0.25">
      <c r="H2047" t="s">
        <v>310</v>
      </c>
    </row>
    <row r="2048" spans="1:23" x14ac:dyDescent="0.25">
      <c r="A2048">
        <v>1021</v>
      </c>
      <c r="B2048">
        <v>9880</v>
      </c>
      <c r="C2048" t="s">
        <v>3674</v>
      </c>
      <c r="D2048" t="s">
        <v>427</v>
      </c>
      <c r="E2048" t="s">
        <v>284</v>
      </c>
      <c r="F2048" t="s">
        <v>3675</v>
      </c>
      <c r="G2048" t="str">
        <f>"201511024765"</f>
        <v>201511024765</v>
      </c>
      <c r="H2048">
        <v>715</v>
      </c>
      <c r="I2048">
        <v>0</v>
      </c>
      <c r="J2048">
        <v>30</v>
      </c>
      <c r="K2048">
        <v>0</v>
      </c>
      <c r="L2048">
        <v>0</v>
      </c>
      <c r="M2048">
        <v>0</v>
      </c>
      <c r="N2048">
        <v>0</v>
      </c>
      <c r="O2048">
        <v>0</v>
      </c>
      <c r="P2048">
        <v>0</v>
      </c>
      <c r="Q2048">
        <v>0</v>
      </c>
      <c r="R2048">
        <v>0</v>
      </c>
      <c r="S2048">
        <v>0</v>
      </c>
      <c r="V2048">
        <v>1</v>
      </c>
      <c r="W2048">
        <v>745</v>
      </c>
    </row>
    <row r="2049" spans="1:23" x14ac:dyDescent="0.25">
      <c r="H2049">
        <v>816</v>
      </c>
    </row>
    <row r="2050" spans="1:23" x14ac:dyDescent="0.25">
      <c r="A2050">
        <v>1022</v>
      </c>
      <c r="B2050">
        <v>9531</v>
      </c>
      <c r="C2050" t="s">
        <v>3676</v>
      </c>
      <c r="D2050" t="s">
        <v>122</v>
      </c>
      <c r="E2050" t="s">
        <v>276</v>
      </c>
      <c r="F2050" t="s">
        <v>3677</v>
      </c>
      <c r="G2050" t="str">
        <f>"201505000393"</f>
        <v>201505000393</v>
      </c>
      <c r="H2050" t="s">
        <v>829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0</v>
      </c>
      <c r="P2050">
        <v>0</v>
      </c>
      <c r="Q2050">
        <v>0</v>
      </c>
      <c r="R2050">
        <v>0</v>
      </c>
      <c r="S2050">
        <v>0</v>
      </c>
      <c r="V2050">
        <v>1</v>
      </c>
      <c r="W2050" t="s">
        <v>829</v>
      </c>
    </row>
    <row r="2051" spans="1:23" x14ac:dyDescent="0.25">
      <c r="H2051" t="s">
        <v>3678</v>
      </c>
    </row>
    <row r="2052" spans="1:23" x14ac:dyDescent="0.25">
      <c r="A2052">
        <v>1023</v>
      </c>
      <c r="B2052">
        <v>4551</v>
      </c>
      <c r="C2052" t="s">
        <v>3679</v>
      </c>
      <c r="D2052" t="s">
        <v>3680</v>
      </c>
      <c r="E2052" t="s">
        <v>3681</v>
      </c>
      <c r="F2052" t="s">
        <v>3682</v>
      </c>
      <c r="G2052" t="str">
        <f>"00088242"</f>
        <v>00088242</v>
      </c>
      <c r="H2052" t="s">
        <v>829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v>0</v>
      </c>
      <c r="P2052">
        <v>0</v>
      </c>
      <c r="Q2052">
        <v>0</v>
      </c>
      <c r="R2052">
        <v>0</v>
      </c>
      <c r="S2052">
        <v>0</v>
      </c>
      <c r="V2052">
        <v>1</v>
      </c>
      <c r="W2052" t="s">
        <v>829</v>
      </c>
    </row>
    <row r="2053" spans="1:23" x14ac:dyDescent="0.25">
      <c r="H2053" t="s">
        <v>3683</v>
      </c>
    </row>
    <row r="2054" spans="1:23" x14ac:dyDescent="0.25">
      <c r="A2054">
        <v>1024</v>
      </c>
      <c r="B2054">
        <v>6650</v>
      </c>
      <c r="C2054" t="s">
        <v>3684</v>
      </c>
      <c r="D2054" t="s">
        <v>157</v>
      </c>
      <c r="E2054" t="s">
        <v>57</v>
      </c>
      <c r="F2054" t="s">
        <v>3685</v>
      </c>
      <c r="G2054" t="str">
        <f>"00092111"</f>
        <v>00092111</v>
      </c>
      <c r="H2054" t="s">
        <v>3686</v>
      </c>
      <c r="I2054">
        <v>0</v>
      </c>
      <c r="J2054">
        <v>30</v>
      </c>
      <c r="K2054">
        <v>0</v>
      </c>
      <c r="L2054">
        <v>0</v>
      </c>
      <c r="M2054">
        <v>0</v>
      </c>
      <c r="N2054">
        <v>0</v>
      </c>
      <c r="O2054">
        <v>0</v>
      </c>
      <c r="P2054">
        <v>0</v>
      </c>
      <c r="Q2054">
        <v>0</v>
      </c>
      <c r="R2054">
        <v>0</v>
      </c>
      <c r="S2054">
        <v>0</v>
      </c>
      <c r="V2054">
        <v>1</v>
      </c>
      <c r="W2054" t="s">
        <v>3687</v>
      </c>
    </row>
    <row r="2055" spans="1:23" x14ac:dyDescent="0.25">
      <c r="H2055" t="s">
        <v>3688</v>
      </c>
    </row>
    <row r="2056" spans="1:23" x14ac:dyDescent="0.25">
      <c r="A2056">
        <v>1025</v>
      </c>
      <c r="B2056">
        <v>2468</v>
      </c>
      <c r="C2056" t="s">
        <v>2828</v>
      </c>
      <c r="D2056" t="s">
        <v>611</v>
      </c>
      <c r="E2056" t="s">
        <v>37</v>
      </c>
      <c r="F2056" t="s">
        <v>3689</v>
      </c>
      <c r="G2056" t="str">
        <f>"201511009221"</f>
        <v>201511009221</v>
      </c>
      <c r="H2056" t="s">
        <v>3690</v>
      </c>
      <c r="I2056">
        <v>150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0</v>
      </c>
      <c r="P2056">
        <v>0</v>
      </c>
      <c r="Q2056">
        <v>0</v>
      </c>
      <c r="R2056">
        <v>0</v>
      </c>
      <c r="S2056">
        <v>0</v>
      </c>
      <c r="V2056">
        <v>1</v>
      </c>
      <c r="W2056" t="s">
        <v>3691</v>
      </c>
    </row>
    <row r="2057" spans="1:23" x14ac:dyDescent="0.25">
      <c r="H2057" t="s">
        <v>3692</v>
      </c>
    </row>
    <row r="2058" spans="1:23" x14ac:dyDescent="0.25">
      <c r="A2058">
        <v>1026</v>
      </c>
      <c r="B2058">
        <v>3167</v>
      </c>
      <c r="C2058" t="s">
        <v>3693</v>
      </c>
      <c r="D2058" t="s">
        <v>3694</v>
      </c>
      <c r="E2058" t="s">
        <v>56</v>
      </c>
      <c r="F2058" t="s">
        <v>3695</v>
      </c>
      <c r="G2058" t="str">
        <f>"00079403"</f>
        <v>00079403</v>
      </c>
      <c r="H2058">
        <v>737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0</v>
      </c>
      <c r="S2058">
        <v>0</v>
      </c>
      <c r="V2058">
        <v>3</v>
      </c>
      <c r="W2058">
        <v>737</v>
      </c>
    </row>
    <row r="2059" spans="1:23" x14ac:dyDescent="0.25">
      <c r="H2059" t="s">
        <v>3696</v>
      </c>
    </row>
    <row r="2060" spans="1:23" x14ac:dyDescent="0.25">
      <c r="A2060">
        <v>1027</v>
      </c>
      <c r="B2060">
        <v>1938</v>
      </c>
      <c r="C2060" t="s">
        <v>3697</v>
      </c>
      <c r="D2060" t="s">
        <v>103</v>
      </c>
      <c r="E2060" t="s">
        <v>3698</v>
      </c>
      <c r="F2060" t="s">
        <v>3699</v>
      </c>
      <c r="G2060" t="str">
        <f>"00087203"</f>
        <v>00087203</v>
      </c>
      <c r="H2060" t="s">
        <v>3700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0</v>
      </c>
      <c r="P2060">
        <v>0</v>
      </c>
      <c r="Q2060">
        <v>0</v>
      </c>
      <c r="R2060">
        <v>0</v>
      </c>
      <c r="S2060">
        <v>0</v>
      </c>
      <c r="V2060">
        <v>1</v>
      </c>
      <c r="W2060" t="s">
        <v>3700</v>
      </c>
    </row>
    <row r="2061" spans="1:23" x14ac:dyDescent="0.25">
      <c r="H2061" t="s">
        <v>3701</v>
      </c>
    </row>
    <row r="2062" spans="1:23" x14ac:dyDescent="0.25">
      <c r="A2062">
        <v>1028</v>
      </c>
      <c r="B2062">
        <v>748</v>
      </c>
      <c r="C2062" t="s">
        <v>3702</v>
      </c>
      <c r="D2062" t="s">
        <v>681</v>
      </c>
      <c r="E2062" t="s">
        <v>299</v>
      </c>
      <c r="F2062" t="s">
        <v>3703</v>
      </c>
      <c r="G2062" t="str">
        <f>"00018198"</f>
        <v>00018198</v>
      </c>
      <c r="H2062">
        <v>693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0</v>
      </c>
      <c r="P2062">
        <v>0</v>
      </c>
      <c r="Q2062">
        <v>0</v>
      </c>
      <c r="R2062">
        <v>6</v>
      </c>
      <c r="S2062">
        <v>42</v>
      </c>
      <c r="V2062">
        <v>1</v>
      </c>
      <c r="W2062">
        <v>735</v>
      </c>
    </row>
    <row r="2063" spans="1:23" x14ac:dyDescent="0.25">
      <c r="H2063">
        <v>876</v>
      </c>
    </row>
    <row r="2064" spans="1:23" x14ac:dyDescent="0.25">
      <c r="A2064">
        <v>1029</v>
      </c>
      <c r="B2064">
        <v>9610</v>
      </c>
      <c r="C2064" t="s">
        <v>3704</v>
      </c>
      <c r="D2064" t="s">
        <v>202</v>
      </c>
      <c r="E2064" t="s">
        <v>184</v>
      </c>
      <c r="F2064" t="s">
        <v>3705</v>
      </c>
      <c r="G2064" t="str">
        <f>"00089371"</f>
        <v>00089371</v>
      </c>
      <c r="H2064">
        <v>605</v>
      </c>
      <c r="I2064">
        <v>0</v>
      </c>
      <c r="J2064">
        <v>30</v>
      </c>
      <c r="K2064">
        <v>0</v>
      </c>
      <c r="L2064">
        <v>0</v>
      </c>
      <c r="M2064">
        <v>0</v>
      </c>
      <c r="N2064">
        <v>0</v>
      </c>
      <c r="O2064">
        <v>0</v>
      </c>
      <c r="P2064">
        <v>0</v>
      </c>
      <c r="Q2064">
        <v>0</v>
      </c>
      <c r="R2064">
        <v>14</v>
      </c>
      <c r="S2064">
        <v>98</v>
      </c>
      <c r="V2064">
        <v>1</v>
      </c>
      <c r="W2064">
        <v>733</v>
      </c>
    </row>
    <row r="2065" spans="1:23" x14ac:dyDescent="0.25">
      <c r="H2065" t="s">
        <v>3706</v>
      </c>
    </row>
    <row r="2066" spans="1:23" x14ac:dyDescent="0.25">
      <c r="A2066">
        <v>1030</v>
      </c>
      <c r="B2066">
        <v>6777</v>
      </c>
      <c r="C2066" t="s">
        <v>3707</v>
      </c>
      <c r="D2066" t="s">
        <v>1675</v>
      </c>
      <c r="E2066" t="s">
        <v>3708</v>
      </c>
      <c r="F2066" t="s">
        <v>3709</v>
      </c>
      <c r="G2066" t="str">
        <f>"201511036719"</f>
        <v>201511036719</v>
      </c>
      <c r="H2066">
        <v>660</v>
      </c>
      <c r="I2066">
        <v>0</v>
      </c>
      <c r="J2066">
        <v>30</v>
      </c>
      <c r="K2066">
        <v>0</v>
      </c>
      <c r="L2066">
        <v>0</v>
      </c>
      <c r="M2066">
        <v>0</v>
      </c>
      <c r="N2066">
        <v>0</v>
      </c>
      <c r="O2066">
        <v>0</v>
      </c>
      <c r="P2066">
        <v>0</v>
      </c>
      <c r="Q2066">
        <v>0</v>
      </c>
      <c r="R2066">
        <v>6</v>
      </c>
      <c r="S2066">
        <v>42</v>
      </c>
      <c r="V2066">
        <v>1</v>
      </c>
      <c r="W2066">
        <v>732</v>
      </c>
    </row>
    <row r="2067" spans="1:23" x14ac:dyDescent="0.25">
      <c r="H2067" t="s">
        <v>472</v>
      </c>
    </row>
    <row r="2068" spans="1:23" x14ac:dyDescent="0.25">
      <c r="A2068">
        <v>1031</v>
      </c>
      <c r="B2068">
        <v>5345</v>
      </c>
      <c r="C2068" t="s">
        <v>3710</v>
      </c>
      <c r="D2068" t="s">
        <v>80</v>
      </c>
      <c r="E2068" t="s">
        <v>154</v>
      </c>
      <c r="F2068" t="s">
        <v>3711</v>
      </c>
      <c r="G2068" t="str">
        <f>"201511015763"</f>
        <v>201511015763</v>
      </c>
      <c r="H2068" t="s">
        <v>476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0</v>
      </c>
      <c r="P2068">
        <v>0</v>
      </c>
      <c r="Q2068">
        <v>0</v>
      </c>
      <c r="R2068">
        <v>0</v>
      </c>
      <c r="S2068">
        <v>0</v>
      </c>
      <c r="V2068">
        <v>1</v>
      </c>
      <c r="W2068" t="s">
        <v>476</v>
      </c>
    </row>
    <row r="2069" spans="1:23" x14ac:dyDescent="0.25">
      <c r="H2069" t="s">
        <v>3712</v>
      </c>
    </row>
    <row r="2070" spans="1:23" x14ac:dyDescent="0.25">
      <c r="A2070">
        <v>1032</v>
      </c>
      <c r="B2070">
        <v>3003</v>
      </c>
      <c r="C2070" t="s">
        <v>2204</v>
      </c>
      <c r="D2070" t="s">
        <v>916</v>
      </c>
      <c r="E2070" t="s">
        <v>229</v>
      </c>
      <c r="F2070" t="s">
        <v>3713</v>
      </c>
      <c r="G2070" t="str">
        <f>"201511013587"</f>
        <v>201511013587</v>
      </c>
      <c r="H2070" t="s">
        <v>476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0</v>
      </c>
      <c r="P2070">
        <v>0</v>
      </c>
      <c r="Q2070">
        <v>0</v>
      </c>
      <c r="R2070">
        <v>0</v>
      </c>
      <c r="S2070">
        <v>0</v>
      </c>
      <c r="V2070">
        <v>1</v>
      </c>
      <c r="W2070" t="s">
        <v>476</v>
      </c>
    </row>
    <row r="2071" spans="1:23" x14ac:dyDescent="0.25">
      <c r="H2071" t="s">
        <v>3714</v>
      </c>
    </row>
    <row r="2072" spans="1:23" x14ac:dyDescent="0.25">
      <c r="A2072">
        <v>1033</v>
      </c>
      <c r="B2072">
        <v>6407</v>
      </c>
      <c r="C2072" t="s">
        <v>3715</v>
      </c>
      <c r="D2072" t="s">
        <v>172</v>
      </c>
      <c r="E2072" t="s">
        <v>158</v>
      </c>
      <c r="F2072" t="s">
        <v>3716</v>
      </c>
      <c r="G2072" t="str">
        <f>"00068535"</f>
        <v>00068535</v>
      </c>
      <c r="H2072" t="s">
        <v>476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0</v>
      </c>
      <c r="P2072">
        <v>0</v>
      </c>
      <c r="Q2072">
        <v>0</v>
      </c>
      <c r="R2072">
        <v>0</v>
      </c>
      <c r="S2072">
        <v>0</v>
      </c>
      <c r="V2072">
        <v>1</v>
      </c>
      <c r="W2072" t="s">
        <v>476</v>
      </c>
    </row>
    <row r="2073" spans="1:23" x14ac:dyDescent="0.25">
      <c r="H2073" t="s">
        <v>3717</v>
      </c>
    </row>
    <row r="2074" spans="1:23" x14ac:dyDescent="0.25">
      <c r="A2074">
        <v>1034</v>
      </c>
      <c r="B2074">
        <v>10043</v>
      </c>
      <c r="C2074" t="s">
        <v>3718</v>
      </c>
      <c r="D2074" t="s">
        <v>351</v>
      </c>
      <c r="E2074" t="s">
        <v>37</v>
      </c>
      <c r="F2074" t="s">
        <v>3719</v>
      </c>
      <c r="G2074" t="str">
        <f>"00084044"</f>
        <v>00084044</v>
      </c>
      <c r="H2074" t="s">
        <v>1299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0</v>
      </c>
      <c r="P2074">
        <v>0</v>
      </c>
      <c r="Q2074">
        <v>0</v>
      </c>
      <c r="R2074">
        <v>0</v>
      </c>
      <c r="S2074">
        <v>0</v>
      </c>
      <c r="V2074">
        <v>1</v>
      </c>
      <c r="W2074" t="s">
        <v>1299</v>
      </c>
    </row>
    <row r="2075" spans="1:23" x14ac:dyDescent="0.25">
      <c r="H2075" t="s">
        <v>3720</v>
      </c>
    </row>
    <row r="2076" spans="1:23" x14ac:dyDescent="0.25">
      <c r="A2076">
        <v>1035</v>
      </c>
      <c r="B2076">
        <v>6847</v>
      </c>
      <c r="C2076" t="s">
        <v>3721</v>
      </c>
      <c r="D2076" t="s">
        <v>3722</v>
      </c>
      <c r="E2076" t="s">
        <v>276</v>
      </c>
      <c r="F2076" t="s">
        <v>3723</v>
      </c>
      <c r="G2076" t="str">
        <f>"00040258"</f>
        <v>00040258</v>
      </c>
      <c r="H2076">
        <v>726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0</v>
      </c>
      <c r="S2076">
        <v>0</v>
      </c>
      <c r="V2076">
        <v>1</v>
      </c>
      <c r="W2076">
        <v>726</v>
      </c>
    </row>
    <row r="2077" spans="1:23" x14ac:dyDescent="0.25">
      <c r="H2077" t="s">
        <v>3724</v>
      </c>
    </row>
    <row r="2078" spans="1:23" x14ac:dyDescent="0.25">
      <c r="A2078">
        <v>1036</v>
      </c>
      <c r="B2078">
        <v>9005</v>
      </c>
      <c r="C2078" t="s">
        <v>3725</v>
      </c>
      <c r="D2078" t="s">
        <v>513</v>
      </c>
      <c r="E2078" t="s">
        <v>37</v>
      </c>
      <c r="F2078" t="s">
        <v>3726</v>
      </c>
      <c r="G2078" t="str">
        <f>"201510001156"</f>
        <v>201510001156</v>
      </c>
      <c r="H2078" t="s">
        <v>893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0</v>
      </c>
      <c r="P2078">
        <v>0</v>
      </c>
      <c r="Q2078">
        <v>0</v>
      </c>
      <c r="R2078">
        <v>0</v>
      </c>
      <c r="S2078">
        <v>0</v>
      </c>
      <c r="V2078">
        <v>1</v>
      </c>
      <c r="W2078" t="s">
        <v>893</v>
      </c>
    </row>
    <row r="2079" spans="1:23" x14ac:dyDescent="0.25">
      <c r="H2079" t="s">
        <v>3727</v>
      </c>
    </row>
    <row r="2080" spans="1:23" x14ac:dyDescent="0.25">
      <c r="A2080">
        <v>1037</v>
      </c>
      <c r="B2080">
        <v>8773</v>
      </c>
      <c r="C2080" t="s">
        <v>1936</v>
      </c>
      <c r="D2080" t="s">
        <v>96</v>
      </c>
      <c r="E2080" t="s">
        <v>37</v>
      </c>
      <c r="F2080" t="s">
        <v>3627</v>
      </c>
      <c r="G2080" t="str">
        <f>"201511007293"</f>
        <v>201511007293</v>
      </c>
      <c r="H2080" t="s">
        <v>3628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0</v>
      </c>
      <c r="P2080">
        <v>0</v>
      </c>
      <c r="Q2080">
        <v>0</v>
      </c>
      <c r="R2080">
        <v>0</v>
      </c>
      <c r="S2080">
        <v>0</v>
      </c>
      <c r="V2080">
        <v>1</v>
      </c>
      <c r="W2080" t="s">
        <v>3628</v>
      </c>
    </row>
    <row r="2081" spans="1:23" x14ac:dyDescent="0.25">
      <c r="H2081" t="s">
        <v>3630</v>
      </c>
    </row>
    <row r="2082" spans="1:23" x14ac:dyDescent="0.25">
      <c r="A2082">
        <v>1038</v>
      </c>
      <c r="B2082">
        <v>3940</v>
      </c>
      <c r="C2082" t="s">
        <v>3728</v>
      </c>
      <c r="D2082" t="s">
        <v>3729</v>
      </c>
      <c r="E2082" t="s">
        <v>129</v>
      </c>
      <c r="F2082" t="s">
        <v>3730</v>
      </c>
      <c r="G2082" t="str">
        <f>"201201000014"</f>
        <v>201201000014</v>
      </c>
      <c r="H2082" t="s">
        <v>906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0</v>
      </c>
      <c r="S2082">
        <v>0</v>
      </c>
      <c r="V2082">
        <v>3</v>
      </c>
      <c r="W2082" t="s">
        <v>906</v>
      </c>
    </row>
    <row r="2083" spans="1:23" x14ac:dyDescent="0.25">
      <c r="H2083" t="s">
        <v>3731</v>
      </c>
    </row>
    <row r="2084" spans="1:23" x14ac:dyDescent="0.25">
      <c r="A2084">
        <v>1039</v>
      </c>
      <c r="B2084">
        <v>8997</v>
      </c>
      <c r="C2084" t="s">
        <v>3732</v>
      </c>
      <c r="D2084" t="s">
        <v>513</v>
      </c>
      <c r="E2084" t="s">
        <v>57</v>
      </c>
      <c r="F2084" t="s">
        <v>3733</v>
      </c>
      <c r="G2084" t="str">
        <f>"201511014117"</f>
        <v>201511014117</v>
      </c>
      <c r="H2084">
        <v>660</v>
      </c>
      <c r="I2084">
        <v>0</v>
      </c>
      <c r="J2084">
        <v>30</v>
      </c>
      <c r="K2084">
        <v>30</v>
      </c>
      <c r="L2084">
        <v>0</v>
      </c>
      <c r="M2084">
        <v>0</v>
      </c>
      <c r="N2084">
        <v>0</v>
      </c>
      <c r="O2084">
        <v>0</v>
      </c>
      <c r="P2084">
        <v>0</v>
      </c>
      <c r="Q2084">
        <v>0</v>
      </c>
      <c r="R2084">
        <v>0</v>
      </c>
      <c r="S2084">
        <v>0</v>
      </c>
      <c r="V2084">
        <v>1</v>
      </c>
      <c r="W2084">
        <v>720</v>
      </c>
    </row>
    <row r="2085" spans="1:23" x14ac:dyDescent="0.25">
      <c r="H2085" t="s">
        <v>3734</v>
      </c>
    </row>
    <row r="2086" spans="1:23" x14ac:dyDescent="0.25">
      <c r="A2086">
        <v>1040</v>
      </c>
      <c r="B2086">
        <v>2117</v>
      </c>
      <c r="C2086" t="s">
        <v>3735</v>
      </c>
      <c r="D2086" t="s">
        <v>275</v>
      </c>
      <c r="E2086" t="s">
        <v>20</v>
      </c>
      <c r="F2086" t="s">
        <v>3736</v>
      </c>
      <c r="G2086" t="str">
        <f>"00030160"</f>
        <v>00030160</v>
      </c>
      <c r="H2086" t="s">
        <v>3737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0</v>
      </c>
      <c r="O2086">
        <v>0</v>
      </c>
      <c r="P2086">
        <v>0</v>
      </c>
      <c r="Q2086">
        <v>0</v>
      </c>
      <c r="R2086">
        <v>0</v>
      </c>
      <c r="S2086">
        <v>0</v>
      </c>
      <c r="V2086">
        <v>1</v>
      </c>
      <c r="W2086" t="s">
        <v>3737</v>
      </c>
    </row>
    <row r="2087" spans="1:23" x14ac:dyDescent="0.25">
      <c r="H2087" t="s">
        <v>310</v>
      </c>
    </row>
    <row r="2088" spans="1:23" x14ac:dyDescent="0.25">
      <c r="A2088">
        <v>1041</v>
      </c>
      <c r="B2088">
        <v>10549</v>
      </c>
      <c r="C2088" t="s">
        <v>691</v>
      </c>
      <c r="D2088" t="s">
        <v>268</v>
      </c>
      <c r="E2088" t="s">
        <v>198</v>
      </c>
      <c r="F2088" t="s">
        <v>3738</v>
      </c>
      <c r="G2088" t="str">
        <f>"201412005918"</f>
        <v>201412005918</v>
      </c>
      <c r="H2088" t="s">
        <v>2817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0</v>
      </c>
      <c r="O2088">
        <v>0</v>
      </c>
      <c r="P2088">
        <v>0</v>
      </c>
      <c r="Q2088">
        <v>0</v>
      </c>
      <c r="R2088">
        <v>3</v>
      </c>
      <c r="S2088">
        <v>21</v>
      </c>
      <c r="V2088">
        <v>1</v>
      </c>
      <c r="W2088" t="s">
        <v>3739</v>
      </c>
    </row>
    <row r="2089" spans="1:23" x14ac:dyDescent="0.25">
      <c r="H2089" t="s">
        <v>3740</v>
      </c>
    </row>
    <row r="2090" spans="1:23" x14ac:dyDescent="0.25">
      <c r="A2090">
        <v>1042</v>
      </c>
      <c r="B2090">
        <v>1644</v>
      </c>
      <c r="C2090" t="s">
        <v>3741</v>
      </c>
      <c r="D2090" t="s">
        <v>1066</v>
      </c>
      <c r="E2090" t="s">
        <v>37</v>
      </c>
      <c r="F2090" t="s">
        <v>3742</v>
      </c>
      <c r="G2090" t="str">
        <f>"00021876"</f>
        <v>00021876</v>
      </c>
      <c r="H2090">
        <v>715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0</v>
      </c>
      <c r="P2090">
        <v>0</v>
      </c>
      <c r="Q2090">
        <v>0</v>
      </c>
      <c r="R2090">
        <v>0</v>
      </c>
      <c r="S2090">
        <v>0</v>
      </c>
      <c r="V2090">
        <v>1</v>
      </c>
      <c r="W2090">
        <v>715</v>
      </c>
    </row>
    <row r="2091" spans="1:23" x14ac:dyDescent="0.25">
      <c r="H2091" t="s">
        <v>3743</v>
      </c>
    </row>
    <row r="2092" spans="1:23" x14ac:dyDescent="0.25">
      <c r="A2092">
        <v>1043</v>
      </c>
      <c r="B2092">
        <v>7190</v>
      </c>
      <c r="C2092" t="s">
        <v>2298</v>
      </c>
      <c r="D2092" t="s">
        <v>276</v>
      </c>
      <c r="E2092" t="s">
        <v>500</v>
      </c>
      <c r="F2092" t="s">
        <v>3744</v>
      </c>
      <c r="G2092" t="str">
        <f>"00002260"</f>
        <v>00002260</v>
      </c>
      <c r="H2092">
        <v>715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0</v>
      </c>
      <c r="O2092">
        <v>0</v>
      </c>
      <c r="P2092">
        <v>0</v>
      </c>
      <c r="Q2092">
        <v>0</v>
      </c>
      <c r="R2092">
        <v>0</v>
      </c>
      <c r="S2092">
        <v>0</v>
      </c>
      <c r="V2092">
        <v>1</v>
      </c>
      <c r="W2092">
        <v>715</v>
      </c>
    </row>
    <row r="2093" spans="1:23" x14ac:dyDescent="0.25">
      <c r="H2093" t="s">
        <v>3745</v>
      </c>
    </row>
    <row r="2094" spans="1:23" x14ac:dyDescent="0.25">
      <c r="A2094">
        <v>1044</v>
      </c>
      <c r="B2094">
        <v>2380</v>
      </c>
      <c r="C2094" t="s">
        <v>797</v>
      </c>
      <c r="D2094" t="s">
        <v>29</v>
      </c>
      <c r="E2094" t="s">
        <v>158</v>
      </c>
      <c r="F2094" t="s">
        <v>3746</v>
      </c>
      <c r="G2094" t="str">
        <f>"201511019378"</f>
        <v>201511019378</v>
      </c>
      <c r="H2094">
        <v>715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0</v>
      </c>
      <c r="P2094">
        <v>0</v>
      </c>
      <c r="Q2094">
        <v>0</v>
      </c>
      <c r="R2094">
        <v>0</v>
      </c>
      <c r="S2094">
        <v>0</v>
      </c>
      <c r="V2094">
        <v>1</v>
      </c>
      <c r="W2094">
        <v>715</v>
      </c>
    </row>
    <row r="2095" spans="1:23" x14ac:dyDescent="0.25">
      <c r="H2095" t="s">
        <v>3747</v>
      </c>
    </row>
    <row r="2096" spans="1:23" x14ac:dyDescent="0.25">
      <c r="A2096">
        <v>1045</v>
      </c>
      <c r="B2096">
        <v>6786</v>
      </c>
      <c r="C2096" t="s">
        <v>3311</v>
      </c>
      <c r="D2096" t="s">
        <v>89</v>
      </c>
      <c r="E2096" t="s">
        <v>509</v>
      </c>
      <c r="F2096" t="s">
        <v>3312</v>
      </c>
      <c r="G2096" t="str">
        <f>"201405000130"</f>
        <v>201405000130</v>
      </c>
      <c r="H2096">
        <v>715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0</v>
      </c>
      <c r="P2096">
        <v>0</v>
      </c>
      <c r="Q2096">
        <v>0</v>
      </c>
      <c r="R2096">
        <v>0</v>
      </c>
      <c r="S2096">
        <v>0</v>
      </c>
      <c r="V2096">
        <v>1</v>
      </c>
      <c r="W2096">
        <v>715</v>
      </c>
    </row>
    <row r="2097" spans="1:23" x14ac:dyDescent="0.25">
      <c r="H2097" t="s">
        <v>3313</v>
      </c>
    </row>
    <row r="2098" spans="1:23" x14ac:dyDescent="0.25">
      <c r="A2098">
        <v>1046</v>
      </c>
      <c r="B2098">
        <v>3941</v>
      </c>
      <c r="C2098" t="s">
        <v>1434</v>
      </c>
      <c r="D2098" t="s">
        <v>3748</v>
      </c>
      <c r="E2098" t="s">
        <v>3749</v>
      </c>
      <c r="F2098" t="s">
        <v>3750</v>
      </c>
      <c r="G2098" t="str">
        <f>"201511019385"</f>
        <v>201511019385</v>
      </c>
      <c r="H2098">
        <v>715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0</v>
      </c>
      <c r="P2098">
        <v>0</v>
      </c>
      <c r="Q2098">
        <v>0</v>
      </c>
      <c r="R2098">
        <v>0</v>
      </c>
      <c r="S2098">
        <v>0</v>
      </c>
      <c r="V2098">
        <v>1</v>
      </c>
      <c r="W2098">
        <v>715</v>
      </c>
    </row>
    <row r="2099" spans="1:23" x14ac:dyDescent="0.25">
      <c r="H2099" t="s">
        <v>3751</v>
      </c>
    </row>
    <row r="2100" spans="1:23" x14ac:dyDescent="0.25">
      <c r="A2100">
        <v>1047</v>
      </c>
      <c r="B2100">
        <v>8775</v>
      </c>
      <c r="C2100" t="s">
        <v>3752</v>
      </c>
      <c r="D2100" t="s">
        <v>157</v>
      </c>
      <c r="E2100" t="s">
        <v>158</v>
      </c>
      <c r="F2100" t="s">
        <v>3753</v>
      </c>
      <c r="G2100" t="str">
        <f>"201101000232"</f>
        <v>201101000232</v>
      </c>
      <c r="H2100">
        <v>715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S2100">
        <v>0</v>
      </c>
      <c r="V2100">
        <v>1</v>
      </c>
      <c r="W2100">
        <v>715</v>
      </c>
    </row>
    <row r="2101" spans="1:23" x14ac:dyDescent="0.25">
      <c r="H2101" t="s">
        <v>3754</v>
      </c>
    </row>
    <row r="2102" spans="1:23" x14ac:dyDescent="0.25">
      <c r="A2102">
        <v>1048</v>
      </c>
      <c r="B2102">
        <v>9392</v>
      </c>
      <c r="C2102" t="s">
        <v>3755</v>
      </c>
      <c r="D2102" t="s">
        <v>2125</v>
      </c>
      <c r="E2102" t="s">
        <v>1067</v>
      </c>
      <c r="F2102" t="s">
        <v>3756</v>
      </c>
      <c r="G2102" t="str">
        <f>"201511036739"</f>
        <v>201511036739</v>
      </c>
      <c r="H2102">
        <v>715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0</v>
      </c>
      <c r="P2102">
        <v>0</v>
      </c>
      <c r="Q2102">
        <v>0</v>
      </c>
      <c r="R2102">
        <v>0</v>
      </c>
      <c r="S2102">
        <v>0</v>
      </c>
      <c r="V2102">
        <v>1</v>
      </c>
      <c r="W2102">
        <v>715</v>
      </c>
    </row>
    <row r="2103" spans="1:23" x14ac:dyDescent="0.25">
      <c r="H2103" t="s">
        <v>3757</v>
      </c>
    </row>
    <row r="2104" spans="1:23" x14ac:dyDescent="0.25">
      <c r="A2104">
        <v>1049</v>
      </c>
      <c r="B2104">
        <v>1267</v>
      </c>
      <c r="C2104" t="s">
        <v>3758</v>
      </c>
      <c r="D2104" t="s">
        <v>681</v>
      </c>
      <c r="E2104" t="s">
        <v>80</v>
      </c>
      <c r="F2104" t="s">
        <v>3759</v>
      </c>
      <c r="G2104" t="str">
        <f>"201511033056"</f>
        <v>201511033056</v>
      </c>
      <c r="H2104" t="s">
        <v>3686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0</v>
      </c>
      <c r="P2104">
        <v>0</v>
      </c>
      <c r="Q2104">
        <v>0</v>
      </c>
      <c r="R2104">
        <v>0</v>
      </c>
      <c r="S2104">
        <v>0</v>
      </c>
      <c r="V2104">
        <v>1</v>
      </c>
      <c r="W2104" t="s">
        <v>3686</v>
      </c>
    </row>
    <row r="2105" spans="1:23" x14ac:dyDescent="0.25">
      <c r="H2105" t="s">
        <v>3760</v>
      </c>
    </row>
    <row r="2106" spans="1:23" x14ac:dyDescent="0.25">
      <c r="A2106">
        <v>1050</v>
      </c>
      <c r="B2106">
        <v>8367</v>
      </c>
      <c r="C2106" t="s">
        <v>797</v>
      </c>
      <c r="D2106" t="s">
        <v>61</v>
      </c>
      <c r="E2106" t="s">
        <v>393</v>
      </c>
      <c r="F2106" t="s">
        <v>3761</v>
      </c>
      <c r="G2106" t="str">
        <f>"00094745"</f>
        <v>00094745</v>
      </c>
      <c r="H2106">
        <v>660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0</v>
      </c>
      <c r="P2106">
        <v>0</v>
      </c>
      <c r="Q2106">
        <v>0</v>
      </c>
      <c r="R2106">
        <v>6</v>
      </c>
      <c r="S2106">
        <v>42</v>
      </c>
      <c r="V2106">
        <v>1</v>
      </c>
      <c r="W2106">
        <v>702</v>
      </c>
    </row>
    <row r="2107" spans="1:23" x14ac:dyDescent="0.25">
      <c r="H2107" t="s">
        <v>3762</v>
      </c>
    </row>
    <row r="2108" spans="1:23" x14ac:dyDescent="0.25">
      <c r="A2108">
        <v>1051</v>
      </c>
      <c r="B2108">
        <v>9083</v>
      </c>
      <c r="C2108" t="s">
        <v>3763</v>
      </c>
      <c r="D2108" t="s">
        <v>3764</v>
      </c>
      <c r="E2108" t="s">
        <v>3765</v>
      </c>
      <c r="F2108" t="s">
        <v>3766</v>
      </c>
      <c r="G2108" t="str">
        <f>"00069400"</f>
        <v>00069400</v>
      </c>
      <c r="H2108">
        <v>660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0</v>
      </c>
      <c r="O2108">
        <v>0</v>
      </c>
      <c r="P2108">
        <v>0</v>
      </c>
      <c r="Q2108">
        <v>0</v>
      </c>
      <c r="R2108">
        <v>6</v>
      </c>
      <c r="S2108">
        <v>42</v>
      </c>
      <c r="V2108">
        <v>1</v>
      </c>
      <c r="W2108">
        <v>702</v>
      </c>
    </row>
    <row r="2109" spans="1:23" x14ac:dyDescent="0.25">
      <c r="H2109">
        <v>830</v>
      </c>
    </row>
    <row r="2110" spans="1:23" x14ac:dyDescent="0.25">
      <c r="A2110">
        <v>1052</v>
      </c>
      <c r="B2110">
        <v>9521</v>
      </c>
      <c r="C2110" t="s">
        <v>3767</v>
      </c>
      <c r="D2110" t="s">
        <v>276</v>
      </c>
      <c r="E2110" t="s">
        <v>284</v>
      </c>
      <c r="F2110" t="s">
        <v>3768</v>
      </c>
      <c r="G2110" t="str">
        <f>"201511008829"</f>
        <v>201511008829</v>
      </c>
      <c r="H2110" t="s">
        <v>3769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0</v>
      </c>
      <c r="P2110">
        <v>0</v>
      </c>
      <c r="Q2110">
        <v>0</v>
      </c>
      <c r="R2110">
        <v>19</v>
      </c>
      <c r="S2110">
        <v>133</v>
      </c>
      <c r="V2110">
        <v>1</v>
      </c>
      <c r="W2110" t="s">
        <v>3770</v>
      </c>
    </row>
    <row r="2111" spans="1:23" x14ac:dyDescent="0.25">
      <c r="H2111" t="s">
        <v>472</v>
      </c>
    </row>
    <row r="2112" spans="1:23" x14ac:dyDescent="0.25">
      <c r="A2112">
        <v>1053</v>
      </c>
      <c r="B2112">
        <v>6372</v>
      </c>
      <c r="C2112" t="s">
        <v>429</v>
      </c>
      <c r="D2112" t="s">
        <v>275</v>
      </c>
      <c r="E2112" t="s">
        <v>37</v>
      </c>
      <c r="F2112" t="s">
        <v>3771</v>
      </c>
      <c r="G2112" t="str">
        <f>"00090395"</f>
        <v>00090395</v>
      </c>
      <c r="H2112" t="s">
        <v>3772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0</v>
      </c>
      <c r="P2112">
        <v>0</v>
      </c>
      <c r="Q2112">
        <v>0</v>
      </c>
      <c r="R2112">
        <v>0</v>
      </c>
      <c r="S2112">
        <v>0</v>
      </c>
      <c r="V2112">
        <v>1</v>
      </c>
      <c r="W2112" t="s">
        <v>3772</v>
      </c>
    </row>
    <row r="2113" spans="1:23" x14ac:dyDescent="0.25">
      <c r="H2113">
        <v>818</v>
      </c>
    </row>
    <row r="2114" spans="1:23" x14ac:dyDescent="0.25">
      <c r="A2114">
        <v>1054</v>
      </c>
      <c r="B2114">
        <v>3276</v>
      </c>
      <c r="C2114" t="s">
        <v>3773</v>
      </c>
      <c r="D2114" t="s">
        <v>3774</v>
      </c>
      <c r="E2114" t="s">
        <v>3775</v>
      </c>
      <c r="F2114" t="s">
        <v>3776</v>
      </c>
      <c r="G2114" t="str">
        <f>"00023105"</f>
        <v>00023105</v>
      </c>
      <c r="H2114" t="s">
        <v>3777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0</v>
      </c>
      <c r="P2114">
        <v>0</v>
      </c>
      <c r="Q2114">
        <v>0</v>
      </c>
      <c r="R2114">
        <v>6</v>
      </c>
      <c r="S2114">
        <v>42</v>
      </c>
      <c r="V2114">
        <v>1</v>
      </c>
      <c r="W2114" t="s">
        <v>3778</v>
      </c>
    </row>
    <row r="2115" spans="1:23" x14ac:dyDescent="0.25">
      <c r="H2115" t="s">
        <v>3779</v>
      </c>
    </row>
    <row r="2116" spans="1:23" x14ac:dyDescent="0.25">
      <c r="A2116">
        <v>1055</v>
      </c>
      <c r="B2116">
        <v>1612</v>
      </c>
      <c r="C2116" t="s">
        <v>3780</v>
      </c>
      <c r="D2116" t="s">
        <v>392</v>
      </c>
      <c r="E2116" t="s">
        <v>664</v>
      </c>
      <c r="F2116" t="s">
        <v>3781</v>
      </c>
      <c r="G2116" t="str">
        <f>"201511033205"</f>
        <v>201511033205</v>
      </c>
      <c r="H2116">
        <v>660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0</v>
      </c>
      <c r="P2116">
        <v>0</v>
      </c>
      <c r="Q2116">
        <v>0</v>
      </c>
      <c r="R2116">
        <v>5</v>
      </c>
      <c r="S2116">
        <v>35</v>
      </c>
      <c r="V2116">
        <v>1</v>
      </c>
      <c r="W2116">
        <v>695</v>
      </c>
    </row>
    <row r="2117" spans="1:23" x14ac:dyDescent="0.25">
      <c r="H2117" t="s">
        <v>3782</v>
      </c>
    </row>
    <row r="2118" spans="1:23" x14ac:dyDescent="0.25">
      <c r="A2118">
        <v>1056</v>
      </c>
      <c r="B2118">
        <v>4407</v>
      </c>
      <c r="C2118" t="s">
        <v>3783</v>
      </c>
      <c r="D2118" t="s">
        <v>183</v>
      </c>
      <c r="E2118" t="s">
        <v>191</v>
      </c>
      <c r="F2118" t="s">
        <v>3784</v>
      </c>
      <c r="G2118" t="str">
        <f>"00042614"</f>
        <v>00042614</v>
      </c>
      <c r="H2118" t="s">
        <v>3785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0</v>
      </c>
      <c r="P2118">
        <v>0</v>
      </c>
      <c r="Q2118">
        <v>0</v>
      </c>
      <c r="R2118">
        <v>0</v>
      </c>
      <c r="S2118">
        <v>0</v>
      </c>
      <c r="V2118">
        <v>1</v>
      </c>
      <c r="W2118" t="s">
        <v>3785</v>
      </c>
    </row>
    <row r="2119" spans="1:23" x14ac:dyDescent="0.25">
      <c r="H2119" t="s">
        <v>3786</v>
      </c>
    </row>
    <row r="2120" spans="1:23" x14ac:dyDescent="0.25">
      <c r="A2120">
        <v>1057</v>
      </c>
      <c r="B2120">
        <v>10340</v>
      </c>
      <c r="C2120" t="s">
        <v>659</v>
      </c>
      <c r="D2120" t="s">
        <v>3787</v>
      </c>
      <c r="E2120" t="s">
        <v>3051</v>
      </c>
      <c r="F2120" t="s">
        <v>3788</v>
      </c>
      <c r="G2120" t="str">
        <f>"00017898"</f>
        <v>00017898</v>
      </c>
      <c r="H2120">
        <v>693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0</v>
      </c>
      <c r="P2120">
        <v>0</v>
      </c>
      <c r="Q2120">
        <v>0</v>
      </c>
      <c r="R2120">
        <v>0</v>
      </c>
      <c r="S2120">
        <v>0</v>
      </c>
      <c r="V2120">
        <v>1</v>
      </c>
      <c r="W2120">
        <v>693</v>
      </c>
    </row>
    <row r="2121" spans="1:23" x14ac:dyDescent="0.25">
      <c r="H2121" t="s">
        <v>3789</v>
      </c>
    </row>
    <row r="2122" spans="1:23" x14ac:dyDescent="0.25">
      <c r="A2122">
        <v>1058</v>
      </c>
      <c r="B2122">
        <v>4070</v>
      </c>
      <c r="C2122" t="s">
        <v>2600</v>
      </c>
      <c r="D2122" t="s">
        <v>51</v>
      </c>
      <c r="E2122" t="s">
        <v>56</v>
      </c>
      <c r="F2122" t="s">
        <v>3790</v>
      </c>
      <c r="G2122" t="str">
        <f>"201511041959"</f>
        <v>201511041959</v>
      </c>
      <c r="H2122">
        <v>693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0</v>
      </c>
      <c r="P2122">
        <v>0</v>
      </c>
      <c r="Q2122">
        <v>0</v>
      </c>
      <c r="R2122">
        <v>0</v>
      </c>
      <c r="S2122">
        <v>0</v>
      </c>
      <c r="V2122">
        <v>1</v>
      </c>
      <c r="W2122">
        <v>693</v>
      </c>
    </row>
    <row r="2123" spans="1:23" x14ac:dyDescent="0.25">
      <c r="H2123" t="s">
        <v>3791</v>
      </c>
    </row>
    <row r="2124" spans="1:23" x14ac:dyDescent="0.25">
      <c r="A2124">
        <v>1059</v>
      </c>
      <c r="B2124">
        <v>2215</v>
      </c>
      <c r="C2124" t="s">
        <v>3792</v>
      </c>
      <c r="D2124" t="s">
        <v>157</v>
      </c>
      <c r="E2124" t="s">
        <v>276</v>
      </c>
      <c r="F2124" t="s">
        <v>3793</v>
      </c>
      <c r="G2124" t="str">
        <f>"201511034828"</f>
        <v>201511034828</v>
      </c>
      <c r="H2124">
        <v>660</v>
      </c>
      <c r="I2124">
        <v>0</v>
      </c>
      <c r="J2124">
        <v>30</v>
      </c>
      <c r="K2124">
        <v>0</v>
      </c>
      <c r="L2124">
        <v>0</v>
      </c>
      <c r="M2124">
        <v>0</v>
      </c>
      <c r="N2124">
        <v>0</v>
      </c>
      <c r="O2124">
        <v>0</v>
      </c>
      <c r="P2124">
        <v>0</v>
      </c>
      <c r="Q2124">
        <v>0</v>
      </c>
      <c r="R2124">
        <v>0</v>
      </c>
      <c r="S2124">
        <v>0</v>
      </c>
      <c r="V2124">
        <v>1</v>
      </c>
      <c r="W2124">
        <v>690</v>
      </c>
    </row>
    <row r="2125" spans="1:23" x14ac:dyDescent="0.25">
      <c r="H2125" t="s">
        <v>3794</v>
      </c>
    </row>
    <row r="2126" spans="1:23" x14ac:dyDescent="0.25">
      <c r="A2126">
        <v>1060</v>
      </c>
      <c r="B2126">
        <v>3809</v>
      </c>
      <c r="C2126" t="s">
        <v>3795</v>
      </c>
      <c r="D2126" t="s">
        <v>51</v>
      </c>
      <c r="E2126" t="s">
        <v>97</v>
      </c>
      <c r="F2126" t="s">
        <v>3796</v>
      </c>
      <c r="G2126" t="str">
        <f>"201512005084"</f>
        <v>201512005084</v>
      </c>
      <c r="H2126">
        <v>616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0</v>
      </c>
      <c r="O2126">
        <v>0</v>
      </c>
      <c r="P2126">
        <v>0</v>
      </c>
      <c r="Q2126">
        <v>0</v>
      </c>
      <c r="R2126">
        <v>10</v>
      </c>
      <c r="S2126">
        <v>70</v>
      </c>
      <c r="V2126">
        <v>1</v>
      </c>
      <c r="W2126">
        <v>686</v>
      </c>
    </row>
    <row r="2127" spans="1:23" x14ac:dyDescent="0.25">
      <c r="H2127" t="s">
        <v>1803</v>
      </c>
    </row>
    <row r="2128" spans="1:23" x14ac:dyDescent="0.25">
      <c r="A2128">
        <v>1061</v>
      </c>
      <c r="B2128">
        <v>8752</v>
      </c>
      <c r="C2128" t="s">
        <v>3797</v>
      </c>
      <c r="D2128" t="s">
        <v>183</v>
      </c>
      <c r="E2128" t="s">
        <v>276</v>
      </c>
      <c r="F2128" t="s">
        <v>3798</v>
      </c>
      <c r="G2128" t="str">
        <f>"00025238"</f>
        <v>00025238</v>
      </c>
      <c r="H2128">
        <v>649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0</v>
      </c>
      <c r="P2128">
        <v>0</v>
      </c>
      <c r="Q2128">
        <v>0</v>
      </c>
      <c r="R2128">
        <v>5</v>
      </c>
      <c r="S2128">
        <v>35</v>
      </c>
      <c r="V2128">
        <v>1</v>
      </c>
      <c r="W2128">
        <v>684</v>
      </c>
    </row>
    <row r="2129" spans="1:23" x14ac:dyDescent="0.25">
      <c r="H2129" t="s">
        <v>3799</v>
      </c>
    </row>
    <row r="2130" spans="1:23" x14ac:dyDescent="0.25">
      <c r="A2130">
        <v>1062</v>
      </c>
      <c r="B2130">
        <v>9727</v>
      </c>
      <c r="C2130" t="s">
        <v>3800</v>
      </c>
      <c r="D2130" t="s">
        <v>509</v>
      </c>
      <c r="E2130" t="s">
        <v>52</v>
      </c>
      <c r="F2130" t="s">
        <v>3801</v>
      </c>
      <c r="G2130" t="str">
        <f>"00076399"</f>
        <v>00076399</v>
      </c>
      <c r="H2130">
        <v>682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0</v>
      </c>
      <c r="P2130">
        <v>0</v>
      </c>
      <c r="Q2130">
        <v>0</v>
      </c>
      <c r="R2130">
        <v>0</v>
      </c>
      <c r="S2130">
        <v>0</v>
      </c>
      <c r="V2130">
        <v>1</v>
      </c>
      <c r="W2130">
        <v>682</v>
      </c>
    </row>
    <row r="2131" spans="1:23" x14ac:dyDescent="0.25">
      <c r="H2131" t="s">
        <v>3802</v>
      </c>
    </row>
    <row r="2132" spans="1:23" x14ac:dyDescent="0.25">
      <c r="A2132">
        <v>1063</v>
      </c>
      <c r="B2132">
        <v>6903</v>
      </c>
      <c r="C2132" t="s">
        <v>3803</v>
      </c>
      <c r="D2132" t="s">
        <v>934</v>
      </c>
      <c r="E2132" t="s">
        <v>37</v>
      </c>
      <c r="F2132" t="s">
        <v>3804</v>
      </c>
      <c r="G2132" t="str">
        <f>"201511024386"</f>
        <v>201511024386</v>
      </c>
      <c r="H2132">
        <v>605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0</v>
      </c>
      <c r="P2132">
        <v>0</v>
      </c>
      <c r="Q2132">
        <v>0</v>
      </c>
      <c r="R2132">
        <v>11</v>
      </c>
      <c r="S2132">
        <v>77</v>
      </c>
      <c r="V2132">
        <v>1</v>
      </c>
      <c r="W2132">
        <v>682</v>
      </c>
    </row>
    <row r="2133" spans="1:23" x14ac:dyDescent="0.25">
      <c r="H2133" t="s">
        <v>3805</v>
      </c>
    </row>
    <row r="2134" spans="1:23" x14ac:dyDescent="0.25">
      <c r="A2134">
        <v>1064</v>
      </c>
      <c r="B2134">
        <v>5736</v>
      </c>
      <c r="C2134" t="s">
        <v>663</v>
      </c>
      <c r="D2134" t="s">
        <v>235</v>
      </c>
      <c r="E2134" t="s">
        <v>268</v>
      </c>
      <c r="F2134" t="s">
        <v>3806</v>
      </c>
      <c r="G2134" t="str">
        <f>"201511037352"</f>
        <v>201511037352</v>
      </c>
      <c r="H2134" t="s">
        <v>3807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0</v>
      </c>
      <c r="P2134">
        <v>0</v>
      </c>
      <c r="Q2134">
        <v>0</v>
      </c>
      <c r="R2134">
        <v>0</v>
      </c>
      <c r="S2134">
        <v>0</v>
      </c>
      <c r="V2134">
        <v>1</v>
      </c>
      <c r="W2134" t="s">
        <v>3807</v>
      </c>
    </row>
    <row r="2135" spans="1:23" x14ac:dyDescent="0.25">
      <c r="H2135" t="s">
        <v>3808</v>
      </c>
    </row>
    <row r="2136" spans="1:23" x14ac:dyDescent="0.25">
      <c r="A2136">
        <v>1065</v>
      </c>
      <c r="B2136">
        <v>2158</v>
      </c>
      <c r="C2136" t="s">
        <v>3809</v>
      </c>
      <c r="D2136" t="s">
        <v>3810</v>
      </c>
      <c r="E2136" t="s">
        <v>474</v>
      </c>
      <c r="F2136" t="s">
        <v>3811</v>
      </c>
      <c r="G2136" t="str">
        <f>"201511018362"</f>
        <v>201511018362</v>
      </c>
      <c r="H2136" t="s">
        <v>3807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v>0</v>
      </c>
      <c r="P2136">
        <v>0</v>
      </c>
      <c r="Q2136">
        <v>0</v>
      </c>
      <c r="R2136">
        <v>0</v>
      </c>
      <c r="S2136">
        <v>0</v>
      </c>
      <c r="V2136">
        <v>1</v>
      </c>
      <c r="W2136" t="s">
        <v>3807</v>
      </c>
    </row>
    <row r="2137" spans="1:23" x14ac:dyDescent="0.25">
      <c r="H2137" t="s">
        <v>310</v>
      </c>
    </row>
    <row r="2138" spans="1:23" x14ac:dyDescent="0.25">
      <c r="A2138">
        <v>1066</v>
      </c>
      <c r="B2138">
        <v>838</v>
      </c>
      <c r="C2138" t="s">
        <v>3812</v>
      </c>
      <c r="D2138" t="s">
        <v>96</v>
      </c>
      <c r="E2138" t="s">
        <v>1067</v>
      </c>
      <c r="F2138" t="s">
        <v>3813</v>
      </c>
      <c r="G2138" t="str">
        <f>"201511037579"</f>
        <v>201511037579</v>
      </c>
      <c r="H2138">
        <v>649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0</v>
      </c>
      <c r="P2138">
        <v>0</v>
      </c>
      <c r="Q2138">
        <v>0</v>
      </c>
      <c r="R2138">
        <v>3</v>
      </c>
      <c r="S2138">
        <v>21</v>
      </c>
      <c r="V2138">
        <v>1</v>
      </c>
      <c r="W2138">
        <v>670</v>
      </c>
    </row>
    <row r="2139" spans="1:23" x14ac:dyDescent="0.25">
      <c r="H2139" t="s">
        <v>3814</v>
      </c>
    </row>
    <row r="2140" spans="1:23" x14ac:dyDescent="0.25">
      <c r="A2140">
        <v>1067</v>
      </c>
      <c r="B2140">
        <v>2421</v>
      </c>
      <c r="C2140" t="s">
        <v>3815</v>
      </c>
      <c r="D2140" t="s">
        <v>158</v>
      </c>
      <c r="E2140" t="s">
        <v>104</v>
      </c>
      <c r="F2140" t="s">
        <v>3816</v>
      </c>
      <c r="G2140" t="str">
        <f>"00022785"</f>
        <v>00022785</v>
      </c>
      <c r="H2140">
        <v>627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0</v>
      </c>
      <c r="O2140">
        <v>0</v>
      </c>
      <c r="P2140">
        <v>0</v>
      </c>
      <c r="Q2140">
        <v>0</v>
      </c>
      <c r="R2140">
        <v>6</v>
      </c>
      <c r="S2140">
        <v>42</v>
      </c>
      <c r="V2140">
        <v>1</v>
      </c>
      <c r="W2140">
        <v>669</v>
      </c>
    </row>
    <row r="2141" spans="1:23" x14ac:dyDescent="0.25">
      <c r="H2141" t="s">
        <v>3817</v>
      </c>
    </row>
    <row r="2142" spans="1:23" x14ac:dyDescent="0.25">
      <c r="A2142">
        <v>1068</v>
      </c>
      <c r="B2142">
        <v>2603</v>
      </c>
      <c r="C2142" t="s">
        <v>3818</v>
      </c>
      <c r="D2142" t="s">
        <v>351</v>
      </c>
      <c r="E2142" t="s">
        <v>298</v>
      </c>
      <c r="F2142" t="s">
        <v>3819</v>
      </c>
      <c r="G2142" t="str">
        <f>"00082733"</f>
        <v>00082733</v>
      </c>
      <c r="H2142" t="s">
        <v>3820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0</v>
      </c>
      <c r="P2142">
        <v>0</v>
      </c>
      <c r="Q2142">
        <v>0</v>
      </c>
      <c r="R2142">
        <v>0</v>
      </c>
      <c r="S2142">
        <v>0</v>
      </c>
      <c r="V2142">
        <v>1</v>
      </c>
      <c r="W2142" t="s">
        <v>3820</v>
      </c>
    </row>
    <row r="2143" spans="1:23" x14ac:dyDescent="0.25">
      <c r="H2143" t="s">
        <v>3821</v>
      </c>
    </row>
    <row r="2144" spans="1:23" x14ac:dyDescent="0.25">
      <c r="A2144">
        <v>1069</v>
      </c>
      <c r="B2144">
        <v>8039</v>
      </c>
      <c r="C2144" t="s">
        <v>3822</v>
      </c>
      <c r="D2144" t="s">
        <v>3823</v>
      </c>
      <c r="E2144" t="s">
        <v>154</v>
      </c>
      <c r="F2144" t="s">
        <v>3824</v>
      </c>
      <c r="G2144" t="str">
        <f>"00039682"</f>
        <v>00039682</v>
      </c>
      <c r="H2144" t="s">
        <v>3825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0</v>
      </c>
      <c r="O2144">
        <v>0</v>
      </c>
      <c r="P2144">
        <v>0</v>
      </c>
      <c r="Q2144">
        <v>0</v>
      </c>
      <c r="R2144">
        <v>0</v>
      </c>
      <c r="S2144">
        <v>0</v>
      </c>
      <c r="V2144">
        <v>1</v>
      </c>
      <c r="W2144" t="s">
        <v>3825</v>
      </c>
    </row>
    <row r="2145" spans="1:23" x14ac:dyDescent="0.25">
      <c r="H2145" t="s">
        <v>3826</v>
      </c>
    </row>
    <row r="2146" spans="1:23" x14ac:dyDescent="0.25">
      <c r="A2146">
        <v>1070</v>
      </c>
      <c r="B2146">
        <v>8195</v>
      </c>
      <c r="C2146" t="s">
        <v>1969</v>
      </c>
      <c r="D2146" t="s">
        <v>202</v>
      </c>
      <c r="E2146" t="s">
        <v>158</v>
      </c>
      <c r="F2146" t="s">
        <v>3827</v>
      </c>
      <c r="G2146" t="str">
        <f>"201201000147"</f>
        <v>201201000147</v>
      </c>
      <c r="H2146">
        <v>660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0</v>
      </c>
      <c r="P2146">
        <v>0</v>
      </c>
      <c r="Q2146">
        <v>0</v>
      </c>
      <c r="R2146">
        <v>0</v>
      </c>
      <c r="S2146">
        <v>0</v>
      </c>
      <c r="V2146">
        <v>1</v>
      </c>
      <c r="W2146">
        <v>660</v>
      </c>
    </row>
    <row r="2147" spans="1:23" x14ac:dyDescent="0.25">
      <c r="H2147" t="s">
        <v>310</v>
      </c>
    </row>
    <row r="2148" spans="1:23" x14ac:dyDescent="0.25">
      <c r="A2148">
        <v>1071</v>
      </c>
      <c r="B2148">
        <v>6285</v>
      </c>
      <c r="C2148" t="s">
        <v>3828</v>
      </c>
      <c r="D2148" t="s">
        <v>20</v>
      </c>
      <c r="E2148" t="s">
        <v>276</v>
      </c>
      <c r="F2148" t="s">
        <v>3829</v>
      </c>
      <c r="G2148" t="str">
        <f>"00036940"</f>
        <v>00036940</v>
      </c>
      <c r="H2148">
        <v>660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0</v>
      </c>
      <c r="O2148">
        <v>0</v>
      </c>
      <c r="P2148">
        <v>0</v>
      </c>
      <c r="Q2148">
        <v>0</v>
      </c>
      <c r="R2148">
        <v>0</v>
      </c>
      <c r="S2148">
        <v>0</v>
      </c>
      <c r="V2148">
        <v>1</v>
      </c>
      <c r="W2148">
        <v>660</v>
      </c>
    </row>
    <row r="2149" spans="1:23" x14ac:dyDescent="0.25">
      <c r="H2149" t="s">
        <v>3830</v>
      </c>
    </row>
    <row r="2150" spans="1:23" x14ac:dyDescent="0.25">
      <c r="A2150">
        <v>1072</v>
      </c>
      <c r="B2150">
        <v>9770</v>
      </c>
      <c r="C2150" t="s">
        <v>3831</v>
      </c>
      <c r="D2150" t="s">
        <v>183</v>
      </c>
      <c r="E2150" t="s">
        <v>298</v>
      </c>
      <c r="F2150" t="s">
        <v>3832</v>
      </c>
      <c r="G2150" t="str">
        <f>"00099149"</f>
        <v>00099149</v>
      </c>
      <c r="H2150">
        <v>660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0</v>
      </c>
      <c r="P2150">
        <v>0</v>
      </c>
      <c r="Q2150">
        <v>0</v>
      </c>
      <c r="R2150">
        <v>0</v>
      </c>
      <c r="S2150">
        <v>0</v>
      </c>
      <c r="V2150">
        <v>1</v>
      </c>
      <c r="W2150">
        <v>660</v>
      </c>
    </row>
    <row r="2151" spans="1:23" x14ac:dyDescent="0.25">
      <c r="H2151" t="s">
        <v>3833</v>
      </c>
    </row>
    <row r="2152" spans="1:23" x14ac:dyDescent="0.25">
      <c r="A2152">
        <v>1073</v>
      </c>
      <c r="B2152">
        <v>3800</v>
      </c>
      <c r="C2152" t="s">
        <v>3834</v>
      </c>
      <c r="D2152" t="s">
        <v>681</v>
      </c>
      <c r="E2152" t="s">
        <v>80</v>
      </c>
      <c r="F2152" t="s">
        <v>3835</v>
      </c>
      <c r="G2152" t="str">
        <f>"201511038627"</f>
        <v>201511038627</v>
      </c>
      <c r="H2152">
        <v>660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0</v>
      </c>
      <c r="P2152">
        <v>0</v>
      </c>
      <c r="Q2152">
        <v>0</v>
      </c>
      <c r="R2152">
        <v>0</v>
      </c>
      <c r="S2152">
        <v>0</v>
      </c>
      <c r="V2152">
        <v>1</v>
      </c>
      <c r="W2152">
        <v>660</v>
      </c>
    </row>
    <row r="2153" spans="1:23" x14ac:dyDescent="0.25">
      <c r="H2153" t="s">
        <v>3836</v>
      </c>
    </row>
    <row r="2154" spans="1:23" x14ac:dyDescent="0.25">
      <c r="A2154">
        <v>1074</v>
      </c>
      <c r="B2154">
        <v>3253</v>
      </c>
      <c r="C2154" t="s">
        <v>3837</v>
      </c>
      <c r="D2154" t="s">
        <v>172</v>
      </c>
      <c r="E2154" t="s">
        <v>298</v>
      </c>
      <c r="F2154" t="s">
        <v>3838</v>
      </c>
      <c r="G2154" t="str">
        <f>"201511015032"</f>
        <v>201511015032</v>
      </c>
      <c r="H2154">
        <v>660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0</v>
      </c>
      <c r="P2154">
        <v>0</v>
      </c>
      <c r="Q2154">
        <v>0</v>
      </c>
      <c r="R2154">
        <v>0</v>
      </c>
      <c r="S2154">
        <v>0</v>
      </c>
      <c r="V2154">
        <v>1</v>
      </c>
      <c r="W2154">
        <v>660</v>
      </c>
    </row>
    <row r="2155" spans="1:23" x14ac:dyDescent="0.25">
      <c r="H2155" t="s">
        <v>3839</v>
      </c>
    </row>
    <row r="2156" spans="1:23" x14ac:dyDescent="0.25">
      <c r="A2156">
        <v>1075</v>
      </c>
      <c r="B2156">
        <v>9242</v>
      </c>
      <c r="C2156" t="s">
        <v>1149</v>
      </c>
      <c r="D2156" t="s">
        <v>3165</v>
      </c>
      <c r="E2156" t="s">
        <v>198</v>
      </c>
      <c r="F2156" t="s">
        <v>3840</v>
      </c>
      <c r="G2156" t="str">
        <f>"201410009713"</f>
        <v>201410009713</v>
      </c>
      <c r="H2156" t="s">
        <v>3777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v>0</v>
      </c>
      <c r="P2156">
        <v>0</v>
      </c>
      <c r="Q2156">
        <v>0</v>
      </c>
      <c r="R2156">
        <v>0</v>
      </c>
      <c r="S2156">
        <v>0</v>
      </c>
      <c r="V2156">
        <v>1</v>
      </c>
      <c r="W2156" t="s">
        <v>3777</v>
      </c>
    </row>
    <row r="2157" spans="1:23" x14ac:dyDescent="0.25">
      <c r="H2157" t="s">
        <v>3841</v>
      </c>
    </row>
    <row r="2158" spans="1:23" x14ac:dyDescent="0.25">
      <c r="A2158">
        <v>1076</v>
      </c>
      <c r="B2158">
        <v>298</v>
      </c>
      <c r="C2158" t="s">
        <v>3842</v>
      </c>
      <c r="D2158" t="s">
        <v>465</v>
      </c>
      <c r="E2158" t="s">
        <v>71</v>
      </c>
      <c r="F2158" t="s">
        <v>3843</v>
      </c>
      <c r="G2158" t="str">
        <f>"00051167"</f>
        <v>00051167</v>
      </c>
      <c r="H2158" t="s">
        <v>3379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0</v>
      </c>
      <c r="P2158">
        <v>0</v>
      </c>
      <c r="Q2158">
        <v>0</v>
      </c>
      <c r="R2158">
        <v>0</v>
      </c>
      <c r="S2158">
        <v>0</v>
      </c>
      <c r="V2158">
        <v>1</v>
      </c>
      <c r="W2158" t="s">
        <v>3379</v>
      </c>
    </row>
    <row r="2159" spans="1:23" x14ac:dyDescent="0.25">
      <c r="H2159" t="s">
        <v>3844</v>
      </c>
    </row>
    <row r="2160" spans="1:23" x14ac:dyDescent="0.25">
      <c r="A2160">
        <v>1077</v>
      </c>
      <c r="B2160">
        <v>5794</v>
      </c>
      <c r="C2160" t="s">
        <v>1526</v>
      </c>
      <c r="D2160" t="s">
        <v>3845</v>
      </c>
      <c r="E2160" t="s">
        <v>37</v>
      </c>
      <c r="F2160" t="s">
        <v>3846</v>
      </c>
      <c r="G2160" t="str">
        <f>"00076330"</f>
        <v>00076330</v>
      </c>
      <c r="H2160" t="s">
        <v>3379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0</v>
      </c>
      <c r="P2160">
        <v>0</v>
      </c>
      <c r="Q2160">
        <v>0</v>
      </c>
      <c r="R2160">
        <v>0</v>
      </c>
      <c r="S2160">
        <v>0</v>
      </c>
      <c r="V2160">
        <v>1</v>
      </c>
      <c r="W2160" t="s">
        <v>3379</v>
      </c>
    </row>
    <row r="2161" spans="1:23" x14ac:dyDescent="0.25">
      <c r="H2161" t="s">
        <v>3847</v>
      </c>
    </row>
    <row r="2162" spans="1:23" x14ac:dyDescent="0.25">
      <c r="A2162">
        <v>1078</v>
      </c>
      <c r="B2162">
        <v>9059</v>
      </c>
      <c r="C2162" t="s">
        <v>3848</v>
      </c>
      <c r="D2162" t="s">
        <v>122</v>
      </c>
      <c r="E2162" t="s">
        <v>57</v>
      </c>
      <c r="F2162" t="s">
        <v>3849</v>
      </c>
      <c r="G2162" t="str">
        <f>"201511015961"</f>
        <v>201511015961</v>
      </c>
      <c r="H2162" t="s">
        <v>3379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v>0</v>
      </c>
      <c r="P2162">
        <v>0</v>
      </c>
      <c r="Q2162">
        <v>0</v>
      </c>
      <c r="R2162">
        <v>0</v>
      </c>
      <c r="S2162">
        <v>0</v>
      </c>
      <c r="V2162">
        <v>1</v>
      </c>
      <c r="W2162" t="s">
        <v>3379</v>
      </c>
    </row>
    <row r="2163" spans="1:23" x14ac:dyDescent="0.25">
      <c r="H2163" t="s">
        <v>200</v>
      </c>
    </row>
    <row r="2164" spans="1:23" x14ac:dyDescent="0.25">
      <c r="A2164">
        <v>1079</v>
      </c>
      <c r="B2164">
        <v>4822</v>
      </c>
      <c r="C2164" t="s">
        <v>3850</v>
      </c>
      <c r="D2164" t="s">
        <v>1037</v>
      </c>
      <c r="E2164" t="s">
        <v>276</v>
      </c>
      <c r="F2164" t="s">
        <v>3851</v>
      </c>
      <c r="G2164" t="str">
        <f>"00057686"</f>
        <v>00057686</v>
      </c>
      <c r="H2164">
        <v>605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0</v>
      </c>
      <c r="P2164">
        <v>0</v>
      </c>
      <c r="Q2164">
        <v>0</v>
      </c>
      <c r="R2164">
        <v>5</v>
      </c>
      <c r="S2164">
        <v>35</v>
      </c>
      <c r="V2164">
        <v>1</v>
      </c>
      <c r="W2164">
        <v>640</v>
      </c>
    </row>
    <row r="2165" spans="1:23" x14ac:dyDescent="0.25">
      <c r="H2165">
        <v>861</v>
      </c>
    </row>
    <row r="2166" spans="1:23" x14ac:dyDescent="0.25">
      <c r="A2166">
        <v>1080</v>
      </c>
      <c r="B2166">
        <v>4871</v>
      </c>
      <c r="C2166" t="s">
        <v>3852</v>
      </c>
      <c r="D2166" t="s">
        <v>51</v>
      </c>
      <c r="E2166" t="s">
        <v>71</v>
      </c>
      <c r="F2166" t="s">
        <v>3853</v>
      </c>
      <c r="G2166" t="str">
        <f>"00040566"</f>
        <v>00040566</v>
      </c>
      <c r="H2166">
        <v>605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0</v>
      </c>
      <c r="P2166">
        <v>0</v>
      </c>
      <c r="Q2166">
        <v>0</v>
      </c>
      <c r="R2166">
        <v>5</v>
      </c>
      <c r="S2166">
        <v>35</v>
      </c>
      <c r="V2166">
        <v>1</v>
      </c>
      <c r="W2166">
        <v>640</v>
      </c>
    </row>
    <row r="2167" spans="1:23" x14ac:dyDescent="0.25">
      <c r="H2167" t="s">
        <v>472</v>
      </c>
    </row>
    <row r="2168" spans="1:23" x14ac:dyDescent="0.25">
      <c r="A2168">
        <v>1081</v>
      </c>
      <c r="B2168">
        <v>8279</v>
      </c>
      <c r="C2168" t="s">
        <v>3854</v>
      </c>
      <c r="D2168" t="s">
        <v>3823</v>
      </c>
      <c r="E2168" t="s">
        <v>276</v>
      </c>
      <c r="F2168" t="s">
        <v>3855</v>
      </c>
      <c r="G2168" t="str">
        <f>"00027865"</f>
        <v>00027865</v>
      </c>
      <c r="H2168">
        <v>583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0</v>
      </c>
      <c r="O2168">
        <v>0</v>
      </c>
      <c r="P2168">
        <v>0</v>
      </c>
      <c r="Q2168">
        <v>0</v>
      </c>
      <c r="R2168">
        <v>8</v>
      </c>
      <c r="S2168">
        <v>56</v>
      </c>
      <c r="V2168">
        <v>1</v>
      </c>
      <c r="W2168">
        <v>639</v>
      </c>
    </row>
    <row r="2169" spans="1:23" x14ac:dyDescent="0.25">
      <c r="H2169" t="s">
        <v>3856</v>
      </c>
    </row>
    <row r="2170" spans="1:23" x14ac:dyDescent="0.25">
      <c r="A2170">
        <v>1082</v>
      </c>
      <c r="B2170">
        <v>6390</v>
      </c>
      <c r="C2170" t="s">
        <v>1138</v>
      </c>
      <c r="D2170" t="s">
        <v>1047</v>
      </c>
      <c r="E2170" t="s">
        <v>213</v>
      </c>
      <c r="F2170" t="s">
        <v>3857</v>
      </c>
      <c r="G2170" t="str">
        <f>"201511041515"</f>
        <v>201511041515</v>
      </c>
      <c r="H2170" t="s">
        <v>3690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0</v>
      </c>
      <c r="P2170">
        <v>0</v>
      </c>
      <c r="Q2170">
        <v>0</v>
      </c>
      <c r="R2170">
        <v>6</v>
      </c>
      <c r="S2170">
        <v>42</v>
      </c>
      <c r="V2170">
        <v>3</v>
      </c>
      <c r="W2170" t="s">
        <v>3858</v>
      </c>
    </row>
    <row r="2171" spans="1:23" x14ac:dyDescent="0.25">
      <c r="H2171" t="s">
        <v>3859</v>
      </c>
    </row>
    <row r="2172" spans="1:23" x14ac:dyDescent="0.25">
      <c r="A2172">
        <v>1083</v>
      </c>
      <c r="B2172">
        <v>6883</v>
      </c>
      <c r="C2172" t="s">
        <v>3860</v>
      </c>
      <c r="D2172" t="s">
        <v>258</v>
      </c>
      <c r="E2172" t="s">
        <v>52</v>
      </c>
      <c r="F2172" t="s">
        <v>3861</v>
      </c>
      <c r="G2172" t="str">
        <f>"00085846"</f>
        <v>00085846</v>
      </c>
      <c r="H2172">
        <v>550</v>
      </c>
      <c r="I2172">
        <v>0</v>
      </c>
      <c r="J2172">
        <v>70</v>
      </c>
      <c r="K2172">
        <v>0</v>
      </c>
      <c r="L2172">
        <v>0</v>
      </c>
      <c r="M2172">
        <v>0</v>
      </c>
      <c r="N2172">
        <v>0</v>
      </c>
      <c r="O2172">
        <v>0</v>
      </c>
      <c r="P2172">
        <v>0</v>
      </c>
      <c r="Q2172">
        <v>0</v>
      </c>
      <c r="R2172">
        <v>0</v>
      </c>
      <c r="S2172">
        <v>0</v>
      </c>
      <c r="V2172">
        <v>1</v>
      </c>
      <c r="W2172">
        <v>620</v>
      </c>
    </row>
    <row r="2173" spans="1:23" x14ac:dyDescent="0.25">
      <c r="H2173" t="s">
        <v>310</v>
      </c>
    </row>
    <row r="2174" spans="1:23" x14ac:dyDescent="0.25">
      <c r="A2174">
        <v>1084</v>
      </c>
      <c r="B2174">
        <v>9998</v>
      </c>
      <c r="C2174" t="s">
        <v>3862</v>
      </c>
      <c r="D2174" t="s">
        <v>57</v>
      </c>
      <c r="E2174" t="s">
        <v>104</v>
      </c>
      <c r="F2174" t="s">
        <v>3863</v>
      </c>
      <c r="G2174" t="str">
        <f>"201511013767"</f>
        <v>201511013767</v>
      </c>
      <c r="H2174" t="s">
        <v>3864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0</v>
      </c>
      <c r="P2174">
        <v>0</v>
      </c>
      <c r="Q2174">
        <v>0</v>
      </c>
      <c r="R2174">
        <v>0</v>
      </c>
      <c r="S2174">
        <v>0</v>
      </c>
      <c r="V2174">
        <v>1</v>
      </c>
      <c r="W2174" t="s">
        <v>3864</v>
      </c>
    </row>
    <row r="2175" spans="1:23" x14ac:dyDescent="0.25">
      <c r="H2175" t="s">
        <v>3865</v>
      </c>
    </row>
    <row r="2176" spans="1:23" x14ac:dyDescent="0.25">
      <c r="A2176">
        <v>1085</v>
      </c>
      <c r="B2176">
        <v>7789</v>
      </c>
      <c r="C2176" t="s">
        <v>78</v>
      </c>
      <c r="D2176" t="s">
        <v>351</v>
      </c>
      <c r="E2176" t="s">
        <v>2585</v>
      </c>
      <c r="F2176" t="s">
        <v>3866</v>
      </c>
      <c r="G2176" t="str">
        <f>"00063104"</f>
        <v>00063104</v>
      </c>
      <c r="H2176">
        <v>605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0</v>
      </c>
      <c r="P2176">
        <v>0</v>
      </c>
      <c r="Q2176">
        <v>0</v>
      </c>
      <c r="R2176">
        <v>0</v>
      </c>
      <c r="S2176">
        <v>0</v>
      </c>
      <c r="V2176">
        <v>1</v>
      </c>
      <c r="W2176">
        <v>605</v>
      </c>
    </row>
    <row r="2177" spans="1:23" x14ac:dyDescent="0.25">
      <c r="H2177" t="s">
        <v>3867</v>
      </c>
    </row>
    <row r="2178" spans="1:23" x14ac:dyDescent="0.25">
      <c r="A2178">
        <v>1086</v>
      </c>
      <c r="B2178">
        <v>348</v>
      </c>
      <c r="C2178" t="s">
        <v>3868</v>
      </c>
      <c r="D2178" t="s">
        <v>172</v>
      </c>
      <c r="E2178" t="s">
        <v>509</v>
      </c>
      <c r="F2178" t="s">
        <v>3869</v>
      </c>
      <c r="G2178" t="str">
        <f>"201511036099"</f>
        <v>201511036099</v>
      </c>
      <c r="H2178">
        <v>605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0</v>
      </c>
      <c r="O2178">
        <v>0</v>
      </c>
      <c r="P2178">
        <v>0</v>
      </c>
      <c r="Q2178">
        <v>0</v>
      </c>
      <c r="R2178">
        <v>0</v>
      </c>
      <c r="S2178">
        <v>0</v>
      </c>
      <c r="V2178">
        <v>1</v>
      </c>
      <c r="W2178">
        <v>605</v>
      </c>
    </row>
    <row r="2179" spans="1:23" x14ac:dyDescent="0.25">
      <c r="H2179" t="s">
        <v>3870</v>
      </c>
    </row>
    <row r="2180" spans="1:23" x14ac:dyDescent="0.25">
      <c r="A2180">
        <v>1087</v>
      </c>
      <c r="B2180">
        <v>10343</v>
      </c>
      <c r="C2180" t="s">
        <v>3871</v>
      </c>
      <c r="D2180" t="s">
        <v>686</v>
      </c>
      <c r="E2180" t="s">
        <v>154</v>
      </c>
      <c r="F2180" t="s">
        <v>3872</v>
      </c>
      <c r="G2180" t="str">
        <f>"00034040"</f>
        <v>00034040</v>
      </c>
      <c r="H2180">
        <v>605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0</v>
      </c>
      <c r="P2180">
        <v>0</v>
      </c>
      <c r="Q2180">
        <v>0</v>
      </c>
      <c r="R2180">
        <v>0</v>
      </c>
      <c r="S2180">
        <v>0</v>
      </c>
      <c r="V2180">
        <v>1</v>
      </c>
      <c r="W2180">
        <v>605</v>
      </c>
    </row>
    <row r="2181" spans="1:23" x14ac:dyDescent="0.25">
      <c r="H2181" t="s">
        <v>3873</v>
      </c>
    </row>
    <row r="2182" spans="1:23" x14ac:dyDescent="0.25">
      <c r="A2182">
        <v>1088</v>
      </c>
      <c r="B2182">
        <v>4274</v>
      </c>
      <c r="C2182" t="s">
        <v>1579</v>
      </c>
      <c r="D2182" t="s">
        <v>686</v>
      </c>
      <c r="E2182" t="s">
        <v>2881</v>
      </c>
      <c r="F2182" t="s">
        <v>3874</v>
      </c>
      <c r="G2182" t="str">
        <f>"00072363"</f>
        <v>00072363</v>
      </c>
      <c r="H2182">
        <v>550</v>
      </c>
      <c r="I2182">
        <v>0</v>
      </c>
      <c r="J2182">
        <v>50</v>
      </c>
      <c r="K2182">
        <v>0</v>
      </c>
      <c r="L2182">
        <v>0</v>
      </c>
      <c r="M2182">
        <v>0</v>
      </c>
      <c r="N2182">
        <v>0</v>
      </c>
      <c r="O2182">
        <v>0</v>
      </c>
      <c r="P2182">
        <v>0</v>
      </c>
      <c r="Q2182">
        <v>0</v>
      </c>
      <c r="R2182">
        <v>0</v>
      </c>
      <c r="S2182">
        <v>0</v>
      </c>
      <c r="V2182">
        <v>1</v>
      </c>
      <c r="W2182">
        <v>600</v>
      </c>
    </row>
    <row r="2183" spans="1:23" x14ac:dyDescent="0.25">
      <c r="H2183" t="s">
        <v>1272</v>
      </c>
    </row>
    <row r="2184" spans="1:23" x14ac:dyDescent="0.25">
      <c r="A2184">
        <v>1089</v>
      </c>
      <c r="B2184">
        <v>3567</v>
      </c>
      <c r="C2184" t="s">
        <v>3875</v>
      </c>
      <c r="D2184" t="s">
        <v>172</v>
      </c>
      <c r="E2184" t="s">
        <v>305</v>
      </c>
      <c r="F2184" t="s">
        <v>3876</v>
      </c>
      <c r="G2184" t="str">
        <f>"00029142"</f>
        <v>00029142</v>
      </c>
      <c r="H2184" t="s">
        <v>3877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0</v>
      </c>
      <c r="O2184">
        <v>0</v>
      </c>
      <c r="P2184">
        <v>0</v>
      </c>
      <c r="Q2184">
        <v>0</v>
      </c>
      <c r="R2184">
        <v>0</v>
      </c>
      <c r="S2184">
        <v>0</v>
      </c>
      <c r="V2184">
        <v>1</v>
      </c>
      <c r="W2184" t="s">
        <v>3877</v>
      </c>
    </row>
    <row r="2185" spans="1:23" x14ac:dyDescent="0.25">
      <c r="H2185" t="s">
        <v>3878</v>
      </c>
    </row>
    <row r="2186" spans="1:23" x14ac:dyDescent="0.25">
      <c r="A2186">
        <v>1090</v>
      </c>
      <c r="B2186">
        <v>8872</v>
      </c>
      <c r="C2186" t="s">
        <v>3879</v>
      </c>
      <c r="D2186" t="s">
        <v>3880</v>
      </c>
      <c r="E2186" t="s">
        <v>3881</v>
      </c>
      <c r="F2186" t="s">
        <v>3882</v>
      </c>
      <c r="G2186" t="str">
        <f>"00045628"</f>
        <v>00045628</v>
      </c>
      <c r="H2186">
        <v>594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0</v>
      </c>
      <c r="P2186">
        <v>0</v>
      </c>
      <c r="Q2186">
        <v>0</v>
      </c>
      <c r="R2186">
        <v>0</v>
      </c>
      <c r="S2186">
        <v>0</v>
      </c>
      <c r="V2186">
        <v>1</v>
      </c>
      <c r="W2186">
        <v>594</v>
      </c>
    </row>
    <row r="2187" spans="1:23" x14ac:dyDescent="0.25">
      <c r="H2187" t="s">
        <v>3883</v>
      </c>
    </row>
    <row r="2188" spans="1:23" x14ac:dyDescent="0.25">
      <c r="A2188">
        <v>1091</v>
      </c>
      <c r="B2188">
        <v>6713</v>
      </c>
      <c r="C2188" t="s">
        <v>2099</v>
      </c>
      <c r="D2188" t="s">
        <v>1526</v>
      </c>
      <c r="E2188" t="s">
        <v>52</v>
      </c>
      <c r="F2188" t="s">
        <v>3884</v>
      </c>
      <c r="G2188" t="str">
        <f>"201511036706"</f>
        <v>201511036706</v>
      </c>
      <c r="H2188" t="s">
        <v>3690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0</v>
      </c>
      <c r="P2188">
        <v>0</v>
      </c>
      <c r="Q2188">
        <v>0</v>
      </c>
      <c r="R2188">
        <v>0</v>
      </c>
      <c r="S2188">
        <v>0</v>
      </c>
      <c r="V2188">
        <v>1</v>
      </c>
      <c r="W2188" t="s">
        <v>3690</v>
      </c>
    </row>
    <row r="2189" spans="1:23" x14ac:dyDescent="0.25">
      <c r="H2189" t="s">
        <v>3885</v>
      </c>
    </row>
    <row r="2190" spans="1:23" x14ac:dyDescent="0.25">
      <c r="A2190">
        <v>1092</v>
      </c>
      <c r="B2190">
        <v>5932</v>
      </c>
      <c r="C2190" t="s">
        <v>3886</v>
      </c>
      <c r="D2190" t="s">
        <v>474</v>
      </c>
      <c r="E2190" t="s">
        <v>37</v>
      </c>
      <c r="F2190" t="s">
        <v>3887</v>
      </c>
      <c r="G2190" t="str">
        <f>"201511024041"</f>
        <v>201511024041</v>
      </c>
      <c r="H2190" t="s">
        <v>3690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0</v>
      </c>
      <c r="P2190">
        <v>0</v>
      </c>
      <c r="Q2190">
        <v>0</v>
      </c>
      <c r="R2190">
        <v>0</v>
      </c>
      <c r="S2190">
        <v>0</v>
      </c>
      <c r="V2190">
        <v>1</v>
      </c>
      <c r="W2190" t="s">
        <v>3690</v>
      </c>
    </row>
    <row r="2191" spans="1:23" x14ac:dyDescent="0.25">
      <c r="H2191" t="s">
        <v>3888</v>
      </c>
    </row>
    <row r="2192" spans="1:23" x14ac:dyDescent="0.25">
      <c r="A2192">
        <v>1093</v>
      </c>
      <c r="B2192">
        <v>901</v>
      </c>
      <c r="C2192" t="s">
        <v>3889</v>
      </c>
      <c r="D2192" t="s">
        <v>3890</v>
      </c>
      <c r="E2192" t="s">
        <v>158</v>
      </c>
      <c r="F2192" t="s">
        <v>3891</v>
      </c>
      <c r="G2192" t="str">
        <f>"201511041783"</f>
        <v>201511041783</v>
      </c>
      <c r="H2192">
        <v>550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0</v>
      </c>
      <c r="P2192">
        <v>0</v>
      </c>
      <c r="Q2192">
        <v>0</v>
      </c>
      <c r="R2192">
        <v>4</v>
      </c>
      <c r="S2192">
        <v>28</v>
      </c>
      <c r="V2192">
        <v>1</v>
      </c>
      <c r="W2192">
        <v>578</v>
      </c>
    </row>
    <row r="2193" spans="1:23" x14ac:dyDescent="0.25">
      <c r="H2193" t="s">
        <v>3892</v>
      </c>
    </row>
    <row r="2194" spans="1:23" x14ac:dyDescent="0.25">
      <c r="A2194">
        <v>1094</v>
      </c>
      <c r="B2194">
        <v>4151</v>
      </c>
      <c r="C2194" t="s">
        <v>3728</v>
      </c>
      <c r="D2194" t="s">
        <v>128</v>
      </c>
      <c r="E2194" t="s">
        <v>276</v>
      </c>
      <c r="F2194" t="s">
        <v>3893</v>
      </c>
      <c r="G2194" t="str">
        <f>"00049307"</f>
        <v>00049307</v>
      </c>
      <c r="H2194">
        <v>572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0</v>
      </c>
      <c r="P2194">
        <v>0</v>
      </c>
      <c r="Q2194">
        <v>0</v>
      </c>
      <c r="R2194">
        <v>0</v>
      </c>
      <c r="S2194">
        <v>0</v>
      </c>
      <c r="V2194">
        <v>1</v>
      </c>
      <c r="W2194">
        <v>572</v>
      </c>
    </row>
    <row r="2195" spans="1:23" x14ac:dyDescent="0.25">
      <c r="H2195" t="s">
        <v>3894</v>
      </c>
    </row>
    <row r="2196" spans="1:23" x14ac:dyDescent="0.25">
      <c r="A2196">
        <v>1095</v>
      </c>
      <c r="B2196">
        <v>516</v>
      </c>
      <c r="C2196" t="s">
        <v>102</v>
      </c>
      <c r="D2196" t="s">
        <v>202</v>
      </c>
      <c r="E2196" t="s">
        <v>104</v>
      </c>
      <c r="G2196" t="str">
        <f>"00030442"</f>
        <v>00030442</v>
      </c>
      <c r="H2196">
        <v>561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0</v>
      </c>
      <c r="P2196">
        <v>0</v>
      </c>
      <c r="Q2196">
        <v>0</v>
      </c>
      <c r="R2196">
        <v>0</v>
      </c>
      <c r="S2196">
        <v>0</v>
      </c>
      <c r="V2196">
        <v>1</v>
      </c>
      <c r="W2196">
        <v>561</v>
      </c>
    </row>
    <row r="2197" spans="1:23" x14ac:dyDescent="0.25">
      <c r="H2197" t="s">
        <v>94</v>
      </c>
    </row>
    <row r="2198" spans="1:23" x14ac:dyDescent="0.25">
      <c r="A2198">
        <v>1096</v>
      </c>
      <c r="B2198">
        <v>7911</v>
      </c>
      <c r="C2198" t="s">
        <v>3895</v>
      </c>
      <c r="D2198" t="s">
        <v>80</v>
      </c>
      <c r="E2198" t="s">
        <v>298</v>
      </c>
      <c r="F2198" t="s">
        <v>3896</v>
      </c>
      <c r="G2198" t="str">
        <f>"00074909"</f>
        <v>00074909</v>
      </c>
      <c r="H2198" t="s">
        <v>3897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0</v>
      </c>
      <c r="P2198">
        <v>0</v>
      </c>
      <c r="Q2198">
        <v>0</v>
      </c>
      <c r="R2198">
        <v>0</v>
      </c>
      <c r="S2198">
        <v>0</v>
      </c>
      <c r="V2198">
        <v>1</v>
      </c>
      <c r="W2198" t="s">
        <v>3897</v>
      </c>
    </row>
    <row r="2199" spans="1:23" x14ac:dyDescent="0.25">
      <c r="H2199" t="s">
        <v>3833</v>
      </c>
    </row>
    <row r="2200" spans="1:23" x14ac:dyDescent="0.25">
      <c r="A2200">
        <v>1097</v>
      </c>
      <c r="B2200">
        <v>5747</v>
      </c>
      <c r="C2200" t="s">
        <v>3898</v>
      </c>
      <c r="D2200" t="s">
        <v>20</v>
      </c>
      <c r="E2200" t="s">
        <v>37</v>
      </c>
      <c r="F2200" t="s">
        <v>3899</v>
      </c>
      <c r="G2200" t="str">
        <f>"00075263"</f>
        <v>00075263</v>
      </c>
      <c r="H2200">
        <v>550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0</v>
      </c>
      <c r="P2200">
        <v>0</v>
      </c>
      <c r="Q2200">
        <v>0</v>
      </c>
      <c r="R2200">
        <v>0</v>
      </c>
      <c r="S2200">
        <v>0</v>
      </c>
      <c r="V2200">
        <v>1</v>
      </c>
      <c r="W2200">
        <v>550</v>
      </c>
    </row>
    <row r="2201" spans="1:23" x14ac:dyDescent="0.25">
      <c r="H2201" t="s">
        <v>3900</v>
      </c>
    </row>
    <row r="2202" spans="1:23" x14ac:dyDescent="0.25">
      <c r="A2202">
        <v>1098</v>
      </c>
      <c r="B2202">
        <v>10491</v>
      </c>
      <c r="C2202" t="s">
        <v>2312</v>
      </c>
      <c r="D2202" t="s">
        <v>3901</v>
      </c>
      <c r="E2202" t="s">
        <v>298</v>
      </c>
      <c r="F2202" t="s">
        <v>3902</v>
      </c>
      <c r="G2202" t="str">
        <f>"201511024731"</f>
        <v>201511024731</v>
      </c>
      <c r="H2202">
        <v>550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0</v>
      </c>
      <c r="O2202">
        <v>0</v>
      </c>
      <c r="P2202">
        <v>0</v>
      </c>
      <c r="Q2202">
        <v>0</v>
      </c>
      <c r="R2202">
        <v>0</v>
      </c>
      <c r="S2202">
        <v>0</v>
      </c>
      <c r="V2202">
        <v>1</v>
      </c>
      <c r="W2202">
        <v>550</v>
      </c>
    </row>
    <row r="2203" spans="1:23" x14ac:dyDescent="0.25">
      <c r="H2203" t="s">
        <v>3903</v>
      </c>
    </row>
    <row r="2204" spans="1:23" x14ac:dyDescent="0.25">
      <c r="A2204">
        <v>1099</v>
      </c>
      <c r="B2204">
        <v>5289</v>
      </c>
      <c r="C2204" t="s">
        <v>3904</v>
      </c>
      <c r="D2204" t="s">
        <v>158</v>
      </c>
      <c r="E2204" t="s">
        <v>276</v>
      </c>
      <c r="F2204" t="s">
        <v>3905</v>
      </c>
      <c r="G2204" t="str">
        <f>"201511012073"</f>
        <v>201511012073</v>
      </c>
      <c r="H2204">
        <v>539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0</v>
      </c>
      <c r="P2204">
        <v>0</v>
      </c>
      <c r="Q2204">
        <v>0</v>
      </c>
      <c r="R2204">
        <v>0</v>
      </c>
      <c r="S2204">
        <v>0</v>
      </c>
      <c r="V2204">
        <v>1</v>
      </c>
      <c r="W2204">
        <v>539</v>
      </c>
    </row>
    <row r="2205" spans="1:23" x14ac:dyDescent="0.25">
      <c r="H2205" t="s">
        <v>3906</v>
      </c>
    </row>
    <row r="2206" spans="1:23" x14ac:dyDescent="0.25">
      <c r="A2206">
        <v>1100</v>
      </c>
      <c r="B2206">
        <v>3852</v>
      </c>
      <c r="C2206" t="s">
        <v>3907</v>
      </c>
      <c r="D2206" t="s">
        <v>89</v>
      </c>
      <c r="E2206" t="s">
        <v>2255</v>
      </c>
      <c r="F2206" t="s">
        <v>3908</v>
      </c>
      <c r="G2206" t="str">
        <f>"201511016251"</f>
        <v>201511016251</v>
      </c>
      <c r="H2206" t="s">
        <v>3909</v>
      </c>
      <c r="I2206">
        <v>0</v>
      </c>
      <c r="J2206">
        <v>0</v>
      </c>
      <c r="K2206">
        <v>0</v>
      </c>
      <c r="L2206">
        <v>0</v>
      </c>
      <c r="M2206">
        <v>0</v>
      </c>
      <c r="N2206">
        <v>0</v>
      </c>
      <c r="O2206">
        <v>0</v>
      </c>
      <c r="P2206">
        <v>0</v>
      </c>
      <c r="Q2206">
        <v>0</v>
      </c>
      <c r="R2206">
        <v>0</v>
      </c>
      <c r="S2206">
        <v>0</v>
      </c>
      <c r="V2206">
        <v>1</v>
      </c>
      <c r="W2206" t="s">
        <v>3909</v>
      </c>
    </row>
    <row r="2207" spans="1:23" x14ac:dyDescent="0.25">
      <c r="H2207" t="s">
        <v>3910</v>
      </c>
    </row>
    <row r="2208" spans="1:23" x14ac:dyDescent="0.25">
      <c r="A2208">
        <v>1101</v>
      </c>
      <c r="B2208">
        <v>5408</v>
      </c>
      <c r="C2208" t="s">
        <v>189</v>
      </c>
      <c r="D2208" t="s">
        <v>183</v>
      </c>
      <c r="E2208" t="s">
        <v>104</v>
      </c>
      <c r="F2208" t="s">
        <v>3911</v>
      </c>
      <c r="G2208" t="str">
        <f>"00090954"</f>
        <v>00090954</v>
      </c>
      <c r="H2208" t="s">
        <v>3909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0</v>
      </c>
      <c r="P2208">
        <v>0</v>
      </c>
      <c r="Q2208">
        <v>0</v>
      </c>
      <c r="R2208">
        <v>0</v>
      </c>
      <c r="S2208">
        <v>0</v>
      </c>
      <c r="V2208">
        <v>1</v>
      </c>
      <c r="W2208" t="s">
        <v>3909</v>
      </c>
    </row>
    <row r="2209" spans="1:8" x14ac:dyDescent="0.25">
      <c r="H2209" t="s">
        <v>3912</v>
      </c>
    </row>
    <row r="2211" spans="1:8" x14ac:dyDescent="0.25">
      <c r="A2211" t="s">
        <v>3913</v>
      </c>
    </row>
    <row r="2212" spans="1:8" x14ac:dyDescent="0.25">
      <c r="A2212" t="s">
        <v>3914</v>
      </c>
    </row>
    <row r="2213" spans="1:8" x14ac:dyDescent="0.25">
      <c r="A2213" t="s">
        <v>3915</v>
      </c>
    </row>
    <row r="2214" spans="1:8" x14ac:dyDescent="0.25">
      <c r="A2214" t="s">
        <v>3916</v>
      </c>
    </row>
    <row r="2215" spans="1:8" x14ac:dyDescent="0.25">
      <c r="A2215" t="s">
        <v>3917</v>
      </c>
    </row>
    <row r="2216" spans="1:8" x14ac:dyDescent="0.25">
      <c r="A2216" t="s">
        <v>3918</v>
      </c>
    </row>
    <row r="2217" spans="1:8" x14ac:dyDescent="0.25">
      <c r="A2217" t="s">
        <v>3919</v>
      </c>
    </row>
    <row r="2218" spans="1:8" x14ac:dyDescent="0.25">
      <c r="A2218" t="s">
        <v>3920</v>
      </c>
    </row>
    <row r="2219" spans="1:8" x14ac:dyDescent="0.25">
      <c r="A2219" t="s">
        <v>3921</v>
      </c>
    </row>
    <row r="2220" spans="1:8" x14ac:dyDescent="0.25">
      <c r="A2220" t="s">
        <v>3922</v>
      </c>
    </row>
    <row r="2221" spans="1:8" x14ac:dyDescent="0.25">
      <c r="A2221" t="s">
        <v>3923</v>
      </c>
    </row>
    <row r="2222" spans="1:8" x14ac:dyDescent="0.25">
      <c r="A2222" t="s">
        <v>3924</v>
      </c>
    </row>
    <row r="2223" spans="1:8" ht="180" x14ac:dyDescent="0.25">
      <c r="A2223" s="1" t="s">
        <v>3925</v>
      </c>
    </row>
    <row r="2224" spans="1:8" x14ac:dyDescent="0.25">
      <c r="A2224" t="s">
        <v>3926</v>
      </c>
    </row>
    <row r="2225" spans="1:1" x14ac:dyDescent="0.25">
      <c r="A2225" t="s">
        <v>3927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2018-04-25T11:18:07Z</dcterms:created>
  <dcterms:modified xsi:type="dcterms:W3CDTF">2018-04-25T11:18:14Z</dcterms:modified>
</cp:coreProperties>
</file>