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1814" i="1" l="1"/>
  <c r="G1812" i="1"/>
  <c r="G1810" i="1"/>
  <c r="G1808" i="1"/>
  <c r="G1806" i="1"/>
  <c r="G1804" i="1"/>
  <c r="G1802" i="1"/>
  <c r="G1800" i="1"/>
  <c r="G1798" i="1"/>
  <c r="G1796" i="1"/>
  <c r="G1794" i="1"/>
  <c r="G1792" i="1"/>
  <c r="G1790" i="1"/>
  <c r="G1788" i="1"/>
  <c r="G1786" i="1"/>
  <c r="G1784" i="1"/>
  <c r="G1782" i="1"/>
  <c r="G1780" i="1"/>
  <c r="G1778" i="1"/>
  <c r="G1776" i="1"/>
  <c r="G1774" i="1"/>
  <c r="G1772" i="1"/>
  <c r="G1770" i="1"/>
  <c r="G1768" i="1"/>
  <c r="G1766" i="1"/>
  <c r="G1764" i="1"/>
  <c r="G1762" i="1"/>
  <c r="G1760" i="1"/>
  <c r="G1758" i="1"/>
  <c r="G1756" i="1"/>
  <c r="G1754" i="1"/>
  <c r="G1752" i="1"/>
  <c r="G1750" i="1"/>
  <c r="G1748" i="1"/>
  <c r="G1746" i="1"/>
  <c r="G1744" i="1"/>
  <c r="G1742" i="1"/>
  <c r="G1740" i="1"/>
  <c r="G1738" i="1"/>
  <c r="G1736" i="1"/>
  <c r="G1734" i="1"/>
  <c r="G1732" i="1"/>
  <c r="G1730" i="1"/>
  <c r="G1728" i="1"/>
  <c r="G1726" i="1"/>
  <c r="G1724" i="1"/>
  <c r="G1722" i="1"/>
  <c r="G1720" i="1"/>
  <c r="G1718" i="1"/>
  <c r="G1716" i="1"/>
  <c r="G1714" i="1"/>
  <c r="G1712" i="1"/>
  <c r="G1710" i="1"/>
  <c r="G1708" i="1"/>
  <c r="G1706" i="1"/>
  <c r="G1704" i="1"/>
  <c r="G1702" i="1"/>
  <c r="G1700" i="1"/>
  <c r="G1698" i="1"/>
  <c r="G1696" i="1"/>
  <c r="G1694" i="1"/>
  <c r="G1692" i="1"/>
  <c r="G1690" i="1"/>
  <c r="G1688" i="1"/>
  <c r="G1686" i="1"/>
  <c r="G1684" i="1"/>
  <c r="G1682" i="1"/>
  <c r="G1680" i="1"/>
  <c r="G1678" i="1"/>
  <c r="G1676" i="1"/>
  <c r="G1674" i="1"/>
  <c r="G1672" i="1"/>
  <c r="G1670" i="1"/>
  <c r="G1668" i="1"/>
  <c r="G1666" i="1"/>
  <c r="G1664" i="1"/>
  <c r="G1662" i="1"/>
  <c r="G1660" i="1"/>
  <c r="G1658" i="1"/>
  <c r="G1656" i="1"/>
  <c r="G1654" i="1"/>
  <c r="G1652" i="1"/>
  <c r="G1650" i="1"/>
  <c r="G1648" i="1"/>
  <c r="G1646" i="1"/>
  <c r="G1644" i="1"/>
  <c r="G1642" i="1"/>
  <c r="G1640" i="1"/>
  <c r="G1638" i="1"/>
  <c r="G1636" i="1"/>
  <c r="G1634" i="1"/>
  <c r="G1632" i="1"/>
  <c r="G1630" i="1"/>
  <c r="G1628" i="1"/>
  <c r="G1626" i="1"/>
  <c r="G1624" i="1"/>
  <c r="G1622" i="1"/>
  <c r="G1620" i="1"/>
  <c r="G1618" i="1"/>
  <c r="G1616" i="1"/>
  <c r="G1614" i="1"/>
  <c r="G1612" i="1"/>
  <c r="G1610" i="1"/>
  <c r="G1608" i="1"/>
  <c r="G1606" i="1"/>
  <c r="G1604" i="1"/>
  <c r="G1602" i="1"/>
  <c r="G1600" i="1"/>
  <c r="G1598" i="1"/>
  <c r="G1596" i="1"/>
  <c r="G1594" i="1"/>
  <c r="G1592" i="1"/>
  <c r="G1590" i="1"/>
  <c r="G1588" i="1"/>
  <c r="G1586" i="1"/>
  <c r="G1584" i="1"/>
  <c r="G1582" i="1"/>
  <c r="G1580" i="1"/>
  <c r="G1578" i="1"/>
  <c r="G1576" i="1"/>
  <c r="G1574" i="1"/>
  <c r="G1572" i="1"/>
  <c r="G1570" i="1"/>
  <c r="G1568" i="1"/>
  <c r="G1566" i="1"/>
  <c r="G1564" i="1"/>
  <c r="G1562" i="1"/>
  <c r="G1560" i="1"/>
  <c r="G1558" i="1"/>
  <c r="G1556" i="1"/>
  <c r="G1554" i="1"/>
  <c r="G1552" i="1"/>
  <c r="G1550" i="1"/>
  <c r="G1548" i="1"/>
  <c r="G1546" i="1"/>
  <c r="G1544" i="1"/>
  <c r="G1542" i="1"/>
  <c r="G1540" i="1"/>
  <c r="G1538" i="1"/>
  <c r="G1536" i="1"/>
  <c r="G1534" i="1"/>
  <c r="G1532" i="1"/>
  <c r="G1530" i="1"/>
  <c r="G1528" i="1"/>
  <c r="G1526" i="1"/>
  <c r="G1524" i="1"/>
  <c r="G1522" i="1"/>
  <c r="G1520" i="1"/>
  <c r="G1518" i="1"/>
  <c r="G1516" i="1"/>
  <c r="G1514" i="1"/>
  <c r="G1512" i="1"/>
  <c r="G1510" i="1"/>
  <c r="G1508" i="1"/>
  <c r="G1506" i="1"/>
  <c r="G1504" i="1"/>
  <c r="G1502" i="1"/>
  <c r="G1500" i="1"/>
  <c r="G1498" i="1"/>
  <c r="G1496" i="1"/>
  <c r="G1494" i="1"/>
  <c r="G1492" i="1"/>
  <c r="G1490" i="1"/>
  <c r="G1488" i="1"/>
  <c r="G1486" i="1"/>
  <c r="G1484" i="1"/>
  <c r="G1482" i="1"/>
  <c r="G1480" i="1"/>
  <c r="G1478" i="1"/>
  <c r="G1476" i="1"/>
  <c r="G1474" i="1"/>
  <c r="G1472" i="1"/>
  <c r="G1470" i="1"/>
  <c r="G1468" i="1"/>
  <c r="G1466" i="1"/>
  <c r="G1464" i="1"/>
  <c r="G1462" i="1"/>
  <c r="G1460" i="1"/>
  <c r="G1458" i="1"/>
  <c r="G1456" i="1"/>
  <c r="G1454" i="1"/>
  <c r="G1452" i="1"/>
  <c r="G1450" i="1"/>
  <c r="G1448" i="1"/>
  <c r="G1446" i="1"/>
  <c r="G1444" i="1"/>
  <c r="G1442" i="1"/>
  <c r="G1440" i="1"/>
  <c r="G1438" i="1"/>
  <c r="G1436" i="1"/>
  <c r="G1434" i="1"/>
  <c r="G1432" i="1"/>
  <c r="G1430" i="1"/>
  <c r="G1428" i="1"/>
  <c r="G1426" i="1"/>
  <c r="G1424" i="1"/>
  <c r="G1422" i="1"/>
  <c r="G1420" i="1"/>
  <c r="G1418" i="1"/>
  <c r="G1416" i="1"/>
  <c r="G1414" i="1"/>
  <c r="G1412" i="1"/>
  <c r="G1410" i="1"/>
  <c r="G1408" i="1"/>
  <c r="G1406" i="1"/>
  <c r="G1404" i="1"/>
  <c r="G1402" i="1"/>
  <c r="G1400" i="1"/>
  <c r="G1398" i="1"/>
  <c r="G1396" i="1"/>
  <c r="G1394" i="1"/>
  <c r="G1392" i="1"/>
  <c r="G1390" i="1"/>
  <c r="G1388" i="1"/>
  <c r="G1386" i="1"/>
  <c r="G1384" i="1"/>
  <c r="G1382" i="1"/>
  <c r="G1380" i="1"/>
  <c r="G1378" i="1"/>
  <c r="G1376" i="1"/>
  <c r="G1374" i="1"/>
  <c r="G1372" i="1"/>
  <c r="G1370" i="1"/>
  <c r="G1368" i="1"/>
  <c r="G1366" i="1"/>
  <c r="G1364" i="1"/>
  <c r="G1362" i="1"/>
  <c r="G1360" i="1"/>
  <c r="G1358" i="1"/>
  <c r="G1356" i="1"/>
  <c r="G1354" i="1"/>
  <c r="G1352" i="1"/>
  <c r="G1350" i="1"/>
  <c r="G1348" i="1"/>
  <c r="G1346" i="1"/>
  <c r="G1344" i="1"/>
  <c r="G1342" i="1"/>
  <c r="G1340" i="1"/>
  <c r="G1338" i="1"/>
  <c r="G1336" i="1"/>
  <c r="G1334" i="1"/>
  <c r="G1332" i="1"/>
  <c r="G1330" i="1"/>
  <c r="G1328" i="1"/>
  <c r="G1326" i="1"/>
  <c r="G1324" i="1"/>
  <c r="G1322" i="1"/>
  <c r="G1320" i="1"/>
  <c r="G1318" i="1"/>
  <c r="G1316" i="1"/>
  <c r="G1314" i="1"/>
  <c r="G1312" i="1"/>
  <c r="G1310" i="1"/>
  <c r="G1308" i="1"/>
  <c r="G1306" i="1"/>
  <c r="G1304" i="1"/>
  <c r="G1302" i="1"/>
  <c r="G1300" i="1"/>
  <c r="G1298" i="1"/>
  <c r="G1296" i="1"/>
  <c r="G1294" i="1"/>
  <c r="G1292" i="1"/>
  <c r="G1290" i="1"/>
  <c r="G1288" i="1"/>
  <c r="G1286" i="1"/>
  <c r="G1284" i="1"/>
  <c r="G1282" i="1"/>
  <c r="G1280" i="1"/>
  <c r="G1278" i="1"/>
  <c r="G1276" i="1"/>
  <c r="G1274" i="1"/>
  <c r="G1272" i="1"/>
  <c r="G1270" i="1"/>
  <c r="G1268" i="1"/>
  <c r="G1266" i="1"/>
  <c r="G1264" i="1"/>
  <c r="G1262" i="1"/>
  <c r="G1260" i="1"/>
  <c r="G1258" i="1"/>
  <c r="G1256" i="1"/>
  <c r="G1254" i="1"/>
  <c r="G1252" i="1"/>
  <c r="G1250" i="1"/>
  <c r="G1248" i="1"/>
  <c r="G1246" i="1"/>
  <c r="G1244" i="1"/>
  <c r="G1242" i="1"/>
  <c r="G1240" i="1"/>
  <c r="G1238" i="1"/>
  <c r="G1236" i="1"/>
  <c r="G1234" i="1"/>
  <c r="G1232" i="1"/>
  <c r="G1230" i="1"/>
  <c r="G1228" i="1"/>
  <c r="G1226" i="1"/>
  <c r="G1224" i="1"/>
  <c r="G1222" i="1"/>
  <c r="G1220" i="1"/>
  <c r="G1218" i="1"/>
  <c r="G1216" i="1"/>
  <c r="G1214" i="1"/>
  <c r="G1212" i="1"/>
  <c r="G1210" i="1"/>
  <c r="G1208" i="1"/>
  <c r="G1206" i="1"/>
  <c r="G1204" i="1"/>
  <c r="G1202" i="1"/>
  <c r="G1200" i="1"/>
  <c r="G1198" i="1"/>
  <c r="G1196" i="1"/>
  <c r="G1194" i="1"/>
  <c r="G1192" i="1"/>
  <c r="G1190" i="1"/>
  <c r="G1188" i="1"/>
  <c r="G1186" i="1"/>
  <c r="G1184" i="1"/>
  <c r="G1182" i="1"/>
  <c r="G1180" i="1"/>
  <c r="G1178" i="1"/>
  <c r="G1176" i="1"/>
  <c r="G1174" i="1"/>
  <c r="G1172" i="1"/>
  <c r="G1170" i="1"/>
  <c r="G1168" i="1"/>
  <c r="G1166" i="1"/>
  <c r="G1164" i="1"/>
  <c r="G1162" i="1"/>
  <c r="G1160" i="1"/>
  <c r="G1158" i="1"/>
  <c r="G1156" i="1"/>
  <c r="G1154" i="1"/>
  <c r="G1152" i="1"/>
  <c r="G1150" i="1"/>
  <c r="G1148" i="1"/>
  <c r="G1146" i="1"/>
  <c r="G1144" i="1"/>
  <c r="G1142" i="1"/>
  <c r="G1140" i="1"/>
  <c r="G1138" i="1"/>
  <c r="G1136" i="1"/>
  <c r="G1134" i="1"/>
  <c r="G1132" i="1"/>
  <c r="G1130" i="1"/>
  <c r="G1128" i="1"/>
  <c r="G1126" i="1"/>
  <c r="G1124" i="1"/>
  <c r="G1122" i="1"/>
  <c r="G1120" i="1"/>
  <c r="G1118" i="1"/>
  <c r="G1116" i="1"/>
  <c r="G1114" i="1"/>
  <c r="G1112" i="1"/>
  <c r="G1110" i="1"/>
  <c r="G1108" i="1"/>
  <c r="G1106" i="1"/>
  <c r="G1104" i="1"/>
  <c r="G1102" i="1"/>
  <c r="G1100" i="1"/>
  <c r="G1098" i="1"/>
  <c r="G1096" i="1"/>
  <c r="G1094" i="1"/>
  <c r="G1092" i="1"/>
  <c r="G1090" i="1"/>
  <c r="G1088" i="1"/>
  <c r="G1086" i="1"/>
  <c r="G1084" i="1"/>
  <c r="G1082" i="1"/>
  <c r="G1080" i="1"/>
  <c r="G1078" i="1"/>
  <c r="G1076" i="1"/>
  <c r="G1074" i="1"/>
  <c r="G1072" i="1"/>
  <c r="G1070" i="1"/>
  <c r="G1068" i="1"/>
  <c r="G1066" i="1"/>
  <c r="G1064" i="1"/>
  <c r="G1062" i="1"/>
  <c r="G1060" i="1"/>
  <c r="G1058" i="1"/>
  <c r="G1056" i="1"/>
  <c r="G1054" i="1"/>
  <c r="G1052" i="1"/>
  <c r="G1050" i="1"/>
  <c r="G1048" i="1"/>
  <c r="G1046" i="1"/>
  <c r="G1044" i="1"/>
  <c r="G1042" i="1"/>
  <c r="G1040" i="1"/>
  <c r="G1038" i="1"/>
  <c r="G1036" i="1"/>
  <c r="G1034" i="1"/>
  <c r="G1032" i="1"/>
  <c r="G1030" i="1"/>
  <c r="G1028" i="1"/>
  <c r="G1026" i="1"/>
  <c r="G1024" i="1"/>
  <c r="G1022" i="1"/>
  <c r="G1020" i="1"/>
  <c r="G1018" i="1"/>
  <c r="G1016" i="1"/>
  <c r="G1014" i="1"/>
  <c r="G1012" i="1"/>
  <c r="G1010" i="1"/>
  <c r="G1008" i="1"/>
  <c r="G1006" i="1"/>
  <c r="G1004" i="1"/>
  <c r="G1002" i="1"/>
  <c r="G1000" i="1"/>
  <c r="G998" i="1"/>
  <c r="G996" i="1"/>
  <c r="G994" i="1"/>
  <c r="G992" i="1"/>
  <c r="G990" i="1"/>
  <c r="G988" i="1"/>
  <c r="G986" i="1"/>
  <c r="G984" i="1"/>
  <c r="G982" i="1"/>
  <c r="G980" i="1"/>
  <c r="G978" i="1"/>
  <c r="G976" i="1"/>
  <c r="G974" i="1"/>
  <c r="G972" i="1"/>
  <c r="G970" i="1"/>
  <c r="G968" i="1"/>
  <c r="G966" i="1"/>
  <c r="G964" i="1"/>
  <c r="G962" i="1"/>
  <c r="G960" i="1"/>
  <c r="G958" i="1"/>
  <c r="G956" i="1"/>
  <c r="G954" i="1"/>
  <c r="G952" i="1"/>
  <c r="G950" i="1"/>
  <c r="G948" i="1"/>
  <c r="G946" i="1"/>
  <c r="G944" i="1"/>
  <c r="G942" i="1"/>
  <c r="G940" i="1"/>
  <c r="G938" i="1"/>
  <c r="G936" i="1"/>
  <c r="G934" i="1"/>
  <c r="G932" i="1"/>
  <c r="G930" i="1"/>
  <c r="G928" i="1"/>
  <c r="G926" i="1"/>
  <c r="G924" i="1"/>
  <c r="G922" i="1"/>
  <c r="G920" i="1"/>
  <c r="G918" i="1"/>
  <c r="G916" i="1"/>
  <c r="G914" i="1"/>
  <c r="G912" i="1"/>
  <c r="G910" i="1"/>
  <c r="G908" i="1"/>
  <c r="G906" i="1"/>
  <c r="G904" i="1"/>
  <c r="G902" i="1"/>
  <c r="G900" i="1"/>
  <c r="G898" i="1"/>
  <c r="G896" i="1"/>
  <c r="G894" i="1"/>
  <c r="G892" i="1"/>
  <c r="G890" i="1"/>
  <c r="G888" i="1"/>
  <c r="G886" i="1"/>
  <c r="G884" i="1"/>
  <c r="G882" i="1"/>
  <c r="G880" i="1"/>
  <c r="G878" i="1"/>
  <c r="G876" i="1"/>
  <c r="G874" i="1"/>
  <c r="G872" i="1"/>
  <c r="G870" i="1"/>
  <c r="G868" i="1"/>
  <c r="G866" i="1"/>
  <c r="G864" i="1"/>
  <c r="G862" i="1"/>
  <c r="G860" i="1"/>
  <c r="G858" i="1"/>
  <c r="G856" i="1"/>
  <c r="G854" i="1"/>
  <c r="G852" i="1"/>
  <c r="G850" i="1"/>
  <c r="G848" i="1"/>
  <c r="G846" i="1"/>
  <c r="G844" i="1"/>
  <c r="G842" i="1"/>
  <c r="G840" i="1"/>
  <c r="G838" i="1"/>
  <c r="G836" i="1"/>
  <c r="G834" i="1"/>
  <c r="G832" i="1"/>
  <c r="G830" i="1"/>
  <c r="G828" i="1"/>
  <c r="G826" i="1"/>
  <c r="G824" i="1"/>
  <c r="G822" i="1"/>
  <c r="G820" i="1"/>
  <c r="G818" i="1"/>
  <c r="G816" i="1"/>
  <c r="G814" i="1"/>
  <c r="G812" i="1"/>
  <c r="G810" i="1"/>
  <c r="G808" i="1"/>
  <c r="G806" i="1"/>
  <c r="G804" i="1"/>
  <c r="G802" i="1"/>
  <c r="G800" i="1"/>
  <c r="G798" i="1"/>
  <c r="G796" i="1"/>
  <c r="G794" i="1"/>
  <c r="G792" i="1"/>
  <c r="G790" i="1"/>
  <c r="G788" i="1"/>
  <c r="G786" i="1"/>
  <c r="G784" i="1"/>
  <c r="G782" i="1"/>
  <c r="G780" i="1"/>
  <c r="G778" i="1"/>
  <c r="G776" i="1"/>
  <c r="G774" i="1"/>
  <c r="G772" i="1"/>
  <c r="G770" i="1"/>
  <c r="G768" i="1"/>
  <c r="G766" i="1"/>
  <c r="G764" i="1"/>
  <c r="G762" i="1"/>
  <c r="G760" i="1"/>
  <c r="G758" i="1"/>
  <c r="G756" i="1"/>
  <c r="G754" i="1"/>
  <c r="G752" i="1"/>
  <c r="G750" i="1"/>
  <c r="G748" i="1"/>
  <c r="G746" i="1"/>
  <c r="G744" i="1"/>
  <c r="G742" i="1"/>
  <c r="G740" i="1"/>
  <c r="G738" i="1"/>
  <c r="G736" i="1"/>
  <c r="G734" i="1"/>
  <c r="G732" i="1"/>
  <c r="G730" i="1"/>
  <c r="G728" i="1"/>
  <c r="G726" i="1"/>
  <c r="G724" i="1"/>
  <c r="G722" i="1"/>
  <c r="G720" i="1"/>
  <c r="G718" i="1"/>
  <c r="G716" i="1"/>
  <c r="G714" i="1"/>
  <c r="G712" i="1"/>
  <c r="G710" i="1"/>
  <c r="G708" i="1"/>
  <c r="G706" i="1"/>
  <c r="G704" i="1"/>
  <c r="G702" i="1"/>
  <c r="G700" i="1"/>
  <c r="G698" i="1"/>
  <c r="G696" i="1"/>
  <c r="G694" i="1"/>
  <c r="G692" i="1"/>
  <c r="G690" i="1"/>
  <c r="G688" i="1"/>
  <c r="G686" i="1"/>
  <c r="G684" i="1"/>
  <c r="G682" i="1"/>
  <c r="G680" i="1"/>
  <c r="G678" i="1"/>
  <c r="G676" i="1"/>
  <c r="G674" i="1"/>
  <c r="G672" i="1"/>
  <c r="G670" i="1"/>
  <c r="G668" i="1"/>
  <c r="G666" i="1"/>
  <c r="G664" i="1"/>
  <c r="G662" i="1"/>
  <c r="G660" i="1"/>
  <c r="G658" i="1"/>
  <c r="G656" i="1"/>
  <c r="G654" i="1"/>
  <c r="G652" i="1"/>
  <c r="G650" i="1"/>
  <c r="G648" i="1"/>
  <c r="G646" i="1"/>
  <c r="G644" i="1"/>
  <c r="G642" i="1"/>
  <c r="G640" i="1"/>
  <c r="G638" i="1"/>
  <c r="G636" i="1"/>
  <c r="G634" i="1"/>
  <c r="G632" i="1"/>
  <c r="G630" i="1"/>
  <c r="G628" i="1"/>
  <c r="G626" i="1"/>
  <c r="G624" i="1"/>
  <c r="G622" i="1"/>
  <c r="G620" i="1"/>
  <c r="G618" i="1"/>
  <c r="G616" i="1"/>
  <c r="G614" i="1"/>
  <c r="G612" i="1"/>
  <c r="G610" i="1"/>
  <c r="G608" i="1"/>
  <c r="G606" i="1"/>
  <c r="G604" i="1"/>
  <c r="G602" i="1"/>
  <c r="G600" i="1"/>
  <c r="G598" i="1"/>
  <c r="G596" i="1"/>
  <c r="G594" i="1"/>
  <c r="G592" i="1"/>
  <c r="G590" i="1"/>
  <c r="G588" i="1"/>
  <c r="G586" i="1"/>
  <c r="G584" i="1"/>
  <c r="G582" i="1"/>
  <c r="G580" i="1"/>
  <c r="G578" i="1"/>
  <c r="G576" i="1"/>
  <c r="G574" i="1"/>
  <c r="G572" i="1"/>
  <c r="G570" i="1"/>
  <c r="G568" i="1"/>
  <c r="G566" i="1"/>
  <c r="G564" i="1"/>
  <c r="G562" i="1"/>
  <c r="G560" i="1"/>
  <c r="G558" i="1"/>
  <c r="G556" i="1"/>
  <c r="G554" i="1"/>
  <c r="G552" i="1"/>
  <c r="G550" i="1"/>
  <c r="G548" i="1"/>
  <c r="G546" i="1"/>
  <c r="G544" i="1"/>
  <c r="G542" i="1"/>
  <c r="G540" i="1"/>
  <c r="G538" i="1"/>
  <c r="G536" i="1"/>
  <c r="G534" i="1"/>
  <c r="G532" i="1"/>
  <c r="G530" i="1"/>
  <c r="G528" i="1"/>
  <c r="G526" i="1"/>
  <c r="G524" i="1"/>
  <c r="G522" i="1"/>
  <c r="G520" i="1"/>
  <c r="G518" i="1"/>
  <c r="G516" i="1"/>
  <c r="G514" i="1"/>
  <c r="G512" i="1"/>
  <c r="G510" i="1"/>
  <c r="G508" i="1"/>
  <c r="G506" i="1"/>
  <c r="G504" i="1"/>
  <c r="G502" i="1"/>
  <c r="G500" i="1"/>
  <c r="G498" i="1"/>
  <c r="G496" i="1"/>
  <c r="G494" i="1"/>
  <c r="G492" i="1"/>
  <c r="G490" i="1"/>
  <c r="G488" i="1"/>
  <c r="G486" i="1"/>
  <c r="G484" i="1"/>
  <c r="G482" i="1"/>
  <c r="G480" i="1"/>
  <c r="G478" i="1"/>
  <c r="G476" i="1"/>
  <c r="G474" i="1"/>
  <c r="G472" i="1"/>
  <c r="G470" i="1"/>
  <c r="G468" i="1"/>
  <c r="G466" i="1"/>
  <c r="G464" i="1"/>
  <c r="G462" i="1"/>
  <c r="G460" i="1"/>
  <c r="G458" i="1"/>
  <c r="G456" i="1"/>
  <c r="G454" i="1"/>
  <c r="G452" i="1"/>
  <c r="G450" i="1"/>
  <c r="G448" i="1"/>
  <c r="G446" i="1"/>
  <c r="G444" i="1"/>
  <c r="G442" i="1"/>
  <c r="G440" i="1"/>
  <c r="G438" i="1"/>
  <c r="G436" i="1"/>
  <c r="G434" i="1"/>
  <c r="G432" i="1"/>
  <c r="G430" i="1"/>
  <c r="G428" i="1"/>
  <c r="G426" i="1"/>
  <c r="G424" i="1"/>
  <c r="G422" i="1"/>
  <c r="G420" i="1"/>
  <c r="G418" i="1"/>
  <c r="G416" i="1"/>
  <c r="G414" i="1"/>
  <c r="G412" i="1"/>
  <c r="G410" i="1"/>
  <c r="G408" i="1"/>
  <c r="G406" i="1"/>
  <c r="G404" i="1"/>
  <c r="G402" i="1"/>
  <c r="G400" i="1"/>
  <c r="G398" i="1"/>
  <c r="G396" i="1"/>
  <c r="G394" i="1"/>
  <c r="G392" i="1"/>
  <c r="G390" i="1"/>
  <c r="G388" i="1"/>
  <c r="G386" i="1"/>
  <c r="G384" i="1"/>
  <c r="G382" i="1"/>
  <c r="G380" i="1"/>
  <c r="G378" i="1"/>
  <c r="G376" i="1"/>
  <c r="G374" i="1"/>
  <c r="G372" i="1"/>
  <c r="G370" i="1"/>
  <c r="G368" i="1"/>
  <c r="G366" i="1"/>
  <c r="G364" i="1"/>
  <c r="G362" i="1"/>
  <c r="G360" i="1"/>
  <c r="G358" i="1"/>
  <c r="G356" i="1"/>
  <c r="G354" i="1"/>
  <c r="G352" i="1"/>
  <c r="G350" i="1"/>
  <c r="G348" i="1"/>
  <c r="G346" i="1"/>
  <c r="G344" i="1"/>
  <c r="G342" i="1"/>
  <c r="G340" i="1"/>
  <c r="G338" i="1"/>
  <c r="G336" i="1"/>
  <c r="G334" i="1"/>
  <c r="G332" i="1"/>
  <c r="G330" i="1"/>
  <c r="G328" i="1"/>
  <c r="G326" i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<sst xmlns="http://schemas.openxmlformats.org/spreadsheetml/2006/main" count="5256" uniqueCount="3088">
  <si>
    <t>ΠΛΗΡΩΣΗ ΘΕΣΕΩΝ ΜΕ ΣΕΙΡΑ ΠΡΟΤΕΡΑΙΟΤΗΤΑΣ (ΑΡΘΡΟ 18/Ν. 2190/1994) ΠΡΟΚΗΡΥΞΗ : 7Κ/2016</t>
  </si>
  <si>
    <t>ΣΕΙΡΑ ΚΑΤΑΤΑΞΗΣ (ΚΥΡΙΟΣ)</t>
  </si>
  <si>
    <t>ΔΕΥΤΕΡΟΒΑΘΜΙΑΣ ΕΚΠΑΙΔΕΥΣΗΣ (ΔΕ)</t>
  </si>
  <si>
    <t>ΓΕΝΙΚΕΣ ΘΕΣΕΙΣ ΜΕ ΕΜΠΕΙΡΙΑ</t>
  </si>
  <si>
    <t>ΔΕ ΧΕΙΡΙΣΤΩΝ ΙΑΤΡΙΚΩΝ ΣΥΣΚΕΥΩΝ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</si>
  <si>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</si>
  <si>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</si>
  <si>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</si>
  <si>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</si>
  <si>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</si>
  <si>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</si>
  <si>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</si>
  <si>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</si>
  <si>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ΜΠΟΛΗ</t>
  </si>
  <si>
    <t>ΕΥΑΓΓΕΛΙΑ</t>
  </si>
  <si>
    <t>ΓΡΗΓΟΡΙΟΣ</t>
  </si>
  <si>
    <t>Π850926</t>
  </si>
  <si>
    <t>1083,5</t>
  </si>
  <si>
    <t>1821,5</t>
  </si>
  <si>
    <t>920-918-916-917-919-922-904-903-921-901-902-900</t>
  </si>
  <si>
    <t>ΤΕΡΖΗΣ</t>
  </si>
  <si>
    <t>ΔΗΜΗΤΡΙΟΣ</t>
  </si>
  <si>
    <t>ΣΩΤΗΡΙΟΣ</t>
  </si>
  <si>
    <t>ΑΗ678337</t>
  </si>
  <si>
    <t>911-908-909-912-910-926-925-928-929-914-933-913-934-918-921-916-917-919-920-923-927-941-942-907</t>
  </si>
  <si>
    <t>ΤΣΙΝΤΖΙΛΙΔΑΣ</t>
  </si>
  <si>
    <t>ΧΡΗΣΤΟΣ</t>
  </si>
  <si>
    <t>ΣΤΑΜΟΥΛΗΣ</t>
  </si>
  <si>
    <t>Ξ642493</t>
  </si>
  <si>
    <t>904-902-903-921-917-901-918-916-922</t>
  </si>
  <si>
    <t>ΣΑΤΣΙΟΥ</t>
  </si>
  <si>
    <t>ΜΑΡΙΑ</t>
  </si>
  <si>
    <t>ΕΥΑΓΓΕΛΟΣ</t>
  </si>
  <si>
    <t>ΑΜ292583</t>
  </si>
  <si>
    <t>908-909-931</t>
  </si>
  <si>
    <t>ΖΑΡΚΑΔΑΚΗ</t>
  </si>
  <si>
    <t>ΑΝΑΣΤΑΣΙΑ</t>
  </si>
  <si>
    <t>ΑΚ298547</t>
  </si>
  <si>
    <t>1049,4</t>
  </si>
  <si>
    <t>1738,4</t>
  </si>
  <si>
    <t>904-922-927-900-908-912</t>
  </si>
  <si>
    <t>ΠΑΠΑΣΠΥΡΟΠΟΥΛΟΣ</t>
  </si>
  <si>
    <t>ΓΕΩΡΓΙΟΣ</t>
  </si>
  <si>
    <t>ΑΒ794288</t>
  </si>
  <si>
    <t>949,3</t>
  </si>
  <si>
    <t>1717,3</t>
  </si>
  <si>
    <t>ΦΑΡΔΗΣ</t>
  </si>
  <si>
    <t>ΑΠΟΣΤΟΛΟΣ</t>
  </si>
  <si>
    <t>ΑΒ696730</t>
  </si>
  <si>
    <t>944,9</t>
  </si>
  <si>
    <t>1712,9</t>
  </si>
  <si>
    <t>908-912-909-939-942</t>
  </si>
  <si>
    <t>ΤΣΟΝΙΟΓΛΟΥ</t>
  </si>
  <si>
    <t>ΚΩΝΣΤΑΝΤΙΝΟΣ</t>
  </si>
  <si>
    <t>ΑΗ377541</t>
  </si>
  <si>
    <t>913-912-910-908-909-911-928-926-925-933-907</t>
  </si>
  <si>
    <t>ΣΑΜΑΡΑ</t>
  </si>
  <si>
    <t>ΦΩΤΕΙΝΗ</t>
  </si>
  <si>
    <t>ΑΖ684986</t>
  </si>
  <si>
    <t>1079,1</t>
  </si>
  <si>
    <t>1697,1</t>
  </si>
  <si>
    <t>ΛΩΤΤΑ</t>
  </si>
  <si>
    <t>ΟΥΡΑΝΙΑ</t>
  </si>
  <si>
    <t>ΝΑΠΟΛΕΩΝ</t>
  </si>
  <si>
    <t>ΑΗ239226</t>
  </si>
  <si>
    <t>907-762-773-929-933-801-928-800-925-926-935-813-774-784-914-913-751-752-910-911-912-909-908-778-779-780-782-781-814-939-941-942-900-755-754-756-899-927-898-753-772-805-903-758-759-904-917-916-918-919-921-920-901-757-765-796-785-786-787-788-789-790-791-792-793-768-769-770</t>
  </si>
  <si>
    <t>ΚΟΡΟΜΠΙΛΗ</t>
  </si>
  <si>
    <t>ΔΗΜΗΤΡΑ</t>
  </si>
  <si>
    <t>ΑΝ015944</t>
  </si>
  <si>
    <t>904-916</t>
  </si>
  <si>
    <t>ΚΑΠΑΡΕΛΟΣ</t>
  </si>
  <si>
    <t>ΙΩΑΝΝΗΣ</t>
  </si>
  <si>
    <t>Σ353161</t>
  </si>
  <si>
    <t>1682,9</t>
  </si>
  <si>
    <t>ΜΩΥΣΙΔΗΣ</t>
  </si>
  <si>
    <t>ΔΑΜΙΑΝΟΣ</t>
  </si>
  <si>
    <t>Ξ890347</t>
  </si>
  <si>
    <t>1094,5</t>
  </si>
  <si>
    <t>1682,5</t>
  </si>
  <si>
    <t>924-940-923-909</t>
  </si>
  <si>
    <t xml:space="preserve"> 923- 924- 940</t>
  </si>
  <si>
    <t>ΧΑΡΙΤΟΥΔΗ</t>
  </si>
  <si>
    <t>ΑΠΟΣΤΟΛΙΑ</t>
  </si>
  <si>
    <t>ΑΝΑΣΤΑΣΙΟΣ</t>
  </si>
  <si>
    <t>ΑΗ535461</t>
  </si>
  <si>
    <t>918-904-920-903-901-917-916-919-921-902</t>
  </si>
  <si>
    <t>ΒΛΑΧΑΤΣΗΣ</t>
  </si>
  <si>
    <t>ΑΘΑΝΑΣΙΟΣ</t>
  </si>
  <si>
    <t>ΣΠΥΡΟΣ</t>
  </si>
  <si>
    <t>ΑΒ913723</t>
  </si>
  <si>
    <t>1059,3</t>
  </si>
  <si>
    <t>1677,3</t>
  </si>
  <si>
    <t>938-913-931-932-941</t>
  </si>
  <si>
    <t>ΔΕΛΗΓΙΑ</t>
  </si>
  <si>
    <t>ΣΟΦΙΑ</t>
  </si>
  <si>
    <t>ΒΑΣΙΛΕΙΟΣ</t>
  </si>
  <si>
    <t>ΑΙ325646</t>
  </si>
  <si>
    <t>926-925-929-928-913-938-932-908-909-910-911-912-933-914-898-899-900-907-927-935-901-902-903-904-916-917-918-919-920-921-922-915-923-924-931-905-906-930</t>
  </si>
  <si>
    <t>ΕΣΚΙΚΕΧΑΓΙΟΓΛΟΥ</t>
  </si>
  <si>
    <t>ΑΛΕΞΙΑ</t>
  </si>
  <si>
    <t>ΑΖ667539</t>
  </si>
  <si>
    <t>1086,8</t>
  </si>
  <si>
    <t>1674,8</t>
  </si>
  <si>
    <t>909-908-912-911-910-926-928-929-942-941-925-913-933-914</t>
  </si>
  <si>
    <t>ΖΟΥΡΝΑΤΖΙΔΟΥ</t>
  </si>
  <si>
    <t>ΘΕΟΔΩΡΑ</t>
  </si>
  <si>
    <t>Τ802555</t>
  </si>
  <si>
    <t>1085,7</t>
  </si>
  <si>
    <t>1673,7</t>
  </si>
  <si>
    <t>924-908-909-910-912-911</t>
  </si>
  <si>
    <t>ΣΒΟΥΡΑΚΗ</t>
  </si>
  <si>
    <t>ΙΩΑΝΝΑ</t>
  </si>
  <si>
    <t>ΑΙ472657</t>
  </si>
  <si>
    <t>876-877-878-874-873-833-907</t>
  </si>
  <si>
    <t>ΠΡΑΣΣΑΚΗ</t>
  </si>
  <si>
    <t>ΝΕΚΤΑΡΙΑ</t>
  </si>
  <si>
    <t>ΣΤΥΛΙΑΝΟΣ</t>
  </si>
  <si>
    <t>ΑΗ624161</t>
  </si>
  <si>
    <t>907-898-899-900-938-934-935-940-928-927-930-929-932-933-917-920-921-918-919-916-915-922-923-924-926-925-939-941-942-908-909-910-911-912-913-914-901-902-903-904-905-931</t>
  </si>
  <si>
    <t>ΖΗΣΗΣ</t>
  </si>
  <si>
    <t>ΚΥΡΙΑΖΗΣ</t>
  </si>
  <si>
    <t>ΝΙΚΟΛΑΟΣ</t>
  </si>
  <si>
    <t>ΑΖ963335</t>
  </si>
  <si>
    <t>1671,5</t>
  </si>
  <si>
    <t>929-928-914-933-934-909-908-912-910-911-904-903-902-913</t>
  </si>
  <si>
    <t>ΛΑΓΟΥΜΤΖΗ</t>
  </si>
  <si>
    <t>ΚΩΝΣΤΑΝΤΙΝΑ</t>
  </si>
  <si>
    <t>Ρ340343</t>
  </si>
  <si>
    <t>1081,3</t>
  </si>
  <si>
    <t>1669,3</t>
  </si>
  <si>
    <t>911-941-908-909-910-912</t>
  </si>
  <si>
    <t>ΨΑΛΙΔΑ</t>
  </si>
  <si>
    <t>ΠΑΡΑΣΚΕΥΗ</t>
  </si>
  <si>
    <t>Ρ838481</t>
  </si>
  <si>
    <t>926-925-933-914-900-899-898-910-911-908-909-928</t>
  </si>
  <si>
    <t>ΜΑΚΡΑ</t>
  </si>
  <si>
    <t>ΕΥΣΤΡΑΤΙΟΣ</t>
  </si>
  <si>
    <t>Ρ599470</t>
  </si>
  <si>
    <t>904-920-903-917-916-918-919-921-922-901-902</t>
  </si>
  <si>
    <t>ΧΑΙΝΤΟΥΤΗ</t>
  </si>
  <si>
    <t>ΓΕΩΡΓΙΑ</t>
  </si>
  <si>
    <t>ΗΛΙΑΣ</t>
  </si>
  <si>
    <t>ΑΙ083127</t>
  </si>
  <si>
    <t>916-902-919-921-917-904-903-918-922-920-901</t>
  </si>
  <si>
    <t>ΛΑΜΠΡΟΥ</t>
  </si>
  <si>
    <t>ΑΝΝΑ</t>
  </si>
  <si>
    <t>ΑΚ252285</t>
  </si>
  <si>
    <t>924-911-908-910-909-912-923-913-934-932-925-926-933-914-915</t>
  </si>
  <si>
    <t>ΧΡΙΣΤΟΥΛΑΣ</t>
  </si>
  <si>
    <t>ΘΕΟΦΑΝΗΣ</t>
  </si>
  <si>
    <t>ΠΑΥΛΟΣ</t>
  </si>
  <si>
    <t>Φ036489</t>
  </si>
  <si>
    <t>1069,2</t>
  </si>
  <si>
    <t>1657,2</t>
  </si>
  <si>
    <t>902-903-904-916-917-918-919-920-921-901-922</t>
  </si>
  <si>
    <t>ΚΟΥΚΑ</t>
  </si>
  <si>
    <t>ΕΛΕΝΗ</t>
  </si>
  <si>
    <t>Ξ705840</t>
  </si>
  <si>
    <t>1062,6</t>
  </si>
  <si>
    <t>1650,6</t>
  </si>
  <si>
    <t>ΚΑΤΕΡΙΝΑΚΗ</t>
  </si>
  <si>
    <t>ΑΕ144563</t>
  </si>
  <si>
    <t>1061,5</t>
  </si>
  <si>
    <t>1649,5</t>
  </si>
  <si>
    <t>902-903-901-904-918-917-922-921-919-920</t>
  </si>
  <si>
    <t>ΑΡΒΑΝΙΤΑΝΤΩΝΗ</t>
  </si>
  <si>
    <t>ΧΑΡΑΛΑΜΠΙΑ</t>
  </si>
  <si>
    <t>ΑΚ827377</t>
  </si>
  <si>
    <t>922-902-904-916-903-918-901-917-919-920-921-927-934-929-907</t>
  </si>
  <si>
    <t>ΚΙΚΙΔΟΥ</t>
  </si>
  <si>
    <t>ΚΩΝΣΤΑΝΤΙΑ</t>
  </si>
  <si>
    <t>ΧΑΡΑΛΑΜΠΟΣ</t>
  </si>
  <si>
    <t>ΑΗ289025</t>
  </si>
  <si>
    <t>926-925-915-934-908-909-910-911-912-913-914-933-932-931-929-928-924-898-899-900-901-902-903-904-905-906-907-916-917-918-919-920-921-922-927-930</t>
  </si>
  <si>
    <t>ΠΕΡΔΙΚΑΚΗ</t>
  </si>
  <si>
    <t>ΘΕΟΔΩΡΟΣ</t>
  </si>
  <si>
    <t>Τ479873</t>
  </si>
  <si>
    <t>934-929-928-914-933-913-902-903-904-916-917-918-919-920-921-922-901-907-908-909-910-911-912-925-926-899-900-898-927</t>
  </si>
  <si>
    <t>ΜΠΡΑΜΟΥ</t>
  </si>
  <si>
    <t>ΕΥΓΕΝΙΑ</t>
  </si>
  <si>
    <t>ΑΖ417326</t>
  </si>
  <si>
    <t>904,2</t>
  </si>
  <si>
    <t>1642,2</t>
  </si>
  <si>
    <t>906-905-931-913-932-908</t>
  </si>
  <si>
    <t>ΠΑΠΑΔΑΚΗ</t>
  </si>
  <si>
    <t>Ξ935525</t>
  </si>
  <si>
    <t>1053,8</t>
  </si>
  <si>
    <t>1641,8</t>
  </si>
  <si>
    <t>918-916-904-907-930-915-927-898-899-900-906</t>
  </si>
  <si>
    <t>ΥΦΑΝΤΗ</t>
  </si>
  <si>
    <t>ΒΑΣΙΛΙΚΗ</t>
  </si>
  <si>
    <t>ΑΙ635959</t>
  </si>
  <si>
    <t>904-916-903-902-908-917-919-922-900-930-934-924-933-910</t>
  </si>
  <si>
    <t>ΚΡΥΠΩΤΟΥ</t>
  </si>
  <si>
    <t>ΧΑΡΑΛΑΜΠ</t>
  </si>
  <si>
    <t>Π189151</t>
  </si>
  <si>
    <t>922-916-919-921-920-918-917-901-904-903-902</t>
  </si>
  <si>
    <t>ΔΗΜΟΠΟΥΛΟΥ</t>
  </si>
  <si>
    <t>ΛΟΥΚΙΑ</t>
  </si>
  <si>
    <t>ΛΑΜΠΡΟΣ</t>
  </si>
  <si>
    <t>ΑΖ076013</t>
  </si>
  <si>
    <t>1017,5</t>
  </si>
  <si>
    <t>1635,5</t>
  </si>
  <si>
    <t>917-904-916-919-921-922-918-902-903-920-901-927-898-899-900-934-933-929-928-914-930-915-907-908-909-910-911-912</t>
  </si>
  <si>
    <t>VASILEV</t>
  </si>
  <si>
    <t>YORDAN</t>
  </si>
  <si>
    <t>NIKOLOV</t>
  </si>
  <si>
    <t>P383125721</t>
  </si>
  <si>
    <t>911-912-910-909-908</t>
  </si>
  <si>
    <t>ΓΙΑΝΝΑΚΟΥ</t>
  </si>
  <si>
    <t xml:space="preserve">ΑΝΔΡΟΝΙΚΗ </t>
  </si>
  <si>
    <t>ΦΙΛΙΠΠΟΣ</t>
  </si>
  <si>
    <t>Π179137</t>
  </si>
  <si>
    <t>923-924-913-911-908</t>
  </si>
  <si>
    <t>ΚΟΝΤΟΓΙΑΝΝΗ</t>
  </si>
  <si>
    <t>ΑΗ137115</t>
  </si>
  <si>
    <t>901-902-903-904-916-917-918-919-920-921-922</t>
  </si>
  <si>
    <t>ΚΑΛΑΝΤΖΗΣ</t>
  </si>
  <si>
    <t>ΠΑΝΑΓΙΩΤΗΣ</t>
  </si>
  <si>
    <t>ΑΜ022952</t>
  </si>
  <si>
    <t>904-916-902-903-921-920-922-919-917-918-901</t>
  </si>
  <si>
    <t>ΜΗΤΡΟΣΥΛΗ</t>
  </si>
  <si>
    <t>ΠΑΝΩΡΑΙΑ</t>
  </si>
  <si>
    <t>ΜΙΧΑΗΛ</t>
  </si>
  <si>
    <t>Φ118683</t>
  </si>
  <si>
    <t>916-917-920-922-921-919-918-902-901-904-903</t>
  </si>
  <si>
    <t>ΤΣΙΦΤΗΣ</t>
  </si>
  <si>
    <t>Φ109130</t>
  </si>
  <si>
    <t>902-903-904-918-921-917-920-919-916-922-901</t>
  </si>
  <si>
    <t>ΘΕΟΔΟΣΟΠΟΥΛΟΣ</t>
  </si>
  <si>
    <t>ΑΝ277492</t>
  </si>
  <si>
    <t>921-917-904-918-919-903-922-902-901-920-916</t>
  </si>
  <si>
    <t>ΚΑΤΣΙΦΗ</t>
  </si>
  <si>
    <t>ΕΥΘΑΛΙΑ</t>
  </si>
  <si>
    <t>ΑΑ087914</t>
  </si>
  <si>
    <t>904-901-922-907-914-933-928-929-934-927</t>
  </si>
  <si>
    <t>ΓΩΓΟΥΛΟΣ</t>
  </si>
  <si>
    <t>ΑΙ32603158</t>
  </si>
  <si>
    <t>ΠΑΙΡΑΚΤΑΡΙΔΟΥ</t>
  </si>
  <si>
    <t>Φ095154</t>
  </si>
  <si>
    <t>916-904-922-919-920-918-917-921-927-934-898-900-899-929-933-907-911-910-909-912-914-926-925-930-902-903-901-932-915-923-924-905-935</t>
  </si>
  <si>
    <t>ΔΕΛΗΓΙΑΝΝΗΣ</t>
  </si>
  <si>
    <t>ΑΗ170952</t>
  </si>
  <si>
    <t>1038,4</t>
  </si>
  <si>
    <t>1626,4</t>
  </si>
  <si>
    <t>908-909-912-910-911-924-923-939-932</t>
  </si>
  <si>
    <t>ΤΣΙΝΤΖΕΛΗ</t>
  </si>
  <si>
    <t>ΑΛΕΞΑΝΔΡΑ</t>
  </si>
  <si>
    <t>Χ572238</t>
  </si>
  <si>
    <t>916-917-918-919-920-921-922-901-902-903-904-927</t>
  </si>
  <si>
    <t>ΜΠΟΥΡΑΚΗ</t>
  </si>
  <si>
    <t>ΙΩΑΝΝΑ ΠΩΛΙΝΑ ΠΟΥΛΟΥΔΙΑ</t>
  </si>
  <si>
    <t>ΠΕΡΗΣ</t>
  </si>
  <si>
    <t>ΑΕ450392</t>
  </si>
  <si>
    <t>920-919-916-917-918-922-904-921-903-901-902-907-910-911-912-909-908-927-900-899-898-930-934-928-933-925-926-913-914</t>
  </si>
  <si>
    <t>ΑΝΔΡΕΟΥ</t>
  </si>
  <si>
    <t>ΧΡΙΣΤΙΑΝΝΑ</t>
  </si>
  <si>
    <t>ΑΜ330033</t>
  </si>
  <si>
    <t>1035,1</t>
  </si>
  <si>
    <t>1623,1</t>
  </si>
  <si>
    <t>938-941-940-898-924-915-913-914-935-931-923-925-932-933-905</t>
  </si>
  <si>
    <t>ΝΤΖΙΦΑ</t>
  </si>
  <si>
    <t>ΠΑΓΩΝΑ</t>
  </si>
  <si>
    <t>Π136712</t>
  </si>
  <si>
    <t>941-934-933-914-929-928-927-898-899-900-908-909-910-911-912-939-922-921-920-919-918-917-916-907-904-903-902-901-925-926</t>
  </si>
  <si>
    <t>ΠΑΠΑΔΟΠΟΥΛΟΣ</t>
  </si>
  <si>
    <t>ΑΚ294105</t>
  </si>
  <si>
    <t>908-909-912-911-910</t>
  </si>
  <si>
    <t>ΜΑΥΡΟΕΙΔΟΠΟΥΛΟΥ</t>
  </si>
  <si>
    <t>ΑΓΓΕΛΙΚΗ</t>
  </si>
  <si>
    <t>Ρ050924</t>
  </si>
  <si>
    <t>ΠΑΠΟΥΛΙΔΟΥ</t>
  </si>
  <si>
    <t>ΠΑΝΑΓΙΩΤΑ</t>
  </si>
  <si>
    <t>ΑΕ563748</t>
  </si>
  <si>
    <t>1004,3</t>
  </si>
  <si>
    <t>1622,3</t>
  </si>
  <si>
    <t>916-918-919-917-921-920-922-904-901-902-903</t>
  </si>
  <si>
    <t>ΑΘΑΝΑΤΟΥ</t>
  </si>
  <si>
    <t>ΑΙ291958</t>
  </si>
  <si>
    <t>928-933-929-914-909-910-911-912-908-934-916-919-904-903-918-917-920-901-922-921-902-924-923-932-926-915-913-931-935-900-899-898-927-906-907-905-930-925</t>
  </si>
  <si>
    <t>ΦΡΑΓΓΟΥ</t>
  </si>
  <si>
    <t>ΣΤΑΥΡΟΥΛΑ</t>
  </si>
  <si>
    <t>ΑΗ509239</t>
  </si>
  <si>
    <t>920-904-902-916-918</t>
  </si>
  <si>
    <t>ΑΒΔΟΥΛΑ</t>
  </si>
  <si>
    <t>ΧΡΥΣΟΥΛΑ</t>
  </si>
  <si>
    <t>ΑΗ268437</t>
  </si>
  <si>
    <t>1028,5</t>
  </si>
  <si>
    <t>1616,5</t>
  </si>
  <si>
    <t>928-914-933-929</t>
  </si>
  <si>
    <t>ΝΙΚΟΥ</t>
  </si>
  <si>
    <t>ΑΝΘΗ</t>
  </si>
  <si>
    <t>ΑΕ164039</t>
  </si>
  <si>
    <t>1026,3</t>
  </si>
  <si>
    <t>1614,3</t>
  </si>
  <si>
    <t>908-909-910-911-912</t>
  </si>
  <si>
    <t>ΜΠΑΛΑΜΠΑΝΗΣ</t>
  </si>
  <si>
    <t>Χ023301</t>
  </si>
  <si>
    <t>920-916-919-922-918-917-921-904-903-901-902-927</t>
  </si>
  <si>
    <t>ΑΒΡΑΜΗΣ</t>
  </si>
  <si>
    <t>Π130654</t>
  </si>
  <si>
    <t>899-900-898</t>
  </si>
  <si>
    <t>ΛΟΥΚΑΚΟΥ</t>
  </si>
  <si>
    <t>ΑΝΝΑ-ΜΑΡΙΑ</t>
  </si>
  <si>
    <t>ΚΥΡΙΑΚΟΣ</t>
  </si>
  <si>
    <t>ΑΗ619215</t>
  </si>
  <si>
    <t>901-902-903-904-916-917-918-919-920-921-922-927-898-899-900-907-908-909-910-911-912-928-930-929-939</t>
  </si>
  <si>
    <t>ΜΑΝΩΛΗΣ</t>
  </si>
  <si>
    <t>ΑΕ328709</t>
  </si>
  <si>
    <t>942-939-908-914-933</t>
  </si>
  <si>
    <t>ΚΑΡΑΓΙΑΝΝΗ</t>
  </si>
  <si>
    <t>ΑΙ500926</t>
  </si>
  <si>
    <t>921-917-916-919-922-920-903-902-918-901-904</t>
  </si>
  <si>
    <t>ΚΟΙΝΟΥ</t>
  </si>
  <si>
    <t>ΜΑΡΙΑΝΑ</t>
  </si>
  <si>
    <t>ΑΖ763774</t>
  </si>
  <si>
    <t>1019,7</t>
  </si>
  <si>
    <t>1607,7</t>
  </si>
  <si>
    <t>928-929-933-914-934-908-909-926</t>
  </si>
  <si>
    <t>ΣΕΚΕΡΟΓΛΟΥ</t>
  </si>
  <si>
    <t>ΙΟΡΔΑΝΗΣ</t>
  </si>
  <si>
    <t>ΑΚ427197</t>
  </si>
  <si>
    <t>799,7</t>
  </si>
  <si>
    <t>ΑΨΩΜΟΤΟΣ</t>
  </si>
  <si>
    <t>Χ297660</t>
  </si>
  <si>
    <t>1605,5</t>
  </si>
  <si>
    <t>899-900-898-901-902-903-904-905-916-917-918-919-920-921-922-927-929-930-933-907-908-909-910-911-912-906-913-914-915-923-924-928-925-926-931-932-934-935-936-937-938-939-940-941-942</t>
  </si>
  <si>
    <t>ΠΑΝΑΓΙΩΤΟΠΟΥΛΟΥ</t>
  </si>
  <si>
    <t>ΑΒ015517</t>
  </si>
  <si>
    <t>864,6</t>
  </si>
  <si>
    <t>1602,6</t>
  </si>
  <si>
    <t>901-904-902-903-922-917-921-916-918-919-920</t>
  </si>
  <si>
    <t>ΒΑΣΙΛΑ</t>
  </si>
  <si>
    <t>ΑΗ239493</t>
  </si>
  <si>
    <t>1039,5</t>
  </si>
  <si>
    <t>1602,5</t>
  </si>
  <si>
    <t>926-925-909-911-910-908-912-933-914-928-929-900-899-898-913-927-934-904-903-902-901-916-917-918-919-920-921-922-907-915-932-931-935-924-923-906-905-930-939-938-940-941-942</t>
  </si>
  <si>
    <t>ΓΙΑΝΝΕΤΟΠΟΥΛΟΣ</t>
  </si>
  <si>
    <t>ΑΙ532966</t>
  </si>
  <si>
    <t>901-902-903-904-908-910-909-911-916-917-918-919-920-921-922-927-925-926-928-929-933-934-939-941-942</t>
  </si>
  <si>
    <t>ΣΥΡΑΚΟΥ</t>
  </si>
  <si>
    <t>ΟΣΙΑ</t>
  </si>
  <si>
    <t>ΠΡΟΔΡΟΜΟΣ</t>
  </si>
  <si>
    <t>Φ355005</t>
  </si>
  <si>
    <t>903-901-918-921-902-904-919-922-917-916-920</t>
  </si>
  <si>
    <t>ΑΝΤΩΝΙΟΥ</t>
  </si>
  <si>
    <t>ΘΩΜΑΣ</t>
  </si>
  <si>
    <t>Τ186300</t>
  </si>
  <si>
    <t>981,2</t>
  </si>
  <si>
    <t>1599,2</t>
  </si>
  <si>
    <t>904-920-918-922-916-917-901-919-903</t>
  </si>
  <si>
    <t>ΜΑΤΑΡΑΓΚΑ</t>
  </si>
  <si>
    <t>ΑΙΚΑΤΕΡΙΝΗ</t>
  </si>
  <si>
    <t>ΑΗ262161</t>
  </si>
  <si>
    <t>1007,6</t>
  </si>
  <si>
    <t>1595,6</t>
  </si>
  <si>
    <t>928-929-933-909-911-908-910-912</t>
  </si>
  <si>
    <t>ΚΕΣΟΓΛΙΔΗΣ</t>
  </si>
  <si>
    <t>ΑΕ048930</t>
  </si>
  <si>
    <t>927-934-929-928-933-926-925-914-913-900-899-898-907-901-902-903-904-916-917-918-919-920-921-922-908-909-910-911-912-942-941-939</t>
  </si>
  <si>
    <t>ΠΕΤΤΑΣ</t>
  </si>
  <si>
    <t>ΑΙ060939</t>
  </si>
  <si>
    <t>1592,3</t>
  </si>
  <si>
    <t>932-922-920-918-919</t>
  </si>
  <si>
    <t>ΚΑΡΕΚΛΑ</t>
  </si>
  <si>
    <t>ΚΥΡΙΑΚΗ</t>
  </si>
  <si>
    <t>ΑΒ671740</t>
  </si>
  <si>
    <t>1084,6</t>
  </si>
  <si>
    <t>1591,6</t>
  </si>
  <si>
    <t>908-911-909-910-912-939-928-926-925-914-929-933-941</t>
  </si>
  <si>
    <t>ΠΕΡΙΚΛΗΣ</t>
  </si>
  <si>
    <t>ΑΚ923934</t>
  </si>
  <si>
    <t>908-911-912-910-909-924-923</t>
  </si>
  <si>
    <t>ΚΙΤΣΟΣ</t>
  </si>
  <si>
    <t>Σ597750</t>
  </si>
  <si>
    <t>999,9</t>
  </si>
  <si>
    <t>1587,9</t>
  </si>
  <si>
    <t>901-902-903-904-916-918-921-919-920-917-922-927-900-899-898-934-929-928-933-914-925-926-908-909-910-911-912-913-907</t>
  </si>
  <si>
    <t>ΣΙΑΝΝΑ</t>
  </si>
  <si>
    <t>ΚΩΝΣΤΑΝΤΙΝΙΑ</t>
  </si>
  <si>
    <t>ΣΠΥΡΙΔΩΝ</t>
  </si>
  <si>
    <t>ΑΝ020522</t>
  </si>
  <si>
    <t>998,8</t>
  </si>
  <si>
    <t>1586,8</t>
  </si>
  <si>
    <t>ΤΖΑΤΖΑΡΑΚΗ</t>
  </si>
  <si>
    <t>ΕΜΜΑΝΟΥΗΛ</t>
  </si>
  <si>
    <t>ΑΗ085257</t>
  </si>
  <si>
    <t>916-922-930-904-917-920-921-918-919-901-903-902-927-898-899-900-929-907-911-912-910-909-908-928-933-934-913-915-914-931-923-924-925-932-935</t>
  </si>
  <si>
    <t>ΔΑΣΚΑΛΑΚΗΣ</t>
  </si>
  <si>
    <t>ΕΥΣΤΑΘΙΟΣ</t>
  </si>
  <si>
    <t>ΑΗ969129</t>
  </si>
  <si>
    <t>907-920-921-922-919-901-902-903-916-917-918</t>
  </si>
  <si>
    <t>ΑΜ020648</t>
  </si>
  <si>
    <t>841,5</t>
  </si>
  <si>
    <t>1579,5</t>
  </si>
  <si>
    <t>922-902-904-920-919-918-917-903-921-916-901-934</t>
  </si>
  <si>
    <t>ΚΟΥΦΑΚΗ</t>
  </si>
  <si>
    <t>Χ348075</t>
  </si>
  <si>
    <t>908-912-910-911-909-939-932</t>
  </si>
  <si>
    <t>ΖΑΧΑΡΑΚΗΣ</t>
  </si>
  <si>
    <t>ΣΤΕΡΓΙΟΣ</t>
  </si>
  <si>
    <t>ΑΑ339215</t>
  </si>
  <si>
    <t>938-913</t>
  </si>
  <si>
    <t>ΑΡΑΠΟΓΙΑΝΝΗΣ</t>
  </si>
  <si>
    <t>Σ533427</t>
  </si>
  <si>
    <t>ΣΑΒΒΙΔΗΣ</t>
  </si>
  <si>
    <t>ΜΕΝΕΛΑΟΣ</t>
  </si>
  <si>
    <t>ΕΛΕΥΘΕΡΙΟΣ</t>
  </si>
  <si>
    <t>Σ988827</t>
  </si>
  <si>
    <t>908-909-910-911-912-939</t>
  </si>
  <si>
    <t>ΝΙΚΟΛΟΠΟΥΛΟΥ</t>
  </si>
  <si>
    <t>Π441569</t>
  </si>
  <si>
    <t>927-901-902-903-904-916-917-918-919-920-921-922</t>
  </si>
  <si>
    <t>ΓΙΑΝΝΟΥΛΗ</t>
  </si>
  <si>
    <t>Χ066495</t>
  </si>
  <si>
    <t>901-902-903-904-917-921-922-920-919-918-927-916</t>
  </si>
  <si>
    <t>ΚΑΣΣΙΑΝΟΥ</t>
  </si>
  <si>
    <t>ΕΥΘΥΜΙΑ</t>
  </si>
  <si>
    <t>Ρ651069</t>
  </si>
  <si>
    <t>902-903-904-918-916-920-917-921-919-922</t>
  </si>
  <si>
    <t>ΔΕΛΑΚΗ</t>
  </si>
  <si>
    <t>Ξ919292</t>
  </si>
  <si>
    <t>929-908-909-910-911-912-901-902-903-904-916-917-918-919-920-921-922-907</t>
  </si>
  <si>
    <t>ΚΑΤΣΙΚΑΡΑ</t>
  </si>
  <si>
    <t>Ρ347959</t>
  </si>
  <si>
    <t>914-933-928-934-929</t>
  </si>
  <si>
    <t>ΝΙΚΟΛΑΡΑ</t>
  </si>
  <si>
    <t>ΑΚ046931</t>
  </si>
  <si>
    <t>920-917-916-921-901-918-922-919-904-903-927</t>
  </si>
  <si>
    <t>ΚΟΥΤΣΟΠΟΥΛΟΥ</t>
  </si>
  <si>
    <t>Χ632335</t>
  </si>
  <si>
    <t>921-920-922-919-917-916-902-918-901-903-904</t>
  </si>
  <si>
    <t>ΠΑΠΑΔΟΠΟΥΛΟΥ</t>
  </si>
  <si>
    <t>ΤΕΡΨΙΘΕΑ</t>
  </si>
  <si>
    <t>ΑΙ716853</t>
  </si>
  <si>
    <t>910-911-908-909-912</t>
  </si>
  <si>
    <t>ΣΤΑΝΤΖΟΣ</t>
  </si>
  <si>
    <t>ΑΒ505031</t>
  </si>
  <si>
    <t>902-917-904-903-916-918-920-922-921</t>
  </si>
  <si>
    <t>ΡΕΤΣΑ</t>
  </si>
  <si>
    <t>ΧΑΙΔΩ</t>
  </si>
  <si>
    <t>ΘΕΟΧΑΡΗΣ</t>
  </si>
  <si>
    <t>Τ022384</t>
  </si>
  <si>
    <t>916-917-918-919-920-921-922-902-901-903-904-934-930-927-928-898-899-900</t>
  </si>
  <si>
    <t>ΚΑΡΑΜΟΥΧΤΗ</t>
  </si>
  <si>
    <t>Ρ629531</t>
  </si>
  <si>
    <t>901-904-903-902-918-920-919-917-921-916-922</t>
  </si>
  <si>
    <t>ΠΟΥΡΤΣΙΔΗΣ</t>
  </si>
  <si>
    <t>ΑΜ298502</t>
  </si>
  <si>
    <t>905-906-908-911-909-910-939-942-941-930-907</t>
  </si>
  <si>
    <t>ΒΟΓΙΑΤΖΙΔΗΣ</t>
  </si>
  <si>
    <t>Σ881551</t>
  </si>
  <si>
    <t>913-908-939-909-910-912-911-941-929-920-925-926-933-934-928-903-904-917-916-919-921-899-900-927-898</t>
  </si>
  <si>
    <t>ΜΠΑΚΑΙΜΗ</t>
  </si>
  <si>
    <t>ΦΑΝΗ</t>
  </si>
  <si>
    <t>Σ071516</t>
  </si>
  <si>
    <t>834,9</t>
  </si>
  <si>
    <t>1572,9</t>
  </si>
  <si>
    <t>928-929-933-914-917-921-918-919-920-922-916-904-901-903-902-927-934-898-899-900-930-925-926-907-908-909-910-911-912-939-941-923-924-940-938-932-915-935-906-931-905</t>
  </si>
  <si>
    <t>ΠΑΠΑΝΙΚΟΛΑΟΥ</t>
  </si>
  <si>
    <t>ΑΒ620452</t>
  </si>
  <si>
    <t>980,1</t>
  </si>
  <si>
    <t>1568,1</t>
  </si>
  <si>
    <t>926-925-899-900-911-908-909-910-912-933-928-935-898-927-929-932-923-924-913-934-914</t>
  </si>
  <si>
    <t>ΚΛΕΤΣΑ</t>
  </si>
  <si>
    <t>ΕΙΡΗΝΗ</t>
  </si>
  <si>
    <t>ΜΑΤΘΑΙΟΣ</t>
  </si>
  <si>
    <t>Χ247916</t>
  </si>
  <si>
    <t>908-909-912-910-911-914-923-924-928-939-941-940</t>
  </si>
  <si>
    <t>ΣΙΜΟΥ</t>
  </si>
  <si>
    <t>ΑΜ829998</t>
  </si>
  <si>
    <t>1090,1</t>
  </si>
  <si>
    <t>1566,1</t>
  </si>
  <si>
    <t>933-914-928-919-901-922-921-917-903-902-916-900-908-909-910-934</t>
  </si>
  <si>
    <t>ΦΕΛΕΚΗ</t>
  </si>
  <si>
    <t>ΧΡΙΣΤΙΝΑ</t>
  </si>
  <si>
    <t>ΑΗ718680</t>
  </si>
  <si>
    <t>976,8</t>
  </si>
  <si>
    <t>1564,8</t>
  </si>
  <si>
    <t>903-902-901-904-917-921-918-922-919-916-920</t>
  </si>
  <si>
    <t>ΧΡΗΣΤΟΥ</t>
  </si>
  <si>
    <t>ΑΜ403087</t>
  </si>
  <si>
    <t>910-909-908-911-912-930-935-939-928-941-942-929-901-902-903-904-917-918-919-920-921-922-907-925-926-933-932-936-937-938-940-923-924-915-914-913-906</t>
  </si>
  <si>
    <t>ΟΙΚΟΝΟΜΟΥ</t>
  </si>
  <si>
    <t>ΑΝΝΑ ΜΑΡΙΑ</t>
  </si>
  <si>
    <t>ΠΟ58409</t>
  </si>
  <si>
    <t>971,3</t>
  </si>
  <si>
    <t>1559,3</t>
  </si>
  <si>
    <t>917-901-919-903-921-918-920-904-916-902-922</t>
  </si>
  <si>
    <t>ΒΑΝΝΑ</t>
  </si>
  <si>
    <t>ΚΑΤΙΝΑ</t>
  </si>
  <si>
    <t>ΑΚ068094</t>
  </si>
  <si>
    <t>925,1</t>
  </si>
  <si>
    <t>1558,1</t>
  </si>
  <si>
    <t>919-904-902-917-920-922-916-901-903-899-921-918-933-910-912-898-926-925-909-907-927-928-934-900-908-911-914-929-930-915-932-935-913-931-939-941-940-938-905-906-923-924</t>
  </si>
  <si>
    <t>ΡΑΓΓΟΥ</t>
  </si>
  <si>
    <t>ΜΑΙΡΗ</t>
  </si>
  <si>
    <t>ΑΛΕΞΑΝΔΡΟΣ</t>
  </si>
  <si>
    <t>ΑΖ915953</t>
  </si>
  <si>
    <t>906-767-911-908-921-903-918-901-928-929-900-927-934-914-932-912-909-910-920-904-919-917-916-902-922-913-926-925-907-905-899-898-939-941-931-933-924-915-938-940-935-923-930</t>
  </si>
  <si>
    <t>ΤΟΤΣΙΚΑΣ</t>
  </si>
  <si>
    <t>ΑΑ335105</t>
  </si>
  <si>
    <t>901-926-925-929-934-898-899-900-928-902-903-904-913-914-907-908-909-910-911-912-916-917-918-919-920-921-922-933-927-931-932-935-923-924-906-905-915-930-938-939-940-941-942</t>
  </si>
  <si>
    <t>ΑΝΔΡΕΙΩΤΗ</t>
  </si>
  <si>
    <t>Τ487338</t>
  </si>
  <si>
    <t>934-926-925-933-914-929-898-928-927-899-900-907-916-920-904-902-901-903-917-918-919-921-922-908-909-910-911-912-906-905-915-923-930-931-932-935-913-924-941-939-940-938</t>
  </si>
  <si>
    <t>ΒΑΡΙΝΟΥ</t>
  </si>
  <si>
    <t>ΑΕ056036</t>
  </si>
  <si>
    <t>920-917-921-916-919-901-918-904-903</t>
  </si>
  <si>
    <t>ΘΑΝΟΥ</t>
  </si>
  <si>
    <t>ΔΑΦΝΗ</t>
  </si>
  <si>
    <t>ΑΙ292656</t>
  </si>
  <si>
    <t>928-929-933-914-934-926-925-939-941-909-912-911-910-908-898-899-900-927-913-907-922-920-921-918-917-916-919-904-901-902-903</t>
  </si>
  <si>
    <t>ΤΣΙΟΜΠΑΝΙΚΑ</t>
  </si>
  <si>
    <t>ΠΕΛΑΓΙΑ</t>
  </si>
  <si>
    <t>Φ245395</t>
  </si>
  <si>
    <t>926-925-928-929-933-914-934-939-941-909-912-910-911-908-920-917-918-916-919-921-922-902-903-904-901-898-899-900-927-907</t>
  </si>
  <si>
    <t>ΠΑΠΑΔΑΤΟΣ ΦΡΑΓΚΟΣ</t>
  </si>
  <si>
    <t>ΑΙ567521</t>
  </si>
  <si>
    <t>964,7</t>
  </si>
  <si>
    <t>1552,7</t>
  </si>
  <si>
    <t>904-920-916-918-919-922-921-917-901-903-902-927</t>
  </si>
  <si>
    <t>ΠΑΛΑΙΟΓΙΑΝΝΗ</t>
  </si>
  <si>
    <t>ΠΕΤΡΟΣ</t>
  </si>
  <si>
    <t>ΑΙ053906</t>
  </si>
  <si>
    <t>904-903-902-901-922-919-918-917-916-920-921-939-911-908-909-934-912</t>
  </si>
  <si>
    <t>ΣΩΤΗΡΟΠΟΥΛΟΥ</t>
  </si>
  <si>
    <t>ΜΙΧΑΛΗΣ</t>
  </si>
  <si>
    <t>ΑΖ703142</t>
  </si>
  <si>
    <t>962,5</t>
  </si>
  <si>
    <t>1550,5</t>
  </si>
  <si>
    <t>898-900-899-916-919-920-927-921-918</t>
  </si>
  <si>
    <t>ΧΑΤΖΗΙΩΑΝΝΙΔΟΥ</t>
  </si>
  <si>
    <t>ΣΤΕΦΑΝΟΣ</t>
  </si>
  <si>
    <t>Σ501573</t>
  </si>
  <si>
    <t>917-904-901-903-918-916-920-919-921-902-922</t>
  </si>
  <si>
    <t>ΣΙΝΟΠΟΥΛΟΥ</t>
  </si>
  <si>
    <t>Σ590895</t>
  </si>
  <si>
    <t>921-919-917-922-918-904-903-902-920-901</t>
  </si>
  <si>
    <t>ΝΤΡΙΤΣΟΥ</t>
  </si>
  <si>
    <t>ΑΚ123594</t>
  </si>
  <si>
    <t>959,2</t>
  </si>
  <si>
    <t>1547,2</t>
  </si>
  <si>
    <t>918-904-921-920-919-922-916-917-901-902-903-934-908-909-910-911-912-930-927-929-928-907-898-899-900-914-915-932-933-935-931-913-925-926-923-924-905-906</t>
  </si>
  <si>
    <t>ΤΣΕΛΕΠΙΔΗΣ</t>
  </si>
  <si>
    <t>ΓΕΩΡΓΙΟΣ-ΑΜΛΕΤ</t>
  </si>
  <si>
    <t>ΙΑΣΩΝΑΣ</t>
  </si>
  <si>
    <t>Φ099077</t>
  </si>
  <si>
    <t>929-928-926-925-927-898-914-934-913-899-900-907-908-909-910-911-912-916-903-904-917-918-919-920-921-922-902-915-906-930-931-932-933-935-923-924-905-938-941-942-939-940</t>
  </si>
  <si>
    <t>ΠΑΠΑΖΗ</t>
  </si>
  <si>
    <t>ΕΛΙΣΣΑΒΕΤ</t>
  </si>
  <si>
    <t>ΑΜ289955</t>
  </si>
  <si>
    <t>908-909-910-911-912-923-939-940-941-925-926-932-928-935-938-904-901-903-902-933</t>
  </si>
  <si>
    <t>ΡΩΜΑΙΟΥ</t>
  </si>
  <si>
    <t>ΑΖ524360</t>
  </si>
  <si>
    <t>916-920-917-919-921-918-904-901-903-922-902-927</t>
  </si>
  <si>
    <t>ΤΣΕΛΕΓΓΙΔΟΥ</t>
  </si>
  <si>
    <t>ΑΖ390228</t>
  </si>
  <si>
    <t>1541,7</t>
  </si>
  <si>
    <t>ΑΛΙΚΑΝΙΩΤΗ</t>
  </si>
  <si>
    <t>ΑΚ689341</t>
  </si>
  <si>
    <t>952,6</t>
  </si>
  <si>
    <t>1540,6</t>
  </si>
  <si>
    <t>921-920-916-917-922-918-919-901</t>
  </si>
  <si>
    <t>ΞΕΙΝΗΣ</t>
  </si>
  <si>
    <t>ΑΚ244252</t>
  </si>
  <si>
    <t>951,5</t>
  </si>
  <si>
    <t>1539,5</t>
  </si>
  <si>
    <t>903-919-904-920-902-916-918-917-922-927-930</t>
  </si>
  <si>
    <t>ΤΣΙΟΜΠΑΝΑΚΗΣ</t>
  </si>
  <si>
    <t>ΑΕ844063</t>
  </si>
  <si>
    <t>1537,3</t>
  </si>
  <si>
    <t>929-928-934-939-908-909-912-911-910-907</t>
  </si>
  <si>
    <t>ΛΙΑΠΠΗ</t>
  </si>
  <si>
    <t>ΑΧΙΛΛΕΑΣ</t>
  </si>
  <si>
    <t>ΑΕ330708</t>
  </si>
  <si>
    <t>914-928-933-929-934-926-915-925-939-941-908-911-909-910-912-899-900-898-907-918-921-922-920-916-917-919-927-901-902-903-904-923-924-935</t>
  </si>
  <si>
    <t>ΣΤΕΦΑΝΟΠΟΥΛΟΣ</t>
  </si>
  <si>
    <t>ΑΖ616400</t>
  </si>
  <si>
    <t>797,5</t>
  </si>
  <si>
    <t>1535,5</t>
  </si>
  <si>
    <t>933-928-913-914-927-929-934-935-915-898-899-900</t>
  </si>
  <si>
    <t>ΜΑΙΝΤΑ</t>
  </si>
  <si>
    <t>ΧΡΗΣΤΙΝΑ</t>
  </si>
  <si>
    <t>ΝΙΚΗΤΑΣ</t>
  </si>
  <si>
    <t>Σ458037</t>
  </si>
  <si>
    <t>928-933-914-929-925-926-908-909-910-911-912-934-939</t>
  </si>
  <si>
    <t>ΓΚΟΒΕΣΗΣ</t>
  </si>
  <si>
    <t>Σ241669</t>
  </si>
  <si>
    <t>943,8</t>
  </si>
  <si>
    <t>1531,8</t>
  </si>
  <si>
    <t>903-904-917-918-921-902-920-922-919-901-916</t>
  </si>
  <si>
    <t>ΓΚΟΥΝΤΟΥΜΑΝΗ</t>
  </si>
  <si>
    <t>ΑΖ761091</t>
  </si>
  <si>
    <t>ΠΡΟΦΕΤΑΣ</t>
  </si>
  <si>
    <t>ΑΙ184328</t>
  </si>
  <si>
    <t>911-910-908-909-912-939-942-941-925-926-928-929-933-914-934-927-907-901-902-903-904-916-917-918-919-920-921-922</t>
  </si>
  <si>
    <t>ΣΟΦΙΑΝΟΥ</t>
  </si>
  <si>
    <t>Χ013823</t>
  </si>
  <si>
    <t>901-902-903-904-916-917-918-919-920-921-922-927-899-900-912-907-908-910-911-914</t>
  </si>
  <si>
    <t>ΧΑΡΙΚΛΕΙΑ</t>
  </si>
  <si>
    <t>ΞΕΝΟΦΩΝ</t>
  </si>
  <si>
    <t>ΑΕ284704</t>
  </si>
  <si>
    <t>940,5</t>
  </si>
  <si>
    <t>1528,5</t>
  </si>
  <si>
    <t>900-899-934-935-932-927-926-924-915-908-909-910-911-912-902-903-916-917-919-920-921-922-905-906-907-930</t>
  </si>
  <si>
    <t>ΚΑΛΛΙΟΠΗ</t>
  </si>
  <si>
    <t>ΓΡΗΓΟΡΗΣ</t>
  </si>
  <si>
    <t>Χ210717</t>
  </si>
  <si>
    <t>1072,5</t>
  </si>
  <si>
    <t>1527,5</t>
  </si>
  <si>
    <t>927-917-921-918-919-916-903-901-904-920-902-922-898-899-900-934-929-930-933-914-928</t>
  </si>
  <si>
    <t>ΣΠΑΝΟΥ</t>
  </si>
  <si>
    <t>ΑΣΗΜΙΝΑ</t>
  </si>
  <si>
    <t>ΑΖ697266</t>
  </si>
  <si>
    <t>929,5</t>
  </si>
  <si>
    <t>908-911-910-912-939-928-929-940-941-913-914-926-925-932-938-931-915-933-934</t>
  </si>
  <si>
    <t>ΣΤΑΜΑΤΙΑ</t>
  </si>
  <si>
    <t>Ρ395987</t>
  </si>
  <si>
    <t>939,4</t>
  </si>
  <si>
    <t>1527,4</t>
  </si>
  <si>
    <t>ΚΟΚΚΙΝΗ</t>
  </si>
  <si>
    <t>ΘΕΜΙΣΤΟΚΛΗΣ</t>
  </si>
  <si>
    <t>ΑΗ399101</t>
  </si>
  <si>
    <t>938-913-910-909-912-911-908-926-925-928-933-929-914-934-919-920-922-921-917-918-916-902-903-904-901-905-906-923-932-931-935-915-924-900-899-927-898-907-930-941-939-940</t>
  </si>
  <si>
    <t>ΡΑΚΑ</t>
  </si>
  <si>
    <t>ΑΜ561877</t>
  </si>
  <si>
    <t>916-918-904-920-917-921-922-919-903-902-901-934-898-899-900</t>
  </si>
  <si>
    <t>ΠΑΠΑΚΩΣΤΑ</t>
  </si>
  <si>
    <t>ΜΑΡΙΝΑ</t>
  </si>
  <si>
    <t>ΑΒ604583</t>
  </si>
  <si>
    <t>ΚΑΖΟΥΡΗΣ</t>
  </si>
  <si>
    <t>Φ095739</t>
  </si>
  <si>
    <t>898-927-934-929-928-933-914-899-900-916-920-922-918-919-921-917-904-903-902-901-907-908-909-910-911-925-926-913-915-923-924-932-935-930-931-905</t>
  </si>
  <si>
    <t>ΚΑΡΑΒΑΣΙΛΕΙΑΔΟΥ</t>
  </si>
  <si>
    <t>ΑΒ160836</t>
  </si>
  <si>
    <t>911-910-908-912-909-913-925-926-929-914-928-933-899-900-927-916-917-918-919-920-921-922-901-902-903-907-934-939-941-942</t>
  </si>
  <si>
    <t>ΠΑΠΟΥΤΣΑΚΗΣ</t>
  </si>
  <si>
    <t>ΑΕ059002</t>
  </si>
  <si>
    <t>918-921-920-917-922-916-919-903-901-902-904</t>
  </si>
  <si>
    <t>ΦΑΝΤΙΔΟΥ</t>
  </si>
  <si>
    <t>ΑΗ188567</t>
  </si>
  <si>
    <t>910-911-912-909-908-928-933-925-929-914-916-917-918-919-920-921-922-901-902-903-934-898-899-900-907</t>
  </si>
  <si>
    <t>ΧΡΙΣΤΟΦΙΛΟΠΟΥΛΟΥ</t>
  </si>
  <si>
    <t>ΑΕ634335</t>
  </si>
  <si>
    <t>1517,5</t>
  </si>
  <si>
    <t>904-921-920-916-917-922-919-918-903-902-901-927-898-899-900-907-908-909-910-911-912-929-930-915-932-923-924-925-926-934</t>
  </si>
  <si>
    <t>ΣΤΑΜΑΤΕΛΟΣ</t>
  </si>
  <si>
    <t>ΑΖ081913</t>
  </si>
  <si>
    <t>1513,1</t>
  </si>
  <si>
    <t>918-917-919-920-921-922-904-903-902-901</t>
  </si>
  <si>
    <t>ΒΑΡΕΛΗ</t>
  </si>
  <si>
    <t>ΧΡΥΣΟΒΑΛΑΝΤΟΥ</t>
  </si>
  <si>
    <t>ΑΑ310698</t>
  </si>
  <si>
    <t>898-899-900-915-913-914-912-911-910-909-908-933-934-935-901-902-903-904-916-917-918-919-920-921-922-927-928-929-923-924-925-926-931-932-905-906-907-938-939-940-941-942</t>
  </si>
  <si>
    <t>ΝΤΑΜΑ</t>
  </si>
  <si>
    <t>Σ291595</t>
  </si>
  <si>
    <t>901-902-903-904-934-927-914-916-917-918-919-920-921-922</t>
  </si>
  <si>
    <t>ΓΙΑΝΝΑΚΑΣ</t>
  </si>
  <si>
    <t>ΙΑΚΩΒΟΣ</t>
  </si>
  <si>
    <t>ΑΜ155372</t>
  </si>
  <si>
    <t>916-904-903-919-921-918-920-917-901-922-902-900-899-912-911-910-909-908-927-930-929-934</t>
  </si>
  <si>
    <t>ΒΑΓΓΕΛΟΥ</t>
  </si>
  <si>
    <t>ΑΘΑΝΑΣΙΑ</t>
  </si>
  <si>
    <t>ΑΝ445627</t>
  </si>
  <si>
    <t>914-933-928-929-934-901-920-916-918-921-917-903-927-922-919-904-902</t>
  </si>
  <si>
    <t>ΓΡΗΓΟΡΙΟΥ</t>
  </si>
  <si>
    <t>ΑΙ584190</t>
  </si>
  <si>
    <t>916-904-922-919-918-917-903-902-901-920-921</t>
  </si>
  <si>
    <t>ΦΡΑΓΚΟΥ</t>
  </si>
  <si>
    <t>ΑΜ306988</t>
  </si>
  <si>
    <t>919,6</t>
  </si>
  <si>
    <t>1507,6</t>
  </si>
  <si>
    <t>898-899-900-927</t>
  </si>
  <si>
    <t>ΧΑΣΙΩΤΗΣ</t>
  </si>
  <si>
    <t>Χ554939</t>
  </si>
  <si>
    <t>901-920-904-916-917-918-919-903-921-922-902</t>
  </si>
  <si>
    <t>ΜΠΕΚΙΑΡΗ</t>
  </si>
  <si>
    <t>ΑΕ996255</t>
  </si>
  <si>
    <t>914-928-933-929-934</t>
  </si>
  <si>
    <t>ΠΑΠΑΘΑΝΑΣΙΟΥ</t>
  </si>
  <si>
    <t>Ν785742</t>
  </si>
  <si>
    <t>918,5</t>
  </si>
  <si>
    <t>1506,5</t>
  </si>
  <si>
    <t>899-900-925-926-933-909-910-912-911-908-898-902-903-920-921-917-922-901-916-928-913-934</t>
  </si>
  <si>
    <t>ΑΡΓΥΡΙΑΔΟΥ</t>
  </si>
  <si>
    <t>ΕΡΑΤΩ</t>
  </si>
  <si>
    <t>ΔΗΜΟΣ</t>
  </si>
  <si>
    <t>ΑΙ404468</t>
  </si>
  <si>
    <t>1506,2</t>
  </si>
  <si>
    <t>ΑΝΤΩΝΑΤΟΥ</t>
  </si>
  <si>
    <t>ΠΑΝΑΓΗΣ</t>
  </si>
  <si>
    <t>ΑΒ015561</t>
  </si>
  <si>
    <t>916,3</t>
  </si>
  <si>
    <t>1504,3</t>
  </si>
  <si>
    <t>922-919-920-917-921-918-902-904-927-901-903-934-899-900-898-928-908-909-910-911-912-929-914-907-913-932-931-923-930-924-938-939-941-940-933-915-905-906-935</t>
  </si>
  <si>
    <t>ΜΠΟΛΩΤΗΣ</t>
  </si>
  <si>
    <t>ΑΒ852420</t>
  </si>
  <si>
    <t>933-928-934-919-909-910-907-929-916-914</t>
  </si>
  <si>
    <t>ΤΟΜΑΡΙΔΗ</t>
  </si>
  <si>
    <t>ΤΡΥΦΩΝ</t>
  </si>
  <si>
    <t>ΑΜ099777</t>
  </si>
  <si>
    <t>899-900-898-927-916-917-918-919-920-922-921-901-902-903-904-909-910-908-911-912-934-939-941-942-933-914-915-913-907</t>
  </si>
  <si>
    <t>ΧΑΤΖΗΕΛΕΥΘΕΡΙΟΥ</t>
  </si>
  <si>
    <t>ΣΤΑΜΑΤΙΟΣ</t>
  </si>
  <si>
    <t>Χ126237</t>
  </si>
  <si>
    <t>884,4</t>
  </si>
  <si>
    <t>1502,4</t>
  </si>
  <si>
    <t>901-902-903-904</t>
  </si>
  <si>
    <t>ΑΗ578220</t>
  </si>
  <si>
    <t>904-916-917-918-919-901-903-902-922-921-920-927-898-899-900-929-934-933-928-914-907-908-909-910-911-912-913-939-941-942-925-926-915-906-905-923-924-930-931-932-935-938-940</t>
  </si>
  <si>
    <t>ΑΓΓΕΛΙΔΑΚΗ</t>
  </si>
  <si>
    <t>ΓΑΡΥΦΑΛΙΑ</t>
  </si>
  <si>
    <t>ΑΓΓΕΛΗΣ</t>
  </si>
  <si>
    <t>ΑΜ972562</t>
  </si>
  <si>
    <t>907-901-902-903-904-909-910-911-912-916-919-920-921-922-941-939-942-933-932-898-899-908-913-914-917-918-928-915-926-927-929-934-935-931-925-938-930-940-905-906-900-923-924</t>
  </si>
  <si>
    <t>ΔΡΙΒΑΚΟΥ</t>
  </si>
  <si>
    <t>ΔΕΣΠΟΙΝΑ</t>
  </si>
  <si>
    <t>ΑΜ198876</t>
  </si>
  <si>
    <t>902-922-901-904-903-916-917-918-919-920-921-927-898-899-900</t>
  </si>
  <si>
    <t>ΓΕΛΑΔΑΚΗ</t>
  </si>
  <si>
    <t>ΑΓΓΕΛΟΣ</t>
  </si>
  <si>
    <t>Ρ559238</t>
  </si>
  <si>
    <t>919-920-917-921-916-922-901-903-918-902-904</t>
  </si>
  <si>
    <t>ΒΑΣΙΛΑΚΗ</t>
  </si>
  <si>
    <t>ΑΝΘΟΥΛΑ</t>
  </si>
  <si>
    <t>Ρ593602</t>
  </si>
  <si>
    <t>904-901-917-918-921-919-930-903-916-902-922-920-927-934</t>
  </si>
  <si>
    <t>ΚΟΥΜΝΙΩΤΗΣ</t>
  </si>
  <si>
    <t>ΑΗ913768</t>
  </si>
  <si>
    <t>909,7</t>
  </si>
  <si>
    <t xml:space="preserve"> 905- 906</t>
  </si>
  <si>
    <t>1497,7</t>
  </si>
  <si>
    <t>906-905-931-913-932-916-917-921-920-919-901-922-904-903-902-918-909-910-911-912-908-923-924-928-933-929-935-914-915-934-926-925-927-900-899-898-930-907</t>
  </si>
  <si>
    <t>ΕΓΓΛΕΖΟΠΟΥΛΟΣ</t>
  </si>
  <si>
    <t>ΑΚ453194</t>
  </si>
  <si>
    <t>1497,5</t>
  </si>
  <si>
    <t>901-902-903-904-908-909-910-912-916-917-918-919-920-921-922-913-907-927-939-941-942-898-899-900</t>
  </si>
  <si>
    <t>ΚΑΠΕΤΑΝΟΥ</t>
  </si>
  <si>
    <t>ΙΩΣΗΦ</t>
  </si>
  <si>
    <t>ΑΕ815586</t>
  </si>
  <si>
    <t>907,5</t>
  </si>
  <si>
    <t>1495,5</t>
  </si>
  <si>
    <t>939-909-913-941-929-906-925-926-910-912-928-933-932-931-915-935-914-934-940-924-923-938-911-927-898-899-900-907-905</t>
  </si>
  <si>
    <t>ΚΟΥΤΣΟΓΙΩΡΓΟΣ</t>
  </si>
  <si>
    <t>ΠΑΡΑΣΚΕΥΑΣ</t>
  </si>
  <si>
    <t>ΑΜ485726</t>
  </si>
  <si>
    <t>925-926-941-942-939-928-929-933-914-913-907-898-899-900-905-906-908-909-910-911-912-915-923-924-927-930-931-932-935-934-938-940-916-917-918-919-920-921-922-901-902-903-904</t>
  </si>
  <si>
    <t>ΣΩΤΗΡΙΟΥ</t>
  </si>
  <si>
    <t>ΡΙΖΟΣ</t>
  </si>
  <si>
    <t>ΑΜ813744</t>
  </si>
  <si>
    <t>899,8</t>
  </si>
  <si>
    <t>1487,8</t>
  </si>
  <si>
    <t>928-929-914-933-926-925-901-902-903-904-908-909-910-911-912-917-918-919-920-921-922-923-924-939-940-915-931-932-934-935</t>
  </si>
  <si>
    <t>ΠΑΤΣΙΑΛΗΣ</t>
  </si>
  <si>
    <t>ΑΖ769406</t>
  </si>
  <si>
    <t>ΤΣΑΚΟΥΛΗ</t>
  </si>
  <si>
    <t>ΜΙΡΑΝΤΑ</t>
  </si>
  <si>
    <t>ΑΗ010353</t>
  </si>
  <si>
    <t>916-904-918-921-922-903-902-901-917-919-920</t>
  </si>
  <si>
    <t>ΜΗΤΣΗΣ</t>
  </si>
  <si>
    <t>Χ762171</t>
  </si>
  <si>
    <t>908-909-910-911-912-923-939-934</t>
  </si>
  <si>
    <t>ΚΟΛΕΝΤΣΗΣ</t>
  </si>
  <si>
    <t>ΑΗ663264</t>
  </si>
  <si>
    <t>908-909-911-910-912</t>
  </si>
  <si>
    <t>ΚΑΛΟΓΙΑΝΝΗΣ</t>
  </si>
  <si>
    <t>ΕΥΘΥΜΙΟΣ</t>
  </si>
  <si>
    <t>Τ821588</t>
  </si>
  <si>
    <t>894,3</t>
  </si>
  <si>
    <t>1482,3</t>
  </si>
  <si>
    <t>908-909-910-911-912-924-939-940</t>
  </si>
  <si>
    <t>ΜΑΥΡΟΜΙΧΑΛΗ</t>
  </si>
  <si>
    <t>Φ142496</t>
  </si>
  <si>
    <t>920-916-918-919-922-921-917-904-901-902-903</t>
  </si>
  <si>
    <t>ΚΩΣΤΑΚΗ</t>
  </si>
  <si>
    <t>Ρ855610</t>
  </si>
  <si>
    <t>914-933-928-934-929-916-917-918-919-920-921-922-901-902-903-904</t>
  </si>
  <si>
    <t>ΚΑΖΑΚΟΥ</t>
  </si>
  <si>
    <t>Ρ971501</t>
  </si>
  <si>
    <t>932-934-905-911-909-910-914-928-929-925-933-926-912</t>
  </si>
  <si>
    <t>ΠΑΚΟΥ</t>
  </si>
  <si>
    <t>Σ200502</t>
  </si>
  <si>
    <t>922-921-903-902-904-916-917-918-919-920</t>
  </si>
  <si>
    <t>ΓΚΑΓΚΑΜΑΝΟΥ</t>
  </si>
  <si>
    <t>ΑΗ561737</t>
  </si>
  <si>
    <t>918-901-921-903-920-917-919-916-904-922-902-927-933-914</t>
  </si>
  <si>
    <t>ΣΤΕΡΓΙΑΚΟΥ</t>
  </si>
  <si>
    <t>ΑΗ159868</t>
  </si>
  <si>
    <t>888,8</t>
  </si>
  <si>
    <t>1476,8</t>
  </si>
  <si>
    <t>938-928-934-941-939-908-911-914-929-931-923-933-910-909-912-907-906</t>
  </si>
  <si>
    <t>ΖΑΠΑΝΤΗ</t>
  </si>
  <si>
    <t>ΑΒ391515</t>
  </si>
  <si>
    <t>1474,5</t>
  </si>
  <si>
    <t>900-899-898-920-922-919-917-918-916-921</t>
  </si>
  <si>
    <t>ΗΛΚΟΥ</t>
  </si>
  <si>
    <t>ΛΑΖΑΡΟΣ</t>
  </si>
  <si>
    <t>ΑΙ741572</t>
  </si>
  <si>
    <t>901-902-922-921-917-920-903-908-909-910-912-911-907-930</t>
  </si>
  <si>
    <t>ΦΟΥΡΚΗΣ</t>
  </si>
  <si>
    <t>Φ218109</t>
  </si>
  <si>
    <t>734,8</t>
  </si>
  <si>
    <t>1472,8</t>
  </si>
  <si>
    <t>753-898-756-754-755-900-899-927-772-751-752-785-786-787-788-789-790-791-792-793-794-795-796-757-758-759-760-901-902-903-904-764-765-918-916-917-919-920-921-922</t>
  </si>
  <si>
    <t>ΣΙΔΗΡΟΠΟΥΛΟΣ</t>
  </si>
  <si>
    <t>ΑΕ891964</t>
  </si>
  <si>
    <t>913-938</t>
  </si>
  <si>
    <t>ΜΑΥΡΑΚΗ</t>
  </si>
  <si>
    <t>ΕΛΠIΔΑ</t>
  </si>
  <si>
    <t>ΑΕ633966</t>
  </si>
  <si>
    <t>927-904-917-918-919-920-921-916-901-903-914</t>
  </si>
  <si>
    <t>ΑΓΡΑΦΙΩΤΗ</t>
  </si>
  <si>
    <t>ΠΑΡΕΣΣΑ</t>
  </si>
  <si>
    <t>ΑΗ171861</t>
  </si>
  <si>
    <t>939-909-912-910-911-908-923-924-940</t>
  </si>
  <si>
    <t>ΜΑΡΚΟΥ</t>
  </si>
  <si>
    <t>Φ461582</t>
  </si>
  <si>
    <t>917-902-922-901-903-904-920-916-918-919-921-899-900-927-929-928-934-933-914-908-910-911-912-909-913-915-926-907-931-932</t>
  </si>
  <si>
    <t xml:space="preserve">ΔΟΥΚΑΣ </t>
  </si>
  <si>
    <t xml:space="preserve">ΓΙΑΝΝΗΣ </t>
  </si>
  <si>
    <t>ΒΑΣΙΛΑΚΟΣ</t>
  </si>
  <si>
    <t>ΑΙ634468</t>
  </si>
  <si>
    <t>916-917-918-919-920-921-922</t>
  </si>
  <si>
    <t>ΔΗΜΑΚΟΠΟΥΛΟΥ</t>
  </si>
  <si>
    <t>Φ060756</t>
  </si>
  <si>
    <t>920-919-917-921-922-916-918-904-902-901-903</t>
  </si>
  <si>
    <t>ΔΗΜΟΥΛΤΣΗ</t>
  </si>
  <si>
    <t>ΑΚ908969</t>
  </si>
  <si>
    <t>ΒΟΥΛΓΑΡΗ</t>
  </si>
  <si>
    <t>ΑΝΤΩΝΙΟΣ</t>
  </si>
  <si>
    <t>ΑΒ404971</t>
  </si>
  <si>
    <t>1466,1</t>
  </si>
  <si>
    <t>GIANNOS</t>
  </si>
  <si>
    <t>MARSEL-PASKAL</t>
  </si>
  <si>
    <t>874,5</t>
  </si>
  <si>
    <t>1462,5</t>
  </si>
  <si>
    <t>ΤΣΩΤΑΣ</t>
  </si>
  <si>
    <t>ΖΑΧΑΡΙΑΣ</t>
  </si>
  <si>
    <t>ΑΙ777429</t>
  </si>
  <si>
    <t>1460,5</t>
  </si>
  <si>
    <t>929-927-928-914-900-911-908-901-903-918-921-934-909-910-912-916-917-919-922-920</t>
  </si>
  <si>
    <t>ΤΖΟΥΑΝΑΚΗ</t>
  </si>
  <si>
    <t>ΑΙ639211</t>
  </si>
  <si>
    <t>1459,8</t>
  </si>
  <si>
    <t>907-901-902-903-904-916-917-918-919-920-921-922-927-898-899-900-934-933-928-929-925-926-914-913-908-909-910-911-912-924-939-938-940-941</t>
  </si>
  <si>
    <t>ΚΑΤΙΚΗ</t>
  </si>
  <si>
    <t>ΑΚ312016</t>
  </si>
  <si>
    <t>ΠΑΠΑΜΑΝΩΛΗΣ</t>
  </si>
  <si>
    <t>ΦΩΤΙΟΣ</t>
  </si>
  <si>
    <t>ΑΑ407427</t>
  </si>
  <si>
    <t>923-924-940-909-911-912-910-908-939-929-907-941-928-913-925-926-933-900-899-898-927-934-906-902-922-904-917-921-920-903-919-916-918-901-930-931-932-915-935-914-905-938-942-842-837-836-841-840-835-838-839-872-871-870-843-862-876-856-847-848-853-854-855-857-846-858-859-852-815-823-822-821-828-824-826-875-818-817-816-869-861-844-830-850-829-825-827</t>
  </si>
  <si>
    <t>Τ812213</t>
  </si>
  <si>
    <t>909-910-912-911-908-939-924-932-931</t>
  </si>
  <si>
    <t>ΡΕΒΥΘΗ</t>
  </si>
  <si>
    <t>ΑΙ521855</t>
  </si>
  <si>
    <t>904-920-916-917-918-919-921-922-927</t>
  </si>
  <si>
    <t>ΑΡΧΑΒΛΑΚΗ</t>
  </si>
  <si>
    <t>ΑΒ482961</t>
  </si>
  <si>
    <t>898-899-900-901-902-903-904-905-906-907-908-909-910-911-912-913-914-915-916-917-918-919-920-921-922-923-924-925-926-927-928-929-930-931-932-933-934-935</t>
  </si>
  <si>
    <t>ΧΑΤΖΗΚΩΝΣΤΑΝΤΙΝΟΥ</t>
  </si>
  <si>
    <t>ΓΙΑΣΕΜΗ</t>
  </si>
  <si>
    <t>Τ146376</t>
  </si>
  <si>
    <t>861,3</t>
  </si>
  <si>
    <t>1449,3</t>
  </si>
  <si>
    <t>907-917-921-922-920-919-916-918-901-902-903-927-908-909-910-911-912-913-914-915-898-899-900-923-924-925-926-928-929-930-931-932-933-934-935-938-939-940-941</t>
  </si>
  <si>
    <t>ΚΟΥΖΕΛΗ</t>
  </si>
  <si>
    <t>ΑΒ196037</t>
  </si>
  <si>
    <t>859,1</t>
  </si>
  <si>
    <t>1447,1</t>
  </si>
  <si>
    <t>916-917-918-919-920-921-922-901-902-903-904-898-899-900</t>
  </si>
  <si>
    <t>ΒΑΜΒΑΚΙΔΟΥ</t>
  </si>
  <si>
    <t>ΒΑΡΒΑΡΑ</t>
  </si>
  <si>
    <t>ΑΒ454376</t>
  </si>
  <si>
    <t xml:space="preserve"> 923- 924</t>
  </si>
  <si>
    <t>924-923-927-925-926-928-929-933-934-898-899-900-908-909-910-911-912-913-914</t>
  </si>
  <si>
    <t>ΚΥΡΚΟΥ</t>
  </si>
  <si>
    <t>ΑΝΔΡΕΑΣ</t>
  </si>
  <si>
    <t>ΑΜ775806</t>
  </si>
  <si>
    <t>927-899-898-900-902-903-920-918-917-916-919-921-922-904-901-911-909-910-908-912-934-928-914-929-933-913-907-915-930-926-925-932-924-923-931-935-906-905-939-941-938-940-942</t>
  </si>
  <si>
    <t>ΝΤΑΛΑΣ</t>
  </si>
  <si>
    <t>ΒΑΣΙΛΗΣ</t>
  </si>
  <si>
    <t>Χ107399</t>
  </si>
  <si>
    <t>ΣΤΑΜΑΤΟΓΙΑΝΝΗ</t>
  </si>
  <si>
    <t>Χ017047</t>
  </si>
  <si>
    <t>918-921-903-901-916-917-920-922-902-904-919-934-927-933-914-900-899-898-928-929-939-941-935-909-910-911-912-908-906-907-915-924-923-925-926-938-940-905-936-931-930</t>
  </si>
  <si>
    <t>ΛΑΓΟΥΔΗ</t>
  </si>
  <si>
    <t>Σ715632</t>
  </si>
  <si>
    <t>916-922-920-919-918</t>
  </si>
  <si>
    <t>ΠΡΕΠΩΝΗΣ</t>
  </si>
  <si>
    <t>ΑΕ592689</t>
  </si>
  <si>
    <t>916-920-918-919-917-921-922-904-901-903-902-910-911-909-912-908-927-900-898-899-907-913-929-934-928-914-933-925-926-939-941-942-915-930-932-931-935-940-923-924-906-938</t>
  </si>
  <si>
    <t>ΔΑΡΒΙΛΟΠΟΥΛΟΥ</t>
  </si>
  <si>
    <t>Σ385136</t>
  </si>
  <si>
    <t>819,5</t>
  </si>
  <si>
    <t>1437,5</t>
  </si>
  <si>
    <t>926-925-915-934-928-929-911-914-913-932-933-935-924-941</t>
  </si>
  <si>
    <t>ΚΟΝΤΟΥ</t>
  </si>
  <si>
    <t>ΑΑ437624</t>
  </si>
  <si>
    <t>901-902-903-916-917-918-919-920-921-922</t>
  </si>
  <si>
    <t>ΑΠΟΣΤΟΛΑΚΗ</t>
  </si>
  <si>
    <t>ΣΠΥΡΙΔΟΥΛΑ</t>
  </si>
  <si>
    <t>ΑΖ130344</t>
  </si>
  <si>
    <t>917-903-904-916-920-918-922-919-902-901-921</t>
  </si>
  <si>
    <t>ΚΟΥΛΙΔΟΥ</t>
  </si>
  <si>
    <t>Ξ544976</t>
  </si>
  <si>
    <t>1434,9</t>
  </si>
  <si>
    <t>908-911-909-910-912-939</t>
  </si>
  <si>
    <t>ΕΥΦΡΟΣΥΝΗ</t>
  </si>
  <si>
    <t>ΑΚ344959</t>
  </si>
  <si>
    <t>1434,3</t>
  </si>
  <si>
    <t>898-899-900-901-902-903-911-904-906-905-907-908-909-910-912-913-914-915-916-917-918-919-920-921-922-923-924-925-926-927-928-929-930-931-932-933-934-935-938-939-940-941</t>
  </si>
  <si>
    <t>ΠΑΠΑΓΕΩΡΓΙΟΥ</t>
  </si>
  <si>
    <t>Σ587680</t>
  </si>
  <si>
    <t>844,8</t>
  </si>
  <si>
    <t>1432,8</t>
  </si>
  <si>
    <t>918-919-920-901-904-903-917-921-916-922-902-927-934-929-899-898-900-914-928-933-907-909-910-908-912-925-926-930-931-932-915-911-913-906</t>
  </si>
  <si>
    <t>ΦΛΟΥΔΑ</t>
  </si>
  <si>
    <t>Σ255317</t>
  </si>
  <si>
    <t>919-918-898-934-927-899-900-928-933-929-914-917-920-922-916-903-901-921-902-904-908-909-910-912-911</t>
  </si>
  <si>
    <t>ΝΤΑΓΙΑΝΤΑΣ</t>
  </si>
  <si>
    <t>ΑΒ969041</t>
  </si>
  <si>
    <t>842,6</t>
  </si>
  <si>
    <t>1430,6</t>
  </si>
  <si>
    <t>ΑΗ625109</t>
  </si>
  <si>
    <t>839,3</t>
  </si>
  <si>
    <t>1427,3</t>
  </si>
  <si>
    <t>920-901-919-916-917-903-921-918-922-902</t>
  </si>
  <si>
    <t>ΒΙΤΣΑΚΤΣΗ</t>
  </si>
  <si>
    <t>ΑΗ880462</t>
  </si>
  <si>
    <t>913-931</t>
  </si>
  <si>
    <t>ΑΒ732924</t>
  </si>
  <si>
    <t>913-938-931-932-929-907-940-924-923-941-928-906-939-934-933-914-912-909-910-911-908-935-926-925-915-900-899-898-930-927-903-901-902-904-920-922-921-918-919-917-916-905</t>
  </si>
  <si>
    <t>ΓΚΙΝΟΠΟΥΛΟΥ</t>
  </si>
  <si>
    <t>ΑΕ737387</t>
  </si>
  <si>
    <t>1422,9</t>
  </si>
  <si>
    <t>927-916-917-918-919-920-921-922-901-902-903-904</t>
  </si>
  <si>
    <t>ΑΡΓΥΡΙΟΥ</t>
  </si>
  <si>
    <t>ΑΙ992727</t>
  </si>
  <si>
    <t>ΚΑΝΑΡΗ</t>
  </si>
  <si>
    <t>ΑΙ692253</t>
  </si>
  <si>
    <t>833,8</t>
  </si>
  <si>
    <t>1421,8</t>
  </si>
  <si>
    <t>904-901-902-903-916-917-918-919-920-921-922</t>
  </si>
  <si>
    <t>ΝΑΤΣΙΚΟΥ</t>
  </si>
  <si>
    <t>ΜΑΡΙΑ-ΙΩΑΝΝΑ</t>
  </si>
  <si>
    <t>ΑΖ243662</t>
  </si>
  <si>
    <t>835-836-837-838-839-840-841-842-815-816-817-818-821-822-823-824-825-826-827-828-829-830-843-844-846-847-848-850-852-853-854-855-856-857-858-859-861-862-869-870-871-872-875-876-908-909-910-911-912-939-898-899-900-901-902-903-904-905-906-907-913-914-915-916-917-918-919-920-921-922-923-924-925-926-927-928-929-930-931-932-933-934-935-938-940-941-942-781-782-756-757-763-764-768-786-787-794-796-801-802-803-804-809</t>
  </si>
  <si>
    <t>ΚΑΛΙΑΚΟΣ</t>
  </si>
  <si>
    <t>ΑΒ904892</t>
  </si>
  <si>
    <t>679,8</t>
  </si>
  <si>
    <t>1417,8</t>
  </si>
  <si>
    <t>908-910-911-912</t>
  </si>
  <si>
    <t>ΣΤΑΜΚΟΠΟΥΛΟΥ</t>
  </si>
  <si>
    <t>Ν712611</t>
  </si>
  <si>
    <t>829,4</t>
  </si>
  <si>
    <t>1417,4</t>
  </si>
  <si>
    <t>926-925-915-935-912-908-910-911-909-928-929-924-923-913-932-933-931-934</t>
  </si>
  <si>
    <t>ΓΟΥΛΑΣ</t>
  </si>
  <si>
    <t>ΑΒ326007</t>
  </si>
  <si>
    <t>918-916-904-917-919-921-920-922-903-902-901</t>
  </si>
  <si>
    <t>ΓΚΙΚΑ</t>
  </si>
  <si>
    <t>ΑΒ588718</t>
  </si>
  <si>
    <t>906-907</t>
  </si>
  <si>
    <t>ΜΑΡΑΒΕΛΑΚΗ</t>
  </si>
  <si>
    <t>ΑΡΓΥΡΩ</t>
  </si>
  <si>
    <t>ΑΖ460127</t>
  </si>
  <si>
    <t>907-930-939-940-941-942-938-909-928-925-898-927-929</t>
  </si>
  <si>
    <t>ΕΡΤΕΚΟΓΛΟΥ</t>
  </si>
  <si>
    <t>ΑΝΤΩΝΙΑ-ΣΟΝΙΑ</t>
  </si>
  <si>
    <t>ΑΜ520297</t>
  </si>
  <si>
    <t>902-916-922-904-917-920-919-918-921-903-901</t>
  </si>
  <si>
    <t>ΒΟΓΙΑΤΖΙΔΟΥ</t>
  </si>
  <si>
    <t>ΑΚ446698</t>
  </si>
  <si>
    <t>1412,5</t>
  </si>
  <si>
    <t>913-938-939-941-908-932-929-911-928-914-934-927-918-900-921-906-903-901-925-926-933-898-912-909-910-899-904-902-922-916-920-917-919</t>
  </si>
  <si>
    <t>ΜΗΤΡΟΠΟΥΛΟΣ</t>
  </si>
  <si>
    <t>ΑΖ702553</t>
  </si>
  <si>
    <t>898-899-900-901-902-903-904-905-906-907-908-909-910-911-912-913-914-915-916-917-918-919-920-921-922-923-924-925-926-927-928-929-930-931-932-933-934-935-938-939-940-941-942</t>
  </si>
  <si>
    <t>ΜΑΝΤΙΚΟΥ</t>
  </si>
  <si>
    <t>ΒΙΡΓΙΝΙΑ</t>
  </si>
  <si>
    <t>ΑΗ587301</t>
  </si>
  <si>
    <t>919-916-917-921-920-918-904-903-901-922-902</t>
  </si>
  <si>
    <t>ΠΙΤΣΑΡΗ</t>
  </si>
  <si>
    <t>Ρ988761</t>
  </si>
  <si>
    <t>849,2</t>
  </si>
  <si>
    <t>1409,2</t>
  </si>
  <si>
    <t>934-928-933-899-900-929-914-908-909-910-911-912-913</t>
  </si>
  <si>
    <t>ΜΠΟΛΟΒΙΝΟΥ</t>
  </si>
  <si>
    <t>ΑΗ756322</t>
  </si>
  <si>
    <t>886,6</t>
  </si>
  <si>
    <t>1407,6</t>
  </si>
  <si>
    <t>920-916-918-921-917-904-901-902-903-919-922-927-930-898-899-900-934-929-933-914-908-909-910-911-912-925-926-907-928-913-906-905-931-915-924-923-932-935</t>
  </si>
  <si>
    <t>ΗΛΙΑΔΗΣ</t>
  </si>
  <si>
    <t>ΑΜ266814</t>
  </si>
  <si>
    <t>1407,5</t>
  </si>
  <si>
    <t>908-911-912-910-909-924-932-929</t>
  </si>
  <si>
    <t>ΠΑΓΓΟΥ</t>
  </si>
  <si>
    <t>ΑΘΗΝΑ</t>
  </si>
  <si>
    <t>ΑΗ138950</t>
  </si>
  <si>
    <t>918-919-921-922-904-920-917-916-903</t>
  </si>
  <si>
    <t>ΚΩΣΤΟΠΟΥΛΟΥ</t>
  </si>
  <si>
    <t>ΝΙΚΗ</t>
  </si>
  <si>
    <t>Σ556755</t>
  </si>
  <si>
    <t>904-917-919-922-902-903-916-901-918-921</t>
  </si>
  <si>
    <t>ΑΗ574887</t>
  </si>
  <si>
    <t>Ν723963</t>
  </si>
  <si>
    <t>ΣΤΡΑΤΑΚΗ</t>
  </si>
  <si>
    <t>ΑΗ539960</t>
  </si>
  <si>
    <t>806,3</t>
  </si>
  <si>
    <t>1394,3</t>
  </si>
  <si>
    <t>922-902-921-918-919-904-917-920-903-901-916</t>
  </si>
  <si>
    <t>ΕΡΩΤΟΚΡΙΤΟΣ ΑΝΤΩΝΗΣ</t>
  </si>
  <si>
    <t>Π086325</t>
  </si>
  <si>
    <t>1393,8</t>
  </si>
  <si>
    <t>904-903-902-920-922-919-921-918-901-917</t>
  </si>
  <si>
    <t>ΧΡΙΣΤΟΠΟΥΛΟΥ</t>
  </si>
  <si>
    <t>Π456595</t>
  </si>
  <si>
    <t>1393,6</t>
  </si>
  <si>
    <t>904-916-917-920-918-919-901-921-922-903-902</t>
  </si>
  <si>
    <t>ΑΤΜΑΤΖΙΔΟΥ</t>
  </si>
  <si>
    <t>ΠΑΡΘΕΝΑ</t>
  </si>
  <si>
    <t>ΑΙ170536</t>
  </si>
  <si>
    <t>912-909-910-911-908-939-941-942-925-926-928-914-929-933-913-934-901-902-903-904-898-899</t>
  </si>
  <si>
    <t>ΜΠΙΔΕΚΑ</t>
  </si>
  <si>
    <t xml:space="preserve">ΑΠΟΣΤΟΛΙΑ </t>
  </si>
  <si>
    <t>ΑΖ925305</t>
  </si>
  <si>
    <t>1389,6</t>
  </si>
  <si>
    <t>ΔΟΥΚΑ</t>
  </si>
  <si>
    <t>ΑΙ124229</t>
  </si>
  <si>
    <t>1388,4</t>
  </si>
  <si>
    <t>901-902-903-904-916-917-918-919-920-921-922-927-934-929-898-899-900-928</t>
  </si>
  <si>
    <t>ΣΑΠΟΥΡΙΔΟΥ</t>
  </si>
  <si>
    <t>ΚΑΤΕΡΙΝΑ</t>
  </si>
  <si>
    <t>ΑΒΡΑΑΜ</t>
  </si>
  <si>
    <t>ΑΚ289443</t>
  </si>
  <si>
    <t>1387,7</t>
  </si>
  <si>
    <t>911-910-909-908-912-929-928</t>
  </si>
  <si>
    <t>ΣΑΚΑΛΙΔΟΥ</t>
  </si>
  <si>
    <t>ΣΑΒΒΑΣ</t>
  </si>
  <si>
    <t>ΑΙ397910</t>
  </si>
  <si>
    <t>928-933</t>
  </si>
  <si>
    <t>Χ126798</t>
  </si>
  <si>
    <t>920-898-899-904-922</t>
  </si>
  <si>
    <t>ΜΑΥΡΙΔΗΣ</t>
  </si>
  <si>
    <t>ΔΗΜΗΤΡΗΣ</t>
  </si>
  <si>
    <t>ΚΛΗΜΗΣ</t>
  </si>
  <si>
    <t>ΑΗ692390</t>
  </si>
  <si>
    <t>908-909-910-911-912-914-913-915-928-929-931-932-933-926-925-934-906-916-917-918-919-920-921-922-900-901-902-903-904-898-899-907-923-924-927-936-937-935-930-905</t>
  </si>
  <si>
    <t>ΛΥΚΑΚΗ</t>
  </si>
  <si>
    <t>ΕΥΤΕΡΠΗ</t>
  </si>
  <si>
    <t>ΑΑ403779</t>
  </si>
  <si>
    <t>924-940-923-907-939-908-909-910-911-912</t>
  </si>
  <si>
    <t>ΤΑΜΟΥΤΣΕΛΗ</t>
  </si>
  <si>
    <t>ΑΜ273754</t>
  </si>
  <si>
    <t>1378,5</t>
  </si>
  <si>
    <t>783-782-781-780-779-778-799-896-924-935-930-923-915-912-911-910-909-908-887-800-806-808-835-836-837-838-839-840-841-842-936-937</t>
  </si>
  <si>
    <t>ΤΟΥΡΚΟΧΩΡΙΤΗ</t>
  </si>
  <si>
    <t>ΜΑΝΕΣΙΑ</t>
  </si>
  <si>
    <t>ΑΙ065122</t>
  </si>
  <si>
    <t>789,8</t>
  </si>
  <si>
    <t>1377,8</t>
  </si>
  <si>
    <t>920-916-921-917-918-919-922-903-904-901-902-927-934-898-900-899-929-933-928-914-915-913-912-911-910-909-908-907</t>
  </si>
  <si>
    <t>ΤΑΜΟΥΤΣΕΛΗΣ</t>
  </si>
  <si>
    <t>ΑΖ696790</t>
  </si>
  <si>
    <t>939-883-884-885-908-909-910-911-912-778-779-780-781-782-799-814-897-923-924-940-941-937-942</t>
  </si>
  <si>
    <t>ΚΟΥΓΙΑ</t>
  </si>
  <si>
    <t>ΑΡΕΤΗ</t>
  </si>
  <si>
    <t>ΑΜ852463</t>
  </si>
  <si>
    <t>1376,5</t>
  </si>
  <si>
    <t>925-926-800-914-929-803-933-801-773-774-772-928-934-751-752-805-802-927-814-813-768-753-769-754-770-755-756-898-775-899-783-900-777-776-907-778-779-780-781-782-908-909-910-911-912-901-902-903-904-916-917-918-919-920-921-922-757-758-759-760-761-764-765-785-786-787-788-789-790-791-792-793-794-795-796-937</t>
  </si>
  <si>
    <t>ΓΙΑΝΝΟΠΟΥΛΟΣ</t>
  </si>
  <si>
    <t>ΑΕ544361</t>
  </si>
  <si>
    <t>787,6</t>
  </si>
  <si>
    <t>1375,6</t>
  </si>
  <si>
    <t>904-902-901-922-903-916-917-918-919-920-921</t>
  </si>
  <si>
    <t>ΙΩΑΝΝΟΥ</t>
  </si>
  <si>
    <t>Ξ 691805</t>
  </si>
  <si>
    <t>1373,5</t>
  </si>
  <si>
    <t>911-910-912-909-908-925-926-933-934-928-899-898-900-920-919-917-918-916-921-922-927-929-901-903-902-904-914-913-939-940-941-942</t>
  </si>
  <si>
    <t>ΑΠΟΣΤΟΛΟΠΟΥΛΟΥ</t>
  </si>
  <si>
    <t>ΑΖ593599</t>
  </si>
  <si>
    <t>784,3</t>
  </si>
  <si>
    <t>1372,3</t>
  </si>
  <si>
    <t>901-903-904-902-916-917-918-919-920-921-922</t>
  </si>
  <si>
    <t>Σ564315</t>
  </si>
  <si>
    <t>901-918-922-931-917-920-921-904-919-938</t>
  </si>
  <si>
    <t>ΤΖΗΜΙΝΟΠΟΥΛΟΥ</t>
  </si>
  <si>
    <t>ΑΗ851731</t>
  </si>
  <si>
    <t>932-908-909-910-911-912</t>
  </si>
  <si>
    <t>ΚΑΡΚΑΜΑΝΗ</t>
  </si>
  <si>
    <t>ΑΙ344854</t>
  </si>
  <si>
    <t>1370,5</t>
  </si>
  <si>
    <t>909-910-911-912-908-914</t>
  </si>
  <si>
    <t>ΑΔΑΜΑΚΙΔΗΣ</t>
  </si>
  <si>
    <t>ΑΔΑΜ</t>
  </si>
  <si>
    <t>ΑΒ127542</t>
  </si>
  <si>
    <t>975,7</t>
  </si>
  <si>
    <t>1367,7</t>
  </si>
  <si>
    <t>931-906-938-905</t>
  </si>
  <si>
    <t>ΚΛΟΥΡΑΣ</t>
  </si>
  <si>
    <t>ΑΚ241648</t>
  </si>
  <si>
    <t>774,4</t>
  </si>
  <si>
    <t>1362,4</t>
  </si>
  <si>
    <t>916-917-920-921-918-901-902-903</t>
  </si>
  <si>
    <t>ΜΟΔΕ</t>
  </si>
  <si>
    <t>ΔΙΑΜΑΝΤΩ</t>
  </si>
  <si>
    <t>ΛΕΩΝΙΔΑΣ</t>
  </si>
  <si>
    <t>ΑΚ828127</t>
  </si>
  <si>
    <t>1360,8</t>
  </si>
  <si>
    <t>904-916-919-921-918-920-917-902-903-922-901</t>
  </si>
  <si>
    <t>ANGELERI</t>
  </si>
  <si>
    <t>CHRISTOS</t>
  </si>
  <si>
    <t>PIER CARLO</t>
  </si>
  <si>
    <t>AA1640898</t>
  </si>
  <si>
    <t>1359,5</t>
  </si>
  <si>
    <t>912-910-911-909-908-942-939-941-925-926</t>
  </si>
  <si>
    <t>ΣΤΡΕΚΛΑ</t>
  </si>
  <si>
    <t>Σ367268</t>
  </si>
  <si>
    <t>755-756-754-753-900-899-898</t>
  </si>
  <si>
    <t>ΖΑΠΑΝΤΙΩΤΗ</t>
  </si>
  <si>
    <t>Σ786538</t>
  </si>
  <si>
    <t>898-899-900-927-908-909-910-911-912</t>
  </si>
  <si>
    <t>ΜΑΣΤΟΡΑ</t>
  </si>
  <si>
    <t>ΑΝΤΩΝΙΑ</t>
  </si>
  <si>
    <t>ΑΚ689856</t>
  </si>
  <si>
    <t>898-927-929-899-900-908-909-910-911-912-913-914-915-916-917-918-919-904-903-902-901-920-921-922-928-926-924-925-923-930-931-932-933-905-906-935-938-939-940-941-942</t>
  </si>
  <si>
    <t>ΔΗΜΟΠΟΥΛΟΣ</t>
  </si>
  <si>
    <t>ΑΚ065357</t>
  </si>
  <si>
    <t>921-918-901-903-917-919-904-920-922-916-902-907-930-898-899-900-908-909-910-911-912</t>
  </si>
  <si>
    <t>ΚΟΥΡΕΑΣ</t>
  </si>
  <si>
    <t>ΑΖ815206</t>
  </si>
  <si>
    <t>904-921-920-917-916-918-919-922-901-903-902-910-911-912-909-908-939-927-941-942-929-928-933-923-924-940-934-914-913-931-938-932-935-915-907-925-926-899-898-900-905-906-930</t>
  </si>
  <si>
    <t>ΣΤΟΥΡΝΑΡΑ</t>
  </si>
  <si>
    <t>Π464714</t>
  </si>
  <si>
    <t>921-922-919-917-920-916-901-902-904-903</t>
  </si>
  <si>
    <t>ΜΑΚΡΥΝΙΚΑ</t>
  </si>
  <si>
    <t>Σ783072</t>
  </si>
  <si>
    <t>917-921-920-916-922-918-919-904-903-902-901</t>
  </si>
  <si>
    <t>ΚΑΡΑΝΑΣΤΑΣΗ</t>
  </si>
  <si>
    <t>Τ479821</t>
  </si>
  <si>
    <t>934-922-920-902-921-904-917-919-918</t>
  </si>
  <si>
    <t>ΚΑΡΑΝΙΚΑ</t>
  </si>
  <si>
    <t>Τ242291</t>
  </si>
  <si>
    <t>900-899-898</t>
  </si>
  <si>
    <t>ΤΟΥΛΟΥΜΗΣ</t>
  </si>
  <si>
    <t>ΑΕ989498</t>
  </si>
  <si>
    <t>731,5</t>
  </si>
  <si>
    <t>1349,5</t>
  </si>
  <si>
    <t>768-786-787-770-769-801-794-757-758-759-760-764-785-788-789-790-791-792-793-795-901-902-903-904-916-917-918-919-920-921-922</t>
  </si>
  <si>
    <t>ΧΕΛΙΔΩΝΗ</t>
  </si>
  <si>
    <t>ΑΔΑΜΑΝΤΙΑ</t>
  </si>
  <si>
    <t>ΑΒ408009</t>
  </si>
  <si>
    <t>909-911-912-910-908-928-929-924-926-932-933-914-939-925-913-938-904-903-921-917-901-918-916-920-919-934-927-899-900-898-923-915-930-931</t>
  </si>
  <si>
    <t>ΒΑΛΟΤΑΣΙΟΣ</t>
  </si>
  <si>
    <t>ΧΑΡΙΛΑΟΣ</t>
  </si>
  <si>
    <t>Ν825337</t>
  </si>
  <si>
    <t>753,5</t>
  </si>
  <si>
    <t>1341,5</t>
  </si>
  <si>
    <t>918-921-922-920-919-916-917-904-901-903-933-914-928-929-934-908-910-911-912-909-898-900-899-927-907-924-923-915-925-926-932-931-935-930-940-941-942-938-902-913</t>
  </si>
  <si>
    <t>ΑΙ423535</t>
  </si>
  <si>
    <t>1338,5</t>
  </si>
  <si>
    <t>904-916-918-921-920-917-919-903-922-902-901-934-927-929-928-933-914-898-900-899-915-935-925-926-941-942-939-909-912-908-910-911-938-931-913-932-940-923-924-905-906-930-907</t>
  </si>
  <si>
    <t>ΚΑΛΦΟΠΟΥΛΟΣ</t>
  </si>
  <si>
    <t>ΑΒ456184</t>
  </si>
  <si>
    <t>931-906-913-905-932-938-941-924-923-912-909-908-911-910-939-940-929-928-934-926-925-915-933-914-935-927-899-900-898-930-907-903-921-922-904-916-918-901-917-919-920-902-942</t>
  </si>
  <si>
    <t>ΠΡΟΚΟΠΙΟΥ</t>
  </si>
  <si>
    <t>ΑΙ694994</t>
  </si>
  <si>
    <t>904-901-916-903-918-917-921-920-919</t>
  </si>
  <si>
    <t>ΝΑΤΣΙΟΥ</t>
  </si>
  <si>
    <t>ΑΡΧΟΝΤΟΥΛΑ</t>
  </si>
  <si>
    <t>ΑΖ164531</t>
  </si>
  <si>
    <t>911-909-912-908-910-913-939-932-940</t>
  </si>
  <si>
    <t>ΚΟΥΡΟΣ</t>
  </si>
  <si>
    <t>Φ007191</t>
  </si>
  <si>
    <t>916-920-917-919-922-921-918-901-902-903</t>
  </si>
  <si>
    <t>ΓΙΑΝΝΑΚΟΠΟΥΛΟΥ</t>
  </si>
  <si>
    <t>ΑΑ089643</t>
  </si>
  <si>
    <t>854,7</t>
  </si>
  <si>
    <t>1330,7</t>
  </si>
  <si>
    <t>920-921-918-922-916-919-917-904-901-903-927</t>
  </si>
  <si>
    <t>ΝΤΑΓΙΑΚΗ</t>
  </si>
  <si>
    <t>ΝΙΚΛΑΟΣ</t>
  </si>
  <si>
    <t>ΑΖ765196</t>
  </si>
  <si>
    <t>1330,1</t>
  </si>
  <si>
    <t>928-929-925-926-933-934-914-908-909-910-911-912-927-916-921-918-917-919-920-922-901-902-903-904-900-899-898-913-907-932-931-935-938-939-915-930-923-924-940-905-906</t>
  </si>
  <si>
    <t>ΜΠΟΝΤΗ</t>
  </si>
  <si>
    <t>ΖΩΗ</t>
  </si>
  <si>
    <t>ΑΒ157677</t>
  </si>
  <si>
    <t>908-911-910-909-912</t>
  </si>
  <si>
    <t>ΜΠΑΡΤΖΙΩΚΑΣ</t>
  </si>
  <si>
    <t>Ρ058577</t>
  </si>
  <si>
    <t>739,2</t>
  </si>
  <si>
    <t>1327,2</t>
  </si>
  <si>
    <t>933-902-904-916-917-919-920-922-914-927-928-929-934-918-921</t>
  </si>
  <si>
    <t>ΔΑΓΤΖΙΔΟΥ</t>
  </si>
  <si>
    <t>ΕΥΔΟΚΙΑ</t>
  </si>
  <si>
    <t>ΑΖ858888</t>
  </si>
  <si>
    <t>1322,4</t>
  </si>
  <si>
    <t>923-908-909-910-911-912</t>
  </si>
  <si>
    <t>ΚΑΡΑΚΟΛΗ</t>
  </si>
  <si>
    <t>ΑΗ360984</t>
  </si>
  <si>
    <t>969,1</t>
  </si>
  <si>
    <t>1319,1</t>
  </si>
  <si>
    <t>923-924-908-909-910-911-912-925-926-913-932-914-933-935-928-929-931-905-906-915-934-930-907-901-902-903-904-916-917-918-919-920-921-922-927-898-899-900</t>
  </si>
  <si>
    <t>ΠΑΠΑΔΟΓΚΩΝΑ</t>
  </si>
  <si>
    <t>Ρ074709</t>
  </si>
  <si>
    <t>920-919-917-918-921-904-903-916-901-902-922</t>
  </si>
  <si>
    <t>ΜΙΣΙΡΛΗ</t>
  </si>
  <si>
    <t>ΜΙΧΑΕΛΛΑ</t>
  </si>
  <si>
    <t>Φ261112</t>
  </si>
  <si>
    <t>1316,5</t>
  </si>
  <si>
    <t>913-925-926-908-909-910-911-912-928-929-914-915-934-907-902-903-904-916-917-918-919-920-921-922</t>
  </si>
  <si>
    <t>ΚΑΛΗΜΑΝΤΣΑΛΗΣ</t>
  </si>
  <si>
    <t>ΑΖ178882</t>
  </si>
  <si>
    <t>1314,9</t>
  </si>
  <si>
    <t>910-908-909-911-912-928-926-925-914-929-933-927-916-917-918-920-919-921-922-898-899-900-901-902-903-904-907</t>
  </si>
  <si>
    <t>ΑΝΔΡΙΤΣΟΥ</t>
  </si>
  <si>
    <t>ΕΥΣΤΑΘΙΑ</t>
  </si>
  <si>
    <t>ΑΕ492154</t>
  </si>
  <si>
    <t>1314,6</t>
  </si>
  <si>
    <t>922-920-917-916-918-919-921-901-902-903-904-899-900-933-934</t>
  </si>
  <si>
    <t>ΧΕΛΑΚΗ</t>
  </si>
  <si>
    <t>ΑΕ706042</t>
  </si>
  <si>
    <t>898-899-900-927-901-902-903-904-907-908-909-910-911-912-916-917-918-919-920-921-922-934-914-913-928-925-926-929-933</t>
  </si>
  <si>
    <t>ΑΘΑΝΑΣΙΑΔΗ</t>
  </si>
  <si>
    <t>Φ129365</t>
  </si>
  <si>
    <t>903-904-902-916-918-917-922-919-901-920-921-927</t>
  </si>
  <si>
    <t>ΚΙΤΣΙΟΥ</t>
  </si>
  <si>
    <t>ΑΚ233761</t>
  </si>
  <si>
    <t>901-902-903-904-916-917-918-927-920-921-929-930-933-928</t>
  </si>
  <si>
    <t>ΜΠΑΜΠΑ</t>
  </si>
  <si>
    <t>ΑΑ254507</t>
  </si>
  <si>
    <t>1030,7</t>
  </si>
  <si>
    <t>1310,7</t>
  </si>
  <si>
    <t>908-909-910-911-912-914-924-923-928-929-932-931-938-939-940-941-942</t>
  </si>
  <si>
    <t>ΑΛΕΞΙΟΥ</t>
  </si>
  <si>
    <t>ΑΜ358486</t>
  </si>
  <si>
    <t>911-928-929-914-900-927-934-908</t>
  </si>
  <si>
    <t>ΤΣΟΥΚΑΛΑ</t>
  </si>
  <si>
    <t>ΑΖ301105</t>
  </si>
  <si>
    <t>ΓΙΑΝΝΟΠΟΥΛΟΥ</t>
  </si>
  <si>
    <t>ΔΙΟΝΥΣΙΑ</t>
  </si>
  <si>
    <t>Ρ303414</t>
  </si>
  <si>
    <t>899-900-898-922-902-903-920-904-917-918-919-901-921-916</t>
  </si>
  <si>
    <t>ΠΑΝΤΑΖΗ</t>
  </si>
  <si>
    <t>ΕΛΕΥΘΕΡΙΑ</t>
  </si>
  <si>
    <t>Σ414923</t>
  </si>
  <si>
    <t>907-913-929-928-934-918-921-901-903-904-916</t>
  </si>
  <si>
    <t>ΒΑΙΑ</t>
  </si>
  <si>
    <t>ΑΗ767974</t>
  </si>
  <si>
    <t>928-929-933-914-910-908-912-909-911-926-925-924-923-916-917-918-919-920-922-903-904-901-902-932-934-913-899-900-898-931-930-927-915</t>
  </si>
  <si>
    <t>ΠΑΝΤΕΛΗΣ</t>
  </si>
  <si>
    <t>ΑΜ948281</t>
  </si>
  <si>
    <t>903-918-904-922-902-901-916-921-919-920-907-908-909-910-911-929-928</t>
  </si>
  <si>
    <t>ΓΑΛΑΝΟΥ</t>
  </si>
  <si>
    <t>Χ136161</t>
  </si>
  <si>
    <t>ΑΙ653969</t>
  </si>
  <si>
    <t>903-904-916-917-918-919-920-921-922-902-901</t>
  </si>
  <si>
    <t>ΣΟΥΛΑΚΙΩΤΗ</t>
  </si>
  <si>
    <t>ΠΑΝΟΣ</t>
  </si>
  <si>
    <t>ΑΗ999098</t>
  </si>
  <si>
    <t>933-914-927-898-929-915-930-907-925-926-913-906-935-923-924-932-899-900-934-928-931-905</t>
  </si>
  <si>
    <t>ΔΡΑΚΑΚΗ</t>
  </si>
  <si>
    <t>Ξ930165</t>
  </si>
  <si>
    <t>1297,6</t>
  </si>
  <si>
    <t>907-908-909-910-911-912-913-914-916-917-918-919-902-904-903-898-927-928-934-929-920-921-925-926-933-935-899-900-901</t>
  </si>
  <si>
    <t>ΓΙΑΝΝΙΚΟΥ</t>
  </si>
  <si>
    <t>ΑΙ660239</t>
  </si>
  <si>
    <t>918-902-903-919-920-922-904-916-917-921-901-927-934-911-910-909-908-912-929-933-914-898-899-900</t>
  </si>
  <si>
    <t>ΓΑΛΟΥΠΗ</t>
  </si>
  <si>
    <t>ΔΡΟΣΙΑ</t>
  </si>
  <si>
    <t>ΑΗ856576</t>
  </si>
  <si>
    <t>1296,5</t>
  </si>
  <si>
    <t>923-924-909</t>
  </si>
  <si>
    <t>ΔΗΜΟΥ</t>
  </si>
  <si>
    <t>ΑΙ809205</t>
  </si>
  <si>
    <t>708,4</t>
  </si>
  <si>
    <t>1296,4</t>
  </si>
  <si>
    <t>926-925-933-914-928-899-898-900-908-909-910-911-912-915-935-913-924</t>
  </si>
  <si>
    <t>ΚΑΡΝΑΤΣΟΥ</t>
  </si>
  <si>
    <t>ΑΙ755027</t>
  </si>
  <si>
    <t>994,4</t>
  </si>
  <si>
    <t>1295,4</t>
  </si>
  <si>
    <t>934-913-914-925-926-933-928-929-930-927-941-939-898-899-900-901-902-903-904-906-907-908-909-910-911-912-916-917-918-919-920-921-922</t>
  </si>
  <si>
    <t>ΣΤΕΡΓΙΟΥ</t>
  </si>
  <si>
    <t>ΑΡΧΟΝΤΙΑ</t>
  </si>
  <si>
    <t>ΑΜ483014</t>
  </si>
  <si>
    <t>934-902-903-904-901-908-909-910-911-912-917-916-918-919-920-921-922-928-898-899-900-914-927-929-933-926-925-907-923-905-906-915-930-931-932-935-938-939-941-940-942</t>
  </si>
  <si>
    <t>ΛΥΜΠΕΡΟΠΟΥΛΟΣ</t>
  </si>
  <si>
    <t>ΑΗ541083</t>
  </si>
  <si>
    <t>705,1</t>
  </si>
  <si>
    <t>1293,1</t>
  </si>
  <si>
    <t>904-920-922-902-919-918-903</t>
  </si>
  <si>
    <t>ΚΕΦΑΛΑ</t>
  </si>
  <si>
    <t>ΑΜ431599</t>
  </si>
  <si>
    <t>1288,7</t>
  </si>
  <si>
    <t>ΓΚΟΥΒΑ</t>
  </si>
  <si>
    <t>ΑΒ410067</t>
  </si>
  <si>
    <t>1287,8</t>
  </si>
  <si>
    <t>914-933-908-909-915-928-925-926-927-929-910-911-912-913-935-934-941-942-898-899-900-901-902-903-904-916-917-918-919-920-921-922-939</t>
  </si>
  <si>
    <t>ΤΖΙΜΑ</t>
  </si>
  <si>
    <t>Χ677163</t>
  </si>
  <si>
    <t>904-916-903-901-918-921-917-920-919-922-902-927-914-933-928-929-934-900-898-899-907-908-911-909-910-912-939-925-926-913-941-942</t>
  </si>
  <si>
    <t>ΑΡΓΟΥΔΕΛΗ</t>
  </si>
  <si>
    <t>ΑΗ557389</t>
  </si>
  <si>
    <t>694,1</t>
  </si>
  <si>
    <t>1282,1</t>
  </si>
  <si>
    <t>904-901-920-916-922-919-918-917-921-902-903-933-910-911-912-908-909-899-900-898-907-913-927-928-929-934-930-931</t>
  </si>
  <si>
    <t>ΦΑΣΙΛΗ</t>
  </si>
  <si>
    <t>Ρ010392</t>
  </si>
  <si>
    <t>903-918-901-921-922-919-902-917-916-904-920</t>
  </si>
  <si>
    <t>ΚΟΥΤΡΟΥΜΠΑ</t>
  </si>
  <si>
    <t>Τ524905</t>
  </si>
  <si>
    <t>918-920-921-919-917-904-901-902-922-916-903</t>
  </si>
  <si>
    <t>ΚΑΤΣΙΚΑ</t>
  </si>
  <si>
    <t>ΑΕ925775</t>
  </si>
  <si>
    <t>1280,9</t>
  </si>
  <si>
    <t>906-905-908-910-911-912-909-913-916-917-918-919-920-921-922-901-902-903-904-939-941</t>
  </si>
  <si>
    <t>ΚΩΣΤΑΓΟΥΛΑΣ</t>
  </si>
  <si>
    <t>ΑΜ657216</t>
  </si>
  <si>
    <t>909-911-910-912-908</t>
  </si>
  <si>
    <t>ΧΑΛΚΙΑ</t>
  </si>
  <si>
    <t>Π744600</t>
  </si>
  <si>
    <t>922-917-920-921-919-903-916-901-918-904-902</t>
  </si>
  <si>
    <t>ΑΓΓΕΛΟΠΟΥΛΟΣ</t>
  </si>
  <si>
    <t>ΑΕ772750</t>
  </si>
  <si>
    <t>901-902-919-920-903-922-916-921-927-904</t>
  </si>
  <si>
    <t>ΕΛΛΗΝΙΔΟΥ</t>
  </si>
  <si>
    <t>ΑΙ339036</t>
  </si>
  <si>
    <t>935-925-926-908-910-911-912-909-915-923-924</t>
  </si>
  <si>
    <t>ΜΠΑΚΟΓΙΑΝΝΗΣ</t>
  </si>
  <si>
    <t>Π172346</t>
  </si>
  <si>
    <t>687,5</t>
  </si>
  <si>
    <t>1275,5</t>
  </si>
  <si>
    <t>901-903-904-916-918-920-921-922</t>
  </si>
  <si>
    <t>ΦΛΙΑΤΟΥΡΑ</t>
  </si>
  <si>
    <t>ΑΚ056423</t>
  </si>
  <si>
    <t>921-901-903-918-916-904-917-920-922-902-919-934-898-899-900-927-914-928-929-933-908-911-909-910-912-939-941-942-923-924-940-925-926-932-938-913-915-930-931-935-907-906-905</t>
  </si>
  <si>
    <t>ΣΤΑΥΡΟΠΟΥΛΟΥ</t>
  </si>
  <si>
    <t>Σ652841</t>
  </si>
  <si>
    <t>1269,5</t>
  </si>
  <si>
    <t>901-902-903-916-904-917-918-920-919-921-922</t>
  </si>
  <si>
    <t>ΠΑΡΘΕΝΗ</t>
  </si>
  <si>
    <t>ΑΒ990349</t>
  </si>
  <si>
    <t>1268,2</t>
  </si>
  <si>
    <t>904-920-916-918-917-919-921-902-901-903-922-927-906-905-907-908-909-910-911-912-913-914-915-928-929-931-932-933-934-923-924-925-926-935-930-900-899-898-939-940-941</t>
  </si>
  <si>
    <t>ΤΣΕΠΑ</t>
  </si>
  <si>
    <t>ΑΜ279615</t>
  </si>
  <si>
    <t>1267,1</t>
  </si>
  <si>
    <t>909-910-908-911-912-939-941-928-925-926-913-929-933-914</t>
  </si>
  <si>
    <t>ΠΟΥΛΙΟΥ</t>
  </si>
  <si>
    <t>ΑΝΔΡΟΝΙΚΗ</t>
  </si>
  <si>
    <t>ΑΖ597395</t>
  </si>
  <si>
    <t>904-918-922-903-919-916-902-920</t>
  </si>
  <si>
    <t xml:space="preserve">ΜΠΑΡΑΚΟΥ </t>
  </si>
  <si>
    <t xml:space="preserve">ΑΝΘΙΤΣΑ </t>
  </si>
  <si>
    <t xml:space="preserve">ΝΙΚΟΛΑΟΣ </t>
  </si>
  <si>
    <t>ΑΖ194706</t>
  </si>
  <si>
    <t>1266,8</t>
  </si>
  <si>
    <t>908-909-910-911-912-939-924-923-940-932-938-913-928-941-929</t>
  </si>
  <si>
    <t>ΣΠΥΡΟΥ</t>
  </si>
  <si>
    <t>ΝΙΚΟΛΕΤΤΑ</t>
  </si>
  <si>
    <t>ΑΚ759268</t>
  </si>
  <si>
    <t>1264,3</t>
  </si>
  <si>
    <t>916-918-917-919-920-921-922-900-901</t>
  </si>
  <si>
    <t>ΤΣΑΠΡΑΖΗΣ</t>
  </si>
  <si>
    <t>ΣΕΡΓΚΕΙ</t>
  </si>
  <si>
    <t>ΑΙ731808</t>
  </si>
  <si>
    <t>ΜΟΥΣΙΟΣ</t>
  </si>
  <si>
    <t>ΑΑ412240</t>
  </si>
  <si>
    <t>926-925-928-929-931-933-932-915-923-924-914-913-905-906-908-909-910-911-912-935-934-927-907-898-899-900-901-902-903-904-916-917-918-919-920-921-922-930-938-939-940-941-942</t>
  </si>
  <si>
    <t>ΝΤΑΛΛΑΣ</t>
  </si>
  <si>
    <t>ΑΜ855958</t>
  </si>
  <si>
    <t>926-925-915-935-928-929-913-914-908-909-910-911-912-933-932-931-930-923-924-934-905-906-901-902-903-904-916-917-918-919-920-921-922-907-898-899-900</t>
  </si>
  <si>
    <t>ΣΤΥΛΙΑΡΑ</t>
  </si>
  <si>
    <t>ΒΑΙΟΣ</t>
  </si>
  <si>
    <t>Ψ758907</t>
  </si>
  <si>
    <t>914-933-928-929-934</t>
  </si>
  <si>
    <t>ΠΟΛΥΓΕΝΗ</t>
  </si>
  <si>
    <t>ΑΓΑΘΗ</t>
  </si>
  <si>
    <t>Σ811790</t>
  </si>
  <si>
    <t>899-900-898-927-922-921-920-917-916-919-918-901-902-903-904-934-928-929-914-933-915-926-925-911-910-909-912-908-907</t>
  </si>
  <si>
    <t>ΧΟΡΟΜΙΔΟΥ</t>
  </si>
  <si>
    <t>Σ708389</t>
  </si>
  <si>
    <t>901-902-903-904-898-899-900-915-916-917-918-919-920-921-922-924-927-906-907-908-909-910-911-912-913-914-928-929-930-932-933-934</t>
  </si>
  <si>
    <t>ΧΡΙΣΤΟΠΟΥΛΟΣ</t>
  </si>
  <si>
    <t>ΑΙ694597</t>
  </si>
  <si>
    <t>634,7</t>
  </si>
  <si>
    <t>1252,7</t>
  </si>
  <si>
    <t>902-917-901-919-920-916-921-922-904-903-918</t>
  </si>
  <si>
    <t>ΣΤΑΥΡΟΣ</t>
  </si>
  <si>
    <t>ΑΕ287053</t>
  </si>
  <si>
    <t>916-922-919-921-917-902-918-903</t>
  </si>
  <si>
    <t>ΡΕΝΤΖΙΟΥ</t>
  </si>
  <si>
    <t>ΧΑΡΟΥΛΑ</t>
  </si>
  <si>
    <t>ΑΑ382822</t>
  </si>
  <si>
    <t>914-927-900-911-928-929-932-934</t>
  </si>
  <si>
    <t>ΨΑ</t>
  </si>
  <si>
    <t>ΑΗ055572</t>
  </si>
  <si>
    <t>921-918-901-903-927-900-934-908-911-929-928-920-917-916-919-922</t>
  </si>
  <si>
    <t>ΠΑΠΑΕΛΕΥΘΕΡΙΟΥ</t>
  </si>
  <si>
    <t>Χ038781</t>
  </si>
  <si>
    <t>920-921-917-916-919-922-918-903-904-901-902-927-898-899-900-934-933-929-928-925-926-914-908-909-910-911-912-913-915-907-923-924-931-932-935-939-938-940-941-905-906</t>
  </si>
  <si>
    <t>ΦΑΚΑΛΗ</t>
  </si>
  <si>
    <t>Τ028679</t>
  </si>
  <si>
    <t>904-922-901-917-918-919-920-921-916-903-902-898-899-900-934-933-914-927-928-929-930-908-907-909-910-911-912-913-925-926-939-941</t>
  </si>
  <si>
    <t>ΜΕΣΙΑΚΑΡΗ</t>
  </si>
  <si>
    <t>ΑΗ284111</t>
  </si>
  <si>
    <t>914-933-928-929-934-932-927-924-898-900-908-911</t>
  </si>
  <si>
    <t>ΣΤΑΘΟΠΟΥΛΟΥ</t>
  </si>
  <si>
    <t>ΑΒ042532</t>
  </si>
  <si>
    <t>901-902-903-904-916-917-918-919-920-921-922-927-900-899-898</t>
  </si>
  <si>
    <t>ΒΑΓΙΑΝΟΥ</t>
  </si>
  <si>
    <t>ΜΑΝΤΑΛΕΝΑ</t>
  </si>
  <si>
    <t>ΑΗ043924</t>
  </si>
  <si>
    <t>903-901-902-904-916-921-922-917-919-920</t>
  </si>
  <si>
    <t>ΣΠΙΝΘΟΥΡΑΚΗΣ</t>
  </si>
  <si>
    <t>ΑΖ546143</t>
  </si>
  <si>
    <t>899-900-901-902-903-904-907-908-909-910-911-912-914-916-917-918-919-920-921-922-925-926-927-928-929-933-934-939-941-942</t>
  </si>
  <si>
    <t>ΛΙΟΛΙΟΥ</t>
  </si>
  <si>
    <t>ΑΗ614437</t>
  </si>
  <si>
    <t>901-920-902-903-904-921-922-917-916-918-919</t>
  </si>
  <si>
    <t>ΑΙΜΙΛΙΟΣ ΑΓΓΕΛΟΣ</t>
  </si>
  <si>
    <t>ΑΚ765271</t>
  </si>
  <si>
    <t>1247,5</t>
  </si>
  <si>
    <t>904-903-922-917-918-916-921-901-919-920-902</t>
  </si>
  <si>
    <t>ΑΑ053639</t>
  </si>
  <si>
    <t>904-903-919-917-920-901-916-922-902-918-921</t>
  </si>
  <si>
    <t>ΑΝΑΣΤΑΣΙΑΔΗΣ</t>
  </si>
  <si>
    <t>ΑΗ362630</t>
  </si>
  <si>
    <t>924-923-940-908-909-910-911-912-925-926-929-930</t>
  </si>
  <si>
    <t>ΠΟΥΛΙΑΝΟΥ</t>
  </si>
  <si>
    <t>ΗΡΑΚΛΗΣ</t>
  </si>
  <si>
    <t>Φ321969</t>
  </si>
  <si>
    <t>1244,5</t>
  </si>
  <si>
    <t>751-752-753-754-755-756-757-758-759-760-762-764-765-768-769-770-772-773-774-775-776-777-778-779-780-781-782-783-784-785-786-787-788-789-790-791-792-793-794-795-796-800-801-802-803-805-813-814-898-899-900-901-902-903-904-907-908-909-910-911-912-913-914-916-917-918-919-920-921-922-925-926-927-928-929-933-934-937-939-941-942</t>
  </si>
  <si>
    <t>ΚΟΥΡΝΕΤΑ</t>
  </si>
  <si>
    <t>Ρ816828</t>
  </si>
  <si>
    <t>1063,7</t>
  </si>
  <si>
    <t>1243,7</t>
  </si>
  <si>
    <t>927-898-899</t>
  </si>
  <si>
    <t>ΚΟΛΛΙΑ</t>
  </si>
  <si>
    <t>ΑΚ103578</t>
  </si>
  <si>
    <t>901-902-903-904-916-917-918-919-921-920-922-927</t>
  </si>
  <si>
    <t>ΛΕΜΟΝΗΣ</t>
  </si>
  <si>
    <t>ΣΟΦΟΚΛΗΣ</t>
  </si>
  <si>
    <t>Χ758822</t>
  </si>
  <si>
    <t>912-909-911-910-908-939-924-923-940-932-941-913-901-902-903-904-917-918-919-921-922</t>
  </si>
  <si>
    <t>ΧΡΙΣΤΟΔΟΥΛΙΔΗ</t>
  </si>
  <si>
    <t>ΕΛΕΝΗ ΓΡΗΓΟΡΙΑ</t>
  </si>
  <si>
    <t>ΑΝΕΣΤΗΣ</t>
  </si>
  <si>
    <t>ΑΗ279442</t>
  </si>
  <si>
    <t>1014,2</t>
  </si>
  <si>
    <t>1240,2</t>
  </si>
  <si>
    <t>929-928-933-914-925-926-934-908-909-910-911-912-901-902-903-904-916-922-898-900-907-939-941-942</t>
  </si>
  <si>
    <t>ΣΠΥΡΙΔΟΥ</t>
  </si>
  <si>
    <t>ΜΑΚΡΙΝΑ</t>
  </si>
  <si>
    <t>ΠΑΝΤΕΛΕΗΜΩΝ</t>
  </si>
  <si>
    <t>ΑΕ836698</t>
  </si>
  <si>
    <t>923-920-940-909-911-910-908-912-939-925-926-935-915-932-941-942-931-913-929</t>
  </si>
  <si>
    <t>ΛΑΧΩΒΑΡΗΣ</t>
  </si>
  <si>
    <t>ΑΕ396670</t>
  </si>
  <si>
    <t>1006,5</t>
  </si>
  <si>
    <t>1237,5</t>
  </si>
  <si>
    <t>913-931-938-932-906-908-909-910-911-912-905</t>
  </si>
  <si>
    <t>ΚΟΥΤΡΗ</t>
  </si>
  <si>
    <t>ΑΒ895928</t>
  </si>
  <si>
    <t>984,5</t>
  </si>
  <si>
    <t>1236,5</t>
  </si>
  <si>
    <t>932-939-938-928-923-924-926-941-942-898-899-900-901-904-902-903-905-906-907-908-909-910-911-912-913-914-915-916-917-918-919-920-921-922-925-927-929-930-931-933-934-935-940-936-937</t>
  </si>
  <si>
    <t>ΠΑΠΑΖΟΓΛΟΥ</t>
  </si>
  <si>
    <t>ΑΕ922033</t>
  </si>
  <si>
    <t>906-905</t>
  </si>
  <si>
    <t>ΘΩΜΟΠΟΥΛΟΥ</t>
  </si>
  <si>
    <t>ΠΗΝΕΛΟΠΗ</t>
  </si>
  <si>
    <t>ΑΚ113947</t>
  </si>
  <si>
    <t>654,5</t>
  </si>
  <si>
    <t>1235,5</t>
  </si>
  <si>
    <t>921-918-901-903-922-920-916-904-917-919-902</t>
  </si>
  <si>
    <t>ΙΩΑΝΝΙΔΟΥ</t>
  </si>
  <si>
    <t>Ν632384</t>
  </si>
  <si>
    <t>1235,1</t>
  </si>
  <si>
    <t>932-908-909-910-911-912-913-929-907-914-915-916-917-918-919-920-921-922-923-924-925-926-927-928-930-931-933-934-935-898-899-900-901-902-903-904-905-906-938-939-940-941-942</t>
  </si>
  <si>
    <t>ΣΤΑΜΑΤΗ</t>
  </si>
  <si>
    <t>ΑΚ110950</t>
  </si>
  <si>
    <t>903-918-921-901-922-920-904-917-902-919-916</t>
  </si>
  <si>
    <t>ΑΝΤΩΝΑΚΟΠΟΥΛΟΥ</t>
  </si>
  <si>
    <t>ΠΗΓΗ</t>
  </si>
  <si>
    <t>Χ045654</t>
  </si>
  <si>
    <t>1233,1</t>
  </si>
  <si>
    <t>904-918-919-920-921-922-917-901-903-902-916</t>
  </si>
  <si>
    <t>ΜΑΓΚΛΑΡΑΣ</t>
  </si>
  <si>
    <t>ΑΖ774530</t>
  </si>
  <si>
    <t>929-930-931-934</t>
  </si>
  <si>
    <t>ΒΙΝΔΕΝΑ</t>
  </si>
  <si>
    <t>ΑΗ413841</t>
  </si>
  <si>
    <t>896,5</t>
  </si>
  <si>
    <t>1232,5</t>
  </si>
  <si>
    <t>906-905-911-912-920</t>
  </si>
  <si>
    <t>ΠΑΣΧΑΛΗΣ</t>
  </si>
  <si>
    <t>ΑΒ130571</t>
  </si>
  <si>
    <t>852,5</t>
  </si>
  <si>
    <t>913-931-906-908-909-910-911-912-928-929-914-933-927-907-915-932-934-939-942-941-900-899-898-930-935-940-924-923-926-916-917-918-921-922-901-902-903-904-905-938</t>
  </si>
  <si>
    <t>ΚΕΧΑΓΙΑ</t>
  </si>
  <si>
    <t>ΑΗ444621</t>
  </si>
  <si>
    <t>1231,5</t>
  </si>
  <si>
    <t>930-908-911-909-910-912-913-914-939-934-933-929-928-927-926-925-941-898-899-900-901-902-903-904-907-916-917-918-919-920-921-922-935-932-938-940-923-924-931-915-905-906</t>
  </si>
  <si>
    <t>ΔΕΒΕΤΖΗ</t>
  </si>
  <si>
    <t>Τ065061</t>
  </si>
  <si>
    <t>921-901-918-903-900-927-929-928-934-908-911-914</t>
  </si>
  <si>
    <t>ΠΟΥΛΟΥ</t>
  </si>
  <si>
    <t>ΑΕ491521</t>
  </si>
  <si>
    <t>921-903-919-918-916-922-917-920-904-902-927</t>
  </si>
  <si>
    <t>ΚΥΡΙΑΚΟΓΛΟΥ</t>
  </si>
  <si>
    <t>ΑΖ925923</t>
  </si>
  <si>
    <t>ΜΠΟΖΟΝΕΛΟΥ</t>
  </si>
  <si>
    <t>ΑΕ786211</t>
  </si>
  <si>
    <t>913-934-941-942-938-918-902-901-903-904-905-900-898-899-921-926-928-920-929-907-910-911-916-917-919-922-927-933</t>
  </si>
  <si>
    <t>ΚΑΡΑΓΙΑΝΝΙΔΟΥ</t>
  </si>
  <si>
    <t>Ρ743089</t>
  </si>
  <si>
    <t>908-911-909-910-912-925-926</t>
  </si>
  <si>
    <t>ΤΑΓΑΡΟΥΛΙΑ</t>
  </si>
  <si>
    <t>Χ110921</t>
  </si>
  <si>
    <t>916-922-919-920-918-917-904</t>
  </si>
  <si>
    <t>ΑΙΚΑΤΕΡΙΝΑ</t>
  </si>
  <si>
    <t>ΑΒ542784</t>
  </si>
  <si>
    <t>898-899-900-907-913-914-925-926-927-928-929-933-934-939-941-942-908-909-910-911-912-916-917-918-919-920-921-922-901-902-903-904</t>
  </si>
  <si>
    <t>ΠΑΠΙΑΣ</t>
  </si>
  <si>
    <t>ΑΜ150547</t>
  </si>
  <si>
    <t>902-920-917-921-904-918-919-901-903-916-914-933-928-905</t>
  </si>
  <si>
    <t>ΚΑΤΤΗ</t>
  </si>
  <si>
    <t>ΑΕ732462</t>
  </si>
  <si>
    <t>927-920-921-919-917-916-922</t>
  </si>
  <si>
    <t>ΣΙΔΕΡΑΚΗ</t>
  </si>
  <si>
    <t>ΑΜ042493</t>
  </si>
  <si>
    <t>929-928</t>
  </si>
  <si>
    <t>ΜΑΚΡΗΣ</t>
  </si>
  <si>
    <t>ΝΕΚΤΑΡΙΟΣ</t>
  </si>
  <si>
    <t>ΑΒ990447</t>
  </si>
  <si>
    <t>903-901-916-902-918</t>
  </si>
  <si>
    <t>ΒΛΑΧΑΚΗ</t>
  </si>
  <si>
    <t>ΝΑΥΣΙΚΑ</t>
  </si>
  <si>
    <t>Σ058519</t>
  </si>
  <si>
    <t>901-902-903-917-919-920-921-922-914-933-928-934-929-908-909-910-911-912-939-941-942-930-907</t>
  </si>
  <si>
    <t>ΧΑΡΑΜΟΠΟΥΛΟΣ</t>
  </si>
  <si>
    <t>ΑΝΤΩΝΗΣ</t>
  </si>
  <si>
    <t>ΑΗ612629</t>
  </si>
  <si>
    <t>1222,5</t>
  </si>
  <si>
    <t>904-918-921-917-903</t>
  </si>
  <si>
    <t>ΓΚΟΤΣΙΟΥ</t>
  </si>
  <si>
    <t>ΑΙ848549</t>
  </si>
  <si>
    <t>1003,2</t>
  </si>
  <si>
    <t>1220,2</t>
  </si>
  <si>
    <t>934-908-911-914-928-933-929-903-901-918-921-900-927-925-926-932-915</t>
  </si>
  <si>
    <t>ΜΠΑΛΤΖΩΗ</t>
  </si>
  <si>
    <t>ΑΡΧΟΝΤΙΑ ΕΥΑΓΓΕΛΙΑ</t>
  </si>
  <si>
    <t>ΑΚ377673</t>
  </si>
  <si>
    <t>1219,2</t>
  </si>
  <si>
    <t>900-908-911-928-914-929-901-903-918-921-927-934-932-906-926-925-915-899-898-912-910-909-756-781-782-801-796-794-786-787-757-764-761-759-763-768-754-753-933-916-917-920-919</t>
  </si>
  <si>
    <t>ΚΥΡΙΑΚΙΔΟΥ</t>
  </si>
  <si>
    <t>ΑΗ919309</t>
  </si>
  <si>
    <t>905-906</t>
  </si>
  <si>
    <t>ΓΑΡΑΟΓΛΑΝΙΔΟΥ</t>
  </si>
  <si>
    <t>ΑΚ319716</t>
  </si>
  <si>
    <t>909-911-910-912-908-932-926-925-924-923-913-931-928-935-934-929-930-915-927-933-907-914-906-922-921-919-918-917-920-916-898-899-900-903-901-902-904-905-938-939-940-941-942</t>
  </si>
  <si>
    <t>ΤΣΟΥΣΗ</t>
  </si>
  <si>
    <t>Σ740423</t>
  </si>
  <si>
    <t>904-903-902-922-921-918-917-919-916-901-920</t>
  </si>
  <si>
    <t>ΔΕΜΙΡΤΖΟΓΛΟΥ</t>
  </si>
  <si>
    <t>ΑΑ842108</t>
  </si>
  <si>
    <t>908-911-932-928-929-900-927-918-921-901-903-934-914-923-924-940-938-899-898-925-909-912</t>
  </si>
  <si>
    <t>ΚΑΡΡΑ</t>
  </si>
  <si>
    <t>ΗΛΙΑΝΑ</t>
  </si>
  <si>
    <t>ΑΚ244693</t>
  </si>
  <si>
    <t>929-934-916-922-902-908-909-927-899-900</t>
  </si>
  <si>
    <t>ΠΑΠΑΔΑΤΟΣ</t>
  </si>
  <si>
    <t>ΜΙΛΤΙΑΔΗΣ</t>
  </si>
  <si>
    <t>ΖΩΗΣ</t>
  </si>
  <si>
    <t>Ρ655466</t>
  </si>
  <si>
    <t>621,5</t>
  </si>
  <si>
    <t>1209,5</t>
  </si>
  <si>
    <t>904-918-916-921-922-920-917-919-901-902-903</t>
  </si>
  <si>
    <t>Καραμιχαλάκη</t>
  </si>
  <si>
    <t>Φωτούλα</t>
  </si>
  <si>
    <t>Στέφανος</t>
  </si>
  <si>
    <t>ΑΖ021526</t>
  </si>
  <si>
    <t>1209,3</t>
  </si>
  <si>
    <t>901-902-903-904-916-917-918-920-921-922</t>
  </si>
  <si>
    <t>ΚΑΛΑΜΠΟΥΚΑ</t>
  </si>
  <si>
    <t>ΑΜ667885</t>
  </si>
  <si>
    <t>1208,5</t>
  </si>
  <si>
    <t>911-908-924-932-913-928-906-929-914-934-918-921-901-903-900-927</t>
  </si>
  <si>
    <t>ΣΑΡΑΝΤΗ</t>
  </si>
  <si>
    <t>ΠΕΤΡΟΥΛΑ</t>
  </si>
  <si>
    <t>Ρ821077</t>
  </si>
  <si>
    <t>ΤΣΑΜΑΙΔΟΥ</t>
  </si>
  <si>
    <t>ΑΗ214519</t>
  </si>
  <si>
    <t>889,9</t>
  </si>
  <si>
    <t>1207,9</t>
  </si>
  <si>
    <t>838-828-901-900-903-918-840-841-921-908-911-870-854-846-815-934-914-858-822-826-927-928-837-835-842-850-899-898</t>
  </si>
  <si>
    <t>ΑΓΝΑΝΤΗ</t>
  </si>
  <si>
    <t>ΜΑΡΘΑ</t>
  </si>
  <si>
    <t>Ν744210</t>
  </si>
  <si>
    <t>933-914-928-929-908-909-910-911-912-934-925-926-921-918-919-922</t>
  </si>
  <si>
    <t>ΝΑΝΟΥ</t>
  </si>
  <si>
    <t>Τ958535</t>
  </si>
  <si>
    <t>1203,8</t>
  </si>
  <si>
    <t>ΤΟΠΑΛΙΔΗΣ</t>
  </si>
  <si>
    <t>ΑΖ690680</t>
  </si>
  <si>
    <t>908-911-941-939-942-928-912</t>
  </si>
  <si>
    <t>ΜΥΛΩΝΑ</t>
  </si>
  <si>
    <t>ΔΗΥΜΗΤΡΙΟΣ</t>
  </si>
  <si>
    <t>Χ334302</t>
  </si>
  <si>
    <t>899-898-900-907-908-909-910-911-912-913-914-915-925-926-927-928-929-933-941-934-942-939-923-924-930-931-932-935-938-940-922-916-917-918-919-920-921-901-902-903-904-905-906</t>
  </si>
  <si>
    <t>ΔΕΛΗΒΑΣΙΛΗ</t>
  </si>
  <si>
    <t>ΜΑΥΡΟΥΔΗΣ</t>
  </si>
  <si>
    <t>ΑΗ402590</t>
  </si>
  <si>
    <t>1200,5</t>
  </si>
  <si>
    <t>931-911-908-909-910-912-914-925-929-926-935</t>
  </si>
  <si>
    <t>ΑΗ278376</t>
  </si>
  <si>
    <t>1199,2</t>
  </si>
  <si>
    <t>929-928-914-933-934-913-899-900-898-927-908-909-910-911-912</t>
  </si>
  <si>
    <t>ΛΙΟΦΑΓΟΣ</t>
  </si>
  <si>
    <t>ΑΕ516543</t>
  </si>
  <si>
    <t>934-913-927-900-928-929-908-911-914-901-903-918-921-899-898-933-902-904-916-917-919-920-922-925-926-907-909-910-912</t>
  </si>
  <si>
    <t>ΚΑΛΕΑΣ</t>
  </si>
  <si>
    <t>ΑΙ325473</t>
  </si>
  <si>
    <t>925-926-928-929-908-909-910-911-912-939-933-913-914-934-898-899-900-916-917-918-919-920-921-922-901-902-903-904-927-907-941-942</t>
  </si>
  <si>
    <t>ΔΑΓΛΑ</t>
  </si>
  <si>
    <t>Χ013584</t>
  </si>
  <si>
    <t>577,5</t>
  </si>
  <si>
    <t>1195,5</t>
  </si>
  <si>
    <t>916-904-918-920-921-917-919-903-901</t>
  </si>
  <si>
    <t>ΜΑΥΡΟΜΑΤΗ</t>
  </si>
  <si>
    <t>ΦΙΛΙΩ</t>
  </si>
  <si>
    <t>ΑΙ192255</t>
  </si>
  <si>
    <t>1195,2</t>
  </si>
  <si>
    <t>908-911-909-910-912-939-928-929-914-926-941-925-933</t>
  </si>
  <si>
    <t>ΑΝΑΣΤΑΣΙΑΔΟΥ</t>
  </si>
  <si>
    <t>ΣΤΕΛΛΑ</t>
  </si>
  <si>
    <t>ΧΡΙΣΤΟΦΟΡΟΣ</t>
  </si>
  <si>
    <t>Χ539160</t>
  </si>
  <si>
    <t>904-917-902-901-916-920-921-919-903-918-922-934-927-908-909-910-911-912-899-900-907-928-914-933-932</t>
  </si>
  <si>
    <t>ΤΣΕΛΙΓΚΑ</t>
  </si>
  <si>
    <t>Χ704868</t>
  </si>
  <si>
    <t>903-901-921-918-902-904-916-917-919-920-922</t>
  </si>
  <si>
    <t>ΣΙΡΙΝΙΔΟΥ</t>
  </si>
  <si>
    <t>ΑΕ098279</t>
  </si>
  <si>
    <t>902-916-904-918-921-922-919-920-917-903</t>
  </si>
  <si>
    <t>ΒΑΛΑΣΗ</t>
  </si>
  <si>
    <t>ΑΝ384630</t>
  </si>
  <si>
    <t>1194,5</t>
  </si>
  <si>
    <t>ΓΑΒΡΕΑ</t>
  </si>
  <si>
    <t>ΜΑΓΔΑΛΙΝΗ</t>
  </si>
  <si>
    <t>ΑΖ242105</t>
  </si>
  <si>
    <t>1193,8</t>
  </si>
  <si>
    <t>925-926-933-928-898-900-914-924-908-909-910-911</t>
  </si>
  <si>
    <t>ΚΟΡΔΑΛΗ</t>
  </si>
  <si>
    <t>ΑΝΔΡΙΑΝΝΑ</t>
  </si>
  <si>
    <t>Χ335073</t>
  </si>
  <si>
    <t>898-899-900-907-901-902-903-904-927-918</t>
  </si>
  <si>
    <t>ΣΧΟΙΝΟΧΩΡΙΤΗΣ</t>
  </si>
  <si>
    <t>ΑΑ119200</t>
  </si>
  <si>
    <t>ΤΟΥΤΖΑΡΑΚΗ</t>
  </si>
  <si>
    <t>ΑΚ686238</t>
  </si>
  <si>
    <t>919-920-922-921-917-918-916-903-904-902-901</t>
  </si>
  <si>
    <t>ΜΙΧΑΛΟΥΤΣΟΥ</t>
  </si>
  <si>
    <t>ΣΟΦΙΑ ΕΥΑ</t>
  </si>
  <si>
    <t>Χ532717</t>
  </si>
  <si>
    <t>901-902-903-904-916-917-918-919-920-921-922-898-899-927-900-934-928-908-910-911-907-929-930</t>
  </si>
  <si>
    <t>ΤΡΙΑΝΤΑΦΥΛΛΟΠΟΥΛΟΥ</t>
  </si>
  <si>
    <t>ΑΙ049461</t>
  </si>
  <si>
    <t>922-919-920-921-918-916-917-901-904-903-902</t>
  </si>
  <si>
    <t>ΠΑΠΑΣΤΕΡΓΙΟΥ</t>
  </si>
  <si>
    <t>Χ890223</t>
  </si>
  <si>
    <t>925-926-908-909-910-911-912-928-933-929-907-914-913-898-899-900-901-902-903-904-916-917-918-919-920-921-922-927-934</t>
  </si>
  <si>
    <t>ΚΟΛΟΚΥΘΑ</t>
  </si>
  <si>
    <t>ΑΗ566980</t>
  </si>
  <si>
    <t>1192,5</t>
  </si>
  <si>
    <t>922-920-917-919-921-916</t>
  </si>
  <si>
    <t>Σ972942</t>
  </si>
  <si>
    <t>932-913-908-912-911-910-909-931</t>
  </si>
  <si>
    <t>ΜΠΕΛΙΤΣΗ</t>
  </si>
  <si>
    <t>Χ283604</t>
  </si>
  <si>
    <t>920-916-921-904-901-917-918-919-922</t>
  </si>
  <si>
    <t>ΠΕΤΡΑΣ</t>
  </si>
  <si>
    <t>ΑΕ423443</t>
  </si>
  <si>
    <t>1009,8</t>
  </si>
  <si>
    <t>1191,8</t>
  </si>
  <si>
    <t>905-906-931-932-938-939-940-941-942-923-924-913-908-909-910-911-912-925-926-915-914-933-935-934-928-929-930-901-902-903-904-916-917-919-920-921-922-927-898-899-900-907</t>
  </si>
  <si>
    <t>ΚΑΡΥΟΦΥΛΛΑ</t>
  </si>
  <si>
    <t>ΑΒ794393</t>
  </si>
  <si>
    <t>927-907-898-899-900-908-909-910-911-912-913-914-925-926-928-929-933-934-939-941-901-902-903-904-916-917-918-919-920-921-922</t>
  </si>
  <si>
    <t>ΜΑΡΙΑΝΝΑ</t>
  </si>
  <si>
    <t>ΑΜ438241</t>
  </si>
  <si>
    <t>1187,3</t>
  </si>
  <si>
    <t>ΚΑΤΣΟΥΔΑ</t>
  </si>
  <si>
    <t>ΑΗ219378</t>
  </si>
  <si>
    <t>1184,1</t>
  </si>
  <si>
    <t>900-899-898-916-917-918-919-920-921-922-901-902-903-904-934-927-928-929-913-914-908-909-933-910-939-911-912-915-907-930-941-942-938-935-931-932-905-906-923-924-940-925-926-936-937</t>
  </si>
  <si>
    <t>ΣΟΥΛΗ</t>
  </si>
  <si>
    <t>ΑΚ720141</t>
  </si>
  <si>
    <t>920-916-901-904-917-918-919-922</t>
  </si>
  <si>
    <t>ΑΒ167259</t>
  </si>
  <si>
    <t>925-926-908-909-910-911-912-923-924-913-914-935-915-906-934-933-932-931-928-929-927-930-898-899-900-901-902-903-904-905-907-916-917-918-919-920-921-922</t>
  </si>
  <si>
    <t>ΠΑΣΠΑΡΑΚΗΣ</t>
  </si>
  <si>
    <t>ΓEΩΡΓΟΣ</t>
  </si>
  <si>
    <t>ΑΖ455170</t>
  </si>
  <si>
    <t>907-902-908-909-910-911-916-917-918-919-920-921-922</t>
  </si>
  <si>
    <t>ΤΑΣΣΟΥ</t>
  </si>
  <si>
    <t>ΑΖ903170</t>
  </si>
  <si>
    <t>ΑΛΜΠΑΝΟΥΔΗ</t>
  </si>
  <si>
    <t>ΑΙ883954</t>
  </si>
  <si>
    <t>923-924-940-925-908-909-910-911-912-939</t>
  </si>
  <si>
    <t>ΡΑΤΤΟΥ</t>
  </si>
  <si>
    <t>ΓΕΡΑΣΙΜΟΣ</t>
  </si>
  <si>
    <t>Φ364032</t>
  </si>
  <si>
    <t>916-919-920-917-921-918-901-903-922-904-902</t>
  </si>
  <si>
    <t>ΕΛΑΦΡΟΥ</t>
  </si>
  <si>
    <t xml:space="preserve">ΜΑΡΙΑ </t>
  </si>
  <si>
    <t>ΜΑΡΓΑΡΙΤΗΣ</t>
  </si>
  <si>
    <t>ΑΙ855461</t>
  </si>
  <si>
    <t>929-928-933-934-914-908-909-910-911-912-939-901-903-902-904-918-916-917-919-921-920-925-926-927-937-941-938-898-899-931-932</t>
  </si>
  <si>
    <t>ΑΚ979397</t>
  </si>
  <si>
    <t>925-926-908-911-909-910-912-915-928-929-935-898-900</t>
  </si>
  <si>
    <t>ΚΑΡΑΓΙΑΝΝΗΣ</t>
  </si>
  <si>
    <t>ΑΒ666485</t>
  </si>
  <si>
    <t>917-919-922-921-916-901-903-904-918-920</t>
  </si>
  <si>
    <t>ΑΗ940549</t>
  </si>
  <si>
    <t>930-920-901-904-917-921-918-919-903-922-902-914-928-929-933-908-909-910-911-898-899-900-907-927</t>
  </si>
  <si>
    <t>ΚΑΛΥΒΑΣ</t>
  </si>
  <si>
    <t>ΑΒ547190</t>
  </si>
  <si>
    <t>918-921-901-903-917-919-910-922-916-904</t>
  </si>
  <si>
    <t>ΑΝΔΡΕΟΠΟΥΛΟΣ</t>
  </si>
  <si>
    <t>ΑΗ719857</t>
  </si>
  <si>
    <t>753-754-755-756-751-752-757-758-759-760-765-764-768-769-770-785-786-787-788-789-790-791-792-793-794-795-796-772-773-774-775-776-777-778-779-780-781-782-783-784-799-800-801-802-803-805-804-806-807-808-809-810-811-812-813-814-898-899-900-934-927-901-902-903-904-916-917-918-919-920-921-922-907-908-909-910-911-912-914-915-913-923-924-925-926-928-929-933-930-931-932-935</t>
  </si>
  <si>
    <t>ΟΥΡΛΑΚΗ</t>
  </si>
  <si>
    <t>ΤΡΙΑΝΤΦΥΛΛΙΤΣΑ</t>
  </si>
  <si>
    <t>Φ308012</t>
  </si>
  <si>
    <t>931-913-905-938-934-933-928-927-926-925-908-909-910-911-914-912-906-929-900-899-898-932-907-919-918-917-916-920-921-922-923-924-904-903-902-901</t>
  </si>
  <si>
    <t>ΤΣΙΡΚΙΝΙΔΟΥ</t>
  </si>
  <si>
    <t>ΑΖ807500</t>
  </si>
  <si>
    <t>1156,5</t>
  </si>
  <si>
    <t>908-909-910-911-912-939-926-925-941-915-928-933-934-914</t>
  </si>
  <si>
    <t>ΛΑΜΠΡΙΝΗ</t>
  </si>
  <si>
    <t>Ρ440706</t>
  </si>
  <si>
    <t>1154,3</t>
  </si>
  <si>
    <t>766-809-767-808-762-784-798-801-807-927-906-928-933-932-931-913-914-905</t>
  </si>
  <si>
    <t>ΤΣΙΦΡΙΚΑ</t>
  </si>
  <si>
    <t>ΑΙ181011</t>
  </si>
  <si>
    <t>909-910-911-908-912</t>
  </si>
  <si>
    <t>ΤΑΧΤΣΙΔΟΥ</t>
  </si>
  <si>
    <t>ΕΥΑ</t>
  </si>
  <si>
    <t>ΑΙ893063</t>
  </si>
  <si>
    <t>924-940-923-908-909-910-911-912-932-939-941-925-926-913-915-935-928-929-933-931-914-898-899-900-901-902-903-904-916-917-918-919-920-921-922-934-905-906-938-930-927-907</t>
  </si>
  <si>
    <t>ΚΟΥΜΠΟΥΡΗΣ</t>
  </si>
  <si>
    <t>ΑΕ062661</t>
  </si>
  <si>
    <t>ΦΩΤΟΥ</t>
  </si>
  <si>
    <t>ΕΙΡΗΝΗ ΧΡΥΣΟΒΑΛΑΝΤΗ</t>
  </si>
  <si>
    <t>ΑΖ744146</t>
  </si>
  <si>
    <t>1150,5</t>
  </si>
  <si>
    <t>907-934-923-925-926-933-914-915-928-929-898-899-900-908-909-910-911-912-901-902-903-904-916-917-918-919-920-921-922</t>
  </si>
  <si>
    <t>ΤΣΟΡΜΠΑΤΖΙΔΟΥ</t>
  </si>
  <si>
    <t>ΑΗ911767</t>
  </si>
  <si>
    <t>905-906-931-907-908-909-910-911-912-913-914-915-916-917-918-919-920-921-922-923-924-925-926-927-928-929-930-932-933-934-935-898-899-900-901-902-903-904</t>
  </si>
  <si>
    <t>ΝΤΟΥΡΑΝΤΩΝΗ</t>
  </si>
  <si>
    <t>ΚΕΡΑΣΟΥΛΑ</t>
  </si>
  <si>
    <t>ΑΒ774400</t>
  </si>
  <si>
    <t>1148,8</t>
  </si>
  <si>
    <t>899-900-898-931-913-906-938-905-939-909-912-911-910-908-941-922-920-918-902-904-903-919-917-916-921-901-932-927-933-914-928-926-925-924-923-940-915-935-934-929-930-907</t>
  </si>
  <si>
    <t>ΓΚΑΓΚΙΟΥΖΗ</t>
  </si>
  <si>
    <t>ΕΥΔΟΞΙΑ</t>
  </si>
  <si>
    <t>ΓΕΩΡΓΙΟΣ ΤΑΞΙΑΡΧΗΣ</t>
  </si>
  <si>
    <t>Χ028604</t>
  </si>
  <si>
    <t>1147,7</t>
  </si>
  <si>
    <t>908-909-910-911-912-916-917-918-919-920-921-922-901-902-903-904-907-929-933-934-935-932-931-930-928-927-926-925-924-923-915-914-913-900-899-898-905-906</t>
  </si>
  <si>
    <t>ΑΤΖΑΝΟΣ</t>
  </si>
  <si>
    <t>ΑΖ918701</t>
  </si>
  <si>
    <t>920,7</t>
  </si>
  <si>
    <t>1144,7</t>
  </si>
  <si>
    <t>941-939-905-906-931-938-932-940</t>
  </si>
  <si>
    <t>ΑΓΓΕΛΙΔΗΣ</t>
  </si>
  <si>
    <t>ΑΕ114682</t>
  </si>
  <si>
    <t>932-908-909-910-911-928-929-925-926-914-933-934-901-902-903-904-916-917-918-919-920-921-922-898-899-900-927-930-907</t>
  </si>
  <si>
    <t>ΚΥΡΙΛΛΙΔΟΥ</t>
  </si>
  <si>
    <t>1140,1</t>
  </si>
  <si>
    <t>915-905-930-935-941-942-929-928-906-926-925-914-927-900-911-908-903-901-921-918-934-933-909-910-912-899-898-904-939-923-924-940-922-902-938-931-932-907-920-917-916-919</t>
  </si>
  <si>
    <t>BOBRO</t>
  </si>
  <si>
    <t>MONIKA</t>
  </si>
  <si>
    <t>KRZYSZTOF</t>
  </si>
  <si>
    <t>904-903-902-901</t>
  </si>
  <si>
    <t>ΒΛΑΧΟΣ</t>
  </si>
  <si>
    <t>ΑΖ810088</t>
  </si>
  <si>
    <t>908-909-910-911-912-925-926-928-933-901-902-903-904-916-917-918-919-920-921-922-898-899-900-907-913-914-927-929-934-905-906-915-923-924-932-931-930-935-939-942-941-940-938</t>
  </si>
  <si>
    <t>ΤΣΙΡΙΓΩΤΗΣ</t>
  </si>
  <si>
    <t>ΑΖ536078</t>
  </si>
  <si>
    <t>916-920-922-918-919-921-917-904-903-901-902</t>
  </si>
  <si>
    <t>ΚΥΡΙΑΚΟΥ</t>
  </si>
  <si>
    <t>ΘΩΜ</t>
  </si>
  <si>
    <t>Χ595500</t>
  </si>
  <si>
    <t>900-903-901-921-917-918-919-920-916-904-927-929-928-907-908-909-910-911-912-934</t>
  </si>
  <si>
    <t>ΝΙΚΗΦΟΡΟΣ</t>
  </si>
  <si>
    <t>Ρ709511</t>
  </si>
  <si>
    <t>904-922-921-920-919-917-916-918-902-901-903</t>
  </si>
  <si>
    <t>ΓΑΣΠΑΡΗ</t>
  </si>
  <si>
    <t>ΑΙ143180</t>
  </si>
  <si>
    <t>Σ130129</t>
  </si>
  <si>
    <t>898-899-900-901-902-903-904-907-908-909-910-911-912-913-914-916-917-918-919-920-921-922-924-925-926-927-928-929-931-933-934-939-940-941-942</t>
  </si>
  <si>
    <t>ΑΑ083046</t>
  </si>
  <si>
    <t>904-901-920-921-916-917-918-919-922-902-903</t>
  </si>
  <si>
    <t>ΚΩΝΣΤΑΝΤΕΛΟΥ</t>
  </si>
  <si>
    <t>ΑΖ286031</t>
  </si>
  <si>
    <t>1132,9</t>
  </si>
  <si>
    <t>928-929-933-914-908-909-910-911-912-907-930-901-902-903-904-916-917-918-919-920-921-922</t>
  </si>
  <si>
    <t>ΒΛΑΧΟΥ</t>
  </si>
  <si>
    <t>ΑΜ555767</t>
  </si>
  <si>
    <t>1130,8</t>
  </si>
  <si>
    <t>901-904-917-918-919-920-921-922-916-903-902</t>
  </si>
  <si>
    <t>ΚΑΡΑΜΠΑΤΖΑΚΗΣ</t>
  </si>
  <si>
    <t>ΑΝΑΓΝΩΣΤΗΣ</t>
  </si>
  <si>
    <t>Χ873793</t>
  </si>
  <si>
    <t>913-908-909-910-911-912-931-906-928-929-907-899-900-898-939-941-942-934-933-914-915-926-932-927-901-902-903-904-916-917-918-919-920-921-922</t>
  </si>
  <si>
    <t>ΒΟΥΤΣΙΔΟΥ</t>
  </si>
  <si>
    <t>ΜΑΡΙΑ ΚΛΑΙΡΗ</t>
  </si>
  <si>
    <t>Φ192194</t>
  </si>
  <si>
    <t>908-909-910-911-912-939-923-924-940-925-926-935-913-915-932-930-938-933</t>
  </si>
  <si>
    <t>ΧΡΙΣΤΟΥΛΑ</t>
  </si>
  <si>
    <t>ΑΜ364990</t>
  </si>
  <si>
    <t>1124,5</t>
  </si>
  <si>
    <t>901-903-914-918-921-928-927-929-934-911-908</t>
  </si>
  <si>
    <t xml:space="preserve">ΙΩΑΝΝΙΔΟΥ </t>
  </si>
  <si>
    <t>ΚΟΝΔΥΛΕΝΙΑ</t>
  </si>
  <si>
    <t xml:space="preserve">ΙΩΑΝΝΗΣ </t>
  </si>
  <si>
    <t>ΑΗ807441</t>
  </si>
  <si>
    <t>973,5</t>
  </si>
  <si>
    <t>1123,5</t>
  </si>
  <si>
    <t>908-909-910-911-912-913-914-915-916-917-918-919-920-921-922-923-924-925-926-927-928-929-930-931-932-933-934-935-898-899-900-901-902-903-904-905-906-907</t>
  </si>
  <si>
    <t>ΠΑΝΤΑΚΗΣ</t>
  </si>
  <si>
    <t>ΑΙ093572</t>
  </si>
  <si>
    <t>901-903-918-921-904-919-917-920-922-916</t>
  </si>
  <si>
    <t>ΣΦΥΡΗΣ</t>
  </si>
  <si>
    <t>Ρ641773</t>
  </si>
  <si>
    <t>1050,5</t>
  </si>
  <si>
    <t>1120,5</t>
  </si>
  <si>
    <t>902-922-917-903-916-901-918-919-920-921-927-899-900-898-908-909-912-910-911-939-941-942</t>
  </si>
  <si>
    <t>ΠΑΠΑΣΙΜΟΠΟΥΛΟΥ</t>
  </si>
  <si>
    <t>Ξ778143</t>
  </si>
  <si>
    <t>ΓΙΑΝΝΑΡΗ</t>
  </si>
  <si>
    <t>Φ037352</t>
  </si>
  <si>
    <t>ΚΥΡΓΙΑΦΙΝΗ</t>
  </si>
  <si>
    <t>ΜΑΓΔΑΛΗΝΗ</t>
  </si>
  <si>
    <t>Τ874365</t>
  </si>
  <si>
    <t>932-938-930-931-923-924-915-906-913-908-907-914-905-909-910-911-912-928-927-926-925-933-934-935-939-940-941-898-899-900-901-902-903-904-916-917-918-919-920-921-922-929</t>
  </si>
  <si>
    <t>ΜΠΛΑΔΕΝΟΠΟΥΛΟΥ</t>
  </si>
  <si>
    <t>ΑΖ692896</t>
  </si>
  <si>
    <t>911-908-841-837-840-836-842-838-835-909-910-912</t>
  </si>
  <si>
    <t>ΑΡΙΚΑ</t>
  </si>
  <si>
    <t>Χ786135</t>
  </si>
  <si>
    <t>1112,2</t>
  </si>
  <si>
    <t>ΖΩΝΤΟΥ</t>
  </si>
  <si>
    <t>Σ522965</t>
  </si>
  <si>
    <t>912-910-908-939-911-909</t>
  </si>
  <si>
    <t>ΤΟΛΑΣ</t>
  </si>
  <si>
    <t>ΑΖ400897</t>
  </si>
  <si>
    <t>1110,5</t>
  </si>
  <si>
    <t>931-932-913-906-905-908-909-911-912-910-924-929-928-926-923-915-925-914-935-933-934-898-899-900-930-927-907-901-902-903-904-918-916-917-919-920-921-922</t>
  </si>
  <si>
    <t>ΜΠΟΣΜΟΥ</t>
  </si>
  <si>
    <t>ΑΚ388286</t>
  </si>
  <si>
    <t>1109,5</t>
  </si>
  <si>
    <t>900-927-908-911-918-921-903-901-928-914-929-932-934-898-899-909-910-912-925-926-933-919-920-916-922-917-904-915-923-924-931-905-935-913-938-930-906-907-939-940-941-942</t>
  </si>
  <si>
    <t>ΚΑΤΑΡΑ</t>
  </si>
  <si>
    <t>ΚΥΡΑΝΑ</t>
  </si>
  <si>
    <t>ΑΘΑΝΑΣΙΟ</t>
  </si>
  <si>
    <t>ΑΚ251947</t>
  </si>
  <si>
    <t>908-909-910-911-912-932</t>
  </si>
  <si>
    <t>ΧΑΡΙΣΙΟΣ</t>
  </si>
  <si>
    <t>ΑΒ434688</t>
  </si>
  <si>
    <t>1105,5</t>
  </si>
  <si>
    <t>800-925-926-762-774-778-779-780-781-782-836-837-838-839-840-841-842-843-883-801-885-886-887-896-897-910-911-912-915-935-773</t>
  </si>
  <si>
    <t>ΓΑΒΡΙΛΟΠΟΥΛΟΥ</t>
  </si>
  <si>
    <t>ΜΑΡΙΑ ΛΕΜΟΝΙΑ</t>
  </si>
  <si>
    <t>Χ338210</t>
  </si>
  <si>
    <t>1102,5</t>
  </si>
  <si>
    <t>813-934-771-772-928-929-773-774-775-776-777-913-914-925-926-927-751-752-753-907-933-783-784-754-755-756-800-801-802-803-805-898-899-900-768-769-770-931-809-808-807-935-905-906-766-767-923-932-915-762-763-806-811-812-810-804-799-798-797-757-758-759-760-764-765-785-786-787-788-789-790-791-792-793-794-795-796-901-902-903-904-778-779-780-781-782-908-909-910-814-911-912-916-917-918-919-920-921-922-930-924-761</t>
  </si>
  <si>
    <t>ΑΝΑΓΝΩΣΤΑΚΗ</t>
  </si>
  <si>
    <t>ΑΚ939636</t>
  </si>
  <si>
    <t>ΚΟΥΣΟΥΡΕΤΑ</t>
  </si>
  <si>
    <t>ΑΒ867205</t>
  </si>
  <si>
    <t>935-925-926-915-931</t>
  </si>
  <si>
    <t>ΡΟΥΚΟΥΝΑΚΗ</t>
  </si>
  <si>
    <t>ΑΚ814640</t>
  </si>
  <si>
    <t>921-918-901-903-917-920-904-922-916-919-902</t>
  </si>
  <si>
    <t>ΑΓΑΘΑΓΓΕΛΙΔΗΣ</t>
  </si>
  <si>
    <t>ΑΗ160377</t>
  </si>
  <si>
    <t>1098,6</t>
  </si>
  <si>
    <t>ΔΕΔΕΣ</t>
  </si>
  <si>
    <t>Σ796849</t>
  </si>
  <si>
    <t>775,5</t>
  </si>
  <si>
    <t>1097,5</t>
  </si>
  <si>
    <t>898-751</t>
  </si>
  <si>
    <t>ΜΟΥΤΣΙΟΥΝΑ</t>
  </si>
  <si>
    <t>ΑΙ325600</t>
  </si>
  <si>
    <t>925-926-928-933-907-914-913-912-911-910-909-900-899-898-934-915-930</t>
  </si>
  <si>
    <t>ΑΡΓΥΡΙΟΣ</t>
  </si>
  <si>
    <t>ΑΗ761657</t>
  </si>
  <si>
    <t>1095,6</t>
  </si>
  <si>
    <t>801-928</t>
  </si>
  <si>
    <t>ΠΛΙΑΤΣΙΚΑ</t>
  </si>
  <si>
    <t>Χ379714</t>
  </si>
  <si>
    <t>915-922-916-917-918-919-920-921-901-902-903-904</t>
  </si>
  <si>
    <t>ΠΑΝΤΑ</t>
  </si>
  <si>
    <t>Φ035897</t>
  </si>
  <si>
    <t>1093,8</t>
  </si>
  <si>
    <t>920-919-916-921-917-904-922</t>
  </si>
  <si>
    <t>ΑΖ277943</t>
  </si>
  <si>
    <t>ΚΑΡΓΟΠΟΥΛΟΥ</t>
  </si>
  <si>
    <t>Χ252905</t>
  </si>
  <si>
    <t>908-909-912</t>
  </si>
  <si>
    <t>ΒΟΥΓΟΓΙΑ</t>
  </si>
  <si>
    <t>ΑΕ920393</t>
  </si>
  <si>
    <t>ΓΑΒΡΙΗΛΑΚΗ</t>
  </si>
  <si>
    <t>ΒΑΙΤΣΑ</t>
  </si>
  <si>
    <t>ΑΒ357335</t>
  </si>
  <si>
    <t>809,6</t>
  </si>
  <si>
    <t>1089,6</t>
  </si>
  <si>
    <t>910-911-912-908-909-906-924-905</t>
  </si>
  <si>
    <t>ΣΕΒΑΣΤΑ</t>
  </si>
  <si>
    <t>Τ214303</t>
  </si>
  <si>
    <t>912-910-908-909-911</t>
  </si>
  <si>
    <t>ΝΙΚΗΤΙΑΔΗ</t>
  </si>
  <si>
    <t>ΑΑ090835</t>
  </si>
  <si>
    <t>1087,5</t>
  </si>
  <si>
    <t>901-902-903-904-916-917-918-919-920-921-927</t>
  </si>
  <si>
    <t>ΡΗΓΑΤΟΣ</t>
  </si>
  <si>
    <t>ΑΜ537654</t>
  </si>
  <si>
    <t>904-901-903-916-902-917-918-919-920</t>
  </si>
  <si>
    <t>ΑΛΕΞΟΠΟΥΛΟΣ</t>
  </si>
  <si>
    <t>ΑΧΙΛΛΕΥΣ</t>
  </si>
  <si>
    <t>ΑΖ185379</t>
  </si>
  <si>
    <t>909-911-912</t>
  </si>
  <si>
    <t>ΓΚΑΣΙΑΜΗΣ</t>
  </si>
  <si>
    <t xml:space="preserve">ΔΗΜΗΤΡΙΟΣ </t>
  </si>
  <si>
    <t>Π755153</t>
  </si>
  <si>
    <t>ΚΟΛΙΟΥ</t>
  </si>
  <si>
    <t>ΑΙ262020</t>
  </si>
  <si>
    <t>ΗΛΙΟΓΛΟΥ</t>
  </si>
  <si>
    <t>ΧΡΥΣΗ</t>
  </si>
  <si>
    <t>ΑΕ 874760</t>
  </si>
  <si>
    <t>924-940-923-908-911-909-913-912-932-928</t>
  </si>
  <si>
    <t>ΣΚΥΒΑΛΙΔΑ</t>
  </si>
  <si>
    <t>Ν866260</t>
  </si>
  <si>
    <t>928-929-914-933-926-925-913-905-906-934-915-911-910-912-909</t>
  </si>
  <si>
    <t>ΤΑΖΙΔΟΥ</t>
  </si>
  <si>
    <t>ΑΗ293676</t>
  </si>
  <si>
    <t>1080,5</t>
  </si>
  <si>
    <t>751-756-752-753-754-755-757-758-759-760-762-763-764-765-766-767-768-769-770-771-772-773-774-814-813-937-800-802-805-806-807-808-812-811-810-801-898-899-900-938-939-940-941-942-901-902</t>
  </si>
  <si>
    <t>ΑΛΒΕΡΤΗ</t>
  </si>
  <si>
    <t>ΑΚ104260</t>
  </si>
  <si>
    <t>ΓΑΛΑΝΗ</t>
  </si>
  <si>
    <t>Τ342350</t>
  </si>
  <si>
    <t>1078,4</t>
  </si>
  <si>
    <t>902-904-909-908-925-898-910-911-899-903-912-914-923-926-933-928-929-924-915-920-927-900-901-907-913-916-917-918-919-921-922-934-905-906-930-931-932-935-938-940</t>
  </si>
  <si>
    <t>ΨΑΛΛΑ</t>
  </si>
  <si>
    <t>ΒΑΪΤΣΑ</t>
  </si>
  <si>
    <t>Ξ 718842</t>
  </si>
  <si>
    <t>914-928-933</t>
  </si>
  <si>
    <t>ΓΕΩΡΓΟΠΟΥΛΟΥ</t>
  </si>
  <si>
    <t>ΑΙ152312</t>
  </si>
  <si>
    <t>912-909-911-917-929-921-910</t>
  </si>
  <si>
    <t>ΔΙΟΝΥΣΙΟΣ</t>
  </si>
  <si>
    <t>Σ845606</t>
  </si>
  <si>
    <t>899-900-898-927-901-902-903-904-916-917-918-919-920-921-922-914-934-909-910-911-912-908-928-929-913-907-915-933-930-935-905-906-923-924-925-926-931-932</t>
  </si>
  <si>
    <t>ΜΗΣΙΑΚΑΣ</t>
  </si>
  <si>
    <t>ΑΖ341104</t>
  </si>
  <si>
    <t>1077,7</t>
  </si>
  <si>
    <t>ΓΚΟΤΣΙΔΟΥ</t>
  </si>
  <si>
    <t>Χ762512</t>
  </si>
  <si>
    <t>908-909-910-912-911-924-913-932</t>
  </si>
  <si>
    <t>ΓΚΙΑΟΥΡΙΔΟΥ</t>
  </si>
  <si>
    <t>ΑΚ308066</t>
  </si>
  <si>
    <t>1076,5</t>
  </si>
  <si>
    <t>781-782-780-779-778-909-910-911-912-908</t>
  </si>
  <si>
    <t>ΑΒΡΑΜΙΩΤΗ</t>
  </si>
  <si>
    <t>ΑΡΣΕΝΙΟΣ</t>
  </si>
  <si>
    <t>Τ055957</t>
  </si>
  <si>
    <t>921-918-901-903</t>
  </si>
  <si>
    <t>ΓΕΩΡΓΙΟΥ</t>
  </si>
  <si>
    <t>ΑΚ563593</t>
  </si>
  <si>
    <t>916-917-918-919-920-921-901</t>
  </si>
  <si>
    <t>ΡΕΝΤΙΦΗ</t>
  </si>
  <si>
    <t>ΛΥΔΙΑ</t>
  </si>
  <si>
    <t>Σ067429</t>
  </si>
  <si>
    <t>901-902-903-904-916-917-918-919-921-922-920</t>
  </si>
  <si>
    <t>ΤΣΙΛΙΑΣ</t>
  </si>
  <si>
    <t>Χ786137</t>
  </si>
  <si>
    <t>1074,7</t>
  </si>
  <si>
    <t>ΜΠΙΡΙΝΤΖΗ</t>
  </si>
  <si>
    <t>ΣΟΥΛΤΑΝΑ</t>
  </si>
  <si>
    <t>ΔΑΝΙΗΛ</t>
  </si>
  <si>
    <t>ΑΒ690255</t>
  </si>
  <si>
    <t>908-909-910-911</t>
  </si>
  <si>
    <t>ΔΗΜΑΚΗ</t>
  </si>
  <si>
    <t>ΑΝ244201</t>
  </si>
  <si>
    <t>1074,3</t>
  </si>
  <si>
    <t>903-901-918-921-900-927-934-929-928-908-911-914</t>
  </si>
  <si>
    <t>ΚΑΙΜΑΚΑΜΗ</t>
  </si>
  <si>
    <t>ΑΚ632411</t>
  </si>
  <si>
    <t>916-917-921-920-918-922-901-903-904-902-908-911-909-910-912-927-939-914-941</t>
  </si>
  <si>
    <t>ΠΡΟΒΙΔΑΚΗ</t>
  </si>
  <si>
    <t>ΑΙ941608</t>
  </si>
  <si>
    <t>907-777-776</t>
  </si>
  <si>
    <t>ΜΑΤΣΟΥΚΑ</t>
  </si>
  <si>
    <t>Π832503</t>
  </si>
  <si>
    <t>916-917-918-903-902-919-920-921-922-901-900-899-898-934-908-909-910-911-912-927-933-932-929-928-926-925-923-924-915-931-935-914-913-906-905-907-930-938-939-940-942</t>
  </si>
  <si>
    <t>ΧΡΟΝΟΠΟΥΛΟΥ</t>
  </si>
  <si>
    <t>ΑΑ321251</t>
  </si>
  <si>
    <t>898-899-900-930</t>
  </si>
  <si>
    <t>ΚΟΝΤΟΥΔΑΚΗΣ</t>
  </si>
  <si>
    <t>ΑΕ629788</t>
  </si>
  <si>
    <t>ΠΑΠΠΑ</t>
  </si>
  <si>
    <t>ΕΛΛΗ</t>
  </si>
  <si>
    <t>ΣΩΤΗΡΗΣ</t>
  </si>
  <si>
    <t>ΑΚ686605</t>
  </si>
  <si>
    <t>920-918-916-904-921-917-854-856-851-852-823-857-847-845-850-848-846-827-901-919-853-922-855-849-859-858-828-872-871-903-822-821-870-902-820-815-824-826-825-829</t>
  </si>
  <si>
    <t>ΠΕΤΡΟΠΟΥΛΟΥ</t>
  </si>
  <si>
    <t>ΑΗ801199</t>
  </si>
  <si>
    <t>935-925-926</t>
  </si>
  <si>
    <t>ΛΑΜΠΡΙΝΕΑΣ</t>
  </si>
  <si>
    <t>ΚΩΣΤΑΝΤΙΝΟΣ</t>
  </si>
  <si>
    <t>ΑΙ794240</t>
  </si>
  <si>
    <t>777,7</t>
  </si>
  <si>
    <t>1069,7</t>
  </si>
  <si>
    <t>898-899-900-927-901-902-903-904-916-918-920-922</t>
  </si>
  <si>
    <t>ΔΑΡΙΚΑ</t>
  </si>
  <si>
    <t>Χ410437</t>
  </si>
  <si>
    <t>1069,5</t>
  </si>
  <si>
    <t>ΤΡΙΑΝΤΑΦΥΛΛΟΥ</t>
  </si>
  <si>
    <t>ΑΖ522761</t>
  </si>
  <si>
    <t>920-918-917-919-921-922-901-903-904-902-916-933-914-907-928-929-934-930-899-900-898-927-908-909-910-911-912-925-926-935-915-931-932-923-905-906</t>
  </si>
  <si>
    <t>ΝΙΚΟΛΙΤΣΑ</t>
  </si>
  <si>
    <t>ΑΗ713740</t>
  </si>
  <si>
    <t>898-900-899</t>
  </si>
  <si>
    <t>ΠΡΩΤΟΓΕΡΟΥ</t>
  </si>
  <si>
    <t>ΑΒ438678</t>
  </si>
  <si>
    <t>ΠΟΠΟΤΑ</t>
  </si>
  <si>
    <t>ΑΕ812303</t>
  </si>
  <si>
    <t>901-919-909-914-913-928-929-933-939-941</t>
  </si>
  <si>
    <t>ΠΡΟΚΑΚΗ</t>
  </si>
  <si>
    <t>ΑΒ029788</t>
  </si>
  <si>
    <t>838-828-841-826-815-870-871-850-854-858-872-837-839-840-842-846-847-848-853-862-835-877-876-875-865-863-861-859-857-856-855-852-851-849-845-844-843-836-833-830-829-827-825-824-823-822-820-821-819-818-817-816-866-831-832-834-860-864-879-867-868-869-873-874-878-927-900-934-928-929-932-906-914-908-911-903-918-921-901-898-899-902-904-907-909-910-912-916-917-919-920-922-925-926-933-905-915-923-930-931-935-924-913-938-939-940-941</t>
  </si>
  <si>
    <t>ΤΣΑΚΑΛΑΚΗ</t>
  </si>
  <si>
    <t>ΠΑΡΑΣΧΟΣ</t>
  </si>
  <si>
    <t>ΑΙ709588</t>
  </si>
  <si>
    <t>912-911-910-909-908-939-932-941-942-940-923-924-913-906-928-929-931-938-925-926-933-935-934-914-915-930-901-902-903-904-905-916-917-918-919-920-921-922-898-899-900-927</t>
  </si>
  <si>
    <t>ΑΗ333523</t>
  </si>
  <si>
    <t>926-908-909-910-911-912-923-924-915-929-931-932-935-905-906-907-913</t>
  </si>
  <si>
    <t>ΤΣΑΚΜΑΚΗ</t>
  </si>
  <si>
    <t>ΑΖ290946</t>
  </si>
  <si>
    <t>925-926-928-929-934-913-927-899-900-933-907-914-903-920-917-918-919-904-921-898-902-916-901-922-912-909-911-908-910-932-915-935-931-906-924-930-923-905-938</t>
  </si>
  <si>
    <t>ΤΣΩΝΗ</t>
  </si>
  <si>
    <t>ΘΕΑΝΩ-ΜΑΡΙΑ</t>
  </si>
  <si>
    <t>Χ688795</t>
  </si>
  <si>
    <t>1058,8</t>
  </si>
  <si>
    <t>933-914-929-928-926-925-930-931-932-924-923-915-935-927-934-906-905-907-899-898-900-916-917-918-919-921-922-901-904-903-902-920-908-909-910-911-912-938-940-939-941</t>
  </si>
  <si>
    <t>ΚΡΟΜΜΥΔΑ</t>
  </si>
  <si>
    <t>ΑΖ915441</t>
  </si>
  <si>
    <t>1058,5</t>
  </si>
  <si>
    <t>ΚΑΠΩΝΗ</t>
  </si>
  <si>
    <t>ΑΒ266141</t>
  </si>
  <si>
    <t>1058,1</t>
  </si>
  <si>
    <t>898-899-900-901-902-903-904-916-917-918-919-920-921-922-905-906-907-908-909-911-912-913-914-915-923-924-926-927-928-929-930-931-932-933-934-935</t>
  </si>
  <si>
    <t>ΣΙΔΗΡΟΠΟΥΛΟΥ</t>
  </si>
  <si>
    <t>Σ346525</t>
  </si>
  <si>
    <t>913-908-909-910-911-912-928-934-925-926-933-914-916-917-920-918-919-921-901-902-903-904-898-899-900-927-907</t>
  </si>
  <si>
    <t>ΜΗΤΡΙΤΖΙΚΟΓΛΟΥ</t>
  </si>
  <si>
    <t>ΑΒ375697</t>
  </si>
  <si>
    <t>ΤΡΙΑΝΤΑΦΥΛΛΙΔΟΥ</t>
  </si>
  <si>
    <t>ΑΡΙΣΤΟΤΕΛΗΣ</t>
  </si>
  <si>
    <t>Ξ509838</t>
  </si>
  <si>
    <t>901-902-903-904-916-917-918-919-920-921-922-911-909-908-910-912</t>
  </si>
  <si>
    <t>ΚΑΛΤΣΟΥ</t>
  </si>
  <si>
    <t>ΑΗ911938</t>
  </si>
  <si>
    <t>ΑΒ859831</t>
  </si>
  <si>
    <t>ΚΟΥΜΠΟΥΡΗ</t>
  </si>
  <si>
    <t>Ρ237028</t>
  </si>
  <si>
    <t>899-900-898-903-901-902-904-917-916-918-919-920-922-921</t>
  </si>
  <si>
    <t>ΚΟΥΓΙΜΤΖΙΔΟΥ</t>
  </si>
  <si>
    <t>Μ680038</t>
  </si>
  <si>
    <t>940-924-923-911-909-908</t>
  </si>
  <si>
    <t>ΚΑΒΟΥΡΤΖΙΚΗ</t>
  </si>
  <si>
    <t>ΑΗ418081</t>
  </si>
  <si>
    <t>ΣΤΑΙΚΟΥ</t>
  </si>
  <si>
    <t>ΤΑΞΙΑΡΧΗΣ</t>
  </si>
  <si>
    <t>Μ151096</t>
  </si>
  <si>
    <t>1048,3</t>
  </si>
  <si>
    <t>916-917-919-920-922-921-904-903-901-910</t>
  </si>
  <si>
    <t>ΠΟΨΗΣ</t>
  </si>
  <si>
    <t>Χ449983</t>
  </si>
  <si>
    <t>928-911-929-914-934-908-933-926-910-912-909-907-903-901-918-921-900-924-920-904-906-927-932-898-916-917-919-922-925-930-923-915-935-913-931-939-941-938-940</t>
  </si>
  <si>
    <t>ΚΕΤΣΙΕΜΕΝΙΔΟΥ</t>
  </si>
  <si>
    <t>ΑΗ409546</t>
  </si>
  <si>
    <t>931-913</t>
  </si>
  <si>
    <t>ΠΑΝΤΙΝΑΚΗΣ</t>
  </si>
  <si>
    <t>ΑΚ846938</t>
  </si>
  <si>
    <t>920-921-922-919-918-917-916-901-902-903-904-908-909-910-911-912-939-927</t>
  </si>
  <si>
    <t>ΔΗΜΗΤΡΙΟΥ</t>
  </si>
  <si>
    <t>ΕΥΠΡΑΞΙΑ</t>
  </si>
  <si>
    <t>Ν513155</t>
  </si>
  <si>
    <t>916-917-919-921-920-922-904-903-902-901</t>
  </si>
  <si>
    <t>ΜΑΤΣΑ</t>
  </si>
  <si>
    <t>Μ006530</t>
  </si>
  <si>
    <t>934-929-927-928-900-914-918-901-903-921-908-911-898-899-907-933-916-917-919-920-922-904-902-909-910-912-925-926-913-930-915-931-932-935-924-923-906-905</t>
  </si>
  <si>
    <t>ΠΑΠΑΙΩΑΝΝΟΥ</t>
  </si>
  <si>
    <t>ΑΗ244632</t>
  </si>
  <si>
    <t>898-899-900-901-902-903-904-907-908-909-910-911-912-913-914-916-917-918-919-920</t>
  </si>
  <si>
    <t>ΖΩΜΕΝΟΥ</t>
  </si>
  <si>
    <t>ΘΕΩΝΗ</t>
  </si>
  <si>
    <t>ΑΒ627140</t>
  </si>
  <si>
    <t>1043,1</t>
  </si>
  <si>
    <t>898-899-900-927-934-928-929-933-914</t>
  </si>
  <si>
    <t>ΣΑΡΑΚΑΤΣΙΑΝΟΥ</t>
  </si>
  <si>
    <t>ΑΗ741734</t>
  </si>
  <si>
    <t>911-909-910-908-912-902-903-904-901-916-917-918-919-920-921-922-899-900-913-928-931-933-927-907-915-932-934-898-906-905-914-926-925-929-930-935-924-923-938-939-941-942-940-937-936</t>
  </si>
  <si>
    <t>ΓΚΟΤΖΑΜΑΝΙΔΟΥ</t>
  </si>
  <si>
    <t>ΧΡΥΣΑΝΘΗ</t>
  </si>
  <si>
    <t>Χ615530</t>
  </si>
  <si>
    <t>ΞΕΝΙΤΙΔΟΥ</t>
  </si>
  <si>
    <t>ΣΑΒΒΟΥΛΑ</t>
  </si>
  <si>
    <t>ΕΥΚΛΕΙΔΗΣ</t>
  </si>
  <si>
    <t>ΑΖ819217</t>
  </si>
  <si>
    <t>923-924-940</t>
  </si>
  <si>
    <t>ΣΙΔΕΡΗ</t>
  </si>
  <si>
    <t>ΑΕ497559</t>
  </si>
  <si>
    <t>794,2</t>
  </si>
  <si>
    <t>1039,2</t>
  </si>
  <si>
    <t>934-928-933-927-898-899-900-901-902-903-904-905-906-907-908-909-910-911-912-913-914-915-916-917-918-919-920-921-922-923-924-926-929-930-931-932-935-938-939-940-941-942</t>
  </si>
  <si>
    <t>ΖΟΥΓΛΑΚΗ</t>
  </si>
  <si>
    <t>ΑΝ014560</t>
  </si>
  <si>
    <t>916-917-918-919-920-921-922-901-902-903-904</t>
  </si>
  <si>
    <t>ΙΣΟΠΕΣΚΟΥ</t>
  </si>
  <si>
    <t>ΕΛΕΝΑ</t>
  </si>
  <si>
    <t>916-920-921</t>
  </si>
  <si>
    <t>ΤΣΑΠΙΚΟΥΝΗ</t>
  </si>
  <si>
    <t>ΑΛΕΞΙΟΣ</t>
  </si>
  <si>
    <t>ΑΚ135668</t>
  </si>
  <si>
    <t>1036,5</t>
  </si>
  <si>
    <t>794-795-786-787-789-793-791-792-785-796-788-764-757-758-759-760-922-917-921-920-918-919-901-902-903</t>
  </si>
  <si>
    <t>ΚΛΑΡΙΤΗ</t>
  </si>
  <si>
    <t>Ν222835</t>
  </si>
  <si>
    <t>1035,6</t>
  </si>
  <si>
    <t>ΓΟΥΔΗ</t>
  </si>
  <si>
    <t>ΚΑΛΑΠΟΘΟΣ</t>
  </si>
  <si>
    <t>ΑΕ754375</t>
  </si>
  <si>
    <t>1034,5</t>
  </si>
  <si>
    <t>898-899-900-901-902-903-904-907-908-909-910-911-912-914-916-917-918-919-920-921-922-925-926-927-928-929-933-934</t>
  </si>
  <si>
    <t>ΚΑΛΙΤΣΑΡΙΔΗ</t>
  </si>
  <si>
    <t>ΑΕ 975349</t>
  </si>
  <si>
    <t>1032,5</t>
  </si>
  <si>
    <t>916-917-921</t>
  </si>
  <si>
    <t>ΣΚΑΝΔΑΛΗ</t>
  </si>
  <si>
    <t>ΑΙ167030</t>
  </si>
  <si>
    <t>808,5</t>
  </si>
  <si>
    <t>909-908-912-911-910-923-932-929-928-925-926-933-914-915-935</t>
  </si>
  <si>
    <t>Σίμος</t>
  </si>
  <si>
    <t>Ευστάθιος</t>
  </si>
  <si>
    <t>Αντώνιος</t>
  </si>
  <si>
    <t>ΑΑ348986</t>
  </si>
  <si>
    <t>914-929-928-934-933-926-925-907-906-915-900-899-898-927-932-931-924-923-935-911-908-910-912-909-913-922-921-920-919-918-916-917-901-902-903-904-939-941-938-940-942-930</t>
  </si>
  <si>
    <t>ΚΑΡΑΣΑΒΒΙΔΟΥ</t>
  </si>
  <si>
    <t>ΑΝΔΡΟΜΑΧΗ</t>
  </si>
  <si>
    <t>ΑΕ837069</t>
  </si>
  <si>
    <t>909-910-908-911-912</t>
  </si>
  <si>
    <t>ΜΕΛΙΓΚΑΚΟΣ</t>
  </si>
  <si>
    <t>ΑΙ643842</t>
  </si>
  <si>
    <t>995,5</t>
  </si>
  <si>
    <t>1030,5</t>
  </si>
  <si>
    <t>917-921-793-791-920-916-918-792-787-786-785-760-759-758-788-789-790-794-795-796-902-903-904-922-919-901-757-764-765</t>
  </si>
  <si>
    <t>ΠΑΝΔΡΙΑ</t>
  </si>
  <si>
    <t>Τ822957</t>
  </si>
  <si>
    <t>939-912-910-911-908-909</t>
  </si>
  <si>
    <t>ΓΚΟΥΜΑ</t>
  </si>
  <si>
    <t xml:space="preserve">ΜΑΡΙΝΑ </t>
  </si>
  <si>
    <t>Χ365426</t>
  </si>
  <si>
    <t>843-908</t>
  </si>
  <si>
    <t>ΤΖΟΥΒΑΛΕΚΑ</t>
  </si>
  <si>
    <t>Φ288570</t>
  </si>
  <si>
    <t>928-929-933-914-912-909-910-908-911-939-941-934-926-925-915-924-923-940-932-913-938-931-906-921-920-919-918-917-916-904-903-901-899-900-898-927-907-935-930</t>
  </si>
  <si>
    <t>ΚΥΡΙΤΣΗ</t>
  </si>
  <si>
    <t>Ξ715460</t>
  </si>
  <si>
    <t>893,2</t>
  </si>
  <si>
    <t>1026,2</t>
  </si>
  <si>
    <t>933-928-914-901-904-908-910-912</t>
  </si>
  <si>
    <t>ΚΩΝΣΤΑΝΤΙΝΟΥ</t>
  </si>
  <si>
    <t>Χ951059</t>
  </si>
  <si>
    <t>906-905-912-908-911-909-910-923-920-921-918-919-922-917-916-903-901-902-932</t>
  </si>
  <si>
    <t>ΚΑΛΕΝΤΖΙΟΥ</t>
  </si>
  <si>
    <t>ΑΙ187383</t>
  </si>
  <si>
    <t>993,3</t>
  </si>
  <si>
    <t>1023,3</t>
  </si>
  <si>
    <t>911-782-912-910-781-909-780-779-908-778-808-799-923-924-773-774-783-931-814-932-807</t>
  </si>
  <si>
    <t>ΤΑΡΑΝΤΣΟΠΟΥΛΟΥ</t>
  </si>
  <si>
    <t>ΑΙ337694</t>
  </si>
  <si>
    <t>935-925-926-915-908-909-910-911-912-923-924-913-932-914-929-928-933-934-905-906-907-927-931-930-898-899-900-901-902-903-904-916-917-918-919-920-921-922-939-941-942-940-938</t>
  </si>
  <si>
    <t xml:space="preserve"> 932- 935</t>
  </si>
  <si>
    <t>ΛΑΜΠΡΙΑΝΙΔΟΥ</t>
  </si>
  <si>
    <t>ΑΒ736722</t>
  </si>
  <si>
    <t>924-940-923-908-909-910-911-912</t>
  </si>
  <si>
    <t>ΚΑΤΣΟΥΛΙΔΗΣ</t>
  </si>
  <si>
    <t>ΑΖ743372</t>
  </si>
  <si>
    <t>908-911-914-928-900-929-927-901-903-918-921-932-934-906-898-899-909-910-912-926-925-915-933-920-919-917-916-904-913-922-902-907-905-923-924-930-931-935-939-941-942-938-940</t>
  </si>
  <si>
    <t>ΚΑΤΙΚΟΓΛΟΥ</t>
  </si>
  <si>
    <t>ΑΖ056360</t>
  </si>
  <si>
    <t>756-757-759-764-768-781-782-786-787-794-796-801-802-900-901-903-908-911-914-918-921-927-928-929-934</t>
  </si>
  <si>
    <t>ΧΑΡΙΣΚΟΣ</t>
  </si>
  <si>
    <t>ΑΗ890581</t>
  </si>
  <si>
    <t>1022,6</t>
  </si>
  <si>
    <t>938-902-901-930-903-904-916-917-918-919-920-898-899-900-908-909-910-911-912-907-905-906-913-914-923-924-915-925-926-927-928-929-931-932-933</t>
  </si>
  <si>
    <t>ΒΕΛΙΣΣΑΡΗ</t>
  </si>
  <si>
    <t>ΑΣΠΑΣΙΑ</t>
  </si>
  <si>
    <t>Χ052150</t>
  </si>
  <si>
    <t>901-903-918-921-929-927-934</t>
  </si>
  <si>
    <t>ΜΠΑΡΜΠΕΡΟΠΟΥΛΟΥ</t>
  </si>
  <si>
    <t>ΑΜ000647</t>
  </si>
  <si>
    <t>917-920-921-916-901-918-922-919-904-903</t>
  </si>
  <si>
    <t>ΛΑΓΚΩΝΑΣ</t>
  </si>
  <si>
    <t>ΑΑ275407</t>
  </si>
  <si>
    <t>ΑΜ390337</t>
  </si>
  <si>
    <t>898-942-941-939-940-899-900-901-902-903-904-905-906-907-908-909-910-911-912-913-914-915-916-917-918-919-920-921-922-923-924-925-926-927-928-929-930-931-932-933-934-935-936-937</t>
  </si>
  <si>
    <t>Ξ631203</t>
  </si>
  <si>
    <t>908-911-906-914-918-921-932-934-935-901-900-903-927-929-928-923-909-910-930-931-926-925-924-912-913-915-916-917-919-920-922-905</t>
  </si>
  <si>
    <t>ΜΑΝΙΟΥΔΑΚΗΣ</t>
  </si>
  <si>
    <t>ΑΖ958439</t>
  </si>
  <si>
    <t>ΑΨΑΘΑΣ</t>
  </si>
  <si>
    <t>ΑΡΙΣΤΕΙΔΗΣ</t>
  </si>
  <si>
    <t>ΑΙ914870</t>
  </si>
  <si>
    <t>918-919-920-921-922-901-902-903-904</t>
  </si>
  <si>
    <t>ΚΙΤΣΟΥ</t>
  </si>
  <si>
    <t>ΑΕ906533</t>
  </si>
  <si>
    <t>1011,2</t>
  </si>
  <si>
    <t>783-807-931</t>
  </si>
  <si>
    <t>ΤΣΙΑΡΑ</t>
  </si>
  <si>
    <t>ΑΗ797606</t>
  </si>
  <si>
    <t>1009,7</t>
  </si>
  <si>
    <t>928-914-934-933-929-920-919-921-902-901-903-904-911-910-909-908-917-922</t>
  </si>
  <si>
    <t>ΣΑΡΑΝΤΙΤΗ</t>
  </si>
  <si>
    <t>ΑΚ217494</t>
  </si>
  <si>
    <t>ΣΑΓΙΑΝΝΗ</t>
  </si>
  <si>
    <t>Φ051319</t>
  </si>
  <si>
    <t>ΝΙΚΟΛΑΟΥ</t>
  </si>
  <si>
    <t>ΑΛΑΞΑΝΔΡΟΣ</t>
  </si>
  <si>
    <t>ΑΒ212221</t>
  </si>
  <si>
    <t>921-918-903-901</t>
  </si>
  <si>
    <t>ΒΟΥΤΣΙΔΗΣ</t>
  </si>
  <si>
    <t>ΑΑ233473</t>
  </si>
  <si>
    <t>941-939-909-911-910-908-912-902-930-903-920-904-905-907-906</t>
  </si>
  <si>
    <t>ΤΡΙΓΚΑΣ</t>
  </si>
  <si>
    <t>ΗΛΙΑΣ-ΑΝΔΡΕΑΣ</t>
  </si>
  <si>
    <t>ΑΒ608743</t>
  </si>
  <si>
    <t>934-929-914-928-900-932-906-924-913-905-935-915-923-933-925-930-931-926-898-899-907-927-908-909-910-911-912-901-902-903-904-916-917-918-919-920-921-922-938-939-940-941</t>
  </si>
  <si>
    <t>ΖΑΠΡΟΣ</t>
  </si>
  <si>
    <t>ΑΗ194764</t>
  </si>
  <si>
    <t>908-911-914-932-928-906-929-934-901-903-918-921-927-900-909-910-912-923-924-915-931-925-926-933-935-913-902-904-916-917-919-920-922-907-898-899-905-930-939-940-941-942-938</t>
  </si>
  <si>
    <t>ΧΛΩΡΟΠΟΥΛΟΥ</t>
  </si>
  <si>
    <t>Χ785671</t>
  </si>
  <si>
    <t>ΚΑΖΑΚΟΣ</t>
  </si>
  <si>
    <t>ΑΙ006858</t>
  </si>
  <si>
    <t>916-921-922-918-917-919-904-903-920-901</t>
  </si>
  <si>
    <t>ΠΛΑΤΑΝΙΑ</t>
  </si>
  <si>
    <t>ΑΜ038556</t>
  </si>
  <si>
    <t>787-786-785-788-789-790-791-792-793-901-902-903-904-917</t>
  </si>
  <si>
    <t>ΜΟΥΣΕΛΙΜΗ</t>
  </si>
  <si>
    <t>Χ861514</t>
  </si>
  <si>
    <t>902-903-901-917-921-922-920-919-904-918-916-911-909-910-912-908-898-899-900-929-907-927</t>
  </si>
  <si>
    <t>ΣΙΑΤΗ</t>
  </si>
  <si>
    <t>ΦΡΑΓΚΙΣΚΑ</t>
  </si>
  <si>
    <t>ΑΑ303914</t>
  </si>
  <si>
    <t>898-899-900-908-909-910-911-912-939-901-902-903-904-916-917-918-919-920-921-922-927-930-929-907-913-915-928-933-914-934-923-924-932-931-925-926-938-940-935</t>
  </si>
  <si>
    <t>ΠΕΤΚΟΠΟΥΛΟΥ</t>
  </si>
  <si>
    <t>ΚΥΡΙΑΚΟΥΛΑ</t>
  </si>
  <si>
    <t>ΑΗ321030</t>
  </si>
  <si>
    <t>908-909-910-911-912-925-926-928-901-902-903-904-916-917-918-919-920-921-922</t>
  </si>
  <si>
    <t>ΓΡΙΒΑΣ</t>
  </si>
  <si>
    <t>ΑΙ261025</t>
  </si>
  <si>
    <t>899-921-900-922-903-908-911-913-918-927</t>
  </si>
  <si>
    <t>ΤΣΟΥΜΠΕΚΟΥ</t>
  </si>
  <si>
    <t>ΑΙ317904</t>
  </si>
  <si>
    <t>ΛΟΙΖΟΥ</t>
  </si>
  <si>
    <t>ΠΟΛΥΚΑΡΠΟΣ</t>
  </si>
  <si>
    <t>ΑΕ747573</t>
  </si>
  <si>
    <t>927-900-898-899-919-920-903-904-908-909-910-911-912-913-914-917-918-923-924-928-929-931-932-933-915-925-905-906-930-935</t>
  </si>
  <si>
    <t>ΜΠΑΛΑΤΣΟΥΚΑ</t>
  </si>
  <si>
    <t>ΑΕ996889</t>
  </si>
  <si>
    <t>914-933</t>
  </si>
  <si>
    <t>ΜΠΕΓΛΕΡΙΔΗΣ</t>
  </si>
  <si>
    <t>ΑΗ079270</t>
  </si>
  <si>
    <t>ΣΕΡΡΑ</t>
  </si>
  <si>
    <t>Χ800706</t>
  </si>
  <si>
    <t>899-900-898-927-934-929-916-917-918-919-920-921-908-909-910-911-912-913</t>
  </si>
  <si>
    <t>ΦΡΑΔΕΛΛΟΣ</t>
  </si>
  <si>
    <t>ΑΑ070365</t>
  </si>
  <si>
    <t>ΠΑΙΤΑΡΙΔΟΥ</t>
  </si>
  <si>
    <t>ΑΜ368282</t>
  </si>
  <si>
    <t>928-929-933</t>
  </si>
  <si>
    <t>ΚΙΤΣΑΝΤΩΝΗ</t>
  </si>
  <si>
    <t>Χ365420</t>
  </si>
  <si>
    <t>918-921-914-908-911-929-928-932-900-901-903-927-934-905-906-915-925-926-939-941-942-907-909-910-912-913-898-899-902-904-916-917-919-920-922-923-924-930-931-933-935-938-940</t>
  </si>
  <si>
    <t>Ρ407117</t>
  </si>
  <si>
    <t>929-928-921-920-917-916-914-934-901-903-902-904-911-910-908-912-909-918-919-922-933-932-930-907-900-899-926-927</t>
  </si>
  <si>
    <t>ΤΑΤΣΗΣ</t>
  </si>
  <si>
    <t>ΑΑ080986</t>
  </si>
  <si>
    <t>991,5</t>
  </si>
  <si>
    <t>ΑΖ178355</t>
  </si>
  <si>
    <t>778-779-780-781-782-908-909-910-911-912-939-808-932-811-814-937-941-942-923-940-924-799-773-774-763-938-913-783-931-807-925-926-915-933-762-929-928-809-935-784-914-785-786-787-788-789-790-791-792-793-794-795-796-901-902-903-904-916-917-918-919-921-920-922-757-758-759-760-764-765-927-813-934-771-768-769-770-751-752-753-754-755-756-898-899-900-805-907-775-776-777-802-803-766-767-905-906-797-798-930-806-936-804-810</t>
  </si>
  <si>
    <t>ΠΑΝΑΓΙΩΤΑΚΗΣ</t>
  </si>
  <si>
    <t>ΕΛΕΥΘΕΡΙ</t>
  </si>
  <si>
    <t>ΑΙ449237</t>
  </si>
  <si>
    <t>907-776-777</t>
  </si>
  <si>
    <t>ΓΚΕΤΣΙΟΥ</t>
  </si>
  <si>
    <t>Φ013699</t>
  </si>
  <si>
    <t>903-904-916-917-918-919-920-921-922-901-902-914-927-928-929-933-934-908-909-910-911-912-913-923-924-915-925-926-931-932-935-930-906-898-899-900-905-907</t>
  </si>
  <si>
    <t>ΒΑΡΕΛΑ</t>
  </si>
  <si>
    <t>ΑΙ247344</t>
  </si>
  <si>
    <t>927-899-900-898-920-922-917-921-918-919-916-901-904-903-902-908-909-910-911-912-934-929-928-933-914</t>
  </si>
  <si>
    <t>ΠΑΤΕΡΟΠΟΥΛΟΣ</t>
  </si>
  <si>
    <t>ΑΒ339516</t>
  </si>
  <si>
    <t>898-899-900-901-902-903-904-905-906-907-908-909-910-911-912-913-914-915-916-917-918-919-920-921-922-923-924-925-926-927-928-929-930-931-932-933-935-934-939-941-942</t>
  </si>
  <si>
    <t>ΓΚΟΤΣΟΠΟΥΛΟΥ</t>
  </si>
  <si>
    <t>ΑΖ082454</t>
  </si>
  <si>
    <t>988,2</t>
  </si>
  <si>
    <t>ΕΥΑΓΓΕΛΟΠΟΥΛΟΥ</t>
  </si>
  <si>
    <t>ΑΗ795632</t>
  </si>
  <si>
    <t>984,8</t>
  </si>
  <si>
    <t>907-908-909-910-911-913-914-916-917-918-921-925-926-927-928-929-933-934</t>
  </si>
  <si>
    <t>ΚΟΛΕΤΣΗ</t>
  </si>
  <si>
    <t>ΑΖ034180</t>
  </si>
  <si>
    <t>903-901-921-918-902-904-916-917-919-920-922-927-900-934-928-914-913-929-898-899-925-926-933-907</t>
  </si>
  <si>
    <t>ΚΕΣΚΕΡΙΔΟΥ</t>
  </si>
  <si>
    <t>ΑΖ688713</t>
  </si>
  <si>
    <t>911-909-910-908-912-939-941-942-925-926-929-933-914-928-920-917-919-921-927-913-907-901-903-904-934</t>
  </si>
  <si>
    <t>ΜΑΥΡΟΥΔΗ</t>
  </si>
  <si>
    <t>ΑΗ665414</t>
  </si>
  <si>
    <t>908-911-909-910-912-939-932-938-941-913-924-923-940-906-905-928-914-931-929-933-925-926-915-935-934-901-902-903-904-916-917-918-919-920-921-922-927-900-899-898</t>
  </si>
  <si>
    <t>ΚΟΥΤΣΙΜΠΕΛΗ</t>
  </si>
  <si>
    <t>ΑΚ687692</t>
  </si>
  <si>
    <t>902-904-922-917-903-919-920-921-916-918-901</t>
  </si>
  <si>
    <t>ΓΚΙΝΗΣ</t>
  </si>
  <si>
    <t>ΑΚ262530</t>
  </si>
  <si>
    <t>913-910-911-909-912-908-928-929-907-920</t>
  </si>
  <si>
    <t>ΚΟΡΚΟΛΗΣ</t>
  </si>
  <si>
    <t>ΑΕ556312</t>
  </si>
  <si>
    <t>901-903-918-921-927</t>
  </si>
  <si>
    <t>ΓΚΟΥΒΑΣ</t>
  </si>
  <si>
    <t>ΑΖ221587</t>
  </si>
  <si>
    <t>948,2</t>
  </si>
  <si>
    <t>978,2</t>
  </si>
  <si>
    <t>801-914-928-784-933</t>
  </si>
  <si>
    <t>ΧΑΡΑΛΑΜΠΙΔΟΥ</t>
  </si>
  <si>
    <t>ΔΙΟΓΕΝΗΣ</t>
  </si>
  <si>
    <t>ΑΖ303797</t>
  </si>
  <si>
    <t>977,4</t>
  </si>
  <si>
    <t>935-925-926-915-913-924-934-938-939-940-942-941-928-929-933-914-927-908-909-910-911-912-907-905-906-898-899-900</t>
  </si>
  <si>
    <t>ΛΙΑΝΝΗ</t>
  </si>
  <si>
    <t>Π045297</t>
  </si>
  <si>
    <t>920-916-934-917-921-918-922-902-903-901-899-919-930-898-927-900-907-904-912-933-911-908-812-813-805-786-768-788-787-796-791-792-790-795-785-789-769-780-806-776-777-775-782-797</t>
  </si>
  <si>
    <t>ΤΖΑΝΗ</t>
  </si>
  <si>
    <t>Ν820436</t>
  </si>
  <si>
    <t>974,6</t>
  </si>
  <si>
    <t>933-914-928-897-934</t>
  </si>
  <si>
    <t>ΚΩΤΣΙΔΟΥ</t>
  </si>
  <si>
    <t>ΑΕ846545</t>
  </si>
  <si>
    <t>908-911-928-914-929-934-900-927-918-921</t>
  </si>
  <si>
    <t>ΖΕΜΠΕΡΗ</t>
  </si>
  <si>
    <t>ΑΕ053537</t>
  </si>
  <si>
    <t>901-903-904-916-917-918-919-920-921-922</t>
  </si>
  <si>
    <t>ΦΕΡΛΑ</t>
  </si>
  <si>
    <t>ΖΑΧΑΡΟΥΛΑ</t>
  </si>
  <si>
    <t>ΑΗ983372</t>
  </si>
  <si>
    <t>972,4</t>
  </si>
  <si>
    <t>907-928-929-926-927-898-899-901-902-903-904-908-909-910-911-916-917-918-919-920-921-922-933-934</t>
  </si>
  <si>
    <t>ΕΜΜΑΝΟΥΗΛΙΔΟΥ</t>
  </si>
  <si>
    <t>Χ472274</t>
  </si>
  <si>
    <t>929-928-801</t>
  </si>
  <si>
    <t>ΤΣΙΑΝΤΟΥΚΑ</t>
  </si>
  <si>
    <t>ΟΛΓΑ</t>
  </si>
  <si>
    <t>ΑΗ422601</t>
  </si>
  <si>
    <t>906-905-915-923-924-931-932-938-935-940</t>
  </si>
  <si>
    <t>ΝΤΑΝΤΑΜΗ</t>
  </si>
  <si>
    <t>ΑΜ616851</t>
  </si>
  <si>
    <t>920-918-901-903-921-916-917-922-904-919-902-907-929-928-933-914-934-927-899-900-898-908-910-911-912-909-913-925-926</t>
  </si>
  <si>
    <t>ΓΑΛΑΝΟΠΟΥΛΟΥ</t>
  </si>
  <si>
    <t>Χ912632</t>
  </si>
  <si>
    <t>897,6</t>
  </si>
  <si>
    <t>967,6</t>
  </si>
  <si>
    <t>801-928-929-914-784-933-934-813</t>
  </si>
  <si>
    <t>ΧΑΤΖΗΚΑΜΑΡΗΣ</t>
  </si>
  <si>
    <t>ΑΑ258680</t>
  </si>
  <si>
    <t>912-910-909-911-939-908-941-942-923-924-940-932-938-913-928-931-915-933-935-907-914-925-926-906-905-902-904-903-922-921-918-916-919-920-917-901</t>
  </si>
  <si>
    <t>ΤΣΑΒΟΥΛΗ</t>
  </si>
  <si>
    <t>ΣΕΒΑΣΤΗ-ΜΑΡΙΑ</t>
  </si>
  <si>
    <t>Φ143551</t>
  </si>
  <si>
    <t>901-921-903-918</t>
  </si>
  <si>
    <t>ΞΑΝΘΟΥΛΑ</t>
  </si>
  <si>
    <t>ΡΑΙΤΣΙΝΗ</t>
  </si>
  <si>
    <t>ΑΑ408152</t>
  </si>
  <si>
    <t>963,2</t>
  </si>
  <si>
    <t>800-925</t>
  </si>
  <si>
    <t>ΚΟΝΔΥΛΗΣ</t>
  </si>
  <si>
    <t>ΑΒ579201</t>
  </si>
  <si>
    <t>901-902-903-904-916-917-918-919-920-921-922-909-910-911-912-913-914-915-899-900-898-905-906-907-908-923-924-925-926-927-928-929-930-931-932-933-934-935-938-939-940-941-942</t>
  </si>
  <si>
    <t>ΤΡΙΜΜΗΣ</t>
  </si>
  <si>
    <t>Ρ043672</t>
  </si>
  <si>
    <t>916-920-919-922-921-918-903-901-902-904</t>
  </si>
  <si>
    <t>ΠΙΝΤΗ</t>
  </si>
  <si>
    <t>ΠΑΣΧΑΛΙΝΑ</t>
  </si>
  <si>
    <t>Χ492021</t>
  </si>
  <si>
    <t>698,5</t>
  </si>
  <si>
    <t>960,5</t>
  </si>
  <si>
    <t>ΤΣΕΚΑ</t>
  </si>
  <si>
    <t>ΣΥΛΒΑΝΑ</t>
  </si>
  <si>
    <t>ΦΩΤΗΣ</t>
  </si>
  <si>
    <t>ΑΖ568678</t>
  </si>
  <si>
    <t>902-903-917-921-820-916-901-919-922-918-904-927-936-915-907-928-934-929-933-898-899-900-911-909-910-908-912-939-937-941-942-914-913-926-925</t>
  </si>
  <si>
    <t>ΚΩΝΣΤΑΝΤΙΝΙΔΗΣ</t>
  </si>
  <si>
    <t>ΑΒ159015</t>
  </si>
  <si>
    <t>898-899-900-927-901-902-903-904-916-917-918-919-920-921-922</t>
  </si>
  <si>
    <t>ΚΑΡΑΛΗΣ</t>
  </si>
  <si>
    <t>Χ470152</t>
  </si>
  <si>
    <t>932-752-753-754-755-756-757-758-759-760-761-764-765-768-769-770-772-773-774-775-776-777-778-779-780-781-782-783-784-785-786-787-788-789-790-751-791-792-793-794-795-796-800-801-802-803-805-813-814-898-899-900-901-902-903-904-907-908-909-910-911-912-913-914-916-917-918-919-920-921-922-925-926-927-928-929-934-933-937-939-941-942</t>
  </si>
  <si>
    <t>Μαμούγκα</t>
  </si>
  <si>
    <t>Ευφροσύνη</t>
  </si>
  <si>
    <t>Απόστολος</t>
  </si>
  <si>
    <t>Χ370034</t>
  </si>
  <si>
    <t>950,5</t>
  </si>
  <si>
    <t>ΚΟΝΟΠΑ</t>
  </si>
  <si>
    <t>ΣΤΑΥΡΟΣ ΠΕΤΡΟΣ</t>
  </si>
  <si>
    <t>ΜΑΤΣΙΕΙ</t>
  </si>
  <si>
    <t>ΑΖ476201</t>
  </si>
  <si>
    <t>934-929-928-917-921</t>
  </si>
  <si>
    <t>ΜΠΑΝΤΑ ΣΑΛΗ</t>
  </si>
  <si>
    <t>ΓΙΟΥΝΟΥΣ</t>
  </si>
  <si>
    <t>ΣΑΛΗ</t>
  </si>
  <si>
    <t>ΑΜ719588</t>
  </si>
  <si>
    <t>931-807</t>
  </si>
  <si>
    <t>ΨΩΜΑΣ</t>
  </si>
  <si>
    <t>ΑΕ174454</t>
  </si>
  <si>
    <t>911-910-912-908-909-939-924-932-928-931-929-901-902-903-904-916-917-918-919-920-921-922-907</t>
  </si>
  <si>
    <t>ΧΑΡΙΚΛΕΙΑ- ΔΗΜΗΤΡΑ</t>
  </si>
  <si>
    <t>ΑΗ111954</t>
  </si>
  <si>
    <t>916-922-917-918-920-921-919-904-902-903-901-927</t>
  </si>
  <si>
    <t>ΜΑΥΡΟΠΟΥΛΟΥ</t>
  </si>
  <si>
    <t>Χ844866</t>
  </si>
  <si>
    <t>937,7</t>
  </si>
  <si>
    <t>913-934-924-900-901-903-908-911-914-918-921-927-928-929-932-898-899-902-904-907-909-910-912-915-916-917-919-920-922-923-925-926-933-935-931-930-941-939-938</t>
  </si>
  <si>
    <t>ΑΒ567890</t>
  </si>
  <si>
    <t>904-920-918-903-902-917-921-919-901-922-916</t>
  </si>
  <si>
    <t>ΣΥΡΙΩΤΗ</t>
  </si>
  <si>
    <t>ΠΑΡΑΣΚΕΥΗ-ΝΕΚΤΑΡΙΑ</t>
  </si>
  <si>
    <t>Χ540946</t>
  </si>
  <si>
    <t>917-916-920-921-901</t>
  </si>
  <si>
    <t>ΜΟΥΚΑ</t>
  </si>
  <si>
    <t>ΑΙ022166</t>
  </si>
  <si>
    <t>917-902-901-903-904-921-918-922-919-916-920</t>
  </si>
  <si>
    <t>ΤΣΑΒΑΛΙΑ</t>
  </si>
  <si>
    <t>Ρ851323</t>
  </si>
  <si>
    <t>914-933-928-934</t>
  </si>
  <si>
    <t>ΛΥΜΠΕΡΟΠΟΥΛΟΥ</t>
  </si>
  <si>
    <t>Φ306109</t>
  </si>
  <si>
    <t>927-900-899-898-921-918-903-901-902-922-916-917-919-920-904-934-928-933-929-930-911-908-910-909-912-923-924-925-926-915-935-932-913-907-939-940-941-931</t>
  </si>
  <si>
    <t>Σ624470</t>
  </si>
  <si>
    <t>ΧΑΡΑΛΑΜΠΟΠΟΥΛΟΥ</t>
  </si>
  <si>
    <t>ΑΒ522536</t>
  </si>
  <si>
    <t>926,2</t>
  </si>
  <si>
    <t>ΤΣΙΟΛΑ</t>
  </si>
  <si>
    <t>Χ753048</t>
  </si>
  <si>
    <t>924,3</t>
  </si>
  <si>
    <t>912-908-909-911-910-939-942-941-940-938-925-926-928-913-929-933-934-935-915-914-907-927-923-924-932-931-916-917-918-919-920-921-922-900-901-902-903-898-899-904-930-905-906</t>
  </si>
  <si>
    <t>ΒΕΡΑΝΟΥΔΗΣ</t>
  </si>
  <si>
    <t>ΑΚ921623</t>
  </si>
  <si>
    <t>779-780-782-783-778-814-774-773-775-777-909-910-911-912-908-907-913</t>
  </si>
  <si>
    <t>ΖΑΦΡΑΝΟΠΟΥΛΟΥ</t>
  </si>
  <si>
    <t>ΑΙ039699</t>
  </si>
  <si>
    <t>901-902-903-904-768-769-770-916-917-918-919-920-921-922-755-758-759-760-761-764-765-785-786-787-788-789-790-791-792-793-794-795-796</t>
  </si>
  <si>
    <t>ΚΑΛΑΜΠΑΚΙΩΤΗΣ</t>
  </si>
  <si>
    <t>ΑΖ774673</t>
  </si>
  <si>
    <t>929-928-908-909-910-911-912-933-914</t>
  </si>
  <si>
    <t>ΖΟΥΜΠΑΚΗΣ</t>
  </si>
  <si>
    <t>Π876125</t>
  </si>
  <si>
    <t>917-916-918-920-921-922-903-902-901-900-899-898-904-919-927-907-908-909-910-911-912-930-928-929-931-933-932-925-926-915-923-924-913-914-906-905-934-935</t>
  </si>
  <si>
    <t>ΜΠΕΡΔΕΝΗ</t>
  </si>
  <si>
    <t>Ρ794869</t>
  </si>
  <si>
    <t>899-898-900-927-921-922-902-919-918-917-916</t>
  </si>
  <si>
    <t>ΒΑΣΙΛΕΙΑΔΟΥ</t>
  </si>
  <si>
    <t>ΑΖ412632</t>
  </si>
  <si>
    <t>913,8</t>
  </si>
  <si>
    <t>938-931-928-923-906-908-909-910-911-912-915-925-926-927-932-933-934-939-941-903-900-916-917-918-919-920-921</t>
  </si>
  <si>
    <t>ΜΠΑΝΤΟΛΙΑ</t>
  </si>
  <si>
    <t>ΑΖ554460</t>
  </si>
  <si>
    <t>922-921-901-903-914-911-908-934-929-928-933</t>
  </si>
  <si>
    <t>Ρ262356</t>
  </si>
  <si>
    <t>899-900-898-907-908-909-910-911-927-928-929-934</t>
  </si>
  <si>
    <t>ΣΥΝΑΛΗ</t>
  </si>
  <si>
    <t>ΤΡΙΑΔΑ</t>
  </si>
  <si>
    <t>ΑΕ918529</t>
  </si>
  <si>
    <t>911,7</t>
  </si>
  <si>
    <t>ΑΜΒΡΟΣΙΑΔΟΥ</t>
  </si>
  <si>
    <t>Χ955984</t>
  </si>
  <si>
    <t>761,2</t>
  </si>
  <si>
    <t>911,2</t>
  </si>
  <si>
    <t>897-815-817-822-826-828-829-835-837-838-839-840-841-842-846-847-848-853-854-857-858-862-870-871-872-816-818-821-823-824-825-827-830-836-843-844-852-855-856-859-861-869-908-906-917-921-927-928-929-932-934</t>
  </si>
  <si>
    <t>ΝΟΤΑΡΑΚΗΣ</t>
  </si>
  <si>
    <t>ΑΒ221242</t>
  </si>
  <si>
    <t>901-902-903-904-916-917-918-919-921-922</t>
  </si>
  <si>
    <t>ΠΑΝΟΥΡΓΙΑ</t>
  </si>
  <si>
    <t>ΑΙ050586</t>
  </si>
  <si>
    <t>920-916-918-919-917-921-904-901-903-922-902-927-934-899-900-898-928-929-910-908-911-909-912-914-933-926-925-915-931-905-907-913-923-924-932-935-906-930</t>
  </si>
  <si>
    <t>ΜΠΑΛΚΟΥΡΑΣ</t>
  </si>
  <si>
    <t>ΘΩΜΑΣ-ΑΛΕΞΑΝΔΡΟΣ</t>
  </si>
  <si>
    <t>Χ986459</t>
  </si>
  <si>
    <t>732,6</t>
  </si>
  <si>
    <t>909,6</t>
  </si>
  <si>
    <t>934-933-914-928-929-913-925-926-902-901-927-921-922-919-920-910-911-908-909-903-904-917-918-898</t>
  </si>
  <si>
    <t>ΣΚΟΥΡΛΑ</t>
  </si>
  <si>
    <t>ΑΚ635927</t>
  </si>
  <si>
    <t>900-901-902-903-904-905-906-907-908-909-910-912-911-913-914-915-916-917-918-919-920-921-922-923-924-925-926-927-928-929-930-931-932-933-934-935-938-939-940-941-942</t>
  </si>
  <si>
    <t>ΛΙΟΥΤΑΣ</t>
  </si>
  <si>
    <t>ΑΑ252890</t>
  </si>
  <si>
    <t>909-910-911-912-923-924-940-939-913-915-928-929-933-932-931-898-899-900-905-906-914-925-926-930-935-941-942-934-907-927</t>
  </si>
  <si>
    <t>ΑΝΑΣΤΑΣΙΟΥ</t>
  </si>
  <si>
    <t>ΑΖ818621</t>
  </si>
  <si>
    <t>908-910-942-926-909-911-925-912-939-928-929</t>
  </si>
  <si>
    <t>ΔΑΓΚΩΝΑΚΗΣ</t>
  </si>
  <si>
    <t>ΑΙ444199</t>
  </si>
  <si>
    <t>ΠΟΓΚΑ</t>
  </si>
  <si>
    <t>Ρ514978</t>
  </si>
  <si>
    <t>865,7</t>
  </si>
  <si>
    <t>900,7</t>
  </si>
  <si>
    <t>ΑΖ126181</t>
  </si>
  <si>
    <t>830,5</t>
  </si>
  <si>
    <t>900,5</t>
  </si>
  <si>
    <t>921-917-903-916-920-919-901-904-922-902</t>
  </si>
  <si>
    <t>ΖΗΣ</t>
  </si>
  <si>
    <t>Κ867674</t>
  </si>
  <si>
    <t>898-899-900-927-901-902-903-904-916-917-918-919-920-921-908-909-910-911-912-914-929-928-925-926-931-932-923-924</t>
  </si>
  <si>
    <t>ΠΕΤΡΑΚΟΠΟΥΛΟΥ</t>
  </si>
  <si>
    <t>ΠΑΣΧΑΛΙΑ</t>
  </si>
  <si>
    <t>Σ176472</t>
  </si>
  <si>
    <t>901-902-903-904-916-917-918-919-920-921-922-927-907-928-908-909-910-911-912</t>
  </si>
  <si>
    <t>ΤΣΟΥΛΗΣ</t>
  </si>
  <si>
    <t>ΑΗ802619</t>
  </si>
  <si>
    <t>719,4</t>
  </si>
  <si>
    <t>899,4</t>
  </si>
  <si>
    <t>935-896-907-912-911-910-909-908-913-914-926-925-924-923-928-934-933-930-777-776-775-779-778-774-773-782-783-781-780-784-756-755-754-752-751-753-772-762-900-899-898-800-804-803-802-810-814-813-812-801-799-805-770-769-768-929-927-806-915-808-807-760-771-797-766-767-798-809-811-905-906-931-932-922-921-920-919-918-917-916-761-759-758-757-904-903-902-901-765-764-763-796-795-794-793-792-791-790-789-942-941-787-788-786-785-866-867-837-835-836-838-833-830-879-878-862-861-863-865-874-842-841-840-839-843-873-877-876-875-940-939-938-937-936-872-871-870-869-864-860-824-823-832-831-834-822-821-844-868-820</t>
  </si>
  <si>
    <t>ΑΛΕΚΟΥ</t>
  </si>
  <si>
    <t>ΑΜ560009</t>
  </si>
  <si>
    <t>916-917-918-919-920-921-922-901-903-902-904</t>
  </si>
  <si>
    <t>ΑΡΝΑΡΕΛΛΗ</t>
  </si>
  <si>
    <t>ΒΑΓΙΟΣ</t>
  </si>
  <si>
    <t>Ν920186</t>
  </si>
  <si>
    <t>904-920-919-903-902-917-921-916-918-922-901-934</t>
  </si>
  <si>
    <t>ΖΩΡΤΣΟΣ</t>
  </si>
  <si>
    <t>ΑΙ513397</t>
  </si>
  <si>
    <t>574,2</t>
  </si>
  <si>
    <t>892,2</t>
  </si>
  <si>
    <t>904-920-903-921-902-917-901-918-919-922-927-898-900-912-911-910-909-908-930-907-928-929-933-914</t>
  </si>
  <si>
    <t>ΑΧΤΑΡΙΔΗΣ</t>
  </si>
  <si>
    <t>ΑΒ923918</t>
  </si>
  <si>
    <t>891,7</t>
  </si>
  <si>
    <t>ΚΩΤΟΥΛΑΣ</t>
  </si>
  <si>
    <t>Ν843476</t>
  </si>
  <si>
    <t>933-914-928</t>
  </si>
  <si>
    <t>ΞΑΝΘΗ</t>
  </si>
  <si>
    <t>ΑΖ426392</t>
  </si>
  <si>
    <t>928-905-906-929-933-914-921-898-899-900-901-902-903-904-907-908-909-910-911-912-913-917-916-918-919-920-922-925-927-934-939-941-942</t>
  </si>
  <si>
    <t>ΔΙΑΜΑΝΤΟΠΟΥΛΟΣ</t>
  </si>
  <si>
    <t>ΑΑ314783</t>
  </si>
  <si>
    <t>887,7</t>
  </si>
  <si>
    <t>ΕΥΜΟΡΦΙΑ</t>
  </si>
  <si>
    <t>Χ328779</t>
  </si>
  <si>
    <t>887,5</t>
  </si>
  <si>
    <t>785-786-787-788-789-790-791-792-793-794-795-796-916-917-918-919-920-921-922</t>
  </si>
  <si>
    <t>ΒΑΤΖΟΛΑ</t>
  </si>
  <si>
    <t xml:space="preserve">ΑΝΑΣΤΑΣΙΑ </t>
  </si>
  <si>
    <t>Μ696321</t>
  </si>
  <si>
    <t>941-908-909-910-911-912</t>
  </si>
  <si>
    <t>ΒΑΣΙΛΤΣΟΒΑ</t>
  </si>
  <si>
    <t>ΒΙΚΤΩΡΙΑ</t>
  </si>
  <si>
    <t>ΑΕ216227</t>
  </si>
  <si>
    <t>882,5</t>
  </si>
  <si>
    <t>ΘΕΟΦΑΝΟΥΔΗΣ</t>
  </si>
  <si>
    <t>ΔΗΜΑΚΟΣ</t>
  </si>
  <si>
    <t>ΑΗ419975</t>
  </si>
  <si>
    <t>906-941-939</t>
  </si>
  <si>
    <t>ΜΙΧΕΛΙΟΥΔΑΚΗ</t>
  </si>
  <si>
    <t>ΑΕ086371</t>
  </si>
  <si>
    <t>880,5</t>
  </si>
  <si>
    <t>917-920-921-919-918-916-922-901-904-903-933-934-928-908-909-910-912</t>
  </si>
  <si>
    <t>ΚΑΜΠΟΣΟΥ</t>
  </si>
  <si>
    <t>ΚΑΛΙΟΠΗ</t>
  </si>
  <si>
    <t>ΛΟΥΛΟΥΔΗΣ</t>
  </si>
  <si>
    <t>Χ386174</t>
  </si>
  <si>
    <t>923-924-940-908-909-910-911-912-939-932-938-941-942-913-926-925-915-935-933-931-929-906-905-914-928-934-927-901-902-903-904-916-917-918-919-920-921-922-898-899-900-907-930</t>
  </si>
  <si>
    <t>ΞΕΝΙΔΟΥ</t>
  </si>
  <si>
    <t>ΑΚ434372</t>
  </si>
  <si>
    <t>911-908</t>
  </si>
  <si>
    <t>ΤΑΓΚΑΛΑΚΗ</t>
  </si>
  <si>
    <t>ΑΖ521044</t>
  </si>
  <si>
    <t>920-919-921-901-917-916-904-918-934</t>
  </si>
  <si>
    <t>ΚΟΥΤΣΟΥΚΟΥ</t>
  </si>
  <si>
    <t>ΑΕ255567</t>
  </si>
  <si>
    <t>ΜΑΡΙΑ ΕΙΡΗΝΗ</t>
  </si>
  <si>
    <t>ΑΗ464234</t>
  </si>
  <si>
    <t>907-930-941-942-910-911-908-912-909-939-927-928-933-931-932-925-926-929-938-940-903-900-899-902-901-904-923-924-916-920-921-922-917-919-918</t>
  </si>
  <si>
    <t>ΤΣΑΚΩΤΑ</t>
  </si>
  <si>
    <t>ΑΒ726545</t>
  </si>
  <si>
    <t>913-938-932-911-939-908-909-940-941-942-910-912-925-923-926-927-924-931-914-915-933-934-935-928-906-905-930-907-898-899-900-901-902-903-904-916-917-918-919-920-921-922-929</t>
  </si>
  <si>
    <t>ΧΑΡΙΤΙΔΗ</t>
  </si>
  <si>
    <t>ΑΝΤΙΓΟΝΗ</t>
  </si>
  <si>
    <t>ΑΖ027146</t>
  </si>
  <si>
    <t>901-902-903-904-916-917-918-919-920-921-922-931-909-910-911-912-913-914-898-899-900-925-927-929-934-939-941-942-937-928</t>
  </si>
  <si>
    <t>ΑΗ948271</t>
  </si>
  <si>
    <t>899-900-898-901-902-903-904-916-917-918-919-920-921-922-927-908-909-910-911-912-939-936-941-937-942-930-934-928-929-933-913-914-938</t>
  </si>
  <si>
    <t>ΚΑΣΤΡΙΝΟΥ</t>
  </si>
  <si>
    <t>ΙΦΙΓΕΝΕΙΑ</t>
  </si>
  <si>
    <t>ΑΒ420963</t>
  </si>
  <si>
    <t>722,7</t>
  </si>
  <si>
    <t>872,7</t>
  </si>
  <si>
    <t>801-784-782-781-780-779-778-814-813-800-774-773-770-768-769-783-787-786-794-796-795-793-788-792-791-790-789-785-759-758-757-760-764-765-756-754-755-752-805-772-751-753-777-776-775-803-802-928-929-933-914-911-908-909-910-912-934-926-925-918-921-917-922-920-916-919-903-901-902-904-913-900-899-927-898-907</t>
  </si>
  <si>
    <t>Π337770</t>
  </si>
  <si>
    <t>871,2</t>
  </si>
  <si>
    <t>757-759-758-764-786-787-788-794-796-789-901-903-918-921</t>
  </si>
  <si>
    <t>ΚΑΡΥΠΙΔΟΥ</t>
  </si>
  <si>
    <t>ΕΛΠΙΔΑ</t>
  </si>
  <si>
    <t>ΑΗ160121</t>
  </si>
  <si>
    <t>908-909-910-911-912-923-924</t>
  </si>
  <si>
    <t>ΑΡΧΟΝΤΙΔΟΥ</t>
  </si>
  <si>
    <t>ΙΣΑΑΚ</t>
  </si>
  <si>
    <t>Τ468530</t>
  </si>
  <si>
    <t>869,3</t>
  </si>
  <si>
    <t>932-908-909-910-911-912-918-923-924-931-928-930</t>
  </si>
  <si>
    <t>ΚΟΝΤΟΣ</t>
  </si>
  <si>
    <t>ΑΑ122077</t>
  </si>
  <si>
    <t>901-902-903-908-904-909-910-911-912-916-917-918-919-920-921-922-905-898-899-900-925-928-933-934-924-926-927-914-907-913-930</t>
  </si>
  <si>
    <t>ΓΑΡΝΑΒΟΣ</t>
  </si>
  <si>
    <t>ΑΜ506270</t>
  </si>
  <si>
    <t>930-918-901-903-904-927-917-922-919-921-920-908-911-910-909-912-898-899-900-907-928-933-914</t>
  </si>
  <si>
    <t>ΚΟΝΟΜΟΥ</t>
  </si>
  <si>
    <t>Ν586411</t>
  </si>
  <si>
    <t>919-917-904</t>
  </si>
  <si>
    <t>ΔΕΡΤΙΛΗ</t>
  </si>
  <si>
    <t>ΑΚ119778</t>
  </si>
  <si>
    <t>922-920-921-916-919-918-917-902-903-904-901</t>
  </si>
  <si>
    <t>ΨΩΜΙΑΔΟΥ</t>
  </si>
  <si>
    <t>ΑΒ729170</t>
  </si>
  <si>
    <t>929-915-911-908-933-935-931-913-907-898-900-899-906-905-932-927-928-925-926-924-923-941-940-938</t>
  </si>
  <si>
    <t>ΤΟΣΚΑ</t>
  </si>
  <si>
    <t>ΕΥΡΟΣΥΝΗ</t>
  </si>
  <si>
    <t>ΑΙ313082</t>
  </si>
  <si>
    <t>ΚΟΥΡΚΟΥΤΑ</t>
  </si>
  <si>
    <t>ΑΕ334610</t>
  </si>
  <si>
    <t>926-925-915-911-910-908-909-912-929-913-907-935-933-934-901-918-920-917-919-904-902-903-914-916-930-927-921-898-900-899-906-905-932-931-924</t>
  </si>
  <si>
    <t>ΞΕΠΛΑΤΗ</t>
  </si>
  <si>
    <t>ΧΡΥΣΑΥΓΗ</t>
  </si>
  <si>
    <t>Φ341143</t>
  </si>
  <si>
    <t>860,5</t>
  </si>
  <si>
    <t>934-813-801-914-929-928-770-784-933-769-768-900-899</t>
  </si>
  <si>
    <t>ΜΠΑΜΠΑΡΟΥΤΣΗΣ</t>
  </si>
  <si>
    <t>ΑΜ502218</t>
  </si>
  <si>
    <t>804,1</t>
  </si>
  <si>
    <t>860,1</t>
  </si>
  <si>
    <t>904-903-916-917-918-919-920-921-922-902-901-927-934-908-910-911-912-909-899-900-929-907</t>
  </si>
  <si>
    <t>ΚΩΝΣΤΑΝΤΟΠΟΥΛΟΣ</t>
  </si>
  <si>
    <t>ΟΘΩΝΑΣ</t>
  </si>
  <si>
    <t>Χ530716</t>
  </si>
  <si>
    <t>906-914-913-916-922-925-933-934-899-900-939-932-931-938-942-929-918-919-911-903-915-917-924-928</t>
  </si>
  <si>
    <t>ΦΑΛΙΑΓΚΑ</t>
  </si>
  <si>
    <t>ΑΜΑΛΙΑ</t>
  </si>
  <si>
    <t>ΑΙ322858</t>
  </si>
  <si>
    <t>898-899-900-901-902-903-914-905-906-907-908-909-910-911-912-913-915-916-917-918-919-920-921-922-923-924-925-926-927-928-929-930-931-932-933-934-935-938-939-940-941</t>
  </si>
  <si>
    <t>ΜΑΡΚΑΚΗΣ</t>
  </si>
  <si>
    <t>Ρ075602</t>
  </si>
  <si>
    <t>934-921-913-918-903-927-928-929-901-900-933-904-916-919-911-908-939-941-920-907</t>
  </si>
  <si>
    <t>ΜΠΙΤΝΕΡ</t>
  </si>
  <si>
    <t>ΣΑΜΠΙΝΕ</t>
  </si>
  <si>
    <t>ΟΥΒΕ ΡΑΙΝΧΑΡΤ</t>
  </si>
  <si>
    <t>ΑΜ691615</t>
  </si>
  <si>
    <t>908-911</t>
  </si>
  <si>
    <t>ΠΑΠΑΝΑΣΤΑΣΙΟΥ</t>
  </si>
  <si>
    <t>ΣΤΥΛΙΑΝΗ</t>
  </si>
  <si>
    <t>Τ 795666</t>
  </si>
  <si>
    <t>933-928-914-929</t>
  </si>
  <si>
    <t>ΑΜ311830</t>
  </si>
  <si>
    <t>775-776-777-880-907-881-803-802-757-758-759-760-764-765-785-796-901-902-903-904-916-917-918-919-920-921-922-780-781-782-814-908-909-910-911-912-813-934-753-754-755-756-898-899-900-772-927-768-769-770-751-752-805-929-928-801-773-774-797-798-783-913-906-812-804-806-930-886-763-809-807-931-799-923-924-933-762-932-811-925-926-800-915-771-935-905</t>
  </si>
  <si>
    <t>ΧΑΤΖΗΠΟΛΙΖΗΣ</t>
  </si>
  <si>
    <t>Χ746584</t>
  </si>
  <si>
    <t>Χ681204</t>
  </si>
  <si>
    <t>901-903-902-904-916-917-918-921-922-919-920</t>
  </si>
  <si>
    <t>ΚΑΡΑΝΑΣΟΣ</t>
  </si>
  <si>
    <t>ΑΒ498160</t>
  </si>
  <si>
    <t>904-918-922-901-902-903-917-919-921-920-916-934</t>
  </si>
  <si>
    <t>ΠΡΑΞΙΤΕΛΟΥΣ</t>
  </si>
  <si>
    <t>ΑΗ997427</t>
  </si>
  <si>
    <t>927-918-917-919-922-921-920-916-904-901-899-902-903-898-900-907-934-929-909-910-911-912-908-939-930-932-906-933-928-924-923-940-914-913-925-926-931-938-935-941-905-942</t>
  </si>
  <si>
    <t>ΑΞΙΩΤΗΣ</t>
  </si>
  <si>
    <t>Χ036663</t>
  </si>
  <si>
    <t>ΚΕΛΕΜΙΔΗΣ</t>
  </si>
  <si>
    <t>ΑΗ417162</t>
  </si>
  <si>
    <t>906-905-931-908-911-918-921-900-901-903-929-927-928-914-917-920-919-922-909-910-912-907-925-926-932-933-899-902-915-939-941-930-942</t>
  </si>
  <si>
    <t>Θεοδωρόπουλος</t>
  </si>
  <si>
    <t>Σ371349</t>
  </si>
  <si>
    <t>899-900-898-927-916-917-918-919-920-921-922</t>
  </si>
  <si>
    <t>ΚΟΥΛΗ</t>
  </si>
  <si>
    <t>ΑΜ383977</t>
  </si>
  <si>
    <t>935-908-909-910-911-912-929-928-925-926</t>
  </si>
  <si>
    <t>Χ592948</t>
  </si>
  <si>
    <t>901-902-903-904-768-769-770-916-917-918-919-920-921-922-755-758-760-761-764-765-785-786-787-788-789-790-791-792-793-794-795-796</t>
  </si>
  <si>
    <t>BENETH</t>
  </si>
  <si>
    <t>ΑΕ542377</t>
  </si>
  <si>
    <t>920-901-904-917-918-919-922-921-916-903-902</t>
  </si>
  <si>
    <t>ΚΑΡΑΓΚΙΟΖΙΔΟΥ</t>
  </si>
  <si>
    <t>ΑΕ875495</t>
  </si>
  <si>
    <t>906-913-905-931-932-908-911-909-910-912-924-901-903-918-921-916-917-919-920-922-928-929-933-934-927-900-898-899-907-914-915-935</t>
  </si>
  <si>
    <t>ΠΙΠΙΛΑ</t>
  </si>
  <si>
    <t>ΑΒ862798</t>
  </si>
  <si>
    <t>830,4</t>
  </si>
  <si>
    <t>929-928-925-926-933-934-914-908-911-909-910-912-939-941-942-901-903-921-918-902-904-916-917-919-920-922-907-927</t>
  </si>
  <si>
    <t>ΧΡΙΣΤΟΔΟΥΛΟΥ</t>
  </si>
  <si>
    <t>ΑΒ668655</t>
  </si>
  <si>
    <t>718,3</t>
  </si>
  <si>
    <t>830,3</t>
  </si>
  <si>
    <t>901-903-904-917-918-919-920-921-922-902</t>
  </si>
  <si>
    <t>Χ747283</t>
  </si>
  <si>
    <t>ΜΕΛΑΜΠΙΑΝΑΚΗ</t>
  </si>
  <si>
    <t>ΑΑ374571</t>
  </si>
  <si>
    <t>828,3</t>
  </si>
  <si>
    <t>776-777-778-779-780-781-782-907-908-909-910-911-912</t>
  </si>
  <si>
    <t>ΚΑΜΝΟΡΟΚΑ</t>
  </si>
  <si>
    <t>ΑΖ674662</t>
  </si>
  <si>
    <t>ΔΗΜΟΥΛΑΚΗ</t>
  </si>
  <si>
    <t>ΑΜ405255</t>
  </si>
  <si>
    <t>841-838-840-839-842-835-837-836-911-908-923-909-910-912</t>
  </si>
  <si>
    <t>ΒΑΣΙΛΕΙΟΥ</t>
  </si>
  <si>
    <t>ΚΛΕΟΠΑΤΡΑ</t>
  </si>
  <si>
    <t>ΑΒ367990</t>
  </si>
  <si>
    <t>781-782-908-911-778-779-780-909-910-912-939-808-814-799-940-941-924-923-773-801-783-807-811-913-925-928-938-809-914-929-931-933-784-800-926-935-762-763-774-797-798-802-803-804-805-751-752-753-754-755-756-757-758-759-760-764-765-766-767-768-769-770-772-775-776-777-785-786-787-788-789-790-791-792-793-794-795-796-806-810-812-813-898-899-900-901-902-903-904-905-907-906-915-916-917-918-920-921-922-927-930-934-936</t>
  </si>
  <si>
    <t>ΚΟΚΚΑΛΗ</t>
  </si>
  <si>
    <t>Χ150437</t>
  </si>
  <si>
    <t>744,7</t>
  </si>
  <si>
    <t>821,7</t>
  </si>
  <si>
    <t>903-904-919-916-917-918-920-921-922</t>
  </si>
  <si>
    <t>ΣΟΦΟΣ</t>
  </si>
  <si>
    <t>ΑΒ145725</t>
  </si>
  <si>
    <t>909-908-910-911-912-940-941-939-923-924-925-926-913-931-938-942</t>
  </si>
  <si>
    <t>ΠΑΠΑΘΕΟΧΑΡΗΣ</t>
  </si>
  <si>
    <t>ΑΗ623943</t>
  </si>
  <si>
    <t>815,1</t>
  </si>
  <si>
    <t>ΜΑΣΤΟΡΑΣ</t>
  </si>
  <si>
    <t>Α473129</t>
  </si>
  <si>
    <t>ΓΚΟΥΡΝΕΛΟΣ</t>
  </si>
  <si>
    <t>ΑΜ586844</t>
  </si>
  <si>
    <t>919-920-921-917-916-922-903-918-901-902-904</t>
  </si>
  <si>
    <t>ΜΑΡΓΑΡΙΤΑ</t>
  </si>
  <si>
    <t>ΑΙ756206</t>
  </si>
  <si>
    <t>898-899-900-927-901-902-903-904-919-916-917-918-920-921-922-934-908-909-910-911-912-913-928-930-929-907-914-915-925-926-931-933-935-932-923-924-905-906</t>
  </si>
  <si>
    <t>ΑΓΓΕΛΟΠΟΥΛΟΥ</t>
  </si>
  <si>
    <t>ΑΖ776637</t>
  </si>
  <si>
    <t>933-914-928-929-934-898-899-900-901-902-903-904-905-906-907-908-909-910-911-912-913-915-916-917-918-919-920-921-922-923-924-925-926-927-930-931-932-935-939-940</t>
  </si>
  <si>
    <t>ΔΡΙΓΓΑ</t>
  </si>
  <si>
    <t>Σ584689</t>
  </si>
  <si>
    <t>902-903-901-917</t>
  </si>
  <si>
    <t>ΤΣΑΜΠΡΙΝΟΥ</t>
  </si>
  <si>
    <t>Χ808411</t>
  </si>
  <si>
    <t>900-899-921-904-902-922-918-917-919-901-903-916-920-912-909-910-908-911-929-939-907-930-898</t>
  </si>
  <si>
    <t>ΜΑΜΑΛΗ</t>
  </si>
  <si>
    <t>ΑΕ711454</t>
  </si>
  <si>
    <t>749,1</t>
  </si>
  <si>
    <t>799,1</t>
  </si>
  <si>
    <t>898-899-900</t>
  </si>
  <si>
    <t>ΓΚΑΡΑΝΕ</t>
  </si>
  <si>
    <t>Χ915194</t>
  </si>
  <si>
    <t>928-929-914-933-926-925-934-908-909-910-911-912-927-913-915-907-906-899-900-898-901-902-903-904-916-917-918-919-920-921-922</t>
  </si>
  <si>
    <t>ΝΙΚΟΛΑΚΟΠΟΥΛΟΥ</t>
  </si>
  <si>
    <t>ΑΚ681234</t>
  </si>
  <si>
    <t>750,2</t>
  </si>
  <si>
    <t>792,2</t>
  </si>
  <si>
    <t>922-919-921-920-917-916-918-901-902-903-904</t>
  </si>
  <si>
    <t>ΛΕΠΤΟΚΑΡΙΔΗΣ</t>
  </si>
  <si>
    <t>ΑΡΧΙΜΗΔΗΣ</t>
  </si>
  <si>
    <t>ΑΚ316397</t>
  </si>
  <si>
    <t>720,5</t>
  </si>
  <si>
    <t>790,5</t>
  </si>
  <si>
    <t>882-884-885-886-887-888-889-890-891-892-893-894-895-896-751-752-753-754-755-756-757-758-759-760-761-763-764-765-766-767-768-771-772-773-774-775-776-777-778-779-780-781-782-783-784-785-786-789-790-791-793-794-796-797-798-799-801-802-803-804-806-807-808-809-810-812-813-814-815-817-818-820-821-823-825-826-827-828-829-830-831-832-834-835-836-837-838-839-840-843-942-938-939-937-936-941-863</t>
  </si>
  <si>
    <t>ΓΕΩΡΓΙΑΔΟΥ</t>
  </si>
  <si>
    <t>ΑΜ488062</t>
  </si>
  <si>
    <t>788,5</t>
  </si>
  <si>
    <t>929-934-914-928-933-901-903-918-921-920-922-919-917-916-904-927-930-908-911-902</t>
  </si>
  <si>
    <t>Χ956770</t>
  </si>
  <si>
    <t>926-925-933-929-928-914-924-932-930-907-912-909-908-910-911-940-935-915-913-899-900-916-903-919-922-920-917-918-921-904-901</t>
  </si>
  <si>
    <t>ΓΟΓΟΒΙΤΗΣ</t>
  </si>
  <si>
    <t>ΑΓΑΘΟΚΛΗΣ</t>
  </si>
  <si>
    <t>ΑΙ185289</t>
  </si>
  <si>
    <t>908-909-910-911-912-928-933-914-925-926-929-907-901-902-903-904-916-917-918-919-920-921-922-934-927-898-899-900</t>
  </si>
  <si>
    <t>ΠΑΠΑΔΗΜΗΤΡΙΟΥ</t>
  </si>
  <si>
    <t>ΑΕ835331</t>
  </si>
  <si>
    <t>786,5</t>
  </si>
  <si>
    <t>908-911-901-903-914-918-921-928-929</t>
  </si>
  <si>
    <t>ΚΑΛΟΓΗΡΟΥ</t>
  </si>
  <si>
    <t>ΑΜ781785</t>
  </si>
  <si>
    <t>909-908-910-911-912-928-929-925-926-898-899-900-913-914-915-933-927-934-931-932-923-924-935-916-917-918-919-920-921-922-901-902-903-904-905-906-930-907</t>
  </si>
  <si>
    <t>ΔΗΜΚΑΡΟΥ</t>
  </si>
  <si>
    <t>Χ771603</t>
  </si>
  <si>
    <t>592,9</t>
  </si>
  <si>
    <t>784,9</t>
  </si>
  <si>
    <t>941-774-773-800-814-784-805-813-925-926-783-801-907-913-914-928-929-933-934-751-752-753-754-755-756-768-769-770-772-775-776-777-802-803-898-899-900-923-924-927-931-932-935-938-936-940-762-763-766-767-771-797-798-799-807-808-809-810-811-812-804-905-906-915-778-779-780-781-782-909-910-911-912-908-939-757-758-759-760-764-765-785-786-787-788-789-790-791-792-793-794-795-796-806-901-902-903-904-916-917-918-919-920-921-922-930</t>
  </si>
  <si>
    <t>ΔΗΜΗΤΡΑΚΟΠΟΥΛΟΣ</t>
  </si>
  <si>
    <t>Ν560952</t>
  </si>
  <si>
    <t>900-899-898-927-916-917-918-919-920-921-922-901-902-903-904</t>
  </si>
  <si>
    <t>ΑΤΜΑΤΣΙΔΟΥ</t>
  </si>
  <si>
    <t>ΑΖ150950</t>
  </si>
  <si>
    <t>908-911-910-912-909-924-923-913-914</t>
  </si>
  <si>
    <t>ΡΗΓΑ</t>
  </si>
  <si>
    <t>ΑΗ710695</t>
  </si>
  <si>
    <t>934-924-913-898-899-900-917-918-921-919-920-922-916-903-901-904-902-927-930-908-911-909-910-912-928-933-915-914-907-941-942-923-940-931-932-935-905-906</t>
  </si>
  <si>
    <t>ΚΥΡΟΥ</t>
  </si>
  <si>
    <t>ΤΡΙΑΝΤΑΦΥΛΛΟΣ</t>
  </si>
  <si>
    <t>ΑΜ850121</t>
  </si>
  <si>
    <t>925-926-912-909-911-908-910-907-906-913-915-928-935-932-898-899-900-901-902-903-904-905-914-916-917-918-919-920-921-922-923-924-927-929-930-931-933-934</t>
  </si>
  <si>
    <t>ΚΑΠΛΑΝ - ΑΣΛΑΝΙΔΗ</t>
  </si>
  <si>
    <t>ΑΕ097046</t>
  </si>
  <si>
    <t>901-902-903-904-916-917-918-919-920-921-922-923</t>
  </si>
  <si>
    <t>ΜΑΚΑΡΙΑΔΟΥ</t>
  </si>
  <si>
    <t>ΑΕ494801</t>
  </si>
  <si>
    <t>901-902-903-904-916-917-918-919-920-921-922-930-934</t>
  </si>
  <si>
    <t>ΜΠΑΚΑΤΣΕΛΟΥ</t>
  </si>
  <si>
    <t>Σ222027</t>
  </si>
  <si>
    <t>921-903-901-918</t>
  </si>
  <si>
    <t>ΟΙΚΟΝΟΜΟΠΟΥΛΟΣ</t>
  </si>
  <si>
    <t>Λ852580</t>
  </si>
  <si>
    <t>773,3</t>
  </si>
  <si>
    <t>ΦΑΜΕΛΟΣ</t>
  </si>
  <si>
    <t>ΑΜ080154</t>
  </si>
  <si>
    <t>666,6</t>
  </si>
  <si>
    <t>771,6</t>
  </si>
  <si>
    <t>ΣΥΜΕΩΝΙΔΟΥ</t>
  </si>
  <si>
    <t>Σ822217</t>
  </si>
  <si>
    <t>ΒΛΟΝΤΑΚΗ</t>
  </si>
  <si>
    <t>ΑΗ099901</t>
  </si>
  <si>
    <t>920-901-902-903-904-916-917-918-919-921-922</t>
  </si>
  <si>
    <t>ΑΓΑΤΖΑΝΙΑΝ</t>
  </si>
  <si>
    <t>ΑΡΜΕΝ</t>
  </si>
  <si>
    <t>ΣΙΜΟΝ</t>
  </si>
  <si>
    <t>ΑΚ580775</t>
  </si>
  <si>
    <t>920-900-921-922-917-919-916</t>
  </si>
  <si>
    <t>ΣΥΡΙΩΤΗΣ</t>
  </si>
  <si>
    <t>ΑΗ089487</t>
  </si>
  <si>
    <t>917-916-919-921-901-920</t>
  </si>
  <si>
    <t>ΝΑΚΑΣ</t>
  </si>
  <si>
    <t>Μ548180</t>
  </si>
  <si>
    <t>767,6</t>
  </si>
  <si>
    <t>900-918-921-903-898-899-904-916-917-922-930-934-927-929</t>
  </si>
  <si>
    <t>ΑΙ772367</t>
  </si>
  <si>
    <t>ΓΙΟΡΟΥΚΗ</t>
  </si>
  <si>
    <t>Σ006805</t>
  </si>
  <si>
    <t>764,5</t>
  </si>
  <si>
    <t>904-901-922-919-921-902-903-917-918-927-916-920</t>
  </si>
  <si>
    <t>ΚΑΜΠΟΥΡΗΣ</t>
  </si>
  <si>
    <t>ΑΙ537494</t>
  </si>
  <si>
    <t>918-921-916-920-917-919-922-901-904</t>
  </si>
  <si>
    <t>ΑΖ179503</t>
  </si>
  <si>
    <t>ΕΥΘΥΜΙΟΣ-ΚΩΝΣΤΑΝΤΙΝΟΣ</t>
  </si>
  <si>
    <t>ΑΖ998601</t>
  </si>
  <si>
    <t>777-778-779-780-781-782-762-773-774-764-785-757-758-759-760-761-786-787-788-789-790-792-791-793-794-796-795-939-941-942</t>
  </si>
  <si>
    <t>ΓΙΑΚΕΙΜΙΔΟΥ</t>
  </si>
  <si>
    <t>Χ315857</t>
  </si>
  <si>
    <t>938-931-913-908-909-910-911-912</t>
  </si>
  <si>
    <t xml:space="preserve"> 931- 938</t>
  </si>
  <si>
    <t>ΜΠΟΥΡΔΟΥΒΑΛΗ</t>
  </si>
  <si>
    <t>ΑΗ222821</t>
  </si>
  <si>
    <t>ΧΑΤΖΗΜΑΝΩΛΗ</t>
  </si>
  <si>
    <t>Χ174801</t>
  </si>
  <si>
    <t>901-757-903-759-918-921-794-796-787-786-764</t>
  </si>
  <si>
    <t>ΝΤΑΛΛΑ</t>
  </si>
  <si>
    <t>ΑΒ267173</t>
  </si>
  <si>
    <t>921-918-916-917-919-920-922-901-903-904</t>
  </si>
  <si>
    <t>ΓΚΟΥΒΙΤΣΟΥ</t>
  </si>
  <si>
    <t>ΒΑΣΙΛΙΚΗ-ΜΑΡΙΑ</t>
  </si>
  <si>
    <t>Ρ789766</t>
  </si>
  <si>
    <t>898-899-900-901-915-930</t>
  </si>
  <si>
    <t>ΦΩΤΑΚΗΣ</t>
  </si>
  <si>
    <t>ΑΜ603491</t>
  </si>
  <si>
    <t>918-903-921-901-927-911-908-929-928-900-934-914-920-922-916-917-919-902-904-907-910-912-933</t>
  </si>
  <si>
    <t>ΑΜΑΝΕ</t>
  </si>
  <si>
    <t>ΑΚ910850</t>
  </si>
  <si>
    <t>908-909-910-911-912-923-924-932-913-915-929-925-926</t>
  </si>
  <si>
    <t>ΓΑΛΙΑΔΟΥ</t>
  </si>
  <si>
    <t>900-899-911-908-909-918-921-916-920-907</t>
  </si>
  <si>
    <t>ΡΑΚΟΒΑΛΗ</t>
  </si>
  <si>
    <t>ΑΙ338070</t>
  </si>
  <si>
    <t>ΓΚΑΖΕΠΗΣ</t>
  </si>
  <si>
    <t>ΑΖ158419</t>
  </si>
  <si>
    <t>910-911-909-908-912-913-923-924-929-928-932-907-906-931-905-915-914-933-927-925-926-938-939-940-941-942-916-917-918-919-920-921-922-901-902-903-904-898-899-900-934-935</t>
  </si>
  <si>
    <t>ΣΑΡΑΝΤΙΔΗ</t>
  </si>
  <si>
    <t>ΑΚ524139</t>
  </si>
  <si>
    <t>724,9</t>
  </si>
  <si>
    <t>ΠΑΠΑΝΤΩΝΙΟΥ</t>
  </si>
  <si>
    <t>ΑΚ817541</t>
  </si>
  <si>
    <t>920-916-904-901-917-918-921-922-907</t>
  </si>
  <si>
    <t>ΦΑΝΑΡΙΤΗ</t>
  </si>
  <si>
    <t>ΑΚΡΙΒΗ</t>
  </si>
  <si>
    <t>ΑΖ703593</t>
  </si>
  <si>
    <t>ΜΠΑΡΖΟΣ</t>
  </si>
  <si>
    <t>ΑΒ537224</t>
  </si>
  <si>
    <t>901-902-903-904-920-921-922-917-919-918-916-900-899-898-928-933-929-906-905-934-927-912-911-910-909-908-939-914-907-915-926-925-913-924-923-940-938-931-932-935-941-942-930</t>
  </si>
  <si>
    <t>ΑΝΑΣΤΑΣΟΠΟΥΛΟΣ</t>
  </si>
  <si>
    <t>ΣΤΑΥΡ</t>
  </si>
  <si>
    <t>Χ056958</t>
  </si>
  <si>
    <t>903-921-917-918-916-920-902-922-919-901-904-927</t>
  </si>
  <si>
    <t>ΧΑΤΖΗΒΑΣΙΛΗ</t>
  </si>
  <si>
    <t>ΑΒ973119</t>
  </si>
  <si>
    <t>709,5</t>
  </si>
  <si>
    <t>ΑΑ419581</t>
  </si>
  <si>
    <t>ΣΙΓΟΥΡΑ</t>
  </si>
  <si>
    <t>ΑΕ324531</t>
  </si>
  <si>
    <t>929-912-909-911-910-908-904-903-902-901-921-922-917-918-919-920-925-926-934-928-933-914-924-923-913-938-932-927-907-915-941-899-900-898-931-935-906-905-930</t>
  </si>
  <si>
    <t>ΜΟΥΖΑΚΑ</t>
  </si>
  <si>
    <t>ΑΚ810874</t>
  </si>
  <si>
    <t>ΜΑΓΚΛΗ</t>
  </si>
  <si>
    <t>ΑΝΔΡΙΑΝΑ</t>
  </si>
  <si>
    <t>ΑΒ020433</t>
  </si>
  <si>
    <t>901-917-916-904-918-921-920-922-919-903-902-927-898-899-900-933-929</t>
  </si>
  <si>
    <t>ΧΑΤΖΗΣ</t>
  </si>
  <si>
    <t>Χ972950</t>
  </si>
  <si>
    <t>700,7</t>
  </si>
  <si>
    <t>ΣΑΛΑΣΙΔΗ</t>
  </si>
  <si>
    <t>ΑΑ037182</t>
  </si>
  <si>
    <t>761-794-795-796-788-789-787-786-793-785-790-791-757-759-758-792-901-902-903-904-916-917-918-919-920-921-922</t>
  </si>
  <si>
    <t>ΣΦΑΚΙΑΝΑΚΗ</t>
  </si>
  <si>
    <t>ΑΖ621113</t>
  </si>
  <si>
    <t>ΚΟΤΖΑΜΠΑΣΗΣ</t>
  </si>
  <si>
    <t>ΑΗ478664</t>
  </si>
  <si>
    <t>ΚΑΡΑΛΙΒΑΝΟΥ</t>
  </si>
  <si>
    <t xml:space="preserve">ΣΤΥΛΙΑΝΗ </t>
  </si>
  <si>
    <t>ΑΖ803443</t>
  </si>
  <si>
    <t>684,5</t>
  </si>
  <si>
    <t>ΠΕΡΒΟΛΑΡΗΣ</t>
  </si>
  <si>
    <t>ΑΑ362083</t>
  </si>
  <si>
    <t>911-910-908-909-912-904-903-917-922-920</t>
  </si>
  <si>
    <t>ΚΕΦΑΛΑΣ</t>
  </si>
  <si>
    <t>ΑΛΚΙΒΙΑΔΗΣ</t>
  </si>
  <si>
    <t>ΑΙ335826</t>
  </si>
  <si>
    <t>915-926-925-935-908-911-914-929-928-934-932-900-901-903-918-921-927-906-939-910-912-909-933-923-931-940-899-898-904-916-917-919-920-922-902-907-905</t>
  </si>
  <si>
    <t>ΟΜΟΥΡΤΖΑΝΗ</t>
  </si>
  <si>
    <t>ΑΙ675604</t>
  </si>
  <si>
    <t>665,5</t>
  </si>
  <si>
    <t>908-911-909-910-912-901-903-918-921-902-904-916-917-919-920-922-927-900-898-899-929-928-934-907-933-914-925-926</t>
  </si>
  <si>
    <t>664,7</t>
  </si>
  <si>
    <t>ΜΠΑΛΤΖΟΠΟΥΛΟΣ</t>
  </si>
  <si>
    <t>ΑΑ406149</t>
  </si>
  <si>
    <t>924-923-940-941-942-913-912-911-910-909-908-929-932-935-928-931-926-927-933-934-930-914-915-898-899-900-907-905-906-901-902-903-904-916-917-918-919-921-922</t>
  </si>
  <si>
    <t>ΚΑΛΦΟΥΝΤΖΟΣ</t>
  </si>
  <si>
    <t>Ρ 775896</t>
  </si>
  <si>
    <t>906-914-927-928-929-932-934-900-913-924</t>
  </si>
  <si>
    <t>ΜΑΚΚΑ</t>
  </si>
  <si>
    <t>Φ239386</t>
  </si>
  <si>
    <t>901-902-903-904-917-916-918-920-919-921-922-934-929-933-898-899-900-914-927-928</t>
  </si>
  <si>
    <t>Χ879543</t>
  </si>
  <si>
    <t>910-908-911-909-912-939-915-932-940-923-924-913-926-925-938-931-928-906-914-933-905-929-941-942-935-934-901-903-917-920-919-916-918-921-922-902-904-898-899-900-927-907-930</t>
  </si>
  <si>
    <t>ΧΟΥΡΜΟΥΖΙΟΣ</t>
  </si>
  <si>
    <t>ΔΟΡΥΛΑΙΟΣ</t>
  </si>
  <si>
    <t>ΑΚ941052</t>
  </si>
  <si>
    <t>908-911-933-934-929-928-914-900-901-903</t>
  </si>
  <si>
    <t>ΑΝΔΡΙΤΣΟΠΟΥΛΟΥ</t>
  </si>
  <si>
    <t>ΑΕ302278</t>
  </si>
  <si>
    <t>920-917-921-919-918-916-904-922-903-901</t>
  </si>
  <si>
    <t>ΜΠΑΡΤΖΗ</t>
  </si>
  <si>
    <t>ΒΛΑΣΙΟΣ</t>
  </si>
  <si>
    <t>Φ282494</t>
  </si>
  <si>
    <t>927-751-752-816-765-764-785-786-787-788-789-790-791-792-793-794-795-796-916-917-918-919-920-921-922-815-757-758-759-760-761-820-821-901-902-903-904-929</t>
  </si>
  <si>
    <t>ΚΩΝΣΤΑΝΤΟΠΟΥΛΟΥ</t>
  </si>
  <si>
    <t>Χ692722</t>
  </si>
  <si>
    <t>786-787-759-764-765-785-757-758-788-789-791-794-795-796-916-917-919-921-922</t>
  </si>
  <si>
    <t>ΒΕΔΟΥΡΑΣ</t>
  </si>
  <si>
    <t>ΑΑ081726</t>
  </si>
  <si>
    <t>ΜΑΥΡΕΑΣ</t>
  </si>
  <si>
    <t>ΑΑ122202</t>
  </si>
  <si>
    <t>906-932-925-935-940-941-942-905-924-923-926-938-907-913-939-930-911-910-909-908-912-915-929-928-927-933-934-914-931-900-899-898-901-902-903-904-916-917-918-919-920-921-922</t>
  </si>
  <si>
    <t>ΑΚΡΙΤΙΔΟΥ</t>
  </si>
  <si>
    <t>ΓΙΑΝΝΑ</t>
  </si>
  <si>
    <t>Φ227331</t>
  </si>
  <si>
    <t>913-938-932</t>
  </si>
  <si>
    <t>ΙΩΑΚΕΙΜ</t>
  </si>
  <si>
    <t>ΑΗ638848</t>
  </si>
  <si>
    <t>901-902-903-904-916-917-918-919-920-921-922-927-898-899-900-934-915-908-909-910-911-912-907-914-925-926-928-929-930-931-932-933-935-906-913</t>
  </si>
  <si>
    <t>ΜΠΟΚΑΡΗ</t>
  </si>
  <si>
    <t>ΑΕ980657</t>
  </si>
  <si>
    <t>917-921-918-916-919-920-922-904-903-901-902</t>
  </si>
  <si>
    <t>ΚΑΛΗΜΕΡΗ</t>
  </si>
  <si>
    <t>ΑΚ872395</t>
  </si>
  <si>
    <t>911-909-908-912-910-925-939-940-942-928-941-931-926-938-913-914-915-923-924-929-933-916-917-901-902-903-904-898-899-900-905-906-907-927-918-919-920-921-922</t>
  </si>
  <si>
    <t>ΣΟΥΛΤΟΓΙΑΝΝΗΣ</t>
  </si>
  <si>
    <t>ΑΚ328655</t>
  </si>
  <si>
    <t>586,3</t>
  </si>
  <si>
    <t>628,3</t>
  </si>
  <si>
    <t>909-910-911-912-908</t>
  </si>
  <si>
    <t>ΘΗΛΥΖΑΣ</t>
  </si>
  <si>
    <t>ΑΑ348738</t>
  </si>
  <si>
    <t>769-768-770-901-902-903-904-916-917-918-919-920-921-922-755-758-759-760-761-764-765-785-786-787-788-789-790-791-792-793-794-795-796</t>
  </si>
  <si>
    <t>ΜΑΝΟΥ</t>
  </si>
  <si>
    <t>ΑΚ412405</t>
  </si>
  <si>
    <t>901-902-904-907-908-909-910-911-912-914-916-917-918-919-920-921-922-925-926-928-933-903</t>
  </si>
  <si>
    <t>ΒΕΛΙΓΡΑΝΤΗΣ</t>
  </si>
  <si>
    <t>ΑΒ482963</t>
  </si>
  <si>
    <t>ΜΑΤΣΟΥΚΑΣ</t>
  </si>
  <si>
    <t>Ρ665990</t>
  </si>
  <si>
    <t>902-922-904-916-918-921-920-903-917-919-901</t>
  </si>
  <si>
    <t>ΚΑΡΑΦΛΟΥ</t>
  </si>
  <si>
    <t>Σ813908</t>
  </si>
  <si>
    <t>899-900</t>
  </si>
  <si>
    <t>ΑΖ043719</t>
  </si>
  <si>
    <t>916-901-902-903-904-917-918-919-920-921-922-927-933-898-899-900-928-907-908-909-910-911-912-915-913-914-923-924-925-926-929-930-931-932-934-935-905</t>
  </si>
  <si>
    <t>ΚΟΥΤΣΟΥΛΙΑΣ</t>
  </si>
  <si>
    <t>Φ348158</t>
  </si>
  <si>
    <t>900-901-903-906-908-911-914-918-921-927-928-929-932-934</t>
  </si>
  <si>
    <t>ΑΑ039621</t>
  </si>
  <si>
    <t>918-916-917-919-920-921-922-901-902-903-904-908-911-914-927-928-929-930-933-934-915-909-910-912-907-924-923</t>
  </si>
  <si>
    <t>ΖΗΣΑΚΗ</t>
  </si>
  <si>
    <t>ΣΜΑΡΑΓΔΑ</t>
  </si>
  <si>
    <t>ΑΖ067136</t>
  </si>
  <si>
    <t>ΒΑΖΗ</t>
  </si>
  <si>
    <t>ΑΙ305337</t>
  </si>
  <si>
    <t>ΑΛΒΑΝΟΣ</t>
  </si>
  <si>
    <t>ΝΑΟΥΜ</t>
  </si>
  <si>
    <t>ΑΙ462125</t>
  </si>
  <si>
    <t>918-921-903-901-916-919-922-920-907-926</t>
  </si>
  <si>
    <t>ΡΟΥΣΚΕΤΟΥ</t>
  </si>
  <si>
    <t>Χ100704</t>
  </si>
  <si>
    <t>898-899-900-901-902-903-904-907-908-909-910-911-912-914-916-917-918-919-920-921-922-925-926-927-928-929-933-934-939-941-942</t>
  </si>
  <si>
    <t>ΣΑΜΑΡΑΣ</t>
  </si>
  <si>
    <t>ΑΒ247934</t>
  </si>
  <si>
    <t>919-917-920-922-921-902-903-904-901-916-918</t>
  </si>
  <si>
    <t>ΤΣΑΝΤΟΠΟΥΛΟΥ</t>
  </si>
  <si>
    <t>ΣΩΤΗΡΙΑ</t>
  </si>
  <si>
    <t>ΑΜ755014</t>
  </si>
  <si>
    <t>901-902-903-904-916-922-917-918-919-920-921-898-899-900-939-933-941-942-929-928-927-914-907-913-915-923-924-940-925-926</t>
  </si>
  <si>
    <t>ΒΑΓΓΕΛΗΣ</t>
  </si>
  <si>
    <t>ΑΒ806284</t>
  </si>
  <si>
    <t>781-778-779-780-782-908-909-910-911-912-939-785-786-787-788-789-790-791-792-793-794-795-796-916-917-918-919-920-921-922-757-758-759-760-901-902-903-904-764-765-762-800-925-926-797-933-801-928-784-914-915-753-754-755-756-898-899-900-773-774-811-932-799-923-924-940-798-935-814-937-941-942-783-913-808-763-938-929-770-768-769-927-807-931-809-766-767-905-906-813-934-771-751-752-772-805-775-776-777-907-812-804-936-810-802-803-806-930</t>
  </si>
  <si>
    <t>ΣΥΓΚΟΥΝΑΣ</t>
  </si>
  <si>
    <t>ΑΕ755371</t>
  </si>
  <si>
    <t>934-929-928-914-900-927-911-908-921-918-903-901-907-925-926-933-898-899-909-910-912-917-916-919-920-922-904-902-924-906-913-939-941-935-915-931-932-938-930-905-923-940-942</t>
  </si>
  <si>
    <t>ΡΩΤΑ</t>
  </si>
  <si>
    <t>ΑΒ210578</t>
  </si>
  <si>
    <t>903-901-918-921-927-900-934-928-929-914-908-911-932-906-902-904-916-917-919-922-920-898-899-930-915-925-926-933-931-935-907-909-910-912-905-923</t>
  </si>
  <si>
    <t>ΑΥΓΕΡΙΝΑΚΟΣ</t>
  </si>
  <si>
    <t>ΛΟΥΚΑΣ</t>
  </si>
  <si>
    <t>ΑΖ593726</t>
  </si>
  <si>
    <t>ΒΕΡΓΟΥΛΗΣ</t>
  </si>
  <si>
    <t>ΑΗ084179</t>
  </si>
  <si>
    <t>918-921-901</t>
  </si>
  <si>
    <t>ΧΡΕΒΑΤΙΔΟΥ</t>
  </si>
  <si>
    <t>Φ469213</t>
  </si>
  <si>
    <t>926-925-915-907-930-929-933-928</t>
  </si>
  <si>
    <t>ΘΩΜΑΪΔΗ</t>
  </si>
  <si>
    <t>ΕΥΡΩΠΗ</t>
  </si>
  <si>
    <t>ΑΑ238204</t>
  </si>
  <si>
    <t>ΤΕΜΠΟΝΕΡΑΣ</t>
  </si>
  <si>
    <t>ΠΑΝΑΓΙΩΤΗΣ-ΚΩΝΣΤΑΝΤΙΝΟΣ</t>
  </si>
  <si>
    <t>ΑΕ220762</t>
  </si>
  <si>
    <t>544,5</t>
  </si>
  <si>
    <t>753-754-755-756-892-927-900-899-898</t>
  </si>
  <si>
    <t>ΕΞΗΝΤΑΒΕΛΩΝΗΣ</t>
  </si>
  <si>
    <t>ΑΒ792189</t>
  </si>
  <si>
    <t>921-918-903-920-922-919-917-902-916-904-901</t>
  </si>
  <si>
    <t>1:ΒΑΣΙΚΟΣ ΤΙΤΛΟΣ</t>
  </si>
  <si>
    <t>2:ΔΙΠΛΩΜΑ ΟΕΕΚ ή ΔΕΥΤΕΡΟΣ ΤΙΤΛΟΣ</t>
  </si>
  <si>
    <t>3:ΑΓΓΛΙΚΑ</t>
  </si>
  <si>
    <t>4:ΓΑΛΛΙΚΑ</t>
  </si>
  <si>
    <t>5:ΓΕΡΜΑΝΙΚΑ</t>
  </si>
  <si>
    <t>6:ΙΤΑΛΙΚΑ</t>
  </si>
  <si>
    <t>7:ΙΣΠΑΝΙΚΑ</t>
  </si>
  <si>
    <t>8:ΡΩΣΙΚΑ</t>
  </si>
  <si>
    <t>9:ΑΛΛΗ ΓΛΩΣΣΑ 2</t>
  </si>
  <si>
    <t>10:ΑΛΛΗ ΓΛΩΣΣΑ 1</t>
  </si>
  <si>
    <t>11:ΑΡΙΘΜΟΣ ΜΗΝΩΝ ΕΜΠΕΙΡΙΑΣ</t>
  </si>
  <si>
    <t>12:ΜΟΝΑΔΕΣ ΓΙΑ ΤΗΝ ΕΜΠΕΙΡΙΑ</t>
  </si>
  <si>
    <t>13:ΚΩΔΙΚΟΣ ΕΝΤΟΠΙΟΤΗΤΑΣ (8 ΨΥΧΙΑΤΡΙΚΕΣ ΔΟΜΕΣ, ΕΚΑ - 50% ΑΝΔΡΩΝ)</t>
  </si>
  <si>
    <t>14:ΚΩΔ. ΘΕΣΗΣ ΓΙΑ ΤΗΝ ΕΝΤΟΠΙΟΤΗΤΑ</t>
  </si>
  <si>
    <t>15:ΠΟΛΥΤΕΚΝΟΣ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</si>
</sst>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831"/>
  <sheetViews>
    <sheetView tabSelected="1" workbookViewId="0"/>
  </sheetViews>
  <sheetFormatPr defaultRowHeight="15" x14ac:dyDescent="0.25"/>
  <sheetData>
    <row r="1" spans="1:23" x14ac:dyDescent="0.25">
      <c r="A1" t="s">
        <v>0</v>
      </c>
    </row>
    <row r="2" spans="1:23" x14ac:dyDescent="0.25">
      <c r="A2" t="s">
        <v>1</v>
      </c>
    </row>
    <row r="3" spans="1:23" x14ac:dyDescent="0.25">
      <c r="A3" t="s">
        <v>2</v>
      </c>
    </row>
    <row r="4" spans="1:23" x14ac:dyDescent="0.25">
      <c r="A4" t="s">
        <v>3</v>
      </c>
    </row>
    <row r="5" spans="1:23" x14ac:dyDescent="0.25">
      <c r="A5" t="s">
        <v>4</v>
      </c>
    </row>
    <row r="7" spans="1:23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 t="s">
        <v>12</v>
      </c>
    </row>
    <row r="8" spans="1:23" x14ac:dyDescent="0.25">
      <c r="A8">
        <v>1</v>
      </c>
      <c r="B8">
        <v>4479</v>
      </c>
      <c r="C8" t="s">
        <v>13</v>
      </c>
      <c r="D8" t="s">
        <v>14</v>
      </c>
      <c r="E8" t="s">
        <v>15</v>
      </c>
      <c r="F8" t="s">
        <v>16</v>
      </c>
      <c r="G8" t="str">
        <f>"201511026256"</f>
        <v>201511026256</v>
      </c>
      <c r="H8" t="s">
        <v>17</v>
      </c>
      <c r="I8">
        <v>150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84</v>
      </c>
      <c r="S8">
        <v>588</v>
      </c>
      <c r="V8">
        <v>0</v>
      </c>
      <c r="W8" t="s">
        <v>18</v>
      </c>
    </row>
    <row r="9" spans="1:23" x14ac:dyDescent="0.25">
      <c r="H9" t="s">
        <v>19</v>
      </c>
    </row>
    <row r="10" spans="1:23" x14ac:dyDescent="0.25">
      <c r="A10">
        <v>2</v>
      </c>
      <c r="B10">
        <v>3025</v>
      </c>
      <c r="C10" t="s">
        <v>20</v>
      </c>
      <c r="D10" t="s">
        <v>21</v>
      </c>
      <c r="E10" t="s">
        <v>22</v>
      </c>
      <c r="F10" t="s">
        <v>23</v>
      </c>
      <c r="G10" t="str">
        <f>"201510004419"</f>
        <v>201510004419</v>
      </c>
      <c r="H10">
        <v>1056</v>
      </c>
      <c r="I10">
        <v>150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139</v>
      </c>
      <c r="S10">
        <v>588</v>
      </c>
      <c r="V10">
        <v>0</v>
      </c>
      <c r="W10">
        <v>1794</v>
      </c>
    </row>
    <row r="11" spans="1:23" x14ac:dyDescent="0.25">
      <c r="H11" t="s">
        <v>24</v>
      </c>
    </row>
    <row r="12" spans="1:23" x14ac:dyDescent="0.25">
      <c r="A12">
        <v>3</v>
      </c>
      <c r="B12">
        <v>3219</v>
      </c>
      <c r="C12" t="s">
        <v>25</v>
      </c>
      <c r="D12" t="s">
        <v>26</v>
      </c>
      <c r="E12" t="s">
        <v>27</v>
      </c>
      <c r="F12" t="s">
        <v>28</v>
      </c>
      <c r="G12" t="str">
        <f>"201512002238"</f>
        <v>201512002238</v>
      </c>
      <c r="H12">
        <v>1045</v>
      </c>
      <c r="I12">
        <v>150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142</v>
      </c>
      <c r="S12">
        <v>588</v>
      </c>
      <c r="V12">
        <v>0</v>
      </c>
      <c r="W12">
        <v>1783</v>
      </c>
    </row>
    <row r="13" spans="1:23" x14ac:dyDescent="0.25">
      <c r="H13" t="s">
        <v>29</v>
      </c>
    </row>
    <row r="14" spans="1:23" x14ac:dyDescent="0.25">
      <c r="A14">
        <v>4</v>
      </c>
      <c r="B14">
        <v>4372</v>
      </c>
      <c r="C14" t="s">
        <v>30</v>
      </c>
      <c r="D14" t="s">
        <v>31</v>
      </c>
      <c r="E14" t="s">
        <v>32</v>
      </c>
      <c r="F14" t="s">
        <v>33</v>
      </c>
      <c r="G14" t="str">
        <f>"201510001756"</f>
        <v>201510001756</v>
      </c>
      <c r="H14">
        <v>935</v>
      </c>
      <c r="I14">
        <v>150</v>
      </c>
      <c r="J14">
        <v>70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148</v>
      </c>
      <c r="S14">
        <v>588</v>
      </c>
      <c r="T14">
        <v>6</v>
      </c>
      <c r="U14">
        <v>931</v>
      </c>
      <c r="V14">
        <v>0</v>
      </c>
      <c r="W14">
        <v>1743</v>
      </c>
    </row>
    <row r="15" spans="1:23" x14ac:dyDescent="0.25">
      <c r="H15" t="s">
        <v>34</v>
      </c>
    </row>
    <row r="16" spans="1:23" x14ac:dyDescent="0.25">
      <c r="A16">
        <v>5</v>
      </c>
      <c r="B16">
        <v>4372</v>
      </c>
      <c r="C16" t="s">
        <v>30</v>
      </c>
      <c r="D16" t="s">
        <v>31</v>
      </c>
      <c r="E16" t="s">
        <v>32</v>
      </c>
      <c r="F16" t="s">
        <v>33</v>
      </c>
      <c r="G16" t="str">
        <f>"201510001756"</f>
        <v>201510001756</v>
      </c>
      <c r="H16">
        <v>935</v>
      </c>
      <c r="I16">
        <v>150</v>
      </c>
      <c r="J16">
        <v>70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148</v>
      </c>
      <c r="S16">
        <v>588</v>
      </c>
      <c r="V16">
        <v>0</v>
      </c>
      <c r="W16">
        <v>1743</v>
      </c>
    </row>
    <row r="17" spans="1:23" x14ac:dyDescent="0.25">
      <c r="H17" t="s">
        <v>34</v>
      </c>
    </row>
    <row r="18" spans="1:23" x14ac:dyDescent="0.25">
      <c r="A18">
        <v>6</v>
      </c>
      <c r="B18">
        <v>6571</v>
      </c>
      <c r="C18" t="s">
        <v>35</v>
      </c>
      <c r="D18" t="s">
        <v>36</v>
      </c>
      <c r="E18" t="s">
        <v>26</v>
      </c>
      <c r="F18" t="s">
        <v>37</v>
      </c>
      <c r="G18" t="str">
        <f>"00074604"</f>
        <v>00074604</v>
      </c>
      <c r="H18" t="s">
        <v>38</v>
      </c>
      <c r="I18">
        <v>150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77</v>
      </c>
      <c r="S18">
        <v>539</v>
      </c>
      <c r="V18">
        <v>0</v>
      </c>
      <c r="W18" t="s">
        <v>39</v>
      </c>
    </row>
    <row r="19" spans="1:23" x14ac:dyDescent="0.25">
      <c r="H19" t="s">
        <v>40</v>
      </c>
    </row>
    <row r="20" spans="1:23" x14ac:dyDescent="0.25">
      <c r="A20">
        <v>7</v>
      </c>
      <c r="B20">
        <v>8892</v>
      </c>
      <c r="C20" t="s">
        <v>41</v>
      </c>
      <c r="D20" t="s">
        <v>42</v>
      </c>
      <c r="E20" t="s">
        <v>26</v>
      </c>
      <c r="F20" t="s">
        <v>43</v>
      </c>
      <c r="G20" t="str">
        <f>"00020844"</f>
        <v>00020844</v>
      </c>
      <c r="H20" t="s">
        <v>44</v>
      </c>
      <c r="I20">
        <v>150</v>
      </c>
      <c r="J20">
        <v>30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100</v>
      </c>
      <c r="S20">
        <v>588</v>
      </c>
      <c r="V20">
        <v>0</v>
      </c>
      <c r="W20" t="s">
        <v>45</v>
      </c>
    </row>
    <row r="21" spans="1:23" x14ac:dyDescent="0.25">
      <c r="H21">
        <v>918</v>
      </c>
    </row>
    <row r="22" spans="1:23" x14ac:dyDescent="0.25">
      <c r="A22">
        <v>8</v>
      </c>
      <c r="B22">
        <v>9286</v>
      </c>
      <c r="C22" t="s">
        <v>46</v>
      </c>
      <c r="D22" t="s">
        <v>47</v>
      </c>
      <c r="E22" t="s">
        <v>26</v>
      </c>
      <c r="F22" t="s">
        <v>48</v>
      </c>
      <c r="G22" t="str">
        <f>"201001000314"</f>
        <v>201001000314</v>
      </c>
      <c r="H22" t="s">
        <v>49</v>
      </c>
      <c r="I22">
        <v>150</v>
      </c>
      <c r="J22">
        <v>30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179</v>
      </c>
      <c r="S22">
        <v>588</v>
      </c>
      <c r="V22">
        <v>0</v>
      </c>
      <c r="W22" t="s">
        <v>50</v>
      </c>
    </row>
    <row r="23" spans="1:23" x14ac:dyDescent="0.25">
      <c r="H23" t="s">
        <v>51</v>
      </c>
    </row>
    <row r="24" spans="1:23" x14ac:dyDescent="0.25">
      <c r="A24">
        <v>9</v>
      </c>
      <c r="B24">
        <v>3327</v>
      </c>
      <c r="C24" t="s">
        <v>52</v>
      </c>
      <c r="D24" t="s">
        <v>31</v>
      </c>
      <c r="E24" t="s">
        <v>53</v>
      </c>
      <c r="F24" t="s">
        <v>54</v>
      </c>
      <c r="G24" t="str">
        <f>"00024165"</f>
        <v>00024165</v>
      </c>
      <c r="H24">
        <v>935</v>
      </c>
      <c r="I24">
        <v>150</v>
      </c>
      <c r="J24">
        <v>30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98</v>
      </c>
      <c r="S24">
        <v>588</v>
      </c>
      <c r="V24">
        <v>0</v>
      </c>
      <c r="W24">
        <v>1703</v>
      </c>
    </row>
    <row r="25" spans="1:23" x14ac:dyDescent="0.25">
      <c r="H25" t="s">
        <v>55</v>
      </c>
    </row>
    <row r="26" spans="1:23" x14ac:dyDescent="0.25">
      <c r="A26">
        <v>10</v>
      </c>
      <c r="B26">
        <v>2341</v>
      </c>
      <c r="C26" t="s">
        <v>56</v>
      </c>
      <c r="D26" t="s">
        <v>57</v>
      </c>
      <c r="E26" t="s">
        <v>21</v>
      </c>
      <c r="F26" t="s">
        <v>58</v>
      </c>
      <c r="G26" t="str">
        <f>"00043471"</f>
        <v>00043471</v>
      </c>
      <c r="H26" t="s">
        <v>59</v>
      </c>
      <c r="I26">
        <v>0</v>
      </c>
      <c r="J26">
        <v>30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181</v>
      </c>
      <c r="S26">
        <v>588</v>
      </c>
      <c r="V26">
        <v>0</v>
      </c>
      <c r="W26" t="s">
        <v>60</v>
      </c>
    </row>
    <row r="27" spans="1:23" x14ac:dyDescent="0.25">
      <c r="H27">
        <v>908</v>
      </c>
    </row>
    <row r="28" spans="1:23" x14ac:dyDescent="0.25">
      <c r="A28">
        <v>11</v>
      </c>
      <c r="B28">
        <v>5764</v>
      </c>
      <c r="C28" t="s">
        <v>61</v>
      </c>
      <c r="D28" t="s">
        <v>62</v>
      </c>
      <c r="E28" t="s">
        <v>63</v>
      </c>
      <c r="F28" t="s">
        <v>64</v>
      </c>
      <c r="G28" t="str">
        <f>"00023077"</f>
        <v>00023077</v>
      </c>
      <c r="H28" t="s">
        <v>59</v>
      </c>
      <c r="I28">
        <v>0</v>
      </c>
      <c r="J28">
        <v>30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98</v>
      </c>
      <c r="S28">
        <v>588</v>
      </c>
      <c r="V28">
        <v>0</v>
      </c>
      <c r="W28" t="s">
        <v>60</v>
      </c>
    </row>
    <row r="29" spans="1:23" x14ac:dyDescent="0.25">
      <c r="H29" t="s">
        <v>65</v>
      </c>
    </row>
    <row r="30" spans="1:23" x14ac:dyDescent="0.25">
      <c r="A30">
        <v>12</v>
      </c>
      <c r="B30">
        <v>1673</v>
      </c>
      <c r="C30" t="s">
        <v>66</v>
      </c>
      <c r="D30" t="s">
        <v>67</v>
      </c>
      <c r="E30" t="s">
        <v>21</v>
      </c>
      <c r="F30" t="s">
        <v>68</v>
      </c>
      <c r="G30" t="str">
        <f>"00025114"</f>
        <v>00025114</v>
      </c>
      <c r="H30">
        <v>1100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84</v>
      </c>
      <c r="S30">
        <v>588</v>
      </c>
      <c r="V30">
        <v>0</v>
      </c>
      <c r="W30">
        <v>1688</v>
      </c>
    </row>
    <row r="31" spans="1:23" x14ac:dyDescent="0.25">
      <c r="H31" t="s">
        <v>69</v>
      </c>
    </row>
    <row r="32" spans="1:23" x14ac:dyDescent="0.25">
      <c r="A32">
        <v>13</v>
      </c>
      <c r="B32">
        <v>1432</v>
      </c>
      <c r="C32" t="s">
        <v>70</v>
      </c>
      <c r="D32" t="s">
        <v>71</v>
      </c>
      <c r="E32" t="s">
        <v>42</v>
      </c>
      <c r="F32" t="s">
        <v>72</v>
      </c>
      <c r="G32" t="str">
        <f>"201502001356"</f>
        <v>201502001356</v>
      </c>
      <c r="H32" t="s">
        <v>49</v>
      </c>
      <c r="I32">
        <v>150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124</v>
      </c>
      <c r="S32">
        <v>588</v>
      </c>
      <c r="V32">
        <v>0</v>
      </c>
      <c r="W32" t="s">
        <v>73</v>
      </c>
    </row>
    <row r="33" spans="1:23" x14ac:dyDescent="0.25">
      <c r="H33">
        <v>927</v>
      </c>
    </row>
    <row r="34" spans="1:23" x14ac:dyDescent="0.25">
      <c r="A34">
        <v>14</v>
      </c>
      <c r="B34">
        <v>9270</v>
      </c>
      <c r="C34" t="s">
        <v>74</v>
      </c>
      <c r="D34" t="s">
        <v>53</v>
      </c>
      <c r="E34" t="s">
        <v>75</v>
      </c>
      <c r="F34" t="s">
        <v>76</v>
      </c>
      <c r="G34" t="str">
        <f>"201511016504"</f>
        <v>201511016504</v>
      </c>
      <c r="H34" t="s">
        <v>77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202</v>
      </c>
      <c r="S34">
        <v>588</v>
      </c>
      <c r="V34">
        <v>0</v>
      </c>
      <c r="W34" t="s">
        <v>78</v>
      </c>
    </row>
    <row r="35" spans="1:23" x14ac:dyDescent="0.25">
      <c r="H35" t="s">
        <v>79</v>
      </c>
    </row>
    <row r="36" spans="1:23" x14ac:dyDescent="0.25">
      <c r="A36">
        <v>15</v>
      </c>
      <c r="B36">
        <v>9270</v>
      </c>
      <c r="C36" t="s">
        <v>74</v>
      </c>
      <c r="D36" t="s">
        <v>53</v>
      </c>
      <c r="E36" t="s">
        <v>75</v>
      </c>
      <c r="F36" t="s">
        <v>76</v>
      </c>
      <c r="G36" t="str">
        <f>"201511016504"</f>
        <v>201511016504</v>
      </c>
      <c r="H36" t="s">
        <v>77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202</v>
      </c>
      <c r="S36">
        <v>588</v>
      </c>
      <c r="T36">
        <v>6</v>
      </c>
      <c r="U36" t="s">
        <v>80</v>
      </c>
      <c r="V36">
        <v>0</v>
      </c>
      <c r="W36" t="s">
        <v>78</v>
      </c>
    </row>
    <row r="37" spans="1:23" x14ac:dyDescent="0.25">
      <c r="H37" t="s">
        <v>79</v>
      </c>
    </row>
    <row r="38" spans="1:23" x14ac:dyDescent="0.25">
      <c r="A38">
        <v>16</v>
      </c>
      <c r="B38">
        <v>782</v>
      </c>
      <c r="C38" t="s">
        <v>81</v>
      </c>
      <c r="D38" t="s">
        <v>82</v>
      </c>
      <c r="E38" t="s">
        <v>83</v>
      </c>
      <c r="F38" t="s">
        <v>84</v>
      </c>
      <c r="G38" t="str">
        <f>"201512000873"</f>
        <v>201512000873</v>
      </c>
      <c r="H38">
        <v>1045</v>
      </c>
      <c r="I38">
        <v>150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69</v>
      </c>
      <c r="S38">
        <v>483</v>
      </c>
      <c r="V38">
        <v>0</v>
      </c>
      <c r="W38">
        <v>1678</v>
      </c>
    </row>
    <row r="39" spans="1:23" x14ac:dyDescent="0.25">
      <c r="H39" t="s">
        <v>85</v>
      </c>
    </row>
    <row r="40" spans="1:23" x14ac:dyDescent="0.25">
      <c r="A40">
        <v>17</v>
      </c>
      <c r="B40">
        <v>5865</v>
      </c>
      <c r="C40" t="s">
        <v>86</v>
      </c>
      <c r="D40" t="s">
        <v>87</v>
      </c>
      <c r="E40" t="s">
        <v>88</v>
      </c>
      <c r="F40" t="s">
        <v>89</v>
      </c>
      <c r="G40" t="str">
        <f>"00042370"</f>
        <v>00042370</v>
      </c>
      <c r="H40" t="s">
        <v>90</v>
      </c>
      <c r="I40">
        <v>0</v>
      </c>
      <c r="J40">
        <v>30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180</v>
      </c>
      <c r="S40">
        <v>588</v>
      </c>
      <c r="V40">
        <v>0</v>
      </c>
      <c r="W40" t="s">
        <v>91</v>
      </c>
    </row>
    <row r="41" spans="1:23" x14ac:dyDescent="0.25">
      <c r="H41" t="s">
        <v>92</v>
      </c>
    </row>
    <row r="42" spans="1:23" x14ac:dyDescent="0.25">
      <c r="A42">
        <v>18</v>
      </c>
      <c r="B42">
        <v>5865</v>
      </c>
      <c r="C42" t="s">
        <v>86</v>
      </c>
      <c r="D42" t="s">
        <v>87</v>
      </c>
      <c r="E42" t="s">
        <v>88</v>
      </c>
      <c r="F42" t="s">
        <v>89</v>
      </c>
      <c r="G42" t="str">
        <f>"00042370"</f>
        <v>00042370</v>
      </c>
      <c r="H42" t="s">
        <v>90</v>
      </c>
      <c r="I42">
        <v>0</v>
      </c>
      <c r="J42">
        <v>30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180</v>
      </c>
      <c r="S42">
        <v>588</v>
      </c>
      <c r="T42">
        <v>6</v>
      </c>
      <c r="U42">
        <v>938</v>
      </c>
      <c r="V42">
        <v>0</v>
      </c>
      <c r="W42" t="s">
        <v>91</v>
      </c>
    </row>
    <row r="43" spans="1:23" x14ac:dyDescent="0.25">
      <c r="H43" t="s">
        <v>92</v>
      </c>
    </row>
    <row r="44" spans="1:23" x14ac:dyDescent="0.25">
      <c r="A44">
        <v>19</v>
      </c>
      <c r="B44">
        <v>5895</v>
      </c>
      <c r="C44" t="s">
        <v>93</v>
      </c>
      <c r="D44" t="s">
        <v>94</v>
      </c>
      <c r="E44" t="s">
        <v>95</v>
      </c>
      <c r="F44" t="s">
        <v>96</v>
      </c>
      <c r="G44" t="str">
        <f>"00046548"</f>
        <v>00046548</v>
      </c>
      <c r="H44">
        <v>1089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156</v>
      </c>
      <c r="S44">
        <v>588</v>
      </c>
      <c r="V44">
        <v>0</v>
      </c>
      <c r="W44">
        <v>1677</v>
      </c>
    </row>
    <row r="45" spans="1:23" x14ac:dyDescent="0.25">
      <c r="H45" t="s">
        <v>97</v>
      </c>
    </row>
    <row r="46" spans="1:23" x14ac:dyDescent="0.25">
      <c r="A46">
        <v>20</v>
      </c>
      <c r="B46">
        <v>6342</v>
      </c>
      <c r="C46" t="s">
        <v>98</v>
      </c>
      <c r="D46" t="s">
        <v>99</v>
      </c>
      <c r="E46" t="s">
        <v>32</v>
      </c>
      <c r="F46" t="s">
        <v>100</v>
      </c>
      <c r="G46" t="str">
        <f>"201511040177"</f>
        <v>201511040177</v>
      </c>
      <c r="H46" t="s">
        <v>101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101</v>
      </c>
      <c r="S46">
        <v>588</v>
      </c>
      <c r="V46">
        <v>0</v>
      </c>
      <c r="W46" t="s">
        <v>102</v>
      </c>
    </row>
    <row r="47" spans="1:23" x14ac:dyDescent="0.25">
      <c r="H47" t="s">
        <v>103</v>
      </c>
    </row>
    <row r="48" spans="1:23" x14ac:dyDescent="0.25">
      <c r="A48">
        <v>21</v>
      </c>
      <c r="B48">
        <v>3156</v>
      </c>
      <c r="C48" t="s">
        <v>104</v>
      </c>
      <c r="D48" t="s">
        <v>105</v>
      </c>
      <c r="E48" t="s">
        <v>71</v>
      </c>
      <c r="F48" t="s">
        <v>106</v>
      </c>
      <c r="G48" t="str">
        <f>"201511032914"</f>
        <v>201511032914</v>
      </c>
      <c r="H48" t="s">
        <v>107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166</v>
      </c>
      <c r="S48">
        <v>588</v>
      </c>
      <c r="V48">
        <v>0</v>
      </c>
      <c r="W48" t="s">
        <v>108</v>
      </c>
    </row>
    <row r="49" spans="1:23" x14ac:dyDescent="0.25">
      <c r="H49" t="s">
        <v>109</v>
      </c>
    </row>
    <row r="50" spans="1:23" x14ac:dyDescent="0.25">
      <c r="A50">
        <v>22</v>
      </c>
      <c r="B50">
        <v>3343</v>
      </c>
      <c r="C50" t="s">
        <v>110</v>
      </c>
      <c r="D50" t="s">
        <v>111</v>
      </c>
      <c r="E50" t="s">
        <v>42</v>
      </c>
      <c r="F50" t="s">
        <v>112</v>
      </c>
      <c r="G50" t="str">
        <f>"201511025922"</f>
        <v>201511025922</v>
      </c>
      <c r="H50">
        <v>935</v>
      </c>
      <c r="I50">
        <v>150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169</v>
      </c>
      <c r="S50">
        <v>588</v>
      </c>
      <c r="V50">
        <v>0</v>
      </c>
      <c r="W50">
        <v>1673</v>
      </c>
    </row>
    <row r="51" spans="1:23" x14ac:dyDescent="0.25">
      <c r="H51" t="s">
        <v>113</v>
      </c>
    </row>
    <row r="52" spans="1:23" x14ac:dyDescent="0.25">
      <c r="A52">
        <v>23</v>
      </c>
      <c r="B52">
        <v>1954</v>
      </c>
      <c r="C52" t="s">
        <v>114</v>
      </c>
      <c r="D52" t="s">
        <v>115</v>
      </c>
      <c r="E52" t="s">
        <v>116</v>
      </c>
      <c r="F52" t="s">
        <v>117</v>
      </c>
      <c r="G52" t="str">
        <f>"201511038173"</f>
        <v>201511038173</v>
      </c>
      <c r="H52">
        <v>935</v>
      </c>
      <c r="I52">
        <v>150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84</v>
      </c>
      <c r="S52">
        <v>588</v>
      </c>
      <c r="V52">
        <v>0</v>
      </c>
      <c r="W52">
        <v>1673</v>
      </c>
    </row>
    <row r="53" spans="1:23" x14ac:dyDescent="0.25">
      <c r="H53" t="s">
        <v>118</v>
      </c>
    </row>
    <row r="54" spans="1:23" x14ac:dyDescent="0.25">
      <c r="A54">
        <v>24</v>
      </c>
      <c r="B54">
        <v>3430</v>
      </c>
      <c r="C54" t="s">
        <v>119</v>
      </c>
      <c r="D54" t="s">
        <v>120</v>
      </c>
      <c r="E54" t="s">
        <v>121</v>
      </c>
      <c r="F54" t="s">
        <v>122</v>
      </c>
      <c r="G54" t="str">
        <f>"00016817"</f>
        <v>00016817</v>
      </c>
      <c r="H54" t="s">
        <v>17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166</v>
      </c>
      <c r="S54">
        <v>588</v>
      </c>
      <c r="V54">
        <v>0</v>
      </c>
      <c r="W54" t="s">
        <v>123</v>
      </c>
    </row>
    <row r="55" spans="1:23" x14ac:dyDescent="0.25">
      <c r="H55" t="s">
        <v>124</v>
      </c>
    </row>
    <row r="56" spans="1:23" x14ac:dyDescent="0.25">
      <c r="A56">
        <v>25</v>
      </c>
      <c r="B56">
        <v>5607</v>
      </c>
      <c r="C56" t="s">
        <v>125</v>
      </c>
      <c r="D56" t="s">
        <v>126</v>
      </c>
      <c r="E56" t="s">
        <v>121</v>
      </c>
      <c r="F56" t="s">
        <v>127</v>
      </c>
      <c r="G56" t="str">
        <f>"00069277"</f>
        <v>00069277</v>
      </c>
      <c r="H56" t="s">
        <v>128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157</v>
      </c>
      <c r="S56">
        <v>588</v>
      </c>
      <c r="V56">
        <v>0</v>
      </c>
      <c r="W56" t="s">
        <v>129</v>
      </c>
    </row>
    <row r="57" spans="1:23" x14ac:dyDescent="0.25">
      <c r="H57" t="s">
        <v>130</v>
      </c>
    </row>
    <row r="58" spans="1:23" x14ac:dyDescent="0.25">
      <c r="A58">
        <v>26</v>
      </c>
      <c r="B58">
        <v>792</v>
      </c>
      <c r="C58" t="s">
        <v>131</v>
      </c>
      <c r="D58" t="s">
        <v>132</v>
      </c>
      <c r="E58" t="s">
        <v>42</v>
      </c>
      <c r="F58" t="s">
        <v>133</v>
      </c>
      <c r="G58" t="str">
        <f>"201511028886"</f>
        <v>201511028886</v>
      </c>
      <c r="H58" t="s">
        <v>128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85</v>
      </c>
      <c r="S58">
        <v>588</v>
      </c>
      <c r="V58">
        <v>0</v>
      </c>
      <c r="W58" t="s">
        <v>129</v>
      </c>
    </row>
    <row r="59" spans="1:23" x14ac:dyDescent="0.25">
      <c r="H59" t="s">
        <v>134</v>
      </c>
    </row>
    <row r="60" spans="1:23" x14ac:dyDescent="0.25">
      <c r="A60">
        <v>27</v>
      </c>
      <c r="B60">
        <v>3543</v>
      </c>
      <c r="C60" t="s">
        <v>135</v>
      </c>
      <c r="D60" t="s">
        <v>31</v>
      </c>
      <c r="E60" t="s">
        <v>136</v>
      </c>
      <c r="F60" t="s">
        <v>137</v>
      </c>
      <c r="G60" t="str">
        <f>"00048239"</f>
        <v>00048239</v>
      </c>
      <c r="H60">
        <v>1045</v>
      </c>
      <c r="I60">
        <v>0</v>
      </c>
      <c r="J60">
        <v>30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143</v>
      </c>
      <c r="S60">
        <v>588</v>
      </c>
      <c r="V60">
        <v>0</v>
      </c>
      <c r="W60">
        <v>1663</v>
      </c>
    </row>
    <row r="61" spans="1:23" x14ac:dyDescent="0.25">
      <c r="H61" t="s">
        <v>138</v>
      </c>
    </row>
    <row r="62" spans="1:23" x14ac:dyDescent="0.25">
      <c r="A62">
        <v>28</v>
      </c>
      <c r="B62">
        <v>2520</v>
      </c>
      <c r="C62" t="s">
        <v>139</v>
      </c>
      <c r="D62" t="s">
        <v>140</v>
      </c>
      <c r="E62" t="s">
        <v>141</v>
      </c>
      <c r="F62" t="s">
        <v>142</v>
      </c>
      <c r="G62" t="str">
        <f>"00019874"</f>
        <v>00019874</v>
      </c>
      <c r="H62">
        <v>1045</v>
      </c>
      <c r="I62">
        <v>0</v>
      </c>
      <c r="J62">
        <v>30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167</v>
      </c>
      <c r="S62">
        <v>588</v>
      </c>
      <c r="V62">
        <v>0</v>
      </c>
      <c r="W62">
        <v>1663</v>
      </c>
    </row>
    <row r="63" spans="1:23" x14ac:dyDescent="0.25">
      <c r="H63" t="s">
        <v>143</v>
      </c>
    </row>
    <row r="64" spans="1:23" x14ac:dyDescent="0.25">
      <c r="A64">
        <v>29</v>
      </c>
      <c r="B64">
        <v>8535</v>
      </c>
      <c r="C64" t="s">
        <v>144</v>
      </c>
      <c r="D64" t="s">
        <v>145</v>
      </c>
      <c r="E64" t="s">
        <v>87</v>
      </c>
      <c r="F64" t="s">
        <v>146</v>
      </c>
      <c r="G64" t="str">
        <f>"201511022020"</f>
        <v>201511022020</v>
      </c>
      <c r="H64">
        <v>1045</v>
      </c>
      <c r="I64">
        <v>0</v>
      </c>
      <c r="J64">
        <v>30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89</v>
      </c>
      <c r="S64">
        <v>588</v>
      </c>
      <c r="V64">
        <v>1</v>
      </c>
      <c r="W64">
        <v>1663</v>
      </c>
    </row>
    <row r="65" spans="1:23" x14ac:dyDescent="0.25">
      <c r="H65" t="s">
        <v>147</v>
      </c>
    </row>
    <row r="66" spans="1:23" x14ac:dyDescent="0.25">
      <c r="A66">
        <v>30</v>
      </c>
      <c r="B66">
        <v>1870</v>
      </c>
      <c r="C66" t="s">
        <v>148</v>
      </c>
      <c r="D66" t="s">
        <v>149</v>
      </c>
      <c r="E66" t="s">
        <v>150</v>
      </c>
      <c r="F66" t="s">
        <v>151</v>
      </c>
      <c r="G66" t="str">
        <f>"00027859"</f>
        <v>00027859</v>
      </c>
      <c r="H66" t="s">
        <v>152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96</v>
      </c>
      <c r="S66">
        <v>588</v>
      </c>
      <c r="V66">
        <v>0</v>
      </c>
      <c r="W66" t="s">
        <v>153</v>
      </c>
    </row>
    <row r="67" spans="1:23" x14ac:dyDescent="0.25">
      <c r="H67" t="s">
        <v>154</v>
      </c>
    </row>
    <row r="68" spans="1:23" x14ac:dyDescent="0.25">
      <c r="A68">
        <v>31</v>
      </c>
      <c r="B68">
        <v>4361</v>
      </c>
      <c r="C68" t="s">
        <v>155</v>
      </c>
      <c r="D68" t="s">
        <v>156</v>
      </c>
      <c r="E68" t="s">
        <v>47</v>
      </c>
      <c r="F68" t="s">
        <v>157</v>
      </c>
      <c r="G68" t="str">
        <f>"00087505"</f>
        <v>00087505</v>
      </c>
      <c r="H68" t="s">
        <v>158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180</v>
      </c>
      <c r="S68">
        <v>588</v>
      </c>
      <c r="V68">
        <v>0</v>
      </c>
      <c r="W68" t="s">
        <v>159</v>
      </c>
    </row>
    <row r="69" spans="1:23" x14ac:dyDescent="0.25">
      <c r="H69">
        <v>928</v>
      </c>
    </row>
    <row r="70" spans="1:23" x14ac:dyDescent="0.25">
      <c r="A70">
        <v>32</v>
      </c>
      <c r="B70">
        <v>10125</v>
      </c>
      <c r="C70" t="s">
        <v>160</v>
      </c>
      <c r="D70" t="s">
        <v>31</v>
      </c>
      <c r="E70" t="s">
        <v>71</v>
      </c>
      <c r="F70" t="s">
        <v>161</v>
      </c>
      <c r="G70" t="str">
        <f>"00101837"</f>
        <v>00101837</v>
      </c>
      <c r="H70" t="s">
        <v>162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373</v>
      </c>
      <c r="S70">
        <v>588</v>
      </c>
      <c r="V70">
        <v>0</v>
      </c>
      <c r="W70" t="s">
        <v>163</v>
      </c>
    </row>
    <row r="71" spans="1:23" x14ac:dyDescent="0.25">
      <c r="H71" t="s">
        <v>164</v>
      </c>
    </row>
    <row r="72" spans="1:23" x14ac:dyDescent="0.25">
      <c r="A72">
        <v>33</v>
      </c>
      <c r="B72">
        <v>10547</v>
      </c>
      <c r="C72" t="s">
        <v>165</v>
      </c>
      <c r="D72" t="s">
        <v>166</v>
      </c>
      <c r="E72" t="s">
        <v>21</v>
      </c>
      <c r="F72" t="s">
        <v>167</v>
      </c>
      <c r="G72" t="str">
        <f>"201511019576"</f>
        <v>201511019576</v>
      </c>
      <c r="H72">
        <v>990</v>
      </c>
      <c r="I72">
        <v>0</v>
      </c>
      <c r="J72">
        <v>70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128</v>
      </c>
      <c r="S72">
        <v>588</v>
      </c>
      <c r="V72">
        <v>0</v>
      </c>
      <c r="W72">
        <v>1648</v>
      </c>
    </row>
    <row r="73" spans="1:23" x14ac:dyDescent="0.25">
      <c r="H73" t="s">
        <v>168</v>
      </c>
    </row>
    <row r="74" spans="1:23" x14ac:dyDescent="0.25">
      <c r="A74">
        <v>34</v>
      </c>
      <c r="B74">
        <v>3231</v>
      </c>
      <c r="C74" t="s">
        <v>169</v>
      </c>
      <c r="D74" t="s">
        <v>170</v>
      </c>
      <c r="E74" t="s">
        <v>171</v>
      </c>
      <c r="F74" t="s">
        <v>172</v>
      </c>
      <c r="G74" t="str">
        <f>"201511027203"</f>
        <v>201511027203</v>
      </c>
      <c r="H74">
        <v>1045</v>
      </c>
      <c r="I74">
        <v>150</v>
      </c>
      <c r="J74">
        <v>30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60</v>
      </c>
      <c r="S74">
        <v>420</v>
      </c>
      <c r="V74">
        <v>0</v>
      </c>
      <c r="W74">
        <v>1645</v>
      </c>
    </row>
    <row r="75" spans="1:23" x14ac:dyDescent="0.25">
      <c r="H75" t="s">
        <v>173</v>
      </c>
    </row>
    <row r="76" spans="1:23" x14ac:dyDescent="0.25">
      <c r="A76">
        <v>35</v>
      </c>
      <c r="B76">
        <v>878</v>
      </c>
      <c r="C76" t="s">
        <v>174</v>
      </c>
      <c r="D76" t="s">
        <v>31</v>
      </c>
      <c r="E76" t="s">
        <v>175</v>
      </c>
      <c r="F76" t="s">
        <v>176</v>
      </c>
      <c r="G76" t="str">
        <f>"201511006919"</f>
        <v>201511006919</v>
      </c>
      <c r="H76">
        <v>1045</v>
      </c>
      <c r="I76">
        <v>150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64</v>
      </c>
      <c r="S76">
        <v>448</v>
      </c>
      <c r="V76">
        <v>2</v>
      </c>
      <c r="W76">
        <v>1643</v>
      </c>
    </row>
    <row r="77" spans="1:23" x14ac:dyDescent="0.25">
      <c r="H77" t="s">
        <v>177</v>
      </c>
    </row>
    <row r="78" spans="1:23" x14ac:dyDescent="0.25">
      <c r="A78">
        <v>36</v>
      </c>
      <c r="B78">
        <v>7870</v>
      </c>
      <c r="C78" t="s">
        <v>178</v>
      </c>
      <c r="D78" t="s">
        <v>179</v>
      </c>
      <c r="E78" t="s">
        <v>63</v>
      </c>
      <c r="F78" t="s">
        <v>180</v>
      </c>
      <c r="G78" t="str">
        <f>"00042393"</f>
        <v>00042393</v>
      </c>
      <c r="H78" t="s">
        <v>181</v>
      </c>
      <c r="I78">
        <v>150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175</v>
      </c>
      <c r="S78">
        <v>588</v>
      </c>
      <c r="T78">
        <v>6</v>
      </c>
      <c r="U78">
        <v>906</v>
      </c>
      <c r="V78">
        <v>0</v>
      </c>
      <c r="W78" t="s">
        <v>182</v>
      </c>
    </row>
    <row r="79" spans="1:23" x14ac:dyDescent="0.25">
      <c r="H79" t="s">
        <v>183</v>
      </c>
    </row>
    <row r="80" spans="1:23" x14ac:dyDescent="0.25">
      <c r="A80">
        <v>37</v>
      </c>
      <c r="B80">
        <v>7870</v>
      </c>
      <c r="C80" t="s">
        <v>178</v>
      </c>
      <c r="D80" t="s">
        <v>179</v>
      </c>
      <c r="E80" t="s">
        <v>63</v>
      </c>
      <c r="F80" t="s">
        <v>180</v>
      </c>
      <c r="G80" t="str">
        <f>"00042393"</f>
        <v>00042393</v>
      </c>
      <c r="H80" t="s">
        <v>181</v>
      </c>
      <c r="I80">
        <v>150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175</v>
      </c>
      <c r="S80">
        <v>588</v>
      </c>
      <c r="V80">
        <v>0</v>
      </c>
      <c r="W80" t="s">
        <v>182</v>
      </c>
    </row>
    <row r="81" spans="1:23" x14ac:dyDescent="0.25">
      <c r="H81" t="s">
        <v>183</v>
      </c>
    </row>
    <row r="82" spans="1:23" x14ac:dyDescent="0.25">
      <c r="A82">
        <v>38</v>
      </c>
      <c r="B82">
        <v>8554</v>
      </c>
      <c r="C82" t="s">
        <v>184</v>
      </c>
      <c r="D82" t="s">
        <v>31</v>
      </c>
      <c r="E82" t="s">
        <v>32</v>
      </c>
      <c r="F82" t="s">
        <v>185</v>
      </c>
      <c r="G82" t="str">
        <f>"00016322"</f>
        <v>00016322</v>
      </c>
      <c r="H82" t="s">
        <v>186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115</v>
      </c>
      <c r="S82">
        <v>588</v>
      </c>
      <c r="V82">
        <v>0</v>
      </c>
      <c r="W82" t="s">
        <v>187</v>
      </c>
    </row>
    <row r="83" spans="1:23" x14ac:dyDescent="0.25">
      <c r="H83" t="s">
        <v>188</v>
      </c>
    </row>
    <row r="84" spans="1:23" x14ac:dyDescent="0.25">
      <c r="A84">
        <v>39</v>
      </c>
      <c r="B84">
        <v>3833</v>
      </c>
      <c r="C84" t="s">
        <v>189</v>
      </c>
      <c r="D84" t="s">
        <v>190</v>
      </c>
      <c r="E84" t="s">
        <v>42</v>
      </c>
      <c r="F84" t="s">
        <v>191</v>
      </c>
      <c r="G84" t="str">
        <f>"201511026341"</f>
        <v>201511026341</v>
      </c>
      <c r="H84">
        <v>902</v>
      </c>
      <c r="I84">
        <v>150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84</v>
      </c>
      <c r="S84">
        <v>588</v>
      </c>
      <c r="V84">
        <v>0</v>
      </c>
      <c r="W84">
        <v>1640</v>
      </c>
    </row>
    <row r="85" spans="1:23" x14ac:dyDescent="0.25">
      <c r="H85" t="s">
        <v>192</v>
      </c>
    </row>
    <row r="86" spans="1:23" x14ac:dyDescent="0.25">
      <c r="A86">
        <v>40</v>
      </c>
      <c r="B86">
        <v>2993</v>
      </c>
      <c r="C86" t="s">
        <v>193</v>
      </c>
      <c r="D86" t="s">
        <v>132</v>
      </c>
      <c r="E86" t="s">
        <v>194</v>
      </c>
      <c r="F86" t="s">
        <v>195</v>
      </c>
      <c r="G86" t="str">
        <f>"00024140"</f>
        <v>00024140</v>
      </c>
      <c r="H86">
        <v>990</v>
      </c>
      <c r="I86">
        <v>0</v>
      </c>
      <c r="J86">
        <v>30</v>
      </c>
      <c r="K86">
        <v>30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174</v>
      </c>
      <c r="S86">
        <v>588</v>
      </c>
      <c r="V86">
        <v>0</v>
      </c>
      <c r="W86">
        <v>1638</v>
      </c>
    </row>
    <row r="87" spans="1:23" x14ac:dyDescent="0.25">
      <c r="H87" t="s">
        <v>196</v>
      </c>
    </row>
    <row r="88" spans="1:23" x14ac:dyDescent="0.25">
      <c r="A88">
        <v>41</v>
      </c>
      <c r="B88">
        <v>6192</v>
      </c>
      <c r="C88" t="s">
        <v>197</v>
      </c>
      <c r="D88" t="s">
        <v>198</v>
      </c>
      <c r="E88" t="s">
        <v>199</v>
      </c>
      <c r="F88" t="s">
        <v>200</v>
      </c>
      <c r="G88" t="str">
        <f>"00024030"</f>
        <v>00024030</v>
      </c>
      <c r="H88" t="s">
        <v>201</v>
      </c>
      <c r="I88">
        <v>0</v>
      </c>
      <c r="J88">
        <v>30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167</v>
      </c>
      <c r="S88">
        <v>588</v>
      </c>
      <c r="V88">
        <v>0</v>
      </c>
      <c r="W88" t="s">
        <v>202</v>
      </c>
    </row>
    <row r="89" spans="1:23" x14ac:dyDescent="0.25">
      <c r="H89" t="s">
        <v>203</v>
      </c>
    </row>
    <row r="90" spans="1:23" x14ac:dyDescent="0.25">
      <c r="A90">
        <v>42</v>
      </c>
      <c r="B90">
        <v>2144</v>
      </c>
      <c r="C90" t="s">
        <v>204</v>
      </c>
      <c r="D90" t="s">
        <v>205</v>
      </c>
      <c r="E90" t="s">
        <v>206</v>
      </c>
      <c r="F90" t="s">
        <v>207</v>
      </c>
      <c r="G90" t="str">
        <f>"201506004225"</f>
        <v>201506004225</v>
      </c>
      <c r="H90">
        <v>1045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92</v>
      </c>
      <c r="S90">
        <v>588</v>
      </c>
      <c r="V90">
        <v>0</v>
      </c>
      <c r="W90">
        <v>1633</v>
      </c>
    </row>
    <row r="91" spans="1:23" x14ac:dyDescent="0.25">
      <c r="H91" t="s">
        <v>208</v>
      </c>
    </row>
    <row r="92" spans="1:23" x14ac:dyDescent="0.25">
      <c r="A92">
        <v>43</v>
      </c>
      <c r="B92">
        <v>1515</v>
      </c>
      <c r="C92" t="s">
        <v>209</v>
      </c>
      <c r="D92" t="s">
        <v>210</v>
      </c>
      <c r="E92" t="s">
        <v>211</v>
      </c>
      <c r="F92" t="s">
        <v>212</v>
      </c>
      <c r="G92" t="str">
        <f>"00041986"</f>
        <v>00041986</v>
      </c>
      <c r="H92">
        <v>1045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131</v>
      </c>
      <c r="S92">
        <v>588</v>
      </c>
      <c r="V92">
        <v>0</v>
      </c>
      <c r="W92">
        <v>1633</v>
      </c>
    </row>
    <row r="93" spans="1:23" x14ac:dyDescent="0.25">
      <c r="H93" t="s">
        <v>213</v>
      </c>
    </row>
    <row r="94" spans="1:23" x14ac:dyDescent="0.25">
      <c r="A94">
        <v>44</v>
      </c>
      <c r="B94">
        <v>10242</v>
      </c>
      <c r="C94" t="s">
        <v>214</v>
      </c>
      <c r="D94" t="s">
        <v>140</v>
      </c>
      <c r="E94" t="s">
        <v>121</v>
      </c>
      <c r="F94" t="s">
        <v>215</v>
      </c>
      <c r="G94" t="str">
        <f>"00100148"</f>
        <v>00100148</v>
      </c>
      <c r="H94">
        <v>1045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162</v>
      </c>
      <c r="S94">
        <v>588</v>
      </c>
      <c r="V94">
        <v>0</v>
      </c>
      <c r="W94">
        <v>1633</v>
      </c>
    </row>
    <row r="95" spans="1:23" x14ac:dyDescent="0.25">
      <c r="H95" t="s">
        <v>216</v>
      </c>
    </row>
    <row r="96" spans="1:23" x14ac:dyDescent="0.25">
      <c r="A96">
        <v>45</v>
      </c>
      <c r="B96">
        <v>6043</v>
      </c>
      <c r="C96" t="s">
        <v>217</v>
      </c>
      <c r="D96" t="s">
        <v>218</v>
      </c>
      <c r="E96" t="s">
        <v>53</v>
      </c>
      <c r="F96" t="s">
        <v>219</v>
      </c>
      <c r="G96" t="str">
        <f>"00021471"</f>
        <v>00021471</v>
      </c>
      <c r="H96">
        <v>1045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223</v>
      </c>
      <c r="S96">
        <v>588</v>
      </c>
      <c r="V96">
        <v>0</v>
      </c>
      <c r="W96">
        <v>1633</v>
      </c>
    </row>
    <row r="97" spans="1:23" x14ac:dyDescent="0.25">
      <c r="H97" t="s">
        <v>220</v>
      </c>
    </row>
    <row r="98" spans="1:23" x14ac:dyDescent="0.25">
      <c r="A98">
        <v>46</v>
      </c>
      <c r="B98">
        <v>2945</v>
      </c>
      <c r="C98" t="s">
        <v>221</v>
      </c>
      <c r="D98" t="s">
        <v>222</v>
      </c>
      <c r="E98" t="s">
        <v>223</v>
      </c>
      <c r="F98" t="s">
        <v>224</v>
      </c>
      <c r="G98" t="str">
        <f>"201102000105"</f>
        <v>201102000105</v>
      </c>
      <c r="H98">
        <v>1045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128</v>
      </c>
      <c r="S98">
        <v>588</v>
      </c>
      <c r="V98">
        <v>0</v>
      </c>
      <c r="W98">
        <v>1633</v>
      </c>
    </row>
    <row r="99" spans="1:23" x14ac:dyDescent="0.25">
      <c r="H99" t="s">
        <v>225</v>
      </c>
    </row>
    <row r="100" spans="1:23" x14ac:dyDescent="0.25">
      <c r="A100">
        <v>47</v>
      </c>
      <c r="B100">
        <v>3978</v>
      </c>
      <c r="C100" t="s">
        <v>226</v>
      </c>
      <c r="D100" t="s">
        <v>53</v>
      </c>
      <c r="E100" t="s">
        <v>42</v>
      </c>
      <c r="F100" t="s">
        <v>227</v>
      </c>
      <c r="G100" t="str">
        <f>"201102000934"</f>
        <v>201102000934</v>
      </c>
      <c r="H100">
        <v>1045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108</v>
      </c>
      <c r="S100">
        <v>588</v>
      </c>
      <c r="V100">
        <v>0</v>
      </c>
      <c r="W100">
        <v>1633</v>
      </c>
    </row>
    <row r="101" spans="1:23" x14ac:dyDescent="0.25">
      <c r="H101" t="s">
        <v>228</v>
      </c>
    </row>
    <row r="102" spans="1:23" x14ac:dyDescent="0.25">
      <c r="A102">
        <v>48</v>
      </c>
      <c r="B102">
        <v>8864</v>
      </c>
      <c r="C102" t="s">
        <v>229</v>
      </c>
      <c r="D102" t="s">
        <v>218</v>
      </c>
      <c r="E102" t="s">
        <v>175</v>
      </c>
      <c r="F102" t="s">
        <v>230</v>
      </c>
      <c r="G102" t="str">
        <f>"201511023968"</f>
        <v>201511023968</v>
      </c>
      <c r="H102">
        <v>1045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162</v>
      </c>
      <c r="S102">
        <v>588</v>
      </c>
      <c r="V102">
        <v>0</v>
      </c>
      <c r="W102">
        <v>1633</v>
      </c>
    </row>
    <row r="103" spans="1:23" x14ac:dyDescent="0.25">
      <c r="H103" t="s">
        <v>231</v>
      </c>
    </row>
    <row r="104" spans="1:23" x14ac:dyDescent="0.25">
      <c r="A104">
        <v>49</v>
      </c>
      <c r="B104">
        <v>9148</v>
      </c>
      <c r="C104" t="s">
        <v>232</v>
      </c>
      <c r="D104" t="s">
        <v>233</v>
      </c>
      <c r="E104" t="s">
        <v>175</v>
      </c>
      <c r="F104" t="s">
        <v>234</v>
      </c>
      <c r="G104" t="str">
        <f>"201511029765"</f>
        <v>201511029765</v>
      </c>
      <c r="H104">
        <v>1045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84</v>
      </c>
      <c r="S104">
        <v>588</v>
      </c>
      <c r="V104">
        <v>0</v>
      </c>
      <c r="W104">
        <v>1633</v>
      </c>
    </row>
    <row r="105" spans="1:23" x14ac:dyDescent="0.25">
      <c r="H105" t="s">
        <v>235</v>
      </c>
    </row>
    <row r="106" spans="1:23" x14ac:dyDescent="0.25">
      <c r="A106">
        <v>50</v>
      </c>
      <c r="B106">
        <v>1901</v>
      </c>
      <c r="C106" t="s">
        <v>236</v>
      </c>
      <c r="D106" t="s">
        <v>71</v>
      </c>
      <c r="E106" t="s">
        <v>95</v>
      </c>
      <c r="F106" t="s">
        <v>237</v>
      </c>
      <c r="G106" t="str">
        <f>"00041649"</f>
        <v>00041649</v>
      </c>
      <c r="H106">
        <v>1045</v>
      </c>
      <c r="I106">
        <v>150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62</v>
      </c>
      <c r="S106">
        <v>434</v>
      </c>
      <c r="V106">
        <v>0</v>
      </c>
      <c r="W106">
        <v>1629</v>
      </c>
    </row>
    <row r="107" spans="1:23" x14ac:dyDescent="0.25">
      <c r="H107">
        <v>934</v>
      </c>
    </row>
    <row r="108" spans="1:23" x14ac:dyDescent="0.25">
      <c r="A108">
        <v>51</v>
      </c>
      <c r="B108">
        <v>6223</v>
      </c>
      <c r="C108" t="s">
        <v>238</v>
      </c>
      <c r="D108" t="s">
        <v>156</v>
      </c>
      <c r="E108" t="s">
        <v>42</v>
      </c>
      <c r="F108" t="s">
        <v>239</v>
      </c>
      <c r="G108" t="str">
        <f>"201511030785"</f>
        <v>201511030785</v>
      </c>
      <c r="H108">
        <v>1100</v>
      </c>
      <c r="I108">
        <v>0</v>
      </c>
      <c r="J108">
        <v>30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71</v>
      </c>
      <c r="S108">
        <v>497</v>
      </c>
      <c r="V108">
        <v>0</v>
      </c>
      <c r="W108">
        <v>1627</v>
      </c>
    </row>
    <row r="109" spans="1:23" x14ac:dyDescent="0.25">
      <c r="H109" t="s">
        <v>240</v>
      </c>
    </row>
    <row r="110" spans="1:23" x14ac:dyDescent="0.25">
      <c r="A110">
        <v>52</v>
      </c>
      <c r="B110">
        <v>3598</v>
      </c>
      <c r="C110" t="s">
        <v>241</v>
      </c>
      <c r="D110" t="s">
        <v>95</v>
      </c>
      <c r="E110" t="s">
        <v>223</v>
      </c>
      <c r="F110" t="s">
        <v>242</v>
      </c>
      <c r="G110" t="str">
        <f>"201511010563"</f>
        <v>201511010563</v>
      </c>
      <c r="H110" t="s">
        <v>243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161</v>
      </c>
      <c r="S110">
        <v>588</v>
      </c>
      <c r="V110">
        <v>0</v>
      </c>
      <c r="W110" t="s">
        <v>244</v>
      </c>
    </row>
    <row r="111" spans="1:23" x14ac:dyDescent="0.25">
      <c r="H111" t="s">
        <v>245</v>
      </c>
    </row>
    <row r="112" spans="1:23" x14ac:dyDescent="0.25">
      <c r="A112">
        <v>53</v>
      </c>
      <c r="B112">
        <v>5234</v>
      </c>
      <c r="C112" t="s">
        <v>246</v>
      </c>
      <c r="D112" t="s">
        <v>247</v>
      </c>
      <c r="E112" t="s">
        <v>53</v>
      </c>
      <c r="F112" t="s">
        <v>248</v>
      </c>
      <c r="G112" t="str">
        <f>"201511025777"</f>
        <v>201511025777</v>
      </c>
      <c r="H112">
        <v>1100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75</v>
      </c>
      <c r="S112">
        <v>525</v>
      </c>
      <c r="V112">
        <v>0</v>
      </c>
      <c r="W112">
        <v>1625</v>
      </c>
    </row>
    <row r="113" spans="1:23" x14ac:dyDescent="0.25">
      <c r="H113" t="s">
        <v>249</v>
      </c>
    </row>
    <row r="114" spans="1:23" x14ac:dyDescent="0.25">
      <c r="A114">
        <v>54</v>
      </c>
      <c r="B114">
        <v>7394</v>
      </c>
      <c r="C114" t="s">
        <v>250</v>
      </c>
      <c r="D114" t="s">
        <v>251</v>
      </c>
      <c r="E114" t="s">
        <v>252</v>
      </c>
      <c r="F114" t="s">
        <v>253</v>
      </c>
      <c r="G114" t="str">
        <f>"201511036625"</f>
        <v>201511036625</v>
      </c>
      <c r="H114">
        <v>935</v>
      </c>
      <c r="I114">
        <v>150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77</v>
      </c>
      <c r="S114">
        <v>539</v>
      </c>
      <c r="V114">
        <v>0</v>
      </c>
      <c r="W114">
        <v>1624</v>
      </c>
    </row>
    <row r="115" spans="1:23" x14ac:dyDescent="0.25">
      <c r="H115" t="s">
        <v>254</v>
      </c>
    </row>
    <row r="116" spans="1:23" x14ac:dyDescent="0.25">
      <c r="A116">
        <v>55</v>
      </c>
      <c r="B116">
        <v>10301</v>
      </c>
      <c r="C116" t="s">
        <v>255</v>
      </c>
      <c r="D116" t="s">
        <v>256</v>
      </c>
      <c r="E116" t="s">
        <v>71</v>
      </c>
      <c r="F116" t="s">
        <v>257</v>
      </c>
      <c r="G116" t="str">
        <f>"00036808"</f>
        <v>00036808</v>
      </c>
      <c r="H116" t="s">
        <v>258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254</v>
      </c>
      <c r="S116">
        <v>588</v>
      </c>
      <c r="V116">
        <v>0</v>
      </c>
      <c r="W116" t="s">
        <v>259</v>
      </c>
    </row>
    <row r="117" spans="1:23" x14ac:dyDescent="0.25">
      <c r="H117" t="s">
        <v>260</v>
      </c>
    </row>
    <row r="118" spans="1:23" x14ac:dyDescent="0.25">
      <c r="A118">
        <v>56</v>
      </c>
      <c r="B118">
        <v>331</v>
      </c>
      <c r="C118" t="s">
        <v>261</v>
      </c>
      <c r="D118" t="s">
        <v>262</v>
      </c>
      <c r="E118" t="s">
        <v>71</v>
      </c>
      <c r="F118" t="s">
        <v>263</v>
      </c>
      <c r="G118" t="str">
        <f>"201510004097"</f>
        <v>201510004097</v>
      </c>
      <c r="H118" t="s">
        <v>258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89</v>
      </c>
      <c r="S118">
        <v>588</v>
      </c>
      <c r="V118">
        <v>0</v>
      </c>
      <c r="W118" t="s">
        <v>259</v>
      </c>
    </row>
    <row r="119" spans="1:23" x14ac:dyDescent="0.25">
      <c r="H119" t="s">
        <v>264</v>
      </c>
    </row>
    <row r="120" spans="1:23" x14ac:dyDescent="0.25">
      <c r="A120">
        <v>57</v>
      </c>
      <c r="B120">
        <v>4683</v>
      </c>
      <c r="C120" t="s">
        <v>265</v>
      </c>
      <c r="D120" t="s">
        <v>71</v>
      </c>
      <c r="E120" t="s">
        <v>171</v>
      </c>
      <c r="F120" t="s">
        <v>266</v>
      </c>
      <c r="G120" t="str">
        <f>"201008000044"</f>
        <v>201008000044</v>
      </c>
      <c r="H120" t="s">
        <v>258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159</v>
      </c>
      <c r="S120">
        <v>588</v>
      </c>
      <c r="V120">
        <v>0</v>
      </c>
      <c r="W120" t="s">
        <v>259</v>
      </c>
    </row>
    <row r="121" spans="1:23" x14ac:dyDescent="0.25">
      <c r="H121" t="s">
        <v>267</v>
      </c>
    </row>
    <row r="122" spans="1:23" x14ac:dyDescent="0.25">
      <c r="A122">
        <v>58</v>
      </c>
      <c r="B122">
        <v>4259</v>
      </c>
      <c r="C122" t="s">
        <v>268</v>
      </c>
      <c r="D122" t="s">
        <v>269</v>
      </c>
      <c r="E122" t="s">
        <v>218</v>
      </c>
      <c r="F122" t="s">
        <v>270</v>
      </c>
      <c r="G122" t="str">
        <f>"00094701"</f>
        <v>00094701</v>
      </c>
      <c r="H122" t="s">
        <v>258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168</v>
      </c>
      <c r="S122">
        <v>588</v>
      </c>
      <c r="V122">
        <v>0</v>
      </c>
      <c r="W122" t="s">
        <v>259</v>
      </c>
    </row>
    <row r="123" spans="1:23" x14ac:dyDescent="0.25">
      <c r="H123" t="s">
        <v>216</v>
      </c>
    </row>
    <row r="124" spans="1:23" x14ac:dyDescent="0.25">
      <c r="A124">
        <v>59</v>
      </c>
      <c r="B124">
        <v>8710</v>
      </c>
      <c r="C124" t="s">
        <v>271</v>
      </c>
      <c r="D124" t="s">
        <v>272</v>
      </c>
      <c r="E124" t="s">
        <v>71</v>
      </c>
      <c r="F124" t="s">
        <v>273</v>
      </c>
      <c r="G124" t="str">
        <f>"201511014103"</f>
        <v>201511014103</v>
      </c>
      <c r="H124" t="s">
        <v>274</v>
      </c>
      <c r="I124">
        <v>0</v>
      </c>
      <c r="J124">
        <v>30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88</v>
      </c>
      <c r="S124">
        <v>588</v>
      </c>
      <c r="V124">
        <v>2</v>
      </c>
      <c r="W124" t="s">
        <v>275</v>
      </c>
    </row>
    <row r="125" spans="1:23" x14ac:dyDescent="0.25">
      <c r="H125" t="s">
        <v>276</v>
      </c>
    </row>
    <row r="126" spans="1:23" x14ac:dyDescent="0.25">
      <c r="A126">
        <v>60</v>
      </c>
      <c r="B126">
        <v>1689</v>
      </c>
      <c r="C126" t="s">
        <v>277</v>
      </c>
      <c r="D126" t="s">
        <v>156</v>
      </c>
      <c r="E126" t="s">
        <v>175</v>
      </c>
      <c r="F126" t="s">
        <v>278</v>
      </c>
      <c r="G126" t="str">
        <f>"201511039236"</f>
        <v>201511039236</v>
      </c>
      <c r="H126">
        <v>1034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164</v>
      </c>
      <c r="S126">
        <v>588</v>
      </c>
      <c r="V126">
        <v>0</v>
      </c>
      <c r="W126">
        <v>1622</v>
      </c>
    </row>
    <row r="127" spans="1:23" x14ac:dyDescent="0.25">
      <c r="H127" t="s">
        <v>279</v>
      </c>
    </row>
    <row r="128" spans="1:23" x14ac:dyDescent="0.25">
      <c r="A128">
        <v>61</v>
      </c>
      <c r="B128">
        <v>9259</v>
      </c>
      <c r="C128" t="s">
        <v>280</v>
      </c>
      <c r="D128" t="s">
        <v>281</v>
      </c>
      <c r="E128" t="s">
        <v>71</v>
      </c>
      <c r="F128" t="s">
        <v>282</v>
      </c>
      <c r="G128" t="str">
        <f>"201511039466"</f>
        <v>201511039466</v>
      </c>
      <c r="H128">
        <v>880</v>
      </c>
      <c r="I128">
        <v>150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145</v>
      </c>
      <c r="S128">
        <v>588</v>
      </c>
      <c r="V128">
        <v>0</v>
      </c>
      <c r="W128">
        <v>1618</v>
      </c>
    </row>
    <row r="129" spans="1:23" x14ac:dyDescent="0.25">
      <c r="H129" t="s">
        <v>283</v>
      </c>
    </row>
    <row r="130" spans="1:23" x14ac:dyDescent="0.25">
      <c r="A130">
        <v>62</v>
      </c>
      <c r="B130">
        <v>3590</v>
      </c>
      <c r="C130" t="s">
        <v>284</v>
      </c>
      <c r="D130" t="s">
        <v>285</v>
      </c>
      <c r="E130" t="s">
        <v>121</v>
      </c>
      <c r="F130" t="s">
        <v>286</v>
      </c>
      <c r="G130" t="str">
        <f>"00028708"</f>
        <v>00028708</v>
      </c>
      <c r="H130" t="s">
        <v>287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140</v>
      </c>
      <c r="S130">
        <v>588</v>
      </c>
      <c r="V130">
        <v>0</v>
      </c>
      <c r="W130" t="s">
        <v>288</v>
      </c>
    </row>
    <row r="131" spans="1:23" x14ac:dyDescent="0.25">
      <c r="H131" t="s">
        <v>289</v>
      </c>
    </row>
    <row r="132" spans="1:23" x14ac:dyDescent="0.25">
      <c r="A132">
        <v>63</v>
      </c>
      <c r="B132">
        <v>5364</v>
      </c>
      <c r="C132" t="s">
        <v>290</v>
      </c>
      <c r="D132" t="s">
        <v>291</v>
      </c>
      <c r="E132" t="s">
        <v>32</v>
      </c>
      <c r="F132" t="s">
        <v>292</v>
      </c>
      <c r="G132" t="str">
        <f>"201511026069"</f>
        <v>201511026069</v>
      </c>
      <c r="H132" t="s">
        <v>293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146</v>
      </c>
      <c r="S132">
        <v>588</v>
      </c>
      <c r="V132">
        <v>0</v>
      </c>
      <c r="W132" t="s">
        <v>294</v>
      </c>
    </row>
    <row r="133" spans="1:23" x14ac:dyDescent="0.25">
      <c r="H133" t="s">
        <v>295</v>
      </c>
    </row>
    <row r="134" spans="1:23" x14ac:dyDescent="0.25">
      <c r="A134">
        <v>64</v>
      </c>
      <c r="B134">
        <v>5347</v>
      </c>
      <c r="C134" t="s">
        <v>296</v>
      </c>
      <c r="D134" t="s">
        <v>53</v>
      </c>
      <c r="E134" t="s">
        <v>136</v>
      </c>
      <c r="F134" t="s">
        <v>297</v>
      </c>
      <c r="G134" t="str">
        <f>"201511025270"</f>
        <v>201511025270</v>
      </c>
      <c r="H134">
        <v>1100</v>
      </c>
      <c r="I134">
        <v>0</v>
      </c>
      <c r="J134">
        <v>30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69</v>
      </c>
      <c r="S134">
        <v>483</v>
      </c>
      <c r="V134">
        <v>0</v>
      </c>
      <c r="W134">
        <v>1613</v>
      </c>
    </row>
    <row r="135" spans="1:23" x14ac:dyDescent="0.25">
      <c r="H135" t="s">
        <v>298</v>
      </c>
    </row>
    <row r="136" spans="1:23" x14ac:dyDescent="0.25">
      <c r="A136">
        <v>65</v>
      </c>
      <c r="B136">
        <v>6784</v>
      </c>
      <c r="C136" t="s">
        <v>299</v>
      </c>
      <c r="D136" t="s">
        <v>21</v>
      </c>
      <c r="E136" t="s">
        <v>71</v>
      </c>
      <c r="F136" t="s">
        <v>300</v>
      </c>
      <c r="G136" t="str">
        <f>"200801006073"</f>
        <v>200801006073</v>
      </c>
      <c r="H136">
        <v>990</v>
      </c>
      <c r="I136">
        <v>0</v>
      </c>
      <c r="J136">
        <v>30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215</v>
      </c>
      <c r="S136">
        <v>588</v>
      </c>
      <c r="V136">
        <v>0</v>
      </c>
      <c r="W136">
        <v>1608</v>
      </c>
    </row>
    <row r="137" spans="1:23" x14ac:dyDescent="0.25">
      <c r="H137" t="s">
        <v>301</v>
      </c>
    </row>
    <row r="138" spans="1:23" x14ac:dyDescent="0.25">
      <c r="A138">
        <v>66</v>
      </c>
      <c r="B138">
        <v>3948</v>
      </c>
      <c r="C138" t="s">
        <v>302</v>
      </c>
      <c r="D138" t="s">
        <v>303</v>
      </c>
      <c r="E138" t="s">
        <v>304</v>
      </c>
      <c r="F138" t="s">
        <v>305</v>
      </c>
      <c r="G138" t="str">
        <f>"201103000049"</f>
        <v>201103000049</v>
      </c>
      <c r="H138">
        <v>990</v>
      </c>
      <c r="I138">
        <v>0</v>
      </c>
      <c r="J138">
        <v>30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111</v>
      </c>
      <c r="S138">
        <v>588</v>
      </c>
      <c r="V138">
        <v>0</v>
      </c>
      <c r="W138">
        <v>1608</v>
      </c>
    </row>
    <row r="139" spans="1:23" x14ac:dyDescent="0.25">
      <c r="H139" t="s">
        <v>306</v>
      </c>
    </row>
    <row r="140" spans="1:23" x14ac:dyDescent="0.25">
      <c r="A140">
        <v>67</v>
      </c>
      <c r="B140">
        <v>2253</v>
      </c>
      <c r="C140" t="s">
        <v>307</v>
      </c>
      <c r="D140" t="s">
        <v>95</v>
      </c>
      <c r="E140" t="s">
        <v>26</v>
      </c>
      <c r="F140" t="s">
        <v>308</v>
      </c>
      <c r="G140" t="str">
        <f>"201511042196"</f>
        <v>201511042196</v>
      </c>
      <c r="H140">
        <v>990</v>
      </c>
      <c r="I140">
        <v>0</v>
      </c>
      <c r="J140">
        <v>30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130</v>
      </c>
      <c r="S140">
        <v>588</v>
      </c>
      <c r="V140">
        <v>0</v>
      </c>
      <c r="W140">
        <v>1608</v>
      </c>
    </row>
    <row r="141" spans="1:23" x14ac:dyDescent="0.25">
      <c r="H141" t="s">
        <v>309</v>
      </c>
    </row>
    <row r="142" spans="1:23" x14ac:dyDescent="0.25">
      <c r="A142">
        <v>68</v>
      </c>
      <c r="B142">
        <v>1223</v>
      </c>
      <c r="C142" t="s">
        <v>310</v>
      </c>
      <c r="D142" t="s">
        <v>190</v>
      </c>
      <c r="E142" t="s">
        <v>218</v>
      </c>
      <c r="F142" t="s">
        <v>311</v>
      </c>
      <c r="G142" t="str">
        <f>"00042372"</f>
        <v>00042372</v>
      </c>
      <c r="H142">
        <v>990</v>
      </c>
      <c r="I142">
        <v>0</v>
      </c>
      <c r="J142">
        <v>30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166</v>
      </c>
      <c r="S142">
        <v>588</v>
      </c>
      <c r="V142">
        <v>0</v>
      </c>
      <c r="W142">
        <v>1608</v>
      </c>
    </row>
    <row r="143" spans="1:23" x14ac:dyDescent="0.25">
      <c r="H143" t="s">
        <v>312</v>
      </c>
    </row>
    <row r="144" spans="1:23" x14ac:dyDescent="0.25">
      <c r="A144">
        <v>69</v>
      </c>
      <c r="B144">
        <v>1971</v>
      </c>
      <c r="C144" t="s">
        <v>313</v>
      </c>
      <c r="D144" t="s">
        <v>314</v>
      </c>
      <c r="E144" t="s">
        <v>47</v>
      </c>
      <c r="F144" t="s">
        <v>315</v>
      </c>
      <c r="G144" t="str">
        <f>"201511017248"</f>
        <v>201511017248</v>
      </c>
      <c r="H144" t="s">
        <v>316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127</v>
      </c>
      <c r="S144">
        <v>588</v>
      </c>
      <c r="V144">
        <v>0</v>
      </c>
      <c r="W144" t="s">
        <v>317</v>
      </c>
    </row>
    <row r="145" spans="1:23" x14ac:dyDescent="0.25">
      <c r="H145" t="s">
        <v>318</v>
      </c>
    </row>
    <row r="146" spans="1:23" x14ac:dyDescent="0.25">
      <c r="A146">
        <v>70</v>
      </c>
      <c r="B146">
        <v>25</v>
      </c>
      <c r="C146" t="s">
        <v>319</v>
      </c>
      <c r="D146" t="s">
        <v>75</v>
      </c>
      <c r="E146" t="s">
        <v>320</v>
      </c>
      <c r="F146" t="s">
        <v>321</v>
      </c>
      <c r="G146" t="str">
        <f>"201402000751"</f>
        <v>201402000751</v>
      </c>
      <c r="H146" t="s">
        <v>322</v>
      </c>
      <c r="I146">
        <v>150</v>
      </c>
      <c r="J146">
        <v>70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136</v>
      </c>
      <c r="S146">
        <v>588</v>
      </c>
      <c r="V146">
        <v>0</v>
      </c>
      <c r="W146" t="s">
        <v>317</v>
      </c>
    </row>
    <row r="147" spans="1:23" x14ac:dyDescent="0.25">
      <c r="H147">
        <v>911</v>
      </c>
    </row>
    <row r="148" spans="1:23" x14ac:dyDescent="0.25">
      <c r="A148">
        <v>71</v>
      </c>
      <c r="B148">
        <v>6358</v>
      </c>
      <c r="C148" t="s">
        <v>323</v>
      </c>
      <c r="D148" t="s">
        <v>42</v>
      </c>
      <c r="E148" t="s">
        <v>53</v>
      </c>
      <c r="F148" t="s">
        <v>324</v>
      </c>
      <c r="G148" t="str">
        <f>"201511016833"</f>
        <v>201511016833</v>
      </c>
      <c r="H148" t="s">
        <v>201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181</v>
      </c>
      <c r="S148">
        <v>588</v>
      </c>
      <c r="V148">
        <v>0</v>
      </c>
      <c r="W148" t="s">
        <v>325</v>
      </c>
    </row>
    <row r="149" spans="1:23" x14ac:dyDescent="0.25">
      <c r="H149" t="s">
        <v>326</v>
      </c>
    </row>
    <row r="150" spans="1:23" x14ac:dyDescent="0.25">
      <c r="A150">
        <v>72</v>
      </c>
      <c r="B150">
        <v>4681</v>
      </c>
      <c r="C150" t="s">
        <v>327</v>
      </c>
      <c r="D150" t="s">
        <v>156</v>
      </c>
      <c r="E150" t="s">
        <v>218</v>
      </c>
      <c r="F150" t="s">
        <v>328</v>
      </c>
      <c r="G150" t="str">
        <f>"201511040543"</f>
        <v>201511040543</v>
      </c>
      <c r="H150" t="s">
        <v>329</v>
      </c>
      <c r="I150">
        <v>150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106</v>
      </c>
      <c r="S150">
        <v>588</v>
      </c>
      <c r="V150">
        <v>0</v>
      </c>
      <c r="W150" t="s">
        <v>330</v>
      </c>
    </row>
    <row r="151" spans="1:23" x14ac:dyDescent="0.25">
      <c r="H151" t="s">
        <v>331</v>
      </c>
    </row>
    <row r="152" spans="1:23" x14ac:dyDescent="0.25">
      <c r="A152">
        <v>73</v>
      </c>
      <c r="B152">
        <v>7944</v>
      </c>
      <c r="C152" t="s">
        <v>332</v>
      </c>
      <c r="D152" t="s">
        <v>62</v>
      </c>
      <c r="E152" t="s">
        <v>136</v>
      </c>
      <c r="F152" t="s">
        <v>333</v>
      </c>
      <c r="G152" t="str">
        <f>"201511013676"</f>
        <v>201511013676</v>
      </c>
      <c r="H152" t="s">
        <v>334</v>
      </c>
      <c r="I152">
        <v>150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59</v>
      </c>
      <c r="S152">
        <v>413</v>
      </c>
      <c r="V152">
        <v>0</v>
      </c>
      <c r="W152" t="s">
        <v>335</v>
      </c>
    </row>
    <row r="153" spans="1:23" x14ac:dyDescent="0.25">
      <c r="H153" t="s">
        <v>336</v>
      </c>
    </row>
    <row r="154" spans="1:23" x14ac:dyDescent="0.25">
      <c r="A154">
        <v>74</v>
      </c>
      <c r="B154">
        <v>8064</v>
      </c>
      <c r="C154" t="s">
        <v>337</v>
      </c>
      <c r="D154" t="s">
        <v>121</v>
      </c>
      <c r="E154" t="s">
        <v>218</v>
      </c>
      <c r="F154" t="s">
        <v>338</v>
      </c>
      <c r="G154" t="str">
        <f>"00057577"</f>
        <v>00057577</v>
      </c>
      <c r="H154">
        <v>1012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144</v>
      </c>
      <c r="S154">
        <v>588</v>
      </c>
      <c r="V154">
        <v>0</v>
      </c>
      <c r="W154">
        <v>1600</v>
      </c>
    </row>
    <row r="155" spans="1:23" x14ac:dyDescent="0.25">
      <c r="H155" t="s">
        <v>339</v>
      </c>
    </row>
    <row r="156" spans="1:23" x14ac:dyDescent="0.25">
      <c r="A156">
        <v>75</v>
      </c>
      <c r="B156">
        <v>383</v>
      </c>
      <c r="C156" t="s">
        <v>340</v>
      </c>
      <c r="D156" t="s">
        <v>341</v>
      </c>
      <c r="E156" t="s">
        <v>342</v>
      </c>
      <c r="F156" t="s">
        <v>343</v>
      </c>
      <c r="G156" t="str">
        <f>"00019609"</f>
        <v>00019609</v>
      </c>
      <c r="H156">
        <v>1012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161</v>
      </c>
      <c r="S156">
        <v>588</v>
      </c>
      <c r="V156">
        <v>1</v>
      </c>
      <c r="W156">
        <v>1600</v>
      </c>
    </row>
    <row r="157" spans="1:23" x14ac:dyDescent="0.25">
      <c r="H157" t="s">
        <v>344</v>
      </c>
    </row>
    <row r="158" spans="1:23" x14ac:dyDescent="0.25">
      <c r="A158">
        <v>76</v>
      </c>
      <c r="B158">
        <v>4410</v>
      </c>
      <c r="C158" t="s">
        <v>345</v>
      </c>
      <c r="D158" t="s">
        <v>145</v>
      </c>
      <c r="E158" t="s">
        <v>346</v>
      </c>
      <c r="F158" t="s">
        <v>347</v>
      </c>
      <c r="G158" t="str">
        <f>"201005000080"</f>
        <v>201005000080</v>
      </c>
      <c r="H158" t="s">
        <v>348</v>
      </c>
      <c r="I158">
        <v>0</v>
      </c>
      <c r="J158">
        <v>30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84</v>
      </c>
      <c r="S158">
        <v>588</v>
      </c>
      <c r="V158">
        <v>0</v>
      </c>
      <c r="W158" t="s">
        <v>349</v>
      </c>
    </row>
    <row r="159" spans="1:23" x14ac:dyDescent="0.25">
      <c r="H159" t="s">
        <v>350</v>
      </c>
    </row>
    <row r="160" spans="1:23" x14ac:dyDescent="0.25">
      <c r="A160">
        <v>77</v>
      </c>
      <c r="B160">
        <v>1669</v>
      </c>
      <c r="C160" t="s">
        <v>351</v>
      </c>
      <c r="D160" t="s">
        <v>352</v>
      </c>
      <c r="E160" t="s">
        <v>218</v>
      </c>
      <c r="F160" t="s">
        <v>353</v>
      </c>
      <c r="G160" t="str">
        <f>"00033097"</f>
        <v>00033097</v>
      </c>
      <c r="H160" t="s">
        <v>354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159</v>
      </c>
      <c r="S160">
        <v>588</v>
      </c>
      <c r="V160">
        <v>0</v>
      </c>
      <c r="W160" t="s">
        <v>355</v>
      </c>
    </row>
    <row r="161" spans="1:23" x14ac:dyDescent="0.25">
      <c r="H161" t="s">
        <v>356</v>
      </c>
    </row>
    <row r="162" spans="1:23" x14ac:dyDescent="0.25">
      <c r="A162">
        <v>78</v>
      </c>
      <c r="B162">
        <v>7247</v>
      </c>
      <c r="C162" t="s">
        <v>357</v>
      </c>
      <c r="D162" t="s">
        <v>26</v>
      </c>
      <c r="E162" t="s">
        <v>121</v>
      </c>
      <c r="F162" t="s">
        <v>358</v>
      </c>
      <c r="G162" t="str">
        <f>"00046981"</f>
        <v>00046981</v>
      </c>
      <c r="H162">
        <v>825</v>
      </c>
      <c r="I162">
        <v>150</v>
      </c>
      <c r="J162">
        <v>30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121</v>
      </c>
      <c r="S162">
        <v>588</v>
      </c>
      <c r="V162">
        <v>0</v>
      </c>
      <c r="W162">
        <v>1593</v>
      </c>
    </row>
    <row r="163" spans="1:23" x14ac:dyDescent="0.25">
      <c r="H163" t="s">
        <v>359</v>
      </c>
    </row>
    <row r="164" spans="1:23" x14ac:dyDescent="0.25">
      <c r="A164">
        <v>79</v>
      </c>
      <c r="B164">
        <v>3933</v>
      </c>
      <c r="C164" t="s">
        <v>360</v>
      </c>
      <c r="D164" t="s">
        <v>53</v>
      </c>
      <c r="E164" t="s">
        <v>42</v>
      </c>
      <c r="F164" t="s">
        <v>361</v>
      </c>
      <c r="G164" t="str">
        <f>"00020657"</f>
        <v>00020657</v>
      </c>
      <c r="H164" t="s">
        <v>274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95</v>
      </c>
      <c r="S164">
        <v>588</v>
      </c>
      <c r="V164">
        <v>0</v>
      </c>
      <c r="W164" t="s">
        <v>362</v>
      </c>
    </row>
    <row r="165" spans="1:23" x14ac:dyDescent="0.25">
      <c r="H165" t="s">
        <v>363</v>
      </c>
    </row>
    <row r="166" spans="1:23" x14ac:dyDescent="0.25">
      <c r="A166">
        <v>80</v>
      </c>
      <c r="B166">
        <v>3569</v>
      </c>
      <c r="C166" t="s">
        <v>364</v>
      </c>
      <c r="D166" t="s">
        <v>365</v>
      </c>
      <c r="E166" t="s">
        <v>22</v>
      </c>
      <c r="F166" t="s">
        <v>366</v>
      </c>
      <c r="G166" t="str">
        <f>"201511004529"</f>
        <v>201511004529</v>
      </c>
      <c r="H166" t="s">
        <v>367</v>
      </c>
      <c r="I166">
        <v>150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51</v>
      </c>
      <c r="S166">
        <v>357</v>
      </c>
      <c r="V166">
        <v>0</v>
      </c>
      <c r="W166" t="s">
        <v>368</v>
      </c>
    </row>
    <row r="167" spans="1:23" x14ac:dyDescent="0.25">
      <c r="H167" t="s">
        <v>369</v>
      </c>
    </row>
    <row r="168" spans="1:23" x14ac:dyDescent="0.25">
      <c r="A168">
        <v>81</v>
      </c>
      <c r="B168">
        <v>8620</v>
      </c>
      <c r="C168" t="s">
        <v>265</v>
      </c>
      <c r="D168" t="s">
        <v>370</v>
      </c>
      <c r="E168" t="s">
        <v>53</v>
      </c>
      <c r="F168" t="s">
        <v>371</v>
      </c>
      <c r="G168" t="str">
        <f>"00017103"</f>
        <v>00017103</v>
      </c>
      <c r="H168">
        <v>1001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179</v>
      </c>
      <c r="S168">
        <v>588</v>
      </c>
      <c r="V168">
        <v>0</v>
      </c>
      <c r="W168">
        <v>1589</v>
      </c>
    </row>
    <row r="169" spans="1:23" x14ac:dyDescent="0.25">
      <c r="H169" t="s">
        <v>372</v>
      </c>
    </row>
    <row r="170" spans="1:23" x14ac:dyDescent="0.25">
      <c r="A170">
        <v>82</v>
      </c>
      <c r="B170">
        <v>2946</v>
      </c>
      <c r="C170" t="s">
        <v>373</v>
      </c>
      <c r="D170" t="s">
        <v>171</v>
      </c>
      <c r="E170" t="s">
        <v>47</v>
      </c>
      <c r="F170" t="s">
        <v>374</v>
      </c>
      <c r="G170" t="str">
        <f>"201511034735"</f>
        <v>201511034735</v>
      </c>
      <c r="H170" t="s">
        <v>375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134</v>
      </c>
      <c r="S170">
        <v>588</v>
      </c>
      <c r="V170">
        <v>0</v>
      </c>
      <c r="W170" t="s">
        <v>376</v>
      </c>
    </row>
    <row r="171" spans="1:23" x14ac:dyDescent="0.25">
      <c r="H171" t="s">
        <v>377</v>
      </c>
    </row>
    <row r="172" spans="1:23" x14ac:dyDescent="0.25">
      <c r="A172">
        <v>83</v>
      </c>
      <c r="B172">
        <v>8129</v>
      </c>
      <c r="C172" t="s">
        <v>378</v>
      </c>
      <c r="D172" t="s">
        <v>379</v>
      </c>
      <c r="E172" t="s">
        <v>380</v>
      </c>
      <c r="F172" t="s">
        <v>381</v>
      </c>
      <c r="G172" t="str">
        <f>"00089893"</f>
        <v>00089893</v>
      </c>
      <c r="H172" t="s">
        <v>382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169</v>
      </c>
      <c r="S172">
        <v>588</v>
      </c>
      <c r="V172">
        <v>0</v>
      </c>
      <c r="W172" t="s">
        <v>383</v>
      </c>
    </row>
    <row r="173" spans="1:23" x14ac:dyDescent="0.25">
      <c r="H173" t="s">
        <v>216</v>
      </c>
    </row>
    <row r="174" spans="1:23" x14ac:dyDescent="0.25">
      <c r="A174">
        <v>84</v>
      </c>
      <c r="B174">
        <v>4557</v>
      </c>
      <c r="C174" t="s">
        <v>384</v>
      </c>
      <c r="D174" t="s">
        <v>36</v>
      </c>
      <c r="E174" t="s">
        <v>385</v>
      </c>
      <c r="F174" t="s">
        <v>386</v>
      </c>
      <c r="G174" t="str">
        <f>"201511008420"</f>
        <v>201511008420</v>
      </c>
      <c r="H174" t="s">
        <v>382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  <c r="R174">
        <v>168</v>
      </c>
      <c r="S174">
        <v>588</v>
      </c>
      <c r="V174">
        <v>0</v>
      </c>
      <c r="W174" t="s">
        <v>383</v>
      </c>
    </row>
    <row r="175" spans="1:23" x14ac:dyDescent="0.25">
      <c r="H175" t="s">
        <v>387</v>
      </c>
    </row>
    <row r="176" spans="1:23" x14ac:dyDescent="0.25">
      <c r="A176">
        <v>85</v>
      </c>
      <c r="B176">
        <v>6714</v>
      </c>
      <c r="C176" t="s">
        <v>388</v>
      </c>
      <c r="D176" t="s">
        <v>385</v>
      </c>
      <c r="E176" t="s">
        <v>389</v>
      </c>
      <c r="F176" t="s">
        <v>390</v>
      </c>
      <c r="G176" t="str">
        <f>"201511014663"</f>
        <v>201511014663</v>
      </c>
      <c r="H176">
        <v>1045</v>
      </c>
      <c r="I176">
        <v>0</v>
      </c>
      <c r="J176">
        <v>70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67</v>
      </c>
      <c r="S176">
        <v>469</v>
      </c>
      <c r="V176">
        <v>0</v>
      </c>
      <c r="W176">
        <v>1584</v>
      </c>
    </row>
    <row r="177" spans="1:23" x14ac:dyDescent="0.25">
      <c r="H177" t="s">
        <v>391</v>
      </c>
    </row>
    <row r="178" spans="1:23" x14ac:dyDescent="0.25">
      <c r="A178">
        <v>86</v>
      </c>
      <c r="B178">
        <v>8028</v>
      </c>
      <c r="C178" t="s">
        <v>246</v>
      </c>
      <c r="D178" t="s">
        <v>57</v>
      </c>
      <c r="E178" t="s">
        <v>380</v>
      </c>
      <c r="F178" t="s">
        <v>392</v>
      </c>
      <c r="G178" t="str">
        <f>"00071486"</f>
        <v>00071486</v>
      </c>
      <c r="H178" t="s">
        <v>393</v>
      </c>
      <c r="I178">
        <v>150</v>
      </c>
      <c r="J178">
        <v>0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158</v>
      </c>
      <c r="S178">
        <v>588</v>
      </c>
      <c r="V178">
        <v>1</v>
      </c>
      <c r="W178" t="s">
        <v>394</v>
      </c>
    </row>
    <row r="179" spans="1:23" x14ac:dyDescent="0.25">
      <c r="H179" t="s">
        <v>395</v>
      </c>
    </row>
    <row r="180" spans="1:23" x14ac:dyDescent="0.25">
      <c r="A180">
        <v>87</v>
      </c>
      <c r="B180">
        <v>8556</v>
      </c>
      <c r="C180" t="s">
        <v>396</v>
      </c>
      <c r="D180" t="s">
        <v>36</v>
      </c>
      <c r="E180" t="s">
        <v>21</v>
      </c>
      <c r="F180" t="s">
        <v>397</v>
      </c>
      <c r="G180" t="str">
        <f>"00102393"</f>
        <v>00102393</v>
      </c>
      <c r="H180">
        <v>990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364</v>
      </c>
      <c r="S180">
        <v>588</v>
      </c>
      <c r="V180">
        <v>0</v>
      </c>
      <c r="W180">
        <v>1578</v>
      </c>
    </row>
    <row r="181" spans="1:23" x14ac:dyDescent="0.25">
      <c r="H181" t="s">
        <v>398</v>
      </c>
    </row>
    <row r="182" spans="1:23" x14ac:dyDescent="0.25">
      <c r="A182">
        <v>88</v>
      </c>
      <c r="B182">
        <v>2014</v>
      </c>
      <c r="C182" t="s">
        <v>399</v>
      </c>
      <c r="D182" t="s">
        <v>71</v>
      </c>
      <c r="E182" t="s">
        <v>400</v>
      </c>
      <c r="F182" t="s">
        <v>401</v>
      </c>
      <c r="G182" t="str">
        <f>"00040834"</f>
        <v>00040834</v>
      </c>
      <c r="H182">
        <v>990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292</v>
      </c>
      <c r="S182">
        <v>588</v>
      </c>
      <c r="T182">
        <v>6</v>
      </c>
      <c r="U182">
        <v>938</v>
      </c>
      <c r="V182">
        <v>0</v>
      </c>
      <c r="W182">
        <v>1578</v>
      </c>
    </row>
    <row r="183" spans="1:23" x14ac:dyDescent="0.25">
      <c r="H183" t="s">
        <v>402</v>
      </c>
    </row>
    <row r="184" spans="1:23" x14ac:dyDescent="0.25">
      <c r="A184">
        <v>89</v>
      </c>
      <c r="B184">
        <v>2014</v>
      </c>
      <c r="C184" t="s">
        <v>399</v>
      </c>
      <c r="D184" t="s">
        <v>71</v>
      </c>
      <c r="E184" t="s">
        <v>400</v>
      </c>
      <c r="F184" t="s">
        <v>401</v>
      </c>
      <c r="G184" t="str">
        <f>"00040834"</f>
        <v>00040834</v>
      </c>
      <c r="H184">
        <v>990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292</v>
      </c>
      <c r="S184">
        <v>588</v>
      </c>
      <c r="V184">
        <v>0</v>
      </c>
      <c r="W184">
        <v>1578</v>
      </c>
    </row>
    <row r="185" spans="1:23" x14ac:dyDescent="0.25">
      <c r="H185" t="s">
        <v>402</v>
      </c>
    </row>
    <row r="186" spans="1:23" x14ac:dyDescent="0.25">
      <c r="A186">
        <v>90</v>
      </c>
      <c r="B186">
        <v>1389</v>
      </c>
      <c r="C186" t="s">
        <v>403</v>
      </c>
      <c r="D186" t="s">
        <v>53</v>
      </c>
      <c r="E186" t="s">
        <v>71</v>
      </c>
      <c r="F186" t="s">
        <v>404</v>
      </c>
      <c r="G186" t="str">
        <f>"00024135"</f>
        <v>00024135</v>
      </c>
      <c r="H186">
        <v>990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294</v>
      </c>
      <c r="S186">
        <v>588</v>
      </c>
      <c r="V186">
        <v>1</v>
      </c>
      <c r="W186">
        <v>1578</v>
      </c>
    </row>
    <row r="187" spans="1:23" x14ac:dyDescent="0.25">
      <c r="H187" t="s">
        <v>196</v>
      </c>
    </row>
    <row r="188" spans="1:23" x14ac:dyDescent="0.25">
      <c r="A188">
        <v>91</v>
      </c>
      <c r="B188">
        <v>7688</v>
      </c>
      <c r="C188" t="s">
        <v>405</v>
      </c>
      <c r="D188" t="s">
        <v>406</v>
      </c>
      <c r="E188" t="s">
        <v>407</v>
      </c>
      <c r="F188" t="s">
        <v>408</v>
      </c>
      <c r="G188" t="str">
        <f>"201511031357"</f>
        <v>201511031357</v>
      </c>
      <c r="H188">
        <v>990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179</v>
      </c>
      <c r="S188">
        <v>588</v>
      </c>
      <c r="V188">
        <v>0</v>
      </c>
      <c r="W188">
        <v>1578</v>
      </c>
    </row>
    <row r="189" spans="1:23" x14ac:dyDescent="0.25">
      <c r="H189" t="s">
        <v>409</v>
      </c>
    </row>
    <row r="190" spans="1:23" x14ac:dyDescent="0.25">
      <c r="A190">
        <v>92</v>
      </c>
      <c r="B190">
        <v>8343</v>
      </c>
      <c r="C190" t="s">
        <v>410</v>
      </c>
      <c r="D190" t="s">
        <v>156</v>
      </c>
      <c r="E190" t="s">
        <v>21</v>
      </c>
      <c r="F190" t="s">
        <v>411</v>
      </c>
      <c r="G190" t="str">
        <f>"00070227"</f>
        <v>00070227</v>
      </c>
      <c r="H190">
        <v>990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0</v>
      </c>
      <c r="R190">
        <v>127</v>
      </c>
      <c r="S190">
        <v>588</v>
      </c>
      <c r="V190">
        <v>2</v>
      </c>
      <c r="W190">
        <v>1578</v>
      </c>
    </row>
    <row r="191" spans="1:23" x14ac:dyDescent="0.25">
      <c r="H191" t="s">
        <v>412</v>
      </c>
    </row>
    <row r="192" spans="1:23" x14ac:dyDescent="0.25">
      <c r="A192">
        <v>93</v>
      </c>
      <c r="B192">
        <v>8493</v>
      </c>
      <c r="C192" t="s">
        <v>413</v>
      </c>
      <c r="D192" t="s">
        <v>190</v>
      </c>
      <c r="E192" t="s">
        <v>218</v>
      </c>
      <c r="F192" t="s">
        <v>414</v>
      </c>
      <c r="G192" t="str">
        <f>"00022082"</f>
        <v>00022082</v>
      </c>
      <c r="H192">
        <v>990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</v>
      </c>
      <c r="R192">
        <v>135</v>
      </c>
      <c r="S192">
        <v>588</v>
      </c>
      <c r="V192">
        <v>0</v>
      </c>
      <c r="W192">
        <v>1578</v>
      </c>
    </row>
    <row r="193" spans="1:23" x14ac:dyDescent="0.25">
      <c r="H193" t="s">
        <v>415</v>
      </c>
    </row>
    <row r="194" spans="1:23" x14ac:dyDescent="0.25">
      <c r="A194">
        <v>94</v>
      </c>
      <c r="B194">
        <v>6567</v>
      </c>
      <c r="C194" t="s">
        <v>416</v>
      </c>
      <c r="D194" t="s">
        <v>417</v>
      </c>
      <c r="E194" t="s">
        <v>21</v>
      </c>
      <c r="F194" t="s">
        <v>418</v>
      </c>
      <c r="G194" t="str">
        <f>"00068136"</f>
        <v>00068136</v>
      </c>
      <c r="H194">
        <v>990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152</v>
      </c>
      <c r="S194">
        <v>588</v>
      </c>
      <c r="V194">
        <v>0</v>
      </c>
      <c r="W194">
        <v>1578</v>
      </c>
    </row>
    <row r="195" spans="1:23" x14ac:dyDescent="0.25">
      <c r="H195" t="s">
        <v>419</v>
      </c>
    </row>
    <row r="196" spans="1:23" x14ac:dyDescent="0.25">
      <c r="A196">
        <v>95</v>
      </c>
      <c r="B196">
        <v>3774</v>
      </c>
      <c r="C196" t="s">
        <v>420</v>
      </c>
      <c r="D196" t="s">
        <v>285</v>
      </c>
      <c r="E196" t="s">
        <v>53</v>
      </c>
      <c r="F196" t="s">
        <v>421</v>
      </c>
      <c r="G196" t="str">
        <f>"201402000864"</f>
        <v>201402000864</v>
      </c>
      <c r="H196">
        <v>990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  <c r="R196">
        <v>127</v>
      </c>
      <c r="S196">
        <v>588</v>
      </c>
      <c r="V196">
        <v>1</v>
      </c>
      <c r="W196">
        <v>1578</v>
      </c>
    </row>
    <row r="197" spans="1:23" x14ac:dyDescent="0.25">
      <c r="H197" t="s">
        <v>422</v>
      </c>
    </row>
    <row r="198" spans="1:23" x14ac:dyDescent="0.25">
      <c r="A198">
        <v>96</v>
      </c>
      <c r="B198">
        <v>8281</v>
      </c>
      <c r="C198" t="s">
        <v>423</v>
      </c>
      <c r="D198" t="s">
        <v>190</v>
      </c>
      <c r="E198" t="s">
        <v>53</v>
      </c>
      <c r="F198" t="s">
        <v>424</v>
      </c>
      <c r="G198" t="str">
        <f>"00091389"</f>
        <v>00091389</v>
      </c>
      <c r="H198">
        <v>990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84</v>
      </c>
      <c r="S198">
        <v>588</v>
      </c>
      <c r="V198">
        <v>0</v>
      </c>
      <c r="W198">
        <v>1578</v>
      </c>
    </row>
    <row r="199" spans="1:23" x14ac:dyDescent="0.25">
      <c r="H199" t="s">
        <v>425</v>
      </c>
    </row>
    <row r="200" spans="1:23" x14ac:dyDescent="0.25">
      <c r="A200">
        <v>97</v>
      </c>
      <c r="B200">
        <v>8244</v>
      </c>
      <c r="C200" t="s">
        <v>426</v>
      </c>
      <c r="D200" t="s">
        <v>105</v>
      </c>
      <c r="E200" t="s">
        <v>121</v>
      </c>
      <c r="F200" t="s">
        <v>427</v>
      </c>
      <c r="G200" t="str">
        <f>"201510001967"</f>
        <v>201510001967</v>
      </c>
      <c r="H200">
        <v>990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130</v>
      </c>
      <c r="S200">
        <v>588</v>
      </c>
      <c r="V200">
        <v>0</v>
      </c>
      <c r="W200">
        <v>1578</v>
      </c>
    </row>
    <row r="201" spans="1:23" x14ac:dyDescent="0.25">
      <c r="H201" t="s">
        <v>428</v>
      </c>
    </row>
    <row r="202" spans="1:23" x14ac:dyDescent="0.25">
      <c r="A202">
        <v>98</v>
      </c>
      <c r="B202">
        <v>843</v>
      </c>
      <c r="C202" t="s">
        <v>429</v>
      </c>
      <c r="D202" t="s">
        <v>31</v>
      </c>
      <c r="E202" t="s">
        <v>32</v>
      </c>
      <c r="F202" t="s">
        <v>430</v>
      </c>
      <c r="G202" t="str">
        <f>"201511015997"</f>
        <v>201511015997</v>
      </c>
      <c r="H202">
        <v>990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</v>
      </c>
      <c r="R202">
        <v>84</v>
      </c>
      <c r="S202">
        <v>588</v>
      </c>
      <c r="V202">
        <v>0</v>
      </c>
      <c r="W202">
        <v>1578</v>
      </c>
    </row>
    <row r="203" spans="1:23" x14ac:dyDescent="0.25">
      <c r="H203" t="s">
        <v>431</v>
      </c>
    </row>
    <row r="204" spans="1:23" x14ac:dyDescent="0.25">
      <c r="A204">
        <v>99</v>
      </c>
      <c r="B204">
        <v>1667</v>
      </c>
      <c r="C204" t="s">
        <v>432</v>
      </c>
      <c r="D204" t="s">
        <v>433</v>
      </c>
      <c r="E204" t="s">
        <v>116</v>
      </c>
      <c r="F204" t="s">
        <v>434</v>
      </c>
      <c r="G204" t="str">
        <f>"201511014471"</f>
        <v>201511014471</v>
      </c>
      <c r="H204">
        <v>990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  <c r="R204">
        <v>125</v>
      </c>
      <c r="S204">
        <v>588</v>
      </c>
      <c r="V204">
        <v>0</v>
      </c>
      <c r="W204">
        <v>1578</v>
      </c>
    </row>
    <row r="205" spans="1:23" x14ac:dyDescent="0.25">
      <c r="H205" t="s">
        <v>435</v>
      </c>
    </row>
    <row r="206" spans="1:23" x14ac:dyDescent="0.25">
      <c r="A206">
        <v>100</v>
      </c>
      <c r="B206">
        <v>8029</v>
      </c>
      <c r="C206" t="s">
        <v>436</v>
      </c>
      <c r="D206" t="s">
        <v>87</v>
      </c>
      <c r="E206" t="s">
        <v>71</v>
      </c>
      <c r="F206" t="s">
        <v>437</v>
      </c>
      <c r="G206" t="str">
        <f>"200908000396"</f>
        <v>200908000396</v>
      </c>
      <c r="H206">
        <v>990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84</v>
      </c>
      <c r="S206">
        <v>588</v>
      </c>
      <c r="V206">
        <v>0</v>
      </c>
      <c r="W206">
        <v>1578</v>
      </c>
    </row>
    <row r="207" spans="1:23" x14ac:dyDescent="0.25">
      <c r="H207" t="s">
        <v>438</v>
      </c>
    </row>
    <row r="208" spans="1:23" x14ac:dyDescent="0.25">
      <c r="A208">
        <v>101</v>
      </c>
      <c r="B208">
        <v>1509</v>
      </c>
      <c r="C208" t="s">
        <v>439</v>
      </c>
      <c r="D208" t="s">
        <v>440</v>
      </c>
      <c r="E208" t="s">
        <v>441</v>
      </c>
      <c r="F208" t="s">
        <v>442</v>
      </c>
      <c r="G208" t="str">
        <f>"201511017179"</f>
        <v>201511017179</v>
      </c>
      <c r="H208">
        <v>990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106</v>
      </c>
      <c r="S208">
        <v>588</v>
      </c>
      <c r="V208">
        <v>0</v>
      </c>
      <c r="W208">
        <v>1578</v>
      </c>
    </row>
    <row r="209" spans="1:23" x14ac:dyDescent="0.25">
      <c r="H209" t="s">
        <v>443</v>
      </c>
    </row>
    <row r="210" spans="1:23" x14ac:dyDescent="0.25">
      <c r="A210">
        <v>102</v>
      </c>
      <c r="B210">
        <v>10134</v>
      </c>
      <c r="C210" t="s">
        <v>444</v>
      </c>
      <c r="D210" t="s">
        <v>94</v>
      </c>
      <c r="E210" t="s">
        <v>218</v>
      </c>
      <c r="F210" t="s">
        <v>445</v>
      </c>
      <c r="G210" t="str">
        <f>"201511028218"</f>
        <v>201511028218</v>
      </c>
      <c r="H210">
        <v>990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  <c r="R210">
        <v>84</v>
      </c>
      <c r="S210">
        <v>588</v>
      </c>
      <c r="V210">
        <v>0</v>
      </c>
      <c r="W210">
        <v>1578</v>
      </c>
    </row>
    <row r="211" spans="1:23" x14ac:dyDescent="0.25">
      <c r="H211" t="s">
        <v>446</v>
      </c>
    </row>
    <row r="212" spans="1:23" x14ac:dyDescent="0.25">
      <c r="A212">
        <v>103</v>
      </c>
      <c r="B212">
        <v>247</v>
      </c>
      <c r="C212" t="s">
        <v>447</v>
      </c>
      <c r="D212" t="s">
        <v>71</v>
      </c>
      <c r="E212" t="s">
        <v>26</v>
      </c>
      <c r="F212" t="s">
        <v>448</v>
      </c>
      <c r="G212" t="str">
        <f>"00016636"</f>
        <v>00016636</v>
      </c>
      <c r="H212">
        <v>990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  <c r="R212">
        <v>84</v>
      </c>
      <c r="S212">
        <v>588</v>
      </c>
      <c r="V212">
        <v>0</v>
      </c>
      <c r="W212">
        <v>1578</v>
      </c>
    </row>
    <row r="213" spans="1:23" x14ac:dyDescent="0.25">
      <c r="H213" t="s">
        <v>449</v>
      </c>
    </row>
    <row r="214" spans="1:23" x14ac:dyDescent="0.25">
      <c r="A214">
        <v>104</v>
      </c>
      <c r="B214">
        <v>6727</v>
      </c>
      <c r="C214" t="s">
        <v>450</v>
      </c>
      <c r="D214" t="s">
        <v>26</v>
      </c>
      <c r="E214" t="s">
        <v>400</v>
      </c>
      <c r="F214" t="s">
        <v>451</v>
      </c>
      <c r="G214" t="str">
        <f>"201510003184"</f>
        <v>201510003184</v>
      </c>
      <c r="H214">
        <v>1012</v>
      </c>
      <c r="I214">
        <v>150</v>
      </c>
      <c r="J214">
        <v>0</v>
      </c>
      <c r="K214">
        <v>0</v>
      </c>
      <c r="L214">
        <v>0</v>
      </c>
      <c r="M214">
        <v>0</v>
      </c>
      <c r="N214">
        <v>0</v>
      </c>
      <c r="O214">
        <v>0</v>
      </c>
      <c r="P214">
        <v>0</v>
      </c>
      <c r="Q214">
        <v>0</v>
      </c>
      <c r="R214">
        <v>59</v>
      </c>
      <c r="S214">
        <v>413</v>
      </c>
      <c r="V214">
        <v>0</v>
      </c>
      <c r="W214">
        <v>1575</v>
      </c>
    </row>
    <row r="215" spans="1:23" x14ac:dyDescent="0.25">
      <c r="H215" t="s">
        <v>452</v>
      </c>
    </row>
    <row r="216" spans="1:23" x14ac:dyDescent="0.25">
      <c r="A216">
        <v>105</v>
      </c>
      <c r="B216">
        <v>5334</v>
      </c>
      <c r="C216" t="s">
        <v>453</v>
      </c>
      <c r="D216" t="s">
        <v>454</v>
      </c>
      <c r="E216" t="s">
        <v>26</v>
      </c>
      <c r="F216" t="s">
        <v>455</v>
      </c>
      <c r="G216" t="str">
        <f>"201512002109"</f>
        <v>201512002109</v>
      </c>
      <c r="H216" t="s">
        <v>456</v>
      </c>
      <c r="I216">
        <v>150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  <c r="R216">
        <v>84</v>
      </c>
      <c r="S216">
        <v>588</v>
      </c>
      <c r="V216">
        <v>0</v>
      </c>
      <c r="W216" t="s">
        <v>457</v>
      </c>
    </row>
    <row r="217" spans="1:23" x14ac:dyDescent="0.25">
      <c r="H217" t="s">
        <v>458</v>
      </c>
    </row>
    <row r="218" spans="1:23" x14ac:dyDescent="0.25">
      <c r="A218">
        <v>106</v>
      </c>
      <c r="B218">
        <v>7381</v>
      </c>
      <c r="C218" t="s">
        <v>459</v>
      </c>
      <c r="D218" t="s">
        <v>140</v>
      </c>
      <c r="E218" t="s">
        <v>53</v>
      </c>
      <c r="F218" t="s">
        <v>460</v>
      </c>
      <c r="G218" t="str">
        <f>"201511036399"</f>
        <v>201511036399</v>
      </c>
      <c r="H218" t="s">
        <v>461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  <c r="R218">
        <v>115</v>
      </c>
      <c r="S218">
        <v>588</v>
      </c>
      <c r="V218">
        <v>0</v>
      </c>
      <c r="W218" t="s">
        <v>462</v>
      </c>
    </row>
    <row r="219" spans="1:23" x14ac:dyDescent="0.25">
      <c r="H219" t="s">
        <v>463</v>
      </c>
    </row>
    <row r="220" spans="1:23" x14ac:dyDescent="0.25">
      <c r="A220">
        <v>107</v>
      </c>
      <c r="B220">
        <v>5377</v>
      </c>
      <c r="C220" t="s">
        <v>464</v>
      </c>
      <c r="D220" t="s">
        <v>465</v>
      </c>
      <c r="E220" t="s">
        <v>466</v>
      </c>
      <c r="F220" t="s">
        <v>467</v>
      </c>
      <c r="G220" t="str">
        <f>"00070184"</f>
        <v>00070184</v>
      </c>
      <c r="H220">
        <v>979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0</v>
      </c>
      <c r="O220">
        <v>0</v>
      </c>
      <c r="P220">
        <v>0</v>
      </c>
      <c r="Q220">
        <v>0</v>
      </c>
      <c r="R220">
        <v>307</v>
      </c>
      <c r="S220">
        <v>588</v>
      </c>
      <c r="V220">
        <v>0</v>
      </c>
      <c r="W220">
        <v>1567</v>
      </c>
    </row>
    <row r="221" spans="1:23" x14ac:dyDescent="0.25">
      <c r="H221" t="s">
        <v>468</v>
      </c>
    </row>
    <row r="222" spans="1:23" x14ac:dyDescent="0.25">
      <c r="A222">
        <v>108</v>
      </c>
      <c r="B222">
        <v>7616</v>
      </c>
      <c r="C222" t="s">
        <v>469</v>
      </c>
      <c r="D222" t="s">
        <v>111</v>
      </c>
      <c r="E222" t="s">
        <v>21</v>
      </c>
      <c r="F222" t="s">
        <v>470</v>
      </c>
      <c r="G222" t="str">
        <f>"201511033299"</f>
        <v>201511033299</v>
      </c>
      <c r="H222" t="s">
        <v>471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0</v>
      </c>
      <c r="R222">
        <v>68</v>
      </c>
      <c r="S222">
        <v>476</v>
      </c>
      <c r="V222">
        <v>0</v>
      </c>
      <c r="W222" t="s">
        <v>472</v>
      </c>
    </row>
    <row r="223" spans="1:23" x14ac:dyDescent="0.25">
      <c r="H223" t="s">
        <v>473</v>
      </c>
    </row>
    <row r="224" spans="1:23" x14ac:dyDescent="0.25">
      <c r="A224">
        <v>109</v>
      </c>
      <c r="B224">
        <v>9179</v>
      </c>
      <c r="C224" t="s">
        <v>474</v>
      </c>
      <c r="D224" t="s">
        <v>475</v>
      </c>
      <c r="E224" t="s">
        <v>21</v>
      </c>
      <c r="F224" t="s">
        <v>476</v>
      </c>
      <c r="G224" t="str">
        <f>"201511041708"</f>
        <v>201511041708</v>
      </c>
      <c r="H224" t="s">
        <v>477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0</v>
      </c>
      <c r="Q224">
        <v>0</v>
      </c>
      <c r="R224">
        <v>84</v>
      </c>
      <c r="S224">
        <v>588</v>
      </c>
      <c r="V224">
        <v>0</v>
      </c>
      <c r="W224" t="s">
        <v>478</v>
      </c>
    </row>
    <row r="225" spans="1:23" x14ac:dyDescent="0.25">
      <c r="H225" t="s">
        <v>479</v>
      </c>
    </row>
    <row r="226" spans="1:23" x14ac:dyDescent="0.25">
      <c r="A226">
        <v>110</v>
      </c>
      <c r="B226">
        <v>6337</v>
      </c>
      <c r="C226" t="s">
        <v>480</v>
      </c>
      <c r="D226" t="s">
        <v>42</v>
      </c>
      <c r="E226" t="s">
        <v>87</v>
      </c>
      <c r="F226" t="s">
        <v>481</v>
      </c>
      <c r="G226" t="str">
        <f>"201511015900"</f>
        <v>201511015900</v>
      </c>
      <c r="H226">
        <v>990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0</v>
      </c>
      <c r="O226">
        <v>0</v>
      </c>
      <c r="P226">
        <v>0</v>
      </c>
      <c r="Q226">
        <v>0</v>
      </c>
      <c r="R226">
        <v>82</v>
      </c>
      <c r="S226">
        <v>574</v>
      </c>
      <c r="V226">
        <v>0</v>
      </c>
      <c r="W226">
        <v>1564</v>
      </c>
    </row>
    <row r="227" spans="1:23" x14ac:dyDescent="0.25">
      <c r="H227" t="s">
        <v>482</v>
      </c>
    </row>
    <row r="228" spans="1:23" x14ac:dyDescent="0.25">
      <c r="A228">
        <v>111</v>
      </c>
      <c r="B228">
        <v>7020</v>
      </c>
      <c r="C228" t="s">
        <v>483</v>
      </c>
      <c r="D228" t="s">
        <v>484</v>
      </c>
      <c r="E228" t="s">
        <v>346</v>
      </c>
      <c r="F228" t="s">
        <v>485</v>
      </c>
      <c r="G228" t="str">
        <f>"00018442"</f>
        <v>00018442</v>
      </c>
      <c r="H228" t="s">
        <v>486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0</v>
      </c>
      <c r="Q228">
        <v>0</v>
      </c>
      <c r="R228">
        <v>164</v>
      </c>
      <c r="S228">
        <v>588</v>
      </c>
      <c r="V228">
        <v>0</v>
      </c>
      <c r="W228" t="s">
        <v>487</v>
      </c>
    </row>
    <row r="229" spans="1:23" x14ac:dyDescent="0.25">
      <c r="H229" t="s">
        <v>488</v>
      </c>
    </row>
    <row r="230" spans="1:23" x14ac:dyDescent="0.25">
      <c r="A230">
        <v>112</v>
      </c>
      <c r="B230">
        <v>2795</v>
      </c>
      <c r="C230" t="s">
        <v>489</v>
      </c>
      <c r="D230" t="s">
        <v>490</v>
      </c>
      <c r="E230" t="s">
        <v>21</v>
      </c>
      <c r="F230" t="s">
        <v>491</v>
      </c>
      <c r="G230" t="str">
        <f>"201511036205"</f>
        <v>201511036205</v>
      </c>
      <c r="H230" t="s">
        <v>492</v>
      </c>
      <c r="I230">
        <v>150</v>
      </c>
      <c r="J230">
        <v>0</v>
      </c>
      <c r="K230">
        <v>0</v>
      </c>
      <c r="L230">
        <v>0</v>
      </c>
      <c r="M230">
        <v>0</v>
      </c>
      <c r="N230">
        <v>0</v>
      </c>
      <c r="O230">
        <v>0</v>
      </c>
      <c r="P230">
        <v>0</v>
      </c>
      <c r="Q230">
        <v>0</v>
      </c>
      <c r="R230">
        <v>69</v>
      </c>
      <c r="S230">
        <v>483</v>
      </c>
      <c r="V230">
        <v>0</v>
      </c>
      <c r="W230" t="s">
        <v>493</v>
      </c>
    </row>
    <row r="231" spans="1:23" x14ac:dyDescent="0.25">
      <c r="H231" t="s">
        <v>494</v>
      </c>
    </row>
    <row r="232" spans="1:23" x14ac:dyDescent="0.25">
      <c r="A232">
        <v>113</v>
      </c>
      <c r="B232">
        <v>215</v>
      </c>
      <c r="C232" t="s">
        <v>495</v>
      </c>
      <c r="D232" t="s">
        <v>496</v>
      </c>
      <c r="E232" t="s">
        <v>497</v>
      </c>
      <c r="F232" t="s">
        <v>498</v>
      </c>
      <c r="G232" t="str">
        <f>"201511034671"</f>
        <v>201511034671</v>
      </c>
      <c r="H232">
        <v>1100</v>
      </c>
      <c r="I232">
        <v>150</v>
      </c>
      <c r="J232">
        <v>0</v>
      </c>
      <c r="K232">
        <v>0</v>
      </c>
      <c r="L232">
        <v>0</v>
      </c>
      <c r="M232">
        <v>0</v>
      </c>
      <c r="N232">
        <v>0</v>
      </c>
      <c r="O232">
        <v>0</v>
      </c>
      <c r="P232">
        <v>0</v>
      </c>
      <c r="Q232">
        <v>0</v>
      </c>
      <c r="R232">
        <v>44</v>
      </c>
      <c r="S232">
        <v>308</v>
      </c>
      <c r="V232">
        <v>0</v>
      </c>
      <c r="W232">
        <v>1558</v>
      </c>
    </row>
    <row r="233" spans="1:23" x14ac:dyDescent="0.25">
      <c r="H233" t="s">
        <v>499</v>
      </c>
    </row>
    <row r="234" spans="1:23" x14ac:dyDescent="0.25">
      <c r="A234">
        <v>114</v>
      </c>
      <c r="B234">
        <v>215</v>
      </c>
      <c r="C234" t="s">
        <v>495</v>
      </c>
      <c r="D234" t="s">
        <v>496</v>
      </c>
      <c r="E234" t="s">
        <v>497</v>
      </c>
      <c r="F234" t="s">
        <v>498</v>
      </c>
      <c r="G234" t="str">
        <f>"201511034671"</f>
        <v>201511034671</v>
      </c>
      <c r="H234">
        <v>1100</v>
      </c>
      <c r="I234">
        <v>150</v>
      </c>
      <c r="J234">
        <v>0</v>
      </c>
      <c r="K234">
        <v>0</v>
      </c>
      <c r="L234">
        <v>0</v>
      </c>
      <c r="M234">
        <v>0</v>
      </c>
      <c r="N234">
        <v>0</v>
      </c>
      <c r="O234">
        <v>0</v>
      </c>
      <c r="P234">
        <v>0</v>
      </c>
      <c r="Q234">
        <v>0</v>
      </c>
      <c r="R234">
        <v>44</v>
      </c>
      <c r="S234">
        <v>308</v>
      </c>
      <c r="T234">
        <v>6</v>
      </c>
      <c r="U234">
        <v>906</v>
      </c>
      <c r="V234">
        <v>0</v>
      </c>
      <c r="W234">
        <v>1558</v>
      </c>
    </row>
    <row r="235" spans="1:23" x14ac:dyDescent="0.25">
      <c r="H235" t="s">
        <v>499</v>
      </c>
    </row>
    <row r="236" spans="1:23" x14ac:dyDescent="0.25">
      <c r="A236">
        <v>115</v>
      </c>
      <c r="B236">
        <v>4906</v>
      </c>
      <c r="C236" t="s">
        <v>500</v>
      </c>
      <c r="D236" t="s">
        <v>26</v>
      </c>
      <c r="E236" t="s">
        <v>121</v>
      </c>
      <c r="F236" t="s">
        <v>501</v>
      </c>
      <c r="G236" t="str">
        <f>"201511030958"</f>
        <v>201511030958</v>
      </c>
      <c r="H236">
        <v>1001</v>
      </c>
      <c r="I236">
        <v>150</v>
      </c>
      <c r="J236">
        <v>0</v>
      </c>
      <c r="K236">
        <v>0</v>
      </c>
      <c r="L236">
        <v>0</v>
      </c>
      <c r="M236">
        <v>0</v>
      </c>
      <c r="N236">
        <v>0</v>
      </c>
      <c r="O236">
        <v>0</v>
      </c>
      <c r="P236">
        <v>0</v>
      </c>
      <c r="Q236">
        <v>0</v>
      </c>
      <c r="R236">
        <v>58</v>
      </c>
      <c r="S236">
        <v>406</v>
      </c>
      <c r="V236">
        <v>0</v>
      </c>
      <c r="W236">
        <v>1557</v>
      </c>
    </row>
    <row r="237" spans="1:23" x14ac:dyDescent="0.25">
      <c r="H237" t="s">
        <v>502</v>
      </c>
    </row>
    <row r="238" spans="1:23" x14ac:dyDescent="0.25">
      <c r="A238">
        <v>116</v>
      </c>
      <c r="B238">
        <v>2198</v>
      </c>
      <c r="C238" t="s">
        <v>503</v>
      </c>
      <c r="D238" t="s">
        <v>14</v>
      </c>
      <c r="E238" t="s">
        <v>497</v>
      </c>
      <c r="F238" t="s">
        <v>504</v>
      </c>
      <c r="G238" t="str">
        <f>"200712004229"</f>
        <v>200712004229</v>
      </c>
      <c r="H238">
        <v>935</v>
      </c>
      <c r="I238">
        <v>0</v>
      </c>
      <c r="J238">
        <v>30</v>
      </c>
      <c r="K238">
        <v>0</v>
      </c>
      <c r="L238">
        <v>0</v>
      </c>
      <c r="M238">
        <v>0</v>
      </c>
      <c r="N238">
        <v>0</v>
      </c>
      <c r="O238">
        <v>0</v>
      </c>
      <c r="P238">
        <v>0</v>
      </c>
      <c r="Q238">
        <v>0</v>
      </c>
      <c r="R238">
        <v>120</v>
      </c>
      <c r="S238">
        <v>588</v>
      </c>
      <c r="V238">
        <v>0</v>
      </c>
      <c r="W238">
        <v>1553</v>
      </c>
    </row>
    <row r="239" spans="1:23" x14ac:dyDescent="0.25">
      <c r="H239" t="s">
        <v>505</v>
      </c>
    </row>
    <row r="240" spans="1:23" x14ac:dyDescent="0.25">
      <c r="A240">
        <v>117</v>
      </c>
      <c r="B240">
        <v>9894</v>
      </c>
      <c r="C240" t="s">
        <v>506</v>
      </c>
      <c r="D240" t="s">
        <v>31</v>
      </c>
      <c r="E240" t="s">
        <v>95</v>
      </c>
      <c r="F240" t="s">
        <v>507</v>
      </c>
      <c r="G240" t="str">
        <f>"00100364"</f>
        <v>00100364</v>
      </c>
      <c r="H240">
        <v>935</v>
      </c>
      <c r="I240">
        <v>0</v>
      </c>
      <c r="J240">
        <v>30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0</v>
      </c>
      <c r="Q240">
        <v>0</v>
      </c>
      <c r="R240">
        <v>117</v>
      </c>
      <c r="S240">
        <v>588</v>
      </c>
      <c r="V240">
        <v>0</v>
      </c>
      <c r="W240">
        <v>1553</v>
      </c>
    </row>
    <row r="241" spans="1:23" x14ac:dyDescent="0.25">
      <c r="H241" t="s">
        <v>508</v>
      </c>
    </row>
    <row r="242" spans="1:23" x14ac:dyDescent="0.25">
      <c r="A242">
        <v>118</v>
      </c>
      <c r="B242">
        <v>5813</v>
      </c>
      <c r="C242" t="s">
        <v>509</v>
      </c>
      <c r="D242" t="s">
        <v>510</v>
      </c>
      <c r="E242" t="s">
        <v>22</v>
      </c>
      <c r="F242" t="s">
        <v>511</v>
      </c>
      <c r="G242" t="str">
        <f>"201102000823"</f>
        <v>201102000823</v>
      </c>
      <c r="H242">
        <v>935</v>
      </c>
      <c r="I242">
        <v>0</v>
      </c>
      <c r="J242">
        <v>30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0</v>
      </c>
      <c r="Q242">
        <v>0</v>
      </c>
      <c r="R242">
        <v>101</v>
      </c>
      <c r="S242">
        <v>588</v>
      </c>
      <c r="V242">
        <v>0</v>
      </c>
      <c r="W242">
        <v>1553</v>
      </c>
    </row>
    <row r="243" spans="1:23" x14ac:dyDescent="0.25">
      <c r="H243" t="s">
        <v>512</v>
      </c>
    </row>
    <row r="244" spans="1:23" x14ac:dyDescent="0.25">
      <c r="A244">
        <v>119</v>
      </c>
      <c r="B244">
        <v>5808</v>
      </c>
      <c r="C244" t="s">
        <v>513</v>
      </c>
      <c r="D244" t="s">
        <v>514</v>
      </c>
      <c r="E244" t="s">
        <v>53</v>
      </c>
      <c r="F244" t="s">
        <v>515</v>
      </c>
      <c r="G244" t="str">
        <f>"201511035202"</f>
        <v>201511035202</v>
      </c>
      <c r="H244">
        <v>935</v>
      </c>
      <c r="I244">
        <v>0</v>
      </c>
      <c r="J244">
        <v>30</v>
      </c>
      <c r="K244">
        <v>0</v>
      </c>
      <c r="L244">
        <v>0</v>
      </c>
      <c r="M244">
        <v>0</v>
      </c>
      <c r="N244">
        <v>0</v>
      </c>
      <c r="O244">
        <v>0</v>
      </c>
      <c r="P244">
        <v>0</v>
      </c>
      <c r="Q244">
        <v>0</v>
      </c>
      <c r="R244">
        <v>106</v>
      </c>
      <c r="S244">
        <v>588</v>
      </c>
      <c r="V244">
        <v>0</v>
      </c>
      <c r="W244">
        <v>1553</v>
      </c>
    </row>
    <row r="245" spans="1:23" x14ac:dyDescent="0.25">
      <c r="H245" t="s">
        <v>516</v>
      </c>
    </row>
    <row r="246" spans="1:23" x14ac:dyDescent="0.25">
      <c r="A246">
        <v>120</v>
      </c>
      <c r="B246">
        <v>859</v>
      </c>
      <c r="C246" t="s">
        <v>517</v>
      </c>
      <c r="D246" t="s">
        <v>380</v>
      </c>
      <c r="E246" t="s">
        <v>71</v>
      </c>
      <c r="F246" t="s">
        <v>518</v>
      </c>
      <c r="G246" t="str">
        <f>"00027815"</f>
        <v>00027815</v>
      </c>
      <c r="H246" t="s">
        <v>519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0</v>
      </c>
      <c r="O246">
        <v>0</v>
      </c>
      <c r="P246">
        <v>0</v>
      </c>
      <c r="Q246">
        <v>0</v>
      </c>
      <c r="R246">
        <v>203</v>
      </c>
      <c r="S246">
        <v>588</v>
      </c>
      <c r="V246">
        <v>0</v>
      </c>
      <c r="W246" t="s">
        <v>520</v>
      </c>
    </row>
    <row r="247" spans="1:23" x14ac:dyDescent="0.25">
      <c r="H247" t="s">
        <v>521</v>
      </c>
    </row>
    <row r="248" spans="1:23" x14ac:dyDescent="0.25">
      <c r="A248">
        <v>121</v>
      </c>
      <c r="B248">
        <v>8718</v>
      </c>
      <c r="C248" t="s">
        <v>522</v>
      </c>
      <c r="D248" t="s">
        <v>190</v>
      </c>
      <c r="E248" t="s">
        <v>523</v>
      </c>
      <c r="F248" t="s">
        <v>524</v>
      </c>
      <c r="G248" t="str">
        <f>"00076603"</f>
        <v>00076603</v>
      </c>
      <c r="H248">
        <v>1045</v>
      </c>
      <c r="I248">
        <v>0</v>
      </c>
      <c r="J248">
        <v>30</v>
      </c>
      <c r="K248">
        <v>0</v>
      </c>
      <c r="L248">
        <v>0</v>
      </c>
      <c r="M248">
        <v>0</v>
      </c>
      <c r="N248">
        <v>0</v>
      </c>
      <c r="O248">
        <v>0</v>
      </c>
      <c r="P248">
        <v>0</v>
      </c>
      <c r="Q248">
        <v>0</v>
      </c>
      <c r="R248">
        <v>68</v>
      </c>
      <c r="S248">
        <v>476</v>
      </c>
      <c r="V248">
        <v>0</v>
      </c>
      <c r="W248">
        <v>1551</v>
      </c>
    </row>
    <row r="249" spans="1:23" x14ac:dyDescent="0.25">
      <c r="H249" t="s">
        <v>525</v>
      </c>
    </row>
    <row r="250" spans="1:23" x14ac:dyDescent="0.25">
      <c r="A250">
        <v>122</v>
      </c>
      <c r="B250">
        <v>6203</v>
      </c>
      <c r="C250" t="s">
        <v>526</v>
      </c>
      <c r="D250" t="s">
        <v>31</v>
      </c>
      <c r="E250" t="s">
        <v>527</v>
      </c>
      <c r="F250" t="s">
        <v>528</v>
      </c>
      <c r="G250" t="str">
        <f>"201511034985"</f>
        <v>201511034985</v>
      </c>
      <c r="H250" t="s">
        <v>529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0</v>
      </c>
      <c r="O250">
        <v>0</v>
      </c>
      <c r="P250">
        <v>0</v>
      </c>
      <c r="Q250">
        <v>0</v>
      </c>
      <c r="R250">
        <v>140</v>
      </c>
      <c r="S250">
        <v>588</v>
      </c>
      <c r="V250">
        <v>0</v>
      </c>
      <c r="W250" t="s">
        <v>530</v>
      </c>
    </row>
    <row r="251" spans="1:23" x14ac:dyDescent="0.25">
      <c r="H251" t="s">
        <v>531</v>
      </c>
    </row>
    <row r="252" spans="1:23" x14ac:dyDescent="0.25">
      <c r="A252">
        <v>123</v>
      </c>
      <c r="B252">
        <v>5152</v>
      </c>
      <c r="C252" t="s">
        <v>532</v>
      </c>
      <c r="D252" t="s">
        <v>352</v>
      </c>
      <c r="E252" t="s">
        <v>533</v>
      </c>
      <c r="F252" t="s">
        <v>534</v>
      </c>
      <c r="G252" t="str">
        <f>"201510001606"</f>
        <v>201510001606</v>
      </c>
      <c r="H252" t="s">
        <v>529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0</v>
      </c>
      <c r="O252">
        <v>0</v>
      </c>
      <c r="P252">
        <v>0</v>
      </c>
      <c r="Q252">
        <v>0</v>
      </c>
      <c r="R252">
        <v>194</v>
      </c>
      <c r="S252">
        <v>588</v>
      </c>
      <c r="V252">
        <v>0</v>
      </c>
      <c r="W252" t="s">
        <v>530</v>
      </c>
    </row>
    <row r="253" spans="1:23" x14ac:dyDescent="0.25">
      <c r="H253" t="s">
        <v>535</v>
      </c>
    </row>
    <row r="254" spans="1:23" x14ac:dyDescent="0.25">
      <c r="A254">
        <v>124</v>
      </c>
      <c r="B254">
        <v>8867</v>
      </c>
      <c r="C254" t="s">
        <v>536</v>
      </c>
      <c r="D254" t="s">
        <v>465</v>
      </c>
      <c r="E254" t="s">
        <v>42</v>
      </c>
      <c r="F254" t="s">
        <v>537</v>
      </c>
      <c r="G254" t="str">
        <f>"201511026227"</f>
        <v>201511026227</v>
      </c>
      <c r="H254">
        <v>1100</v>
      </c>
      <c r="I254">
        <v>0</v>
      </c>
      <c r="J254">
        <v>30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0</v>
      </c>
      <c r="Q254">
        <v>0</v>
      </c>
      <c r="R254">
        <v>60</v>
      </c>
      <c r="S254">
        <v>420</v>
      </c>
      <c r="V254">
        <v>0</v>
      </c>
      <c r="W254">
        <v>1550</v>
      </c>
    </row>
    <row r="255" spans="1:23" x14ac:dyDescent="0.25">
      <c r="H255" t="s">
        <v>538</v>
      </c>
    </row>
    <row r="256" spans="1:23" x14ac:dyDescent="0.25">
      <c r="A256">
        <v>125</v>
      </c>
      <c r="B256">
        <v>6738</v>
      </c>
      <c r="C256" t="s">
        <v>539</v>
      </c>
      <c r="D256" t="s">
        <v>14</v>
      </c>
      <c r="E256" t="s">
        <v>71</v>
      </c>
      <c r="F256" t="s">
        <v>540</v>
      </c>
      <c r="G256" t="str">
        <f>"201511031577"</f>
        <v>201511031577</v>
      </c>
      <c r="H256" t="s">
        <v>541</v>
      </c>
      <c r="I256">
        <v>0</v>
      </c>
      <c r="J256">
        <v>0</v>
      </c>
      <c r="K256">
        <v>0</v>
      </c>
      <c r="L256">
        <v>0</v>
      </c>
      <c r="M256">
        <v>0</v>
      </c>
      <c r="N256">
        <v>0</v>
      </c>
      <c r="O256">
        <v>0</v>
      </c>
      <c r="P256">
        <v>0</v>
      </c>
      <c r="Q256">
        <v>0</v>
      </c>
      <c r="R256">
        <v>90</v>
      </c>
      <c r="S256">
        <v>588</v>
      </c>
      <c r="V256">
        <v>0</v>
      </c>
      <c r="W256" t="s">
        <v>542</v>
      </c>
    </row>
    <row r="257" spans="1:23" x14ac:dyDescent="0.25">
      <c r="H257" t="s">
        <v>543</v>
      </c>
    </row>
    <row r="258" spans="1:23" x14ac:dyDescent="0.25">
      <c r="A258">
        <v>126</v>
      </c>
      <c r="B258">
        <v>4040</v>
      </c>
      <c r="C258" t="s">
        <v>544</v>
      </c>
      <c r="D258" t="s">
        <v>545</v>
      </c>
      <c r="E258" t="s">
        <v>546</v>
      </c>
      <c r="F258" t="s">
        <v>547</v>
      </c>
      <c r="G258" t="str">
        <f>"201511040810"</f>
        <v>201511040810</v>
      </c>
      <c r="H258">
        <v>935</v>
      </c>
      <c r="I258">
        <v>0</v>
      </c>
      <c r="J258">
        <v>30</v>
      </c>
      <c r="K258">
        <v>0</v>
      </c>
      <c r="L258">
        <v>0</v>
      </c>
      <c r="M258">
        <v>0</v>
      </c>
      <c r="N258">
        <v>0</v>
      </c>
      <c r="O258">
        <v>0</v>
      </c>
      <c r="P258">
        <v>0</v>
      </c>
      <c r="Q258">
        <v>0</v>
      </c>
      <c r="R258">
        <v>83</v>
      </c>
      <c r="S258">
        <v>581</v>
      </c>
      <c r="V258">
        <v>0</v>
      </c>
      <c r="W258">
        <v>1546</v>
      </c>
    </row>
    <row r="259" spans="1:23" x14ac:dyDescent="0.25">
      <c r="H259" t="s">
        <v>548</v>
      </c>
    </row>
    <row r="260" spans="1:23" x14ac:dyDescent="0.25">
      <c r="A260">
        <v>127</v>
      </c>
      <c r="B260">
        <v>1913</v>
      </c>
      <c r="C260" t="s">
        <v>549</v>
      </c>
      <c r="D260" t="s">
        <v>550</v>
      </c>
      <c r="E260" t="s">
        <v>121</v>
      </c>
      <c r="F260" t="s">
        <v>551</v>
      </c>
      <c r="G260" t="str">
        <f>"201511034932"</f>
        <v>201511034932</v>
      </c>
      <c r="H260">
        <v>957</v>
      </c>
      <c r="I260">
        <v>0</v>
      </c>
      <c r="J260">
        <v>0</v>
      </c>
      <c r="K260">
        <v>0</v>
      </c>
      <c r="L260">
        <v>0</v>
      </c>
      <c r="M260">
        <v>0</v>
      </c>
      <c r="N260">
        <v>0</v>
      </c>
      <c r="O260">
        <v>0</v>
      </c>
      <c r="P260">
        <v>0</v>
      </c>
      <c r="Q260">
        <v>0</v>
      </c>
      <c r="R260">
        <v>155</v>
      </c>
      <c r="S260">
        <v>588</v>
      </c>
      <c r="V260">
        <v>0</v>
      </c>
      <c r="W260">
        <v>1545</v>
      </c>
    </row>
    <row r="261" spans="1:23" x14ac:dyDescent="0.25">
      <c r="H261" t="s">
        <v>552</v>
      </c>
    </row>
    <row r="262" spans="1:23" x14ac:dyDescent="0.25">
      <c r="A262">
        <v>128</v>
      </c>
      <c r="B262">
        <v>9735</v>
      </c>
      <c r="C262" t="s">
        <v>553</v>
      </c>
      <c r="D262" t="s">
        <v>94</v>
      </c>
      <c r="E262" t="s">
        <v>53</v>
      </c>
      <c r="F262" t="s">
        <v>554</v>
      </c>
      <c r="G262" t="str">
        <f>"200803000465"</f>
        <v>200803000465</v>
      </c>
      <c r="H262">
        <v>924</v>
      </c>
      <c r="I262">
        <v>0</v>
      </c>
      <c r="J262">
        <v>30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0</v>
      </c>
      <c r="Q262">
        <v>0</v>
      </c>
      <c r="R262">
        <v>85</v>
      </c>
      <c r="S262">
        <v>588</v>
      </c>
      <c r="V262">
        <v>0</v>
      </c>
      <c r="W262">
        <v>1542</v>
      </c>
    </row>
    <row r="263" spans="1:23" x14ac:dyDescent="0.25">
      <c r="H263" t="s">
        <v>555</v>
      </c>
    </row>
    <row r="264" spans="1:23" x14ac:dyDescent="0.25">
      <c r="A264">
        <v>129</v>
      </c>
      <c r="B264">
        <v>7692</v>
      </c>
      <c r="C264" t="s">
        <v>556</v>
      </c>
      <c r="D264" t="s">
        <v>365</v>
      </c>
      <c r="E264" t="s">
        <v>95</v>
      </c>
      <c r="F264" t="s">
        <v>557</v>
      </c>
      <c r="G264" t="str">
        <f>"00050240"</f>
        <v>00050240</v>
      </c>
      <c r="H264" t="s">
        <v>519</v>
      </c>
      <c r="I264">
        <v>150</v>
      </c>
      <c r="J264">
        <v>0</v>
      </c>
      <c r="K264">
        <v>0</v>
      </c>
      <c r="L264">
        <v>0</v>
      </c>
      <c r="M264">
        <v>0</v>
      </c>
      <c r="N264">
        <v>0</v>
      </c>
      <c r="O264">
        <v>0</v>
      </c>
      <c r="P264">
        <v>0</v>
      </c>
      <c r="Q264">
        <v>0</v>
      </c>
      <c r="R264">
        <v>61</v>
      </c>
      <c r="S264">
        <v>427</v>
      </c>
      <c r="V264">
        <v>0</v>
      </c>
      <c r="W264" t="s">
        <v>558</v>
      </c>
    </row>
    <row r="265" spans="1:23" x14ac:dyDescent="0.25">
      <c r="H265">
        <v>912</v>
      </c>
    </row>
    <row r="266" spans="1:23" x14ac:dyDescent="0.25">
      <c r="A266">
        <v>130</v>
      </c>
      <c r="B266">
        <v>684</v>
      </c>
      <c r="C266" t="s">
        <v>559</v>
      </c>
      <c r="D266" t="s">
        <v>156</v>
      </c>
      <c r="E266" t="s">
        <v>42</v>
      </c>
      <c r="F266" t="s">
        <v>560</v>
      </c>
      <c r="G266" t="str">
        <f>"00015836"</f>
        <v>00015836</v>
      </c>
      <c r="H266" t="s">
        <v>561</v>
      </c>
      <c r="I266">
        <v>0</v>
      </c>
      <c r="J266">
        <v>0</v>
      </c>
      <c r="K266">
        <v>0</v>
      </c>
      <c r="L266">
        <v>0</v>
      </c>
      <c r="M266">
        <v>0</v>
      </c>
      <c r="N266">
        <v>0</v>
      </c>
      <c r="O266">
        <v>0</v>
      </c>
      <c r="P266">
        <v>0</v>
      </c>
      <c r="Q266">
        <v>0</v>
      </c>
      <c r="R266">
        <v>245</v>
      </c>
      <c r="S266">
        <v>588</v>
      </c>
      <c r="V266">
        <v>0</v>
      </c>
      <c r="W266" t="s">
        <v>562</v>
      </c>
    </row>
    <row r="267" spans="1:23" x14ac:dyDescent="0.25">
      <c r="H267" t="s">
        <v>563</v>
      </c>
    </row>
    <row r="268" spans="1:23" x14ac:dyDescent="0.25">
      <c r="A268">
        <v>131</v>
      </c>
      <c r="B268">
        <v>5294</v>
      </c>
      <c r="C268" t="s">
        <v>564</v>
      </c>
      <c r="D268" t="s">
        <v>22</v>
      </c>
      <c r="E268" t="s">
        <v>42</v>
      </c>
      <c r="F268" t="s">
        <v>565</v>
      </c>
      <c r="G268" t="str">
        <f>"201511026483"</f>
        <v>201511026483</v>
      </c>
      <c r="H268" t="s">
        <v>566</v>
      </c>
      <c r="I268">
        <v>0</v>
      </c>
      <c r="J268">
        <v>0</v>
      </c>
      <c r="K268">
        <v>0</v>
      </c>
      <c r="L268">
        <v>0</v>
      </c>
      <c r="M268">
        <v>0</v>
      </c>
      <c r="N268">
        <v>0</v>
      </c>
      <c r="O268">
        <v>0</v>
      </c>
      <c r="P268">
        <v>0</v>
      </c>
      <c r="Q268">
        <v>0</v>
      </c>
      <c r="R268">
        <v>155</v>
      </c>
      <c r="S268">
        <v>588</v>
      </c>
      <c r="V268">
        <v>2</v>
      </c>
      <c r="W268" t="s">
        <v>567</v>
      </c>
    </row>
    <row r="269" spans="1:23" x14ac:dyDescent="0.25">
      <c r="H269" t="s">
        <v>568</v>
      </c>
    </row>
    <row r="270" spans="1:23" x14ac:dyDescent="0.25">
      <c r="A270">
        <v>132</v>
      </c>
      <c r="B270">
        <v>5249</v>
      </c>
      <c r="C270" t="s">
        <v>569</v>
      </c>
      <c r="D270" t="s">
        <v>87</v>
      </c>
      <c r="E270" t="s">
        <v>71</v>
      </c>
      <c r="F270" t="s">
        <v>570</v>
      </c>
      <c r="G270" t="str">
        <f>"201511035387"</f>
        <v>201511035387</v>
      </c>
      <c r="H270" t="s">
        <v>44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0</v>
      </c>
      <c r="O270">
        <v>0</v>
      </c>
      <c r="P270">
        <v>0</v>
      </c>
      <c r="Q270">
        <v>0</v>
      </c>
      <c r="R270">
        <v>85</v>
      </c>
      <c r="S270">
        <v>588</v>
      </c>
      <c r="V270">
        <v>0</v>
      </c>
      <c r="W270" t="s">
        <v>571</v>
      </c>
    </row>
    <row r="271" spans="1:23" x14ac:dyDescent="0.25">
      <c r="H271" t="s">
        <v>572</v>
      </c>
    </row>
    <row r="272" spans="1:23" x14ac:dyDescent="0.25">
      <c r="A272">
        <v>133</v>
      </c>
      <c r="B272">
        <v>3511</v>
      </c>
      <c r="C272" t="s">
        <v>573</v>
      </c>
      <c r="D272" t="s">
        <v>14</v>
      </c>
      <c r="E272" t="s">
        <v>574</v>
      </c>
      <c r="F272" t="s">
        <v>575</v>
      </c>
      <c r="G272" t="str">
        <f>"201511032082"</f>
        <v>201511032082</v>
      </c>
      <c r="H272">
        <v>990</v>
      </c>
      <c r="I272">
        <v>0</v>
      </c>
      <c r="J272">
        <v>0</v>
      </c>
      <c r="K272">
        <v>0</v>
      </c>
      <c r="L272">
        <v>0</v>
      </c>
      <c r="M272">
        <v>0</v>
      </c>
      <c r="N272">
        <v>0</v>
      </c>
      <c r="O272">
        <v>0</v>
      </c>
      <c r="P272">
        <v>0</v>
      </c>
      <c r="Q272">
        <v>0</v>
      </c>
      <c r="R272">
        <v>78</v>
      </c>
      <c r="S272">
        <v>546</v>
      </c>
      <c r="V272">
        <v>0</v>
      </c>
      <c r="W272">
        <v>1536</v>
      </c>
    </row>
    <row r="273" spans="1:23" x14ac:dyDescent="0.25">
      <c r="H273" t="s">
        <v>576</v>
      </c>
    </row>
    <row r="274" spans="1:23" x14ac:dyDescent="0.25">
      <c r="A274">
        <v>134</v>
      </c>
      <c r="B274">
        <v>4333</v>
      </c>
      <c r="C274" t="s">
        <v>577</v>
      </c>
      <c r="D274" t="s">
        <v>53</v>
      </c>
      <c r="E274" t="s">
        <v>95</v>
      </c>
      <c r="F274" t="s">
        <v>578</v>
      </c>
      <c r="G274" t="str">
        <f>"201511037206"</f>
        <v>201511037206</v>
      </c>
      <c r="H274" t="s">
        <v>579</v>
      </c>
      <c r="I274">
        <v>150</v>
      </c>
      <c r="J274">
        <v>0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0</v>
      </c>
      <c r="Q274">
        <v>0</v>
      </c>
      <c r="R274">
        <v>124</v>
      </c>
      <c r="S274">
        <v>588</v>
      </c>
      <c r="V274">
        <v>0</v>
      </c>
      <c r="W274" t="s">
        <v>580</v>
      </c>
    </row>
    <row r="275" spans="1:23" x14ac:dyDescent="0.25">
      <c r="H275" t="s">
        <v>581</v>
      </c>
    </row>
    <row r="276" spans="1:23" x14ac:dyDescent="0.25">
      <c r="A276">
        <v>135</v>
      </c>
      <c r="B276">
        <v>3385</v>
      </c>
      <c r="C276" t="s">
        <v>582</v>
      </c>
      <c r="D276" t="s">
        <v>583</v>
      </c>
      <c r="E276" t="s">
        <v>584</v>
      </c>
      <c r="F276" t="s">
        <v>585</v>
      </c>
      <c r="G276" t="str">
        <f>"201511037293"</f>
        <v>201511037293</v>
      </c>
      <c r="H276">
        <v>979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0</v>
      </c>
      <c r="O276">
        <v>0</v>
      </c>
      <c r="P276">
        <v>0</v>
      </c>
      <c r="Q276">
        <v>0</v>
      </c>
      <c r="R276">
        <v>79</v>
      </c>
      <c r="S276">
        <v>553</v>
      </c>
      <c r="V276">
        <v>0</v>
      </c>
      <c r="W276">
        <v>1532</v>
      </c>
    </row>
    <row r="277" spans="1:23" x14ac:dyDescent="0.25">
      <c r="H277" t="s">
        <v>586</v>
      </c>
    </row>
    <row r="278" spans="1:23" x14ac:dyDescent="0.25">
      <c r="A278">
        <v>136</v>
      </c>
      <c r="B278">
        <v>4618</v>
      </c>
      <c r="C278" t="s">
        <v>587</v>
      </c>
      <c r="D278" t="s">
        <v>218</v>
      </c>
      <c r="E278" t="s">
        <v>53</v>
      </c>
      <c r="F278" t="s">
        <v>588</v>
      </c>
      <c r="G278" t="str">
        <f>"201511033004"</f>
        <v>201511033004</v>
      </c>
      <c r="H278" t="s">
        <v>589</v>
      </c>
      <c r="I278">
        <v>0</v>
      </c>
      <c r="J278">
        <v>0</v>
      </c>
      <c r="K278">
        <v>0</v>
      </c>
      <c r="L278">
        <v>0</v>
      </c>
      <c r="M278">
        <v>0</v>
      </c>
      <c r="N278">
        <v>0</v>
      </c>
      <c r="O278">
        <v>0</v>
      </c>
      <c r="P278">
        <v>0</v>
      </c>
      <c r="Q278">
        <v>0</v>
      </c>
      <c r="R278">
        <v>178</v>
      </c>
      <c r="S278">
        <v>588</v>
      </c>
      <c r="V278">
        <v>0</v>
      </c>
      <c r="W278" t="s">
        <v>590</v>
      </c>
    </row>
    <row r="279" spans="1:23" x14ac:dyDescent="0.25">
      <c r="H279" t="s">
        <v>591</v>
      </c>
    </row>
    <row r="280" spans="1:23" x14ac:dyDescent="0.25">
      <c r="A280">
        <v>137</v>
      </c>
      <c r="B280">
        <v>441</v>
      </c>
      <c r="C280" t="s">
        <v>592</v>
      </c>
      <c r="D280" t="s">
        <v>67</v>
      </c>
      <c r="E280" t="s">
        <v>218</v>
      </c>
      <c r="F280" t="s">
        <v>593</v>
      </c>
      <c r="G280" t="str">
        <f>"00024401"</f>
        <v>00024401</v>
      </c>
      <c r="H280" t="s">
        <v>589</v>
      </c>
      <c r="I280">
        <v>0</v>
      </c>
      <c r="J280">
        <v>0</v>
      </c>
      <c r="K280">
        <v>0</v>
      </c>
      <c r="L280">
        <v>0</v>
      </c>
      <c r="M280">
        <v>0</v>
      </c>
      <c r="N280">
        <v>0</v>
      </c>
      <c r="O280">
        <v>0</v>
      </c>
      <c r="P280">
        <v>0</v>
      </c>
      <c r="Q280">
        <v>0</v>
      </c>
      <c r="R280">
        <v>186</v>
      </c>
      <c r="S280">
        <v>588</v>
      </c>
      <c r="V280">
        <v>0</v>
      </c>
      <c r="W280" t="s">
        <v>590</v>
      </c>
    </row>
    <row r="281" spans="1:23" x14ac:dyDescent="0.25">
      <c r="H281">
        <v>928</v>
      </c>
    </row>
    <row r="282" spans="1:23" x14ac:dyDescent="0.25">
      <c r="A282">
        <v>138</v>
      </c>
      <c r="B282">
        <v>230</v>
      </c>
      <c r="C282" t="s">
        <v>594</v>
      </c>
      <c r="D282" t="s">
        <v>26</v>
      </c>
      <c r="E282" t="s">
        <v>121</v>
      </c>
      <c r="F282" t="s">
        <v>595</v>
      </c>
      <c r="G282" t="str">
        <f>"00022249"</f>
        <v>00022249</v>
      </c>
      <c r="H282" t="s">
        <v>589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0</v>
      </c>
      <c r="O282">
        <v>0</v>
      </c>
      <c r="P282">
        <v>0</v>
      </c>
      <c r="Q282">
        <v>0</v>
      </c>
      <c r="R282">
        <v>116</v>
      </c>
      <c r="S282">
        <v>588</v>
      </c>
      <c r="V282">
        <v>0</v>
      </c>
      <c r="W282" t="s">
        <v>590</v>
      </c>
    </row>
    <row r="283" spans="1:23" x14ac:dyDescent="0.25">
      <c r="H283" t="s">
        <v>596</v>
      </c>
    </row>
    <row r="284" spans="1:23" x14ac:dyDescent="0.25">
      <c r="A284">
        <v>139</v>
      </c>
      <c r="B284">
        <v>3201</v>
      </c>
      <c r="C284" t="s">
        <v>597</v>
      </c>
      <c r="D284" t="s">
        <v>272</v>
      </c>
      <c r="E284" t="s">
        <v>175</v>
      </c>
      <c r="F284" t="s">
        <v>598</v>
      </c>
      <c r="G284" t="str">
        <f>"201511026165"</f>
        <v>201511026165</v>
      </c>
      <c r="H284">
        <v>1045</v>
      </c>
      <c r="I284">
        <v>150</v>
      </c>
      <c r="J284">
        <v>0</v>
      </c>
      <c r="K284">
        <v>0</v>
      </c>
      <c r="L284">
        <v>0</v>
      </c>
      <c r="M284">
        <v>0</v>
      </c>
      <c r="N284">
        <v>0</v>
      </c>
      <c r="O284">
        <v>0</v>
      </c>
      <c r="P284">
        <v>0</v>
      </c>
      <c r="Q284">
        <v>0</v>
      </c>
      <c r="R284">
        <v>48</v>
      </c>
      <c r="S284">
        <v>336</v>
      </c>
      <c r="V284">
        <v>0</v>
      </c>
      <c r="W284">
        <v>1531</v>
      </c>
    </row>
    <row r="285" spans="1:23" x14ac:dyDescent="0.25">
      <c r="H285" t="s">
        <v>599</v>
      </c>
    </row>
    <row r="286" spans="1:23" x14ac:dyDescent="0.25">
      <c r="A286">
        <v>140</v>
      </c>
      <c r="B286">
        <v>8103</v>
      </c>
      <c r="C286" t="s">
        <v>413</v>
      </c>
      <c r="D286" t="s">
        <v>600</v>
      </c>
      <c r="E286" t="s">
        <v>601</v>
      </c>
      <c r="F286" t="s">
        <v>602</v>
      </c>
      <c r="G286" t="str">
        <f>"00076670"</f>
        <v>00076670</v>
      </c>
      <c r="H286" t="s">
        <v>603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0</v>
      </c>
      <c r="O286">
        <v>0</v>
      </c>
      <c r="P286">
        <v>0</v>
      </c>
      <c r="Q286">
        <v>0</v>
      </c>
      <c r="R286">
        <v>91</v>
      </c>
      <c r="S286">
        <v>588</v>
      </c>
      <c r="V286">
        <v>0</v>
      </c>
      <c r="W286" t="s">
        <v>604</v>
      </c>
    </row>
    <row r="287" spans="1:23" x14ac:dyDescent="0.25">
      <c r="H287" t="s">
        <v>605</v>
      </c>
    </row>
    <row r="288" spans="1:23" x14ac:dyDescent="0.25">
      <c r="A288">
        <v>141</v>
      </c>
      <c r="B288">
        <v>6748</v>
      </c>
      <c r="C288" t="s">
        <v>327</v>
      </c>
      <c r="D288" t="s">
        <v>606</v>
      </c>
      <c r="E288" t="s">
        <v>607</v>
      </c>
      <c r="F288" t="s">
        <v>608</v>
      </c>
      <c r="G288" t="str">
        <f>"201511009445"</f>
        <v>201511009445</v>
      </c>
      <c r="H288" t="s">
        <v>609</v>
      </c>
      <c r="I288">
        <v>0</v>
      </c>
      <c r="J288">
        <v>0</v>
      </c>
      <c r="K288">
        <v>0</v>
      </c>
      <c r="L288">
        <v>0</v>
      </c>
      <c r="M288">
        <v>0</v>
      </c>
      <c r="N288">
        <v>0</v>
      </c>
      <c r="O288">
        <v>0</v>
      </c>
      <c r="P288">
        <v>0</v>
      </c>
      <c r="Q288">
        <v>0</v>
      </c>
      <c r="R288">
        <v>65</v>
      </c>
      <c r="S288">
        <v>455</v>
      </c>
      <c r="V288">
        <v>0</v>
      </c>
      <c r="W288" t="s">
        <v>610</v>
      </c>
    </row>
    <row r="289" spans="1:23" x14ac:dyDescent="0.25">
      <c r="H289" t="s">
        <v>611</v>
      </c>
    </row>
    <row r="290" spans="1:23" x14ac:dyDescent="0.25">
      <c r="A290">
        <v>142</v>
      </c>
      <c r="B290">
        <v>2139</v>
      </c>
      <c r="C290" t="s">
        <v>612</v>
      </c>
      <c r="D290" t="s">
        <v>613</v>
      </c>
      <c r="E290" t="s">
        <v>121</v>
      </c>
      <c r="F290" t="s">
        <v>614</v>
      </c>
      <c r="G290" t="str">
        <f>"00024792"</f>
        <v>00024792</v>
      </c>
      <c r="H290" t="s">
        <v>615</v>
      </c>
      <c r="I290">
        <v>150</v>
      </c>
      <c r="J290">
        <v>0</v>
      </c>
      <c r="K290">
        <v>0</v>
      </c>
      <c r="L290">
        <v>0</v>
      </c>
      <c r="M290">
        <v>0</v>
      </c>
      <c r="N290">
        <v>0</v>
      </c>
      <c r="O290">
        <v>0</v>
      </c>
      <c r="P290">
        <v>0</v>
      </c>
      <c r="Q290">
        <v>0</v>
      </c>
      <c r="R290">
        <v>64</v>
      </c>
      <c r="S290">
        <v>448</v>
      </c>
      <c r="V290">
        <v>0</v>
      </c>
      <c r="W290" t="s">
        <v>610</v>
      </c>
    </row>
    <row r="291" spans="1:23" x14ac:dyDescent="0.25">
      <c r="H291" t="s">
        <v>616</v>
      </c>
    </row>
    <row r="292" spans="1:23" x14ac:dyDescent="0.25">
      <c r="A292">
        <v>143</v>
      </c>
      <c r="B292">
        <v>7895</v>
      </c>
      <c r="C292" t="s">
        <v>56</v>
      </c>
      <c r="D292" t="s">
        <v>617</v>
      </c>
      <c r="E292" t="s">
        <v>407</v>
      </c>
      <c r="F292" t="s">
        <v>618</v>
      </c>
      <c r="G292" t="str">
        <f>"00073655"</f>
        <v>00073655</v>
      </c>
      <c r="H292" t="s">
        <v>619</v>
      </c>
      <c r="I292">
        <v>0</v>
      </c>
      <c r="J292">
        <v>0</v>
      </c>
      <c r="K292">
        <v>0</v>
      </c>
      <c r="L292">
        <v>0</v>
      </c>
      <c r="M292">
        <v>0</v>
      </c>
      <c r="N292">
        <v>0</v>
      </c>
      <c r="O292">
        <v>0</v>
      </c>
      <c r="P292">
        <v>0</v>
      </c>
      <c r="Q292">
        <v>0</v>
      </c>
      <c r="R292">
        <v>96</v>
      </c>
      <c r="S292">
        <v>588</v>
      </c>
      <c r="V292">
        <v>0</v>
      </c>
      <c r="W292" t="s">
        <v>620</v>
      </c>
    </row>
    <row r="293" spans="1:23" x14ac:dyDescent="0.25">
      <c r="H293">
        <v>939</v>
      </c>
    </row>
    <row r="294" spans="1:23" x14ac:dyDescent="0.25">
      <c r="A294">
        <v>144</v>
      </c>
      <c r="B294">
        <v>6310</v>
      </c>
      <c r="C294" t="s">
        <v>621</v>
      </c>
      <c r="D294" t="s">
        <v>94</v>
      </c>
      <c r="E294" t="s">
        <v>622</v>
      </c>
      <c r="F294" t="s">
        <v>623</v>
      </c>
      <c r="G294" t="str">
        <f>"201511017436"</f>
        <v>201511017436</v>
      </c>
      <c r="H294">
        <v>946</v>
      </c>
      <c r="I294">
        <v>0</v>
      </c>
      <c r="J294">
        <v>0</v>
      </c>
      <c r="K294">
        <v>0</v>
      </c>
      <c r="L294">
        <v>0</v>
      </c>
      <c r="M294">
        <v>0</v>
      </c>
      <c r="N294">
        <v>0</v>
      </c>
      <c r="O294">
        <v>0</v>
      </c>
      <c r="P294">
        <v>0</v>
      </c>
      <c r="Q294">
        <v>0</v>
      </c>
      <c r="R294">
        <v>83</v>
      </c>
      <c r="S294">
        <v>581</v>
      </c>
      <c r="V294">
        <v>0</v>
      </c>
      <c r="W294">
        <v>1527</v>
      </c>
    </row>
    <row r="295" spans="1:23" x14ac:dyDescent="0.25">
      <c r="H295" t="s">
        <v>624</v>
      </c>
    </row>
    <row r="296" spans="1:23" x14ac:dyDescent="0.25">
      <c r="A296">
        <v>145</v>
      </c>
      <c r="B296">
        <v>6310</v>
      </c>
      <c r="C296" t="s">
        <v>621</v>
      </c>
      <c r="D296" t="s">
        <v>94</v>
      </c>
      <c r="E296" t="s">
        <v>622</v>
      </c>
      <c r="F296" t="s">
        <v>623</v>
      </c>
      <c r="G296" t="str">
        <f>"201511017436"</f>
        <v>201511017436</v>
      </c>
      <c r="H296">
        <v>946</v>
      </c>
      <c r="I296">
        <v>0</v>
      </c>
      <c r="J296">
        <v>0</v>
      </c>
      <c r="K296">
        <v>0</v>
      </c>
      <c r="L296">
        <v>0</v>
      </c>
      <c r="M296">
        <v>0</v>
      </c>
      <c r="N296">
        <v>0</v>
      </c>
      <c r="O296">
        <v>0</v>
      </c>
      <c r="P296">
        <v>0</v>
      </c>
      <c r="Q296">
        <v>0</v>
      </c>
      <c r="R296">
        <v>83</v>
      </c>
      <c r="S296">
        <v>581</v>
      </c>
      <c r="T296">
        <v>6</v>
      </c>
      <c r="U296">
        <v>938</v>
      </c>
      <c r="V296">
        <v>0</v>
      </c>
      <c r="W296">
        <v>1527</v>
      </c>
    </row>
    <row r="297" spans="1:23" x14ac:dyDescent="0.25">
      <c r="H297" t="s">
        <v>624</v>
      </c>
    </row>
    <row r="298" spans="1:23" x14ac:dyDescent="0.25">
      <c r="A298">
        <v>146</v>
      </c>
      <c r="B298">
        <v>2303</v>
      </c>
      <c r="C298" t="s">
        <v>625</v>
      </c>
      <c r="D298" t="s">
        <v>247</v>
      </c>
      <c r="E298" t="s">
        <v>71</v>
      </c>
      <c r="F298" t="s">
        <v>626</v>
      </c>
      <c r="G298" t="str">
        <f>"00042455"</f>
        <v>00042455</v>
      </c>
      <c r="H298">
        <v>935</v>
      </c>
      <c r="I298">
        <v>0</v>
      </c>
      <c r="J298">
        <v>0</v>
      </c>
      <c r="K298">
        <v>0</v>
      </c>
      <c r="L298">
        <v>0</v>
      </c>
      <c r="M298">
        <v>0</v>
      </c>
      <c r="N298">
        <v>0</v>
      </c>
      <c r="O298">
        <v>0</v>
      </c>
      <c r="P298">
        <v>0</v>
      </c>
      <c r="Q298">
        <v>0</v>
      </c>
      <c r="R298">
        <v>257</v>
      </c>
      <c r="S298">
        <v>588</v>
      </c>
      <c r="V298">
        <v>0</v>
      </c>
      <c r="W298">
        <v>1523</v>
      </c>
    </row>
    <row r="299" spans="1:23" x14ac:dyDescent="0.25">
      <c r="H299" t="s">
        <v>627</v>
      </c>
    </row>
    <row r="300" spans="1:23" x14ac:dyDescent="0.25">
      <c r="A300">
        <v>147</v>
      </c>
      <c r="B300">
        <v>10160</v>
      </c>
      <c r="C300" t="s">
        <v>628</v>
      </c>
      <c r="D300" t="s">
        <v>629</v>
      </c>
      <c r="E300" t="s">
        <v>21</v>
      </c>
      <c r="F300" t="s">
        <v>630</v>
      </c>
      <c r="G300" t="str">
        <f>"201511030064"</f>
        <v>201511030064</v>
      </c>
      <c r="H300">
        <v>935</v>
      </c>
      <c r="I300">
        <v>0</v>
      </c>
      <c r="J300">
        <v>0</v>
      </c>
      <c r="K300">
        <v>0</v>
      </c>
      <c r="L300">
        <v>0</v>
      </c>
      <c r="M300">
        <v>0</v>
      </c>
      <c r="N300">
        <v>0</v>
      </c>
      <c r="O300">
        <v>0</v>
      </c>
      <c r="P300">
        <v>0</v>
      </c>
      <c r="Q300">
        <v>0</v>
      </c>
      <c r="R300">
        <v>136</v>
      </c>
      <c r="S300">
        <v>588</v>
      </c>
      <c r="V300">
        <v>0</v>
      </c>
      <c r="W300">
        <v>1523</v>
      </c>
    </row>
    <row r="301" spans="1:23" x14ac:dyDescent="0.25">
      <c r="H301">
        <v>933</v>
      </c>
    </row>
    <row r="302" spans="1:23" x14ac:dyDescent="0.25">
      <c r="A302">
        <v>148</v>
      </c>
      <c r="B302">
        <v>121</v>
      </c>
      <c r="C302" t="s">
        <v>631</v>
      </c>
      <c r="D302" t="s">
        <v>53</v>
      </c>
      <c r="E302" t="s">
        <v>42</v>
      </c>
      <c r="F302" t="s">
        <v>632</v>
      </c>
      <c r="G302" t="str">
        <f>"201511021705"</f>
        <v>201511021705</v>
      </c>
      <c r="H302">
        <v>935</v>
      </c>
      <c r="I302">
        <v>0</v>
      </c>
      <c r="J302">
        <v>0</v>
      </c>
      <c r="K302">
        <v>0</v>
      </c>
      <c r="L302">
        <v>0</v>
      </c>
      <c r="M302">
        <v>0</v>
      </c>
      <c r="N302">
        <v>0</v>
      </c>
      <c r="O302">
        <v>0</v>
      </c>
      <c r="P302">
        <v>0</v>
      </c>
      <c r="Q302">
        <v>0</v>
      </c>
      <c r="R302">
        <v>90</v>
      </c>
      <c r="S302">
        <v>588</v>
      </c>
      <c r="V302">
        <v>0</v>
      </c>
      <c r="W302">
        <v>1523</v>
      </c>
    </row>
    <row r="303" spans="1:23" x14ac:dyDescent="0.25">
      <c r="H303" t="s">
        <v>633</v>
      </c>
    </row>
    <row r="304" spans="1:23" x14ac:dyDescent="0.25">
      <c r="A304">
        <v>149</v>
      </c>
      <c r="B304">
        <v>358</v>
      </c>
      <c r="C304" t="s">
        <v>634</v>
      </c>
      <c r="D304" t="s">
        <v>132</v>
      </c>
      <c r="E304" t="s">
        <v>121</v>
      </c>
      <c r="F304" t="s">
        <v>635</v>
      </c>
      <c r="G304" t="str">
        <f>"201511032043"</f>
        <v>201511032043</v>
      </c>
      <c r="H304">
        <v>935</v>
      </c>
      <c r="I304">
        <v>0</v>
      </c>
      <c r="J304">
        <v>0</v>
      </c>
      <c r="K304">
        <v>0</v>
      </c>
      <c r="L304">
        <v>0</v>
      </c>
      <c r="M304">
        <v>0</v>
      </c>
      <c r="N304">
        <v>0</v>
      </c>
      <c r="O304">
        <v>0</v>
      </c>
      <c r="P304">
        <v>0</v>
      </c>
      <c r="Q304">
        <v>0</v>
      </c>
      <c r="R304">
        <v>84</v>
      </c>
      <c r="S304">
        <v>588</v>
      </c>
      <c r="V304">
        <v>0</v>
      </c>
      <c r="W304">
        <v>1523</v>
      </c>
    </row>
    <row r="305" spans="1:23" x14ac:dyDescent="0.25">
      <c r="H305" t="s">
        <v>636</v>
      </c>
    </row>
    <row r="306" spans="1:23" x14ac:dyDescent="0.25">
      <c r="A306">
        <v>150</v>
      </c>
      <c r="B306">
        <v>2165</v>
      </c>
      <c r="C306" t="s">
        <v>637</v>
      </c>
      <c r="D306" t="s">
        <v>21</v>
      </c>
      <c r="E306" t="s">
        <v>42</v>
      </c>
      <c r="F306" t="s">
        <v>638</v>
      </c>
      <c r="G306" t="str">
        <f>"201511005795"</f>
        <v>201511005795</v>
      </c>
      <c r="H306">
        <v>1100</v>
      </c>
      <c r="I306">
        <v>0</v>
      </c>
      <c r="J306">
        <v>0</v>
      </c>
      <c r="K306">
        <v>0</v>
      </c>
      <c r="L306">
        <v>0</v>
      </c>
      <c r="M306">
        <v>0</v>
      </c>
      <c r="N306">
        <v>0</v>
      </c>
      <c r="O306">
        <v>0</v>
      </c>
      <c r="P306">
        <v>0</v>
      </c>
      <c r="Q306">
        <v>0</v>
      </c>
      <c r="R306">
        <v>60</v>
      </c>
      <c r="S306">
        <v>420</v>
      </c>
      <c r="V306">
        <v>0</v>
      </c>
      <c r="W306">
        <v>1520</v>
      </c>
    </row>
    <row r="307" spans="1:23" x14ac:dyDescent="0.25">
      <c r="H307" t="s">
        <v>639</v>
      </c>
    </row>
    <row r="308" spans="1:23" x14ac:dyDescent="0.25">
      <c r="A308">
        <v>151</v>
      </c>
      <c r="B308">
        <v>1128</v>
      </c>
      <c r="C308" t="s">
        <v>640</v>
      </c>
      <c r="D308" t="s">
        <v>475</v>
      </c>
      <c r="E308" t="s">
        <v>171</v>
      </c>
      <c r="F308" t="s">
        <v>641</v>
      </c>
      <c r="G308" t="str">
        <f>"201510001359"</f>
        <v>201510001359</v>
      </c>
      <c r="H308">
        <v>935</v>
      </c>
      <c r="I308">
        <v>0</v>
      </c>
      <c r="J308">
        <v>30</v>
      </c>
      <c r="K308">
        <v>0</v>
      </c>
      <c r="L308">
        <v>0</v>
      </c>
      <c r="M308">
        <v>30</v>
      </c>
      <c r="N308">
        <v>0</v>
      </c>
      <c r="O308">
        <v>0</v>
      </c>
      <c r="P308">
        <v>0</v>
      </c>
      <c r="Q308">
        <v>0</v>
      </c>
      <c r="R308">
        <v>75</v>
      </c>
      <c r="S308">
        <v>525</v>
      </c>
      <c r="V308">
        <v>0</v>
      </c>
      <c r="W308">
        <v>1520</v>
      </c>
    </row>
    <row r="309" spans="1:23" x14ac:dyDescent="0.25">
      <c r="H309" t="s">
        <v>642</v>
      </c>
    </row>
    <row r="310" spans="1:23" x14ac:dyDescent="0.25">
      <c r="A310">
        <v>152</v>
      </c>
      <c r="B310">
        <v>9911</v>
      </c>
      <c r="C310" t="s">
        <v>643</v>
      </c>
      <c r="D310" t="s">
        <v>272</v>
      </c>
      <c r="E310" t="s">
        <v>42</v>
      </c>
      <c r="F310" t="s">
        <v>644</v>
      </c>
      <c r="G310" t="str">
        <f>"201511034098"</f>
        <v>201511034098</v>
      </c>
      <c r="H310" t="s">
        <v>615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0</v>
      </c>
      <c r="O310">
        <v>0</v>
      </c>
      <c r="P310">
        <v>0</v>
      </c>
      <c r="Q310">
        <v>0</v>
      </c>
      <c r="R310">
        <v>147</v>
      </c>
      <c r="S310">
        <v>588</v>
      </c>
      <c r="V310">
        <v>0</v>
      </c>
      <c r="W310" t="s">
        <v>645</v>
      </c>
    </row>
    <row r="311" spans="1:23" x14ac:dyDescent="0.25">
      <c r="H311" t="s">
        <v>646</v>
      </c>
    </row>
    <row r="312" spans="1:23" x14ac:dyDescent="0.25">
      <c r="A312">
        <v>153</v>
      </c>
      <c r="B312">
        <v>4490</v>
      </c>
      <c r="C312" t="s">
        <v>647</v>
      </c>
      <c r="D312" t="s">
        <v>71</v>
      </c>
      <c r="E312" t="s">
        <v>42</v>
      </c>
      <c r="F312" t="s">
        <v>648</v>
      </c>
      <c r="G312" t="str">
        <f>"201511027871"</f>
        <v>201511027871</v>
      </c>
      <c r="H312" t="s">
        <v>492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0</v>
      </c>
      <c r="O312">
        <v>0</v>
      </c>
      <c r="P312">
        <v>0</v>
      </c>
      <c r="Q312">
        <v>0</v>
      </c>
      <c r="R312">
        <v>179</v>
      </c>
      <c r="S312">
        <v>588</v>
      </c>
      <c r="V312">
        <v>0</v>
      </c>
      <c r="W312" t="s">
        <v>649</v>
      </c>
    </row>
    <row r="313" spans="1:23" x14ac:dyDescent="0.25">
      <c r="H313" t="s">
        <v>650</v>
      </c>
    </row>
    <row r="314" spans="1:23" x14ac:dyDescent="0.25">
      <c r="A314">
        <v>154</v>
      </c>
      <c r="B314">
        <v>5261</v>
      </c>
      <c r="C314" t="s">
        <v>651</v>
      </c>
      <c r="D314" t="s">
        <v>652</v>
      </c>
      <c r="E314" t="s">
        <v>53</v>
      </c>
      <c r="F314" t="s">
        <v>653</v>
      </c>
      <c r="G314" t="str">
        <f>"201412000386"</f>
        <v>201412000386</v>
      </c>
      <c r="H314" t="s">
        <v>492</v>
      </c>
      <c r="I314">
        <v>0</v>
      </c>
      <c r="J314">
        <v>0</v>
      </c>
      <c r="K314">
        <v>0</v>
      </c>
      <c r="L314">
        <v>0</v>
      </c>
      <c r="M314">
        <v>0</v>
      </c>
      <c r="N314">
        <v>0</v>
      </c>
      <c r="O314">
        <v>0</v>
      </c>
      <c r="P314">
        <v>0</v>
      </c>
      <c r="Q314">
        <v>0</v>
      </c>
      <c r="R314">
        <v>90</v>
      </c>
      <c r="S314">
        <v>588</v>
      </c>
      <c r="V314">
        <v>2</v>
      </c>
      <c r="W314" t="s">
        <v>649</v>
      </c>
    </row>
    <row r="315" spans="1:23" x14ac:dyDescent="0.25">
      <c r="H315" t="s">
        <v>654</v>
      </c>
    </row>
    <row r="316" spans="1:23" x14ac:dyDescent="0.25">
      <c r="A316">
        <v>155</v>
      </c>
      <c r="B316">
        <v>4421</v>
      </c>
      <c r="C316" t="s">
        <v>655</v>
      </c>
      <c r="D316" t="s">
        <v>156</v>
      </c>
      <c r="E316" t="s">
        <v>121</v>
      </c>
      <c r="F316" t="s">
        <v>656</v>
      </c>
      <c r="G316" t="str">
        <f>"00080369"</f>
        <v>00080369</v>
      </c>
      <c r="H316">
        <v>924</v>
      </c>
      <c r="I316">
        <v>0</v>
      </c>
      <c r="J316">
        <v>0</v>
      </c>
      <c r="K316">
        <v>0</v>
      </c>
      <c r="L316">
        <v>0</v>
      </c>
      <c r="M316">
        <v>0</v>
      </c>
      <c r="N316">
        <v>0</v>
      </c>
      <c r="O316">
        <v>0</v>
      </c>
      <c r="P316">
        <v>0</v>
      </c>
      <c r="Q316">
        <v>0</v>
      </c>
      <c r="R316">
        <v>84</v>
      </c>
      <c r="S316">
        <v>588</v>
      </c>
      <c r="V316">
        <v>0</v>
      </c>
      <c r="W316">
        <v>1512</v>
      </c>
    </row>
    <row r="317" spans="1:23" x14ac:dyDescent="0.25">
      <c r="H317" t="s">
        <v>657</v>
      </c>
    </row>
    <row r="318" spans="1:23" x14ac:dyDescent="0.25">
      <c r="A318">
        <v>156</v>
      </c>
      <c r="B318">
        <v>8968</v>
      </c>
      <c r="C318" t="s">
        <v>658</v>
      </c>
      <c r="D318" t="s">
        <v>659</v>
      </c>
      <c r="E318" t="s">
        <v>53</v>
      </c>
      <c r="F318" t="s">
        <v>660</v>
      </c>
      <c r="G318" t="str">
        <f>"201511043642"</f>
        <v>201511043642</v>
      </c>
      <c r="H318">
        <v>924</v>
      </c>
      <c r="I318">
        <v>0</v>
      </c>
      <c r="J318">
        <v>0</v>
      </c>
      <c r="K318">
        <v>0</v>
      </c>
      <c r="L318">
        <v>0</v>
      </c>
      <c r="M318">
        <v>0</v>
      </c>
      <c r="N318">
        <v>0</v>
      </c>
      <c r="O318">
        <v>0</v>
      </c>
      <c r="P318">
        <v>0</v>
      </c>
      <c r="Q318">
        <v>0</v>
      </c>
      <c r="R318">
        <v>142</v>
      </c>
      <c r="S318">
        <v>588</v>
      </c>
      <c r="V318">
        <v>0</v>
      </c>
      <c r="W318">
        <v>1512</v>
      </c>
    </row>
    <row r="319" spans="1:23" x14ac:dyDescent="0.25">
      <c r="H319" t="s">
        <v>661</v>
      </c>
    </row>
    <row r="320" spans="1:23" x14ac:dyDescent="0.25">
      <c r="A320">
        <v>157</v>
      </c>
      <c r="B320">
        <v>1091</v>
      </c>
      <c r="C320" t="s">
        <v>662</v>
      </c>
      <c r="D320" t="s">
        <v>663</v>
      </c>
      <c r="E320" t="s">
        <v>21</v>
      </c>
      <c r="F320" t="s">
        <v>664</v>
      </c>
      <c r="G320" t="str">
        <f>"00045310"</f>
        <v>00045310</v>
      </c>
      <c r="H320">
        <v>770</v>
      </c>
      <c r="I320">
        <v>150</v>
      </c>
      <c r="J320">
        <v>0</v>
      </c>
      <c r="K320">
        <v>0</v>
      </c>
      <c r="L320">
        <v>0</v>
      </c>
      <c r="M320">
        <v>0</v>
      </c>
      <c r="N320">
        <v>0</v>
      </c>
      <c r="O320">
        <v>0</v>
      </c>
      <c r="P320">
        <v>0</v>
      </c>
      <c r="Q320">
        <v>0</v>
      </c>
      <c r="R320">
        <v>84</v>
      </c>
      <c r="S320">
        <v>588</v>
      </c>
      <c r="V320">
        <v>0</v>
      </c>
      <c r="W320">
        <v>1508</v>
      </c>
    </row>
    <row r="321" spans="1:23" x14ac:dyDescent="0.25">
      <c r="H321" t="s">
        <v>665</v>
      </c>
    </row>
    <row r="322" spans="1:23" x14ac:dyDescent="0.25">
      <c r="A322">
        <v>158</v>
      </c>
      <c r="B322">
        <v>3260</v>
      </c>
      <c r="C322" t="s">
        <v>666</v>
      </c>
      <c r="D322" t="s">
        <v>116</v>
      </c>
      <c r="E322" t="s">
        <v>53</v>
      </c>
      <c r="F322" t="s">
        <v>667</v>
      </c>
      <c r="G322" t="str">
        <f>"201511034928"</f>
        <v>201511034928</v>
      </c>
      <c r="H322">
        <v>770</v>
      </c>
      <c r="I322">
        <v>150</v>
      </c>
      <c r="J322">
        <v>0</v>
      </c>
      <c r="K322">
        <v>0</v>
      </c>
      <c r="L322">
        <v>0</v>
      </c>
      <c r="M322">
        <v>0</v>
      </c>
      <c r="N322">
        <v>0</v>
      </c>
      <c r="O322">
        <v>0</v>
      </c>
      <c r="P322">
        <v>0</v>
      </c>
      <c r="Q322">
        <v>0</v>
      </c>
      <c r="R322">
        <v>84</v>
      </c>
      <c r="S322">
        <v>588</v>
      </c>
      <c r="V322">
        <v>0</v>
      </c>
      <c r="W322">
        <v>1508</v>
      </c>
    </row>
    <row r="323" spans="1:23" x14ac:dyDescent="0.25">
      <c r="H323" t="s">
        <v>668</v>
      </c>
    </row>
    <row r="324" spans="1:23" x14ac:dyDescent="0.25">
      <c r="A324">
        <v>159</v>
      </c>
      <c r="B324">
        <v>5401</v>
      </c>
      <c r="C324" t="s">
        <v>669</v>
      </c>
      <c r="D324" t="s">
        <v>272</v>
      </c>
      <c r="E324" t="s">
        <v>53</v>
      </c>
      <c r="F324" t="s">
        <v>670</v>
      </c>
      <c r="G324" t="str">
        <f>"00047883"</f>
        <v>00047883</v>
      </c>
      <c r="H324" t="s">
        <v>671</v>
      </c>
      <c r="I324">
        <v>0</v>
      </c>
      <c r="J324">
        <v>0</v>
      </c>
      <c r="K324">
        <v>0</v>
      </c>
      <c r="L324">
        <v>0</v>
      </c>
      <c r="M324">
        <v>0</v>
      </c>
      <c r="N324">
        <v>0</v>
      </c>
      <c r="O324">
        <v>0</v>
      </c>
      <c r="P324">
        <v>0</v>
      </c>
      <c r="Q324">
        <v>0</v>
      </c>
      <c r="R324">
        <v>84</v>
      </c>
      <c r="S324">
        <v>588</v>
      </c>
      <c r="V324">
        <v>2</v>
      </c>
      <c r="W324" t="s">
        <v>672</v>
      </c>
    </row>
    <row r="325" spans="1:23" x14ac:dyDescent="0.25">
      <c r="H325" t="s">
        <v>673</v>
      </c>
    </row>
    <row r="326" spans="1:23" x14ac:dyDescent="0.25">
      <c r="A326">
        <v>160</v>
      </c>
      <c r="B326">
        <v>2360</v>
      </c>
      <c r="C326" t="s">
        <v>674</v>
      </c>
      <c r="D326" t="s">
        <v>22</v>
      </c>
      <c r="E326" t="s">
        <v>95</v>
      </c>
      <c r="F326" t="s">
        <v>675</v>
      </c>
      <c r="G326" t="str">
        <f>"201510003035"</f>
        <v>201510003035</v>
      </c>
      <c r="H326" t="s">
        <v>671</v>
      </c>
      <c r="I326">
        <v>0</v>
      </c>
      <c r="J326">
        <v>0</v>
      </c>
      <c r="K326">
        <v>0</v>
      </c>
      <c r="L326">
        <v>0</v>
      </c>
      <c r="M326">
        <v>0</v>
      </c>
      <c r="N326">
        <v>0</v>
      </c>
      <c r="O326">
        <v>0</v>
      </c>
      <c r="P326">
        <v>0</v>
      </c>
      <c r="Q326">
        <v>0</v>
      </c>
      <c r="R326">
        <v>224</v>
      </c>
      <c r="S326">
        <v>588</v>
      </c>
      <c r="V326">
        <v>0</v>
      </c>
      <c r="W326" t="s">
        <v>672</v>
      </c>
    </row>
    <row r="327" spans="1:23" x14ac:dyDescent="0.25">
      <c r="H327" t="s">
        <v>676</v>
      </c>
    </row>
    <row r="328" spans="1:23" x14ac:dyDescent="0.25">
      <c r="A328">
        <v>161</v>
      </c>
      <c r="B328">
        <v>2514</v>
      </c>
      <c r="C328" t="s">
        <v>677</v>
      </c>
      <c r="D328" t="s">
        <v>105</v>
      </c>
      <c r="E328" t="s">
        <v>53</v>
      </c>
      <c r="F328" t="s">
        <v>678</v>
      </c>
      <c r="G328" t="str">
        <f>"201510004033"</f>
        <v>201510004033</v>
      </c>
      <c r="H328">
        <v>1045</v>
      </c>
      <c r="I328">
        <v>0</v>
      </c>
      <c r="J328">
        <v>0</v>
      </c>
      <c r="K328">
        <v>0</v>
      </c>
      <c r="L328">
        <v>0</v>
      </c>
      <c r="M328">
        <v>0</v>
      </c>
      <c r="N328">
        <v>0</v>
      </c>
      <c r="O328">
        <v>0</v>
      </c>
      <c r="P328">
        <v>0</v>
      </c>
      <c r="Q328">
        <v>0</v>
      </c>
      <c r="R328">
        <v>66</v>
      </c>
      <c r="S328">
        <v>462</v>
      </c>
      <c r="V328">
        <v>0</v>
      </c>
      <c r="W328">
        <v>1507</v>
      </c>
    </row>
    <row r="329" spans="1:23" x14ac:dyDescent="0.25">
      <c r="H329" t="s">
        <v>679</v>
      </c>
    </row>
    <row r="330" spans="1:23" x14ac:dyDescent="0.25">
      <c r="A330">
        <v>162</v>
      </c>
      <c r="B330">
        <v>7168</v>
      </c>
      <c r="C330" t="s">
        <v>680</v>
      </c>
      <c r="D330" t="s">
        <v>32</v>
      </c>
      <c r="E330" t="s">
        <v>21</v>
      </c>
      <c r="F330" t="s">
        <v>681</v>
      </c>
      <c r="G330" t="str">
        <f>"00027466"</f>
        <v>00027466</v>
      </c>
      <c r="H330" t="s">
        <v>682</v>
      </c>
      <c r="I330">
        <v>0</v>
      </c>
      <c r="J330">
        <v>0</v>
      </c>
      <c r="K330">
        <v>0</v>
      </c>
      <c r="L330">
        <v>0</v>
      </c>
      <c r="M330">
        <v>0</v>
      </c>
      <c r="N330">
        <v>0</v>
      </c>
      <c r="O330">
        <v>0</v>
      </c>
      <c r="P330">
        <v>0</v>
      </c>
      <c r="Q330">
        <v>0</v>
      </c>
      <c r="R330">
        <v>240</v>
      </c>
      <c r="S330">
        <v>588</v>
      </c>
      <c r="V330">
        <v>2</v>
      </c>
      <c r="W330" t="s">
        <v>683</v>
      </c>
    </row>
    <row r="331" spans="1:23" x14ac:dyDescent="0.25">
      <c r="H331" t="s">
        <v>684</v>
      </c>
    </row>
    <row r="332" spans="1:23" x14ac:dyDescent="0.25">
      <c r="A332">
        <v>163</v>
      </c>
      <c r="B332">
        <v>1067</v>
      </c>
      <c r="C332" t="s">
        <v>685</v>
      </c>
      <c r="D332" t="s">
        <v>686</v>
      </c>
      <c r="E332" t="s">
        <v>687</v>
      </c>
      <c r="F332" t="s">
        <v>688</v>
      </c>
      <c r="G332" t="str">
        <f>"00016789"</f>
        <v>00016789</v>
      </c>
      <c r="H332" t="s">
        <v>181</v>
      </c>
      <c r="I332">
        <v>0</v>
      </c>
      <c r="J332">
        <v>70</v>
      </c>
      <c r="K332">
        <v>0</v>
      </c>
      <c r="L332">
        <v>0</v>
      </c>
      <c r="M332">
        <v>0</v>
      </c>
      <c r="N332">
        <v>0</v>
      </c>
      <c r="O332">
        <v>0</v>
      </c>
      <c r="P332">
        <v>0</v>
      </c>
      <c r="Q332">
        <v>0</v>
      </c>
      <c r="R332">
        <v>76</v>
      </c>
      <c r="S332">
        <v>532</v>
      </c>
      <c r="T332">
        <v>6</v>
      </c>
      <c r="U332">
        <v>905</v>
      </c>
      <c r="V332">
        <v>0</v>
      </c>
      <c r="W332" t="s">
        <v>689</v>
      </c>
    </row>
    <row r="333" spans="1:23" x14ac:dyDescent="0.25">
      <c r="H333">
        <v>905</v>
      </c>
    </row>
    <row r="334" spans="1:23" x14ac:dyDescent="0.25">
      <c r="A334">
        <v>164</v>
      </c>
      <c r="B334">
        <v>1409</v>
      </c>
      <c r="C334" t="s">
        <v>690</v>
      </c>
      <c r="D334" t="s">
        <v>94</v>
      </c>
      <c r="E334" t="s">
        <v>691</v>
      </c>
      <c r="F334" t="s">
        <v>692</v>
      </c>
      <c r="G334" t="str">
        <f>"201102000215"</f>
        <v>201102000215</v>
      </c>
      <c r="H334" t="s">
        <v>693</v>
      </c>
      <c r="I334">
        <v>0</v>
      </c>
      <c r="J334">
        <v>0</v>
      </c>
      <c r="K334">
        <v>0</v>
      </c>
      <c r="L334">
        <v>0</v>
      </c>
      <c r="M334">
        <v>0</v>
      </c>
      <c r="N334">
        <v>0</v>
      </c>
      <c r="O334">
        <v>0</v>
      </c>
      <c r="P334">
        <v>0</v>
      </c>
      <c r="Q334">
        <v>0</v>
      </c>
      <c r="R334">
        <v>159</v>
      </c>
      <c r="S334">
        <v>588</v>
      </c>
      <c r="V334">
        <v>0</v>
      </c>
      <c r="W334" t="s">
        <v>694</v>
      </c>
    </row>
    <row r="335" spans="1:23" x14ac:dyDescent="0.25">
      <c r="H335" t="s">
        <v>695</v>
      </c>
    </row>
    <row r="336" spans="1:23" x14ac:dyDescent="0.25">
      <c r="A336">
        <v>165</v>
      </c>
      <c r="B336">
        <v>1026</v>
      </c>
      <c r="C336" t="s">
        <v>696</v>
      </c>
      <c r="D336" t="s">
        <v>223</v>
      </c>
      <c r="E336" t="s">
        <v>71</v>
      </c>
      <c r="F336" t="s">
        <v>697</v>
      </c>
      <c r="G336" t="str">
        <f>"201511030142"</f>
        <v>201511030142</v>
      </c>
      <c r="H336" t="s">
        <v>693</v>
      </c>
      <c r="I336">
        <v>0</v>
      </c>
      <c r="J336">
        <v>0</v>
      </c>
      <c r="K336">
        <v>0</v>
      </c>
      <c r="L336">
        <v>0</v>
      </c>
      <c r="M336">
        <v>0</v>
      </c>
      <c r="N336">
        <v>0</v>
      </c>
      <c r="O336">
        <v>0</v>
      </c>
      <c r="P336">
        <v>0</v>
      </c>
      <c r="Q336">
        <v>0</v>
      </c>
      <c r="R336">
        <v>213</v>
      </c>
      <c r="S336">
        <v>588</v>
      </c>
      <c r="V336">
        <v>0</v>
      </c>
      <c r="W336" t="s">
        <v>694</v>
      </c>
    </row>
    <row r="337" spans="1:23" x14ac:dyDescent="0.25">
      <c r="H337" t="s">
        <v>698</v>
      </c>
    </row>
    <row r="338" spans="1:23" x14ac:dyDescent="0.25">
      <c r="A338">
        <v>166</v>
      </c>
      <c r="B338">
        <v>1572</v>
      </c>
      <c r="C338" t="s">
        <v>699</v>
      </c>
      <c r="D338" t="s">
        <v>31</v>
      </c>
      <c r="E338" t="s">
        <v>700</v>
      </c>
      <c r="F338" t="s">
        <v>701</v>
      </c>
      <c r="G338" t="str">
        <f>"00054334"</f>
        <v>00054334</v>
      </c>
      <c r="H338" t="s">
        <v>693</v>
      </c>
      <c r="I338">
        <v>0</v>
      </c>
      <c r="J338">
        <v>0</v>
      </c>
      <c r="K338">
        <v>0</v>
      </c>
      <c r="L338">
        <v>0</v>
      </c>
      <c r="M338">
        <v>0</v>
      </c>
      <c r="N338">
        <v>0</v>
      </c>
      <c r="O338">
        <v>0</v>
      </c>
      <c r="P338">
        <v>0</v>
      </c>
      <c r="Q338">
        <v>0</v>
      </c>
      <c r="R338">
        <v>175</v>
      </c>
      <c r="S338">
        <v>588</v>
      </c>
      <c r="V338">
        <v>0</v>
      </c>
      <c r="W338" t="s">
        <v>694</v>
      </c>
    </row>
    <row r="339" spans="1:23" x14ac:dyDescent="0.25">
      <c r="H339" t="s">
        <v>702</v>
      </c>
    </row>
    <row r="340" spans="1:23" x14ac:dyDescent="0.25">
      <c r="A340">
        <v>167</v>
      </c>
      <c r="B340">
        <v>6783</v>
      </c>
      <c r="C340" t="s">
        <v>703</v>
      </c>
      <c r="D340" t="s">
        <v>95</v>
      </c>
      <c r="E340" t="s">
        <v>704</v>
      </c>
      <c r="F340" t="s">
        <v>705</v>
      </c>
      <c r="G340" t="str">
        <f>"00022838"</f>
        <v>00022838</v>
      </c>
      <c r="H340" t="s">
        <v>706</v>
      </c>
      <c r="I340">
        <v>0</v>
      </c>
      <c r="J340">
        <v>30</v>
      </c>
      <c r="K340">
        <v>0</v>
      </c>
      <c r="L340">
        <v>0</v>
      </c>
      <c r="M340">
        <v>0</v>
      </c>
      <c r="N340">
        <v>0</v>
      </c>
      <c r="O340">
        <v>0</v>
      </c>
      <c r="P340">
        <v>0</v>
      </c>
      <c r="Q340">
        <v>0</v>
      </c>
      <c r="R340">
        <v>104</v>
      </c>
      <c r="S340">
        <v>588</v>
      </c>
      <c r="V340">
        <v>0</v>
      </c>
      <c r="W340" t="s">
        <v>707</v>
      </c>
    </row>
    <row r="341" spans="1:23" x14ac:dyDescent="0.25">
      <c r="H341" t="s">
        <v>708</v>
      </c>
    </row>
    <row r="342" spans="1:23" x14ac:dyDescent="0.25">
      <c r="A342">
        <v>168</v>
      </c>
      <c r="B342">
        <v>513</v>
      </c>
      <c r="C342" t="s">
        <v>432</v>
      </c>
      <c r="D342" t="s">
        <v>247</v>
      </c>
      <c r="E342" t="s">
        <v>42</v>
      </c>
      <c r="F342" t="s">
        <v>709</v>
      </c>
      <c r="G342" t="str">
        <f>"201511012955"</f>
        <v>201511012955</v>
      </c>
      <c r="H342">
        <v>990</v>
      </c>
      <c r="I342">
        <v>150</v>
      </c>
      <c r="J342">
        <v>30</v>
      </c>
      <c r="K342">
        <v>0</v>
      </c>
      <c r="L342">
        <v>0</v>
      </c>
      <c r="M342">
        <v>0</v>
      </c>
      <c r="N342">
        <v>0</v>
      </c>
      <c r="O342">
        <v>0</v>
      </c>
      <c r="P342">
        <v>0</v>
      </c>
      <c r="Q342">
        <v>0</v>
      </c>
      <c r="R342">
        <v>47</v>
      </c>
      <c r="S342">
        <v>329</v>
      </c>
      <c r="V342">
        <v>0</v>
      </c>
      <c r="W342">
        <v>1499</v>
      </c>
    </row>
    <row r="343" spans="1:23" x14ac:dyDescent="0.25">
      <c r="H343" t="s">
        <v>710</v>
      </c>
    </row>
    <row r="344" spans="1:23" x14ac:dyDescent="0.25">
      <c r="A344">
        <v>169</v>
      </c>
      <c r="B344">
        <v>3420</v>
      </c>
      <c r="C344" t="s">
        <v>711</v>
      </c>
      <c r="D344" t="s">
        <v>712</v>
      </c>
      <c r="E344" t="s">
        <v>713</v>
      </c>
      <c r="F344" t="s">
        <v>714</v>
      </c>
      <c r="G344" t="str">
        <f>"200904000292"</f>
        <v>200904000292</v>
      </c>
      <c r="H344">
        <v>880</v>
      </c>
      <c r="I344">
        <v>0</v>
      </c>
      <c r="J344">
        <v>30</v>
      </c>
      <c r="K344">
        <v>0</v>
      </c>
      <c r="L344">
        <v>0</v>
      </c>
      <c r="M344">
        <v>0</v>
      </c>
      <c r="N344">
        <v>0</v>
      </c>
      <c r="O344">
        <v>0</v>
      </c>
      <c r="P344">
        <v>0</v>
      </c>
      <c r="Q344">
        <v>0</v>
      </c>
      <c r="R344">
        <v>89</v>
      </c>
      <c r="S344">
        <v>588</v>
      </c>
      <c r="V344">
        <v>0</v>
      </c>
      <c r="W344">
        <v>1498</v>
      </c>
    </row>
    <row r="345" spans="1:23" x14ac:dyDescent="0.25">
      <c r="H345" t="s">
        <v>715</v>
      </c>
    </row>
    <row r="346" spans="1:23" x14ac:dyDescent="0.25">
      <c r="A346">
        <v>170</v>
      </c>
      <c r="B346">
        <v>3834</v>
      </c>
      <c r="C346" t="s">
        <v>716</v>
      </c>
      <c r="D346" t="s">
        <v>717</v>
      </c>
      <c r="E346" t="s">
        <v>95</v>
      </c>
      <c r="F346" t="s">
        <v>718</v>
      </c>
      <c r="G346" t="str">
        <f>"201511036988"</f>
        <v>201511036988</v>
      </c>
      <c r="H346">
        <v>880</v>
      </c>
      <c r="I346">
        <v>0</v>
      </c>
      <c r="J346">
        <v>30</v>
      </c>
      <c r="K346">
        <v>0</v>
      </c>
      <c r="L346">
        <v>0</v>
      </c>
      <c r="M346">
        <v>0</v>
      </c>
      <c r="N346">
        <v>0</v>
      </c>
      <c r="O346">
        <v>0</v>
      </c>
      <c r="P346">
        <v>0</v>
      </c>
      <c r="Q346">
        <v>0</v>
      </c>
      <c r="R346">
        <v>149</v>
      </c>
      <c r="S346">
        <v>588</v>
      </c>
      <c r="V346">
        <v>0</v>
      </c>
      <c r="W346">
        <v>1498</v>
      </c>
    </row>
    <row r="347" spans="1:23" x14ac:dyDescent="0.25">
      <c r="H347" t="s">
        <v>719</v>
      </c>
    </row>
    <row r="348" spans="1:23" x14ac:dyDescent="0.25">
      <c r="A348">
        <v>171</v>
      </c>
      <c r="B348">
        <v>273</v>
      </c>
      <c r="C348" t="s">
        <v>720</v>
      </c>
      <c r="D348" t="s">
        <v>140</v>
      </c>
      <c r="E348" t="s">
        <v>721</v>
      </c>
      <c r="F348" t="s">
        <v>722</v>
      </c>
      <c r="G348" t="str">
        <f>"201510003865"</f>
        <v>201510003865</v>
      </c>
      <c r="H348">
        <v>880</v>
      </c>
      <c r="I348">
        <v>0</v>
      </c>
      <c r="J348">
        <v>30</v>
      </c>
      <c r="K348">
        <v>0</v>
      </c>
      <c r="L348">
        <v>0</v>
      </c>
      <c r="M348">
        <v>0</v>
      </c>
      <c r="N348">
        <v>0</v>
      </c>
      <c r="O348">
        <v>0</v>
      </c>
      <c r="P348">
        <v>0</v>
      </c>
      <c r="Q348">
        <v>0</v>
      </c>
      <c r="R348">
        <v>146</v>
      </c>
      <c r="S348">
        <v>588</v>
      </c>
      <c r="V348">
        <v>0</v>
      </c>
      <c r="W348">
        <v>1498</v>
      </c>
    </row>
    <row r="349" spans="1:23" x14ac:dyDescent="0.25">
      <c r="H349" t="s">
        <v>723</v>
      </c>
    </row>
    <row r="350" spans="1:23" x14ac:dyDescent="0.25">
      <c r="A350">
        <v>172</v>
      </c>
      <c r="B350">
        <v>1661</v>
      </c>
      <c r="C350" t="s">
        <v>724</v>
      </c>
      <c r="D350" t="s">
        <v>725</v>
      </c>
      <c r="E350" t="s">
        <v>53</v>
      </c>
      <c r="F350" t="s">
        <v>726</v>
      </c>
      <c r="G350" t="str">
        <f>"201511025110"</f>
        <v>201511025110</v>
      </c>
      <c r="H350">
        <v>880</v>
      </c>
      <c r="I350">
        <v>0</v>
      </c>
      <c r="J350">
        <v>30</v>
      </c>
      <c r="K350">
        <v>0</v>
      </c>
      <c r="L350">
        <v>0</v>
      </c>
      <c r="M350">
        <v>0</v>
      </c>
      <c r="N350">
        <v>0</v>
      </c>
      <c r="O350">
        <v>0</v>
      </c>
      <c r="P350">
        <v>0</v>
      </c>
      <c r="Q350">
        <v>0</v>
      </c>
      <c r="R350">
        <v>129</v>
      </c>
      <c r="S350">
        <v>588</v>
      </c>
      <c r="V350">
        <v>1</v>
      </c>
      <c r="W350">
        <v>1498</v>
      </c>
    </row>
    <row r="351" spans="1:23" x14ac:dyDescent="0.25">
      <c r="H351" t="s">
        <v>727</v>
      </c>
    </row>
    <row r="352" spans="1:23" x14ac:dyDescent="0.25">
      <c r="A352">
        <v>173</v>
      </c>
      <c r="B352">
        <v>7605</v>
      </c>
      <c r="C352" t="s">
        <v>728</v>
      </c>
      <c r="D352" t="s">
        <v>441</v>
      </c>
      <c r="E352" t="s">
        <v>121</v>
      </c>
      <c r="F352" t="s">
        <v>729</v>
      </c>
      <c r="G352" t="str">
        <f>"201511040803"</f>
        <v>201511040803</v>
      </c>
      <c r="H352" t="s">
        <v>730</v>
      </c>
      <c r="I352">
        <v>0</v>
      </c>
      <c r="J352">
        <v>0</v>
      </c>
      <c r="K352">
        <v>0</v>
      </c>
      <c r="L352">
        <v>0</v>
      </c>
      <c r="M352">
        <v>0</v>
      </c>
      <c r="N352">
        <v>0</v>
      </c>
      <c r="O352">
        <v>0</v>
      </c>
      <c r="P352">
        <v>0</v>
      </c>
      <c r="Q352">
        <v>0</v>
      </c>
      <c r="R352">
        <v>165</v>
      </c>
      <c r="S352">
        <v>588</v>
      </c>
      <c r="T352">
        <v>6</v>
      </c>
      <c r="U352" t="s">
        <v>731</v>
      </c>
      <c r="V352">
        <v>0</v>
      </c>
      <c r="W352" t="s">
        <v>732</v>
      </c>
    </row>
    <row r="353" spans="1:23" x14ac:dyDescent="0.25">
      <c r="H353" t="s">
        <v>733</v>
      </c>
    </row>
    <row r="354" spans="1:23" x14ac:dyDescent="0.25">
      <c r="A354">
        <v>174</v>
      </c>
      <c r="B354">
        <v>7605</v>
      </c>
      <c r="C354" t="s">
        <v>728</v>
      </c>
      <c r="D354" t="s">
        <v>441</v>
      </c>
      <c r="E354" t="s">
        <v>121</v>
      </c>
      <c r="F354" t="s">
        <v>729</v>
      </c>
      <c r="G354" t="str">
        <f>"201511040803"</f>
        <v>201511040803</v>
      </c>
      <c r="H354" t="s">
        <v>730</v>
      </c>
      <c r="I354">
        <v>0</v>
      </c>
      <c r="J354">
        <v>0</v>
      </c>
      <c r="K354">
        <v>0</v>
      </c>
      <c r="L354">
        <v>0</v>
      </c>
      <c r="M354">
        <v>0</v>
      </c>
      <c r="N354">
        <v>0</v>
      </c>
      <c r="O354">
        <v>0</v>
      </c>
      <c r="P354">
        <v>0</v>
      </c>
      <c r="Q354">
        <v>0</v>
      </c>
      <c r="R354">
        <v>165</v>
      </c>
      <c r="S354">
        <v>588</v>
      </c>
      <c r="V354">
        <v>0</v>
      </c>
      <c r="W354" t="s">
        <v>732</v>
      </c>
    </row>
    <row r="355" spans="1:23" x14ac:dyDescent="0.25">
      <c r="H355" t="s">
        <v>733</v>
      </c>
    </row>
    <row r="356" spans="1:23" x14ac:dyDescent="0.25">
      <c r="A356">
        <v>175</v>
      </c>
      <c r="B356">
        <v>3388</v>
      </c>
      <c r="C356" t="s">
        <v>734</v>
      </c>
      <c r="D356" t="s">
        <v>175</v>
      </c>
      <c r="E356" t="s">
        <v>116</v>
      </c>
      <c r="F356" t="s">
        <v>735</v>
      </c>
      <c r="G356" t="str">
        <f>"201511029708"</f>
        <v>201511029708</v>
      </c>
      <c r="H356" t="s">
        <v>529</v>
      </c>
      <c r="I356">
        <v>150</v>
      </c>
      <c r="J356">
        <v>0</v>
      </c>
      <c r="K356">
        <v>0</v>
      </c>
      <c r="L356">
        <v>0</v>
      </c>
      <c r="M356">
        <v>0</v>
      </c>
      <c r="N356">
        <v>0</v>
      </c>
      <c r="O356">
        <v>0</v>
      </c>
      <c r="P356">
        <v>0</v>
      </c>
      <c r="Q356">
        <v>0</v>
      </c>
      <c r="R356">
        <v>55</v>
      </c>
      <c r="S356">
        <v>385</v>
      </c>
      <c r="V356">
        <v>0</v>
      </c>
      <c r="W356" t="s">
        <v>736</v>
      </c>
    </row>
    <row r="357" spans="1:23" x14ac:dyDescent="0.25">
      <c r="H357" t="s">
        <v>737</v>
      </c>
    </row>
    <row r="358" spans="1:23" x14ac:dyDescent="0.25">
      <c r="A358">
        <v>176</v>
      </c>
      <c r="B358">
        <v>634</v>
      </c>
      <c r="C358" t="s">
        <v>738</v>
      </c>
      <c r="D358" t="s">
        <v>132</v>
      </c>
      <c r="E358" t="s">
        <v>739</v>
      </c>
      <c r="F358" t="s">
        <v>740</v>
      </c>
      <c r="G358" t="str">
        <f>"201511035403"</f>
        <v>201511035403</v>
      </c>
      <c r="H358" t="s">
        <v>741</v>
      </c>
      <c r="I358">
        <v>0</v>
      </c>
      <c r="J358">
        <v>0</v>
      </c>
      <c r="K358">
        <v>0</v>
      </c>
      <c r="L358">
        <v>0</v>
      </c>
      <c r="M358">
        <v>0</v>
      </c>
      <c r="N358">
        <v>0</v>
      </c>
      <c r="O358">
        <v>0</v>
      </c>
      <c r="P358">
        <v>0</v>
      </c>
      <c r="Q358">
        <v>0</v>
      </c>
      <c r="R358">
        <v>178</v>
      </c>
      <c r="S358">
        <v>588</v>
      </c>
      <c r="V358">
        <v>0</v>
      </c>
      <c r="W358" t="s">
        <v>742</v>
      </c>
    </row>
    <row r="359" spans="1:23" x14ac:dyDescent="0.25">
      <c r="H359" t="s">
        <v>743</v>
      </c>
    </row>
    <row r="360" spans="1:23" x14ac:dyDescent="0.25">
      <c r="A360">
        <v>177</v>
      </c>
      <c r="B360">
        <v>3606</v>
      </c>
      <c r="C360" t="s">
        <v>744</v>
      </c>
      <c r="D360" t="s">
        <v>745</v>
      </c>
      <c r="E360" t="s">
        <v>42</v>
      </c>
      <c r="F360" t="s">
        <v>746</v>
      </c>
      <c r="G360" t="str">
        <f>"201511030805"</f>
        <v>201511030805</v>
      </c>
      <c r="H360">
        <v>1100</v>
      </c>
      <c r="I360">
        <v>0</v>
      </c>
      <c r="J360">
        <v>0</v>
      </c>
      <c r="K360">
        <v>0</v>
      </c>
      <c r="L360">
        <v>0</v>
      </c>
      <c r="M360">
        <v>0</v>
      </c>
      <c r="N360">
        <v>0</v>
      </c>
      <c r="O360">
        <v>0</v>
      </c>
      <c r="P360">
        <v>0</v>
      </c>
      <c r="Q360">
        <v>0</v>
      </c>
      <c r="R360">
        <v>56</v>
      </c>
      <c r="S360">
        <v>392</v>
      </c>
      <c r="V360">
        <v>0</v>
      </c>
      <c r="W360">
        <v>1492</v>
      </c>
    </row>
    <row r="361" spans="1:23" x14ac:dyDescent="0.25">
      <c r="H361" t="s">
        <v>747</v>
      </c>
    </row>
    <row r="362" spans="1:23" x14ac:dyDescent="0.25">
      <c r="A362">
        <v>178</v>
      </c>
      <c r="B362">
        <v>9997</v>
      </c>
      <c r="C362" t="s">
        <v>748</v>
      </c>
      <c r="D362" t="s">
        <v>140</v>
      </c>
      <c r="E362" t="s">
        <v>749</v>
      </c>
      <c r="F362" t="s">
        <v>750</v>
      </c>
      <c r="G362" t="str">
        <f>"201511042663"</f>
        <v>201511042663</v>
      </c>
      <c r="H362" t="s">
        <v>751</v>
      </c>
      <c r="I362">
        <v>0</v>
      </c>
      <c r="J362">
        <v>0</v>
      </c>
      <c r="K362">
        <v>0</v>
      </c>
      <c r="L362">
        <v>0</v>
      </c>
      <c r="M362">
        <v>0</v>
      </c>
      <c r="N362">
        <v>0</v>
      </c>
      <c r="O362">
        <v>0</v>
      </c>
      <c r="P362">
        <v>0</v>
      </c>
      <c r="Q362">
        <v>0</v>
      </c>
      <c r="R362">
        <v>117</v>
      </c>
      <c r="S362">
        <v>588</v>
      </c>
      <c r="V362">
        <v>0</v>
      </c>
      <c r="W362" t="s">
        <v>752</v>
      </c>
    </row>
    <row r="363" spans="1:23" x14ac:dyDescent="0.25">
      <c r="H363" t="s">
        <v>753</v>
      </c>
    </row>
    <row r="364" spans="1:23" x14ac:dyDescent="0.25">
      <c r="A364">
        <v>179</v>
      </c>
      <c r="B364">
        <v>1181</v>
      </c>
      <c r="C364" t="s">
        <v>754</v>
      </c>
      <c r="D364" t="s">
        <v>53</v>
      </c>
      <c r="E364" t="s">
        <v>47</v>
      </c>
      <c r="F364" t="s">
        <v>755</v>
      </c>
      <c r="G364" t="str">
        <f>"00028669"</f>
        <v>00028669</v>
      </c>
      <c r="H364" t="s">
        <v>751</v>
      </c>
      <c r="I364">
        <v>0</v>
      </c>
      <c r="J364">
        <v>0</v>
      </c>
      <c r="K364">
        <v>0</v>
      </c>
      <c r="L364">
        <v>0</v>
      </c>
      <c r="M364">
        <v>0</v>
      </c>
      <c r="N364">
        <v>0</v>
      </c>
      <c r="O364">
        <v>0</v>
      </c>
      <c r="P364">
        <v>0</v>
      </c>
      <c r="Q364">
        <v>0</v>
      </c>
      <c r="R364">
        <v>180</v>
      </c>
      <c r="S364">
        <v>588</v>
      </c>
      <c r="V364">
        <v>0</v>
      </c>
      <c r="W364" t="s">
        <v>752</v>
      </c>
    </row>
    <row r="365" spans="1:23" x14ac:dyDescent="0.25">
      <c r="H365">
        <v>933</v>
      </c>
    </row>
    <row r="366" spans="1:23" x14ac:dyDescent="0.25">
      <c r="A366">
        <v>180</v>
      </c>
      <c r="B366">
        <v>4298</v>
      </c>
      <c r="C366" t="s">
        <v>756</v>
      </c>
      <c r="D366" t="s">
        <v>757</v>
      </c>
      <c r="E366" t="s">
        <v>346</v>
      </c>
      <c r="F366" t="s">
        <v>758</v>
      </c>
      <c r="G366" t="str">
        <f>"200810000768"</f>
        <v>200810000768</v>
      </c>
      <c r="H366">
        <v>1100</v>
      </c>
      <c r="I366">
        <v>0</v>
      </c>
      <c r="J366">
        <v>30</v>
      </c>
      <c r="K366">
        <v>0</v>
      </c>
      <c r="L366">
        <v>0</v>
      </c>
      <c r="M366">
        <v>0</v>
      </c>
      <c r="N366">
        <v>0</v>
      </c>
      <c r="O366">
        <v>0</v>
      </c>
      <c r="P366">
        <v>0</v>
      </c>
      <c r="Q366">
        <v>70</v>
      </c>
      <c r="R366">
        <v>41</v>
      </c>
      <c r="S366">
        <v>287</v>
      </c>
      <c r="V366">
        <v>0</v>
      </c>
      <c r="W366">
        <v>1487</v>
      </c>
    </row>
    <row r="367" spans="1:23" x14ac:dyDescent="0.25">
      <c r="H367" t="s">
        <v>759</v>
      </c>
    </row>
    <row r="368" spans="1:23" x14ac:dyDescent="0.25">
      <c r="A368">
        <v>181</v>
      </c>
      <c r="B368">
        <v>5856</v>
      </c>
      <c r="C368" t="s">
        <v>760</v>
      </c>
      <c r="D368" t="s">
        <v>53</v>
      </c>
      <c r="E368" t="s">
        <v>42</v>
      </c>
      <c r="F368" t="s">
        <v>761</v>
      </c>
      <c r="G368" t="str">
        <f>"00096033"</f>
        <v>00096033</v>
      </c>
      <c r="H368">
        <v>880</v>
      </c>
      <c r="I368">
        <v>0</v>
      </c>
      <c r="J368">
        <v>50</v>
      </c>
      <c r="K368">
        <v>0</v>
      </c>
      <c r="L368">
        <v>0</v>
      </c>
      <c r="M368">
        <v>0</v>
      </c>
      <c r="N368">
        <v>0</v>
      </c>
      <c r="O368">
        <v>0</v>
      </c>
      <c r="P368">
        <v>0</v>
      </c>
      <c r="Q368">
        <v>0</v>
      </c>
      <c r="R368">
        <v>79</v>
      </c>
      <c r="S368">
        <v>553</v>
      </c>
      <c r="V368">
        <v>0</v>
      </c>
      <c r="W368">
        <v>1483</v>
      </c>
    </row>
    <row r="369" spans="1:23" x14ac:dyDescent="0.25">
      <c r="H369" t="s">
        <v>762</v>
      </c>
    </row>
    <row r="370" spans="1:23" x14ac:dyDescent="0.25">
      <c r="A370">
        <v>182</v>
      </c>
      <c r="B370">
        <v>6548</v>
      </c>
      <c r="C370" t="s">
        <v>763</v>
      </c>
      <c r="D370" t="s">
        <v>121</v>
      </c>
      <c r="E370" t="s">
        <v>53</v>
      </c>
      <c r="F370" t="s">
        <v>764</v>
      </c>
      <c r="G370" t="str">
        <f>"00002305"</f>
        <v>00002305</v>
      </c>
      <c r="H370">
        <v>715</v>
      </c>
      <c r="I370">
        <v>150</v>
      </c>
      <c r="J370">
        <v>30</v>
      </c>
      <c r="K370">
        <v>0</v>
      </c>
      <c r="L370">
        <v>0</v>
      </c>
      <c r="M370">
        <v>0</v>
      </c>
      <c r="N370">
        <v>0</v>
      </c>
      <c r="O370">
        <v>0</v>
      </c>
      <c r="P370">
        <v>0</v>
      </c>
      <c r="Q370">
        <v>0</v>
      </c>
      <c r="R370">
        <v>105</v>
      </c>
      <c r="S370">
        <v>588</v>
      </c>
      <c r="V370">
        <v>2</v>
      </c>
      <c r="W370">
        <v>1483</v>
      </c>
    </row>
    <row r="371" spans="1:23" x14ac:dyDescent="0.25">
      <c r="H371" t="s">
        <v>765</v>
      </c>
    </row>
    <row r="372" spans="1:23" x14ac:dyDescent="0.25">
      <c r="A372">
        <v>183</v>
      </c>
      <c r="B372">
        <v>2898</v>
      </c>
      <c r="C372" t="s">
        <v>766</v>
      </c>
      <c r="D372" t="s">
        <v>767</v>
      </c>
      <c r="E372" t="s">
        <v>400</v>
      </c>
      <c r="F372" t="s">
        <v>768</v>
      </c>
      <c r="G372" t="str">
        <f>"00022120"</f>
        <v>00022120</v>
      </c>
      <c r="H372" t="s">
        <v>769</v>
      </c>
      <c r="I372">
        <v>0</v>
      </c>
      <c r="J372">
        <v>0</v>
      </c>
      <c r="K372">
        <v>0</v>
      </c>
      <c r="L372">
        <v>0</v>
      </c>
      <c r="M372">
        <v>0</v>
      </c>
      <c r="N372">
        <v>0</v>
      </c>
      <c r="O372">
        <v>0</v>
      </c>
      <c r="P372">
        <v>0</v>
      </c>
      <c r="Q372">
        <v>0</v>
      </c>
      <c r="R372">
        <v>132</v>
      </c>
      <c r="S372">
        <v>588</v>
      </c>
      <c r="V372">
        <v>2</v>
      </c>
      <c r="W372" t="s">
        <v>770</v>
      </c>
    </row>
    <row r="373" spans="1:23" x14ac:dyDescent="0.25">
      <c r="H373" t="s">
        <v>771</v>
      </c>
    </row>
    <row r="374" spans="1:23" x14ac:dyDescent="0.25">
      <c r="A374">
        <v>184</v>
      </c>
      <c r="B374">
        <v>9804</v>
      </c>
      <c r="C374" t="s">
        <v>772</v>
      </c>
      <c r="D374" t="s">
        <v>550</v>
      </c>
      <c r="E374" t="s">
        <v>141</v>
      </c>
      <c r="F374" t="s">
        <v>773</v>
      </c>
      <c r="G374" t="str">
        <f>"201511033901"</f>
        <v>201511033901</v>
      </c>
      <c r="H374">
        <v>1100</v>
      </c>
      <c r="I374">
        <v>150</v>
      </c>
      <c r="J374">
        <v>0</v>
      </c>
      <c r="K374">
        <v>0</v>
      </c>
      <c r="L374">
        <v>0</v>
      </c>
      <c r="M374">
        <v>0</v>
      </c>
      <c r="N374">
        <v>0</v>
      </c>
      <c r="O374">
        <v>0</v>
      </c>
      <c r="P374">
        <v>0</v>
      </c>
      <c r="Q374">
        <v>0</v>
      </c>
      <c r="R374">
        <v>33</v>
      </c>
      <c r="S374">
        <v>231</v>
      </c>
      <c r="V374">
        <v>0</v>
      </c>
      <c r="W374">
        <v>1481</v>
      </c>
    </row>
    <row r="375" spans="1:23" x14ac:dyDescent="0.25">
      <c r="H375" t="s">
        <v>774</v>
      </c>
    </row>
    <row r="376" spans="1:23" x14ac:dyDescent="0.25">
      <c r="A376">
        <v>185</v>
      </c>
      <c r="B376">
        <v>5301</v>
      </c>
      <c r="C376" t="s">
        <v>775</v>
      </c>
      <c r="D376" t="s">
        <v>233</v>
      </c>
      <c r="E376" t="s">
        <v>15</v>
      </c>
      <c r="F376" t="s">
        <v>776</v>
      </c>
      <c r="G376" t="str">
        <f>"201511013234"</f>
        <v>201511013234</v>
      </c>
      <c r="H376">
        <v>990</v>
      </c>
      <c r="I376">
        <v>0</v>
      </c>
      <c r="J376">
        <v>0</v>
      </c>
      <c r="K376">
        <v>0</v>
      </c>
      <c r="L376">
        <v>0</v>
      </c>
      <c r="M376">
        <v>0</v>
      </c>
      <c r="N376">
        <v>0</v>
      </c>
      <c r="O376">
        <v>0</v>
      </c>
      <c r="P376">
        <v>0</v>
      </c>
      <c r="Q376">
        <v>0</v>
      </c>
      <c r="R376">
        <v>70</v>
      </c>
      <c r="S376">
        <v>490</v>
      </c>
      <c r="V376">
        <v>0</v>
      </c>
      <c r="W376">
        <v>1480</v>
      </c>
    </row>
    <row r="377" spans="1:23" x14ac:dyDescent="0.25">
      <c r="H377" t="s">
        <v>777</v>
      </c>
    </row>
    <row r="378" spans="1:23" x14ac:dyDescent="0.25">
      <c r="A378">
        <v>186</v>
      </c>
      <c r="B378">
        <v>1134</v>
      </c>
      <c r="C378" t="s">
        <v>778</v>
      </c>
      <c r="D378" t="s">
        <v>67</v>
      </c>
      <c r="E378" t="s">
        <v>533</v>
      </c>
      <c r="F378" t="s">
        <v>779</v>
      </c>
      <c r="G378" t="str">
        <f>"201511031487"</f>
        <v>201511031487</v>
      </c>
      <c r="H378">
        <v>891</v>
      </c>
      <c r="I378">
        <v>0</v>
      </c>
      <c r="J378">
        <v>0</v>
      </c>
      <c r="K378">
        <v>0</v>
      </c>
      <c r="L378">
        <v>0</v>
      </c>
      <c r="M378">
        <v>0</v>
      </c>
      <c r="N378">
        <v>0</v>
      </c>
      <c r="O378">
        <v>0</v>
      </c>
      <c r="P378">
        <v>0</v>
      </c>
      <c r="Q378">
        <v>0</v>
      </c>
      <c r="R378">
        <v>84</v>
      </c>
      <c r="S378">
        <v>588</v>
      </c>
      <c r="T378">
        <v>6</v>
      </c>
      <c r="U378">
        <v>932</v>
      </c>
      <c r="V378">
        <v>0</v>
      </c>
      <c r="W378">
        <v>1479</v>
      </c>
    </row>
    <row r="379" spans="1:23" x14ac:dyDescent="0.25">
      <c r="H379" t="s">
        <v>780</v>
      </c>
    </row>
    <row r="380" spans="1:23" x14ac:dyDescent="0.25">
      <c r="A380">
        <v>187</v>
      </c>
      <c r="B380">
        <v>1134</v>
      </c>
      <c r="C380" t="s">
        <v>778</v>
      </c>
      <c r="D380" t="s">
        <v>67</v>
      </c>
      <c r="E380" t="s">
        <v>533</v>
      </c>
      <c r="F380" t="s">
        <v>779</v>
      </c>
      <c r="G380" t="str">
        <f>"201511031487"</f>
        <v>201511031487</v>
      </c>
      <c r="H380">
        <v>891</v>
      </c>
      <c r="I380">
        <v>0</v>
      </c>
      <c r="J380">
        <v>0</v>
      </c>
      <c r="K380">
        <v>0</v>
      </c>
      <c r="L380">
        <v>0</v>
      </c>
      <c r="M380">
        <v>0</v>
      </c>
      <c r="N380">
        <v>0</v>
      </c>
      <c r="O380">
        <v>0</v>
      </c>
      <c r="P380">
        <v>0</v>
      </c>
      <c r="Q380">
        <v>0</v>
      </c>
      <c r="R380">
        <v>84</v>
      </c>
      <c r="S380">
        <v>588</v>
      </c>
      <c r="V380">
        <v>0</v>
      </c>
      <c r="W380">
        <v>1479</v>
      </c>
    </row>
    <row r="381" spans="1:23" x14ac:dyDescent="0.25">
      <c r="H381" t="s">
        <v>780</v>
      </c>
    </row>
    <row r="382" spans="1:23" x14ac:dyDescent="0.25">
      <c r="A382">
        <v>188</v>
      </c>
      <c r="B382">
        <v>3663</v>
      </c>
      <c r="C382" t="s">
        <v>781</v>
      </c>
      <c r="D382" t="s">
        <v>156</v>
      </c>
      <c r="E382" t="s">
        <v>53</v>
      </c>
      <c r="F382" t="s">
        <v>782</v>
      </c>
      <c r="G382" t="str">
        <f>"00027899"</f>
        <v>00027899</v>
      </c>
      <c r="H382">
        <v>891</v>
      </c>
      <c r="I382">
        <v>0</v>
      </c>
      <c r="J382">
        <v>0</v>
      </c>
      <c r="K382">
        <v>0</v>
      </c>
      <c r="L382">
        <v>0</v>
      </c>
      <c r="M382">
        <v>0</v>
      </c>
      <c r="N382">
        <v>0</v>
      </c>
      <c r="O382">
        <v>0</v>
      </c>
      <c r="P382">
        <v>0</v>
      </c>
      <c r="Q382">
        <v>0</v>
      </c>
      <c r="R382">
        <v>177</v>
      </c>
      <c r="S382">
        <v>588</v>
      </c>
      <c r="V382">
        <v>0</v>
      </c>
      <c r="W382">
        <v>1479</v>
      </c>
    </row>
    <row r="383" spans="1:23" x14ac:dyDescent="0.25">
      <c r="H383" t="s">
        <v>783</v>
      </c>
    </row>
    <row r="384" spans="1:23" x14ac:dyDescent="0.25">
      <c r="A384">
        <v>189</v>
      </c>
      <c r="B384">
        <v>1252</v>
      </c>
      <c r="C384" t="s">
        <v>784</v>
      </c>
      <c r="D384" t="s">
        <v>140</v>
      </c>
      <c r="E384" t="s">
        <v>150</v>
      </c>
      <c r="F384" t="s">
        <v>785</v>
      </c>
      <c r="G384" t="str">
        <f>"201408000004"</f>
        <v>201408000004</v>
      </c>
      <c r="H384">
        <v>990</v>
      </c>
      <c r="I384">
        <v>150</v>
      </c>
      <c r="J384">
        <v>30</v>
      </c>
      <c r="K384">
        <v>0</v>
      </c>
      <c r="L384">
        <v>0</v>
      </c>
      <c r="M384">
        <v>0</v>
      </c>
      <c r="N384">
        <v>0</v>
      </c>
      <c r="O384">
        <v>0</v>
      </c>
      <c r="P384">
        <v>0</v>
      </c>
      <c r="Q384">
        <v>0</v>
      </c>
      <c r="R384">
        <v>44</v>
      </c>
      <c r="S384">
        <v>308</v>
      </c>
      <c r="V384">
        <v>0</v>
      </c>
      <c r="W384">
        <v>1478</v>
      </c>
    </row>
    <row r="385" spans="1:23" x14ac:dyDescent="0.25">
      <c r="H385" t="s">
        <v>786</v>
      </c>
    </row>
    <row r="386" spans="1:23" x14ac:dyDescent="0.25">
      <c r="A386">
        <v>190</v>
      </c>
      <c r="B386">
        <v>2220</v>
      </c>
      <c r="C386" t="s">
        <v>787</v>
      </c>
      <c r="D386" t="s">
        <v>272</v>
      </c>
      <c r="E386" t="s">
        <v>211</v>
      </c>
      <c r="F386" t="s">
        <v>788</v>
      </c>
      <c r="G386" t="str">
        <f>"201511031862"</f>
        <v>201511031862</v>
      </c>
      <c r="H386" t="s">
        <v>789</v>
      </c>
      <c r="I386">
        <v>0</v>
      </c>
      <c r="J386">
        <v>0</v>
      </c>
      <c r="K386">
        <v>0</v>
      </c>
      <c r="L386">
        <v>0</v>
      </c>
      <c r="M386">
        <v>0</v>
      </c>
      <c r="N386">
        <v>0</v>
      </c>
      <c r="O386">
        <v>0</v>
      </c>
      <c r="P386">
        <v>0</v>
      </c>
      <c r="Q386">
        <v>0</v>
      </c>
      <c r="R386">
        <v>84</v>
      </c>
      <c r="S386">
        <v>588</v>
      </c>
      <c r="T386">
        <v>6</v>
      </c>
      <c r="U386">
        <v>938</v>
      </c>
      <c r="V386">
        <v>2</v>
      </c>
      <c r="W386" t="s">
        <v>790</v>
      </c>
    </row>
    <row r="387" spans="1:23" x14ac:dyDescent="0.25">
      <c r="H387" t="s">
        <v>791</v>
      </c>
    </row>
    <row r="388" spans="1:23" x14ac:dyDescent="0.25">
      <c r="A388">
        <v>191</v>
      </c>
      <c r="B388">
        <v>2220</v>
      </c>
      <c r="C388" t="s">
        <v>787</v>
      </c>
      <c r="D388" t="s">
        <v>272</v>
      </c>
      <c r="E388" t="s">
        <v>211</v>
      </c>
      <c r="F388" t="s">
        <v>788</v>
      </c>
      <c r="G388" t="str">
        <f>"201511031862"</f>
        <v>201511031862</v>
      </c>
      <c r="H388" t="s">
        <v>789</v>
      </c>
      <c r="I388">
        <v>0</v>
      </c>
      <c r="J388">
        <v>0</v>
      </c>
      <c r="K388">
        <v>0</v>
      </c>
      <c r="L388">
        <v>0</v>
      </c>
      <c r="M388">
        <v>0</v>
      </c>
      <c r="N388">
        <v>0</v>
      </c>
      <c r="O388">
        <v>0</v>
      </c>
      <c r="P388">
        <v>0</v>
      </c>
      <c r="Q388">
        <v>0</v>
      </c>
      <c r="R388">
        <v>84</v>
      </c>
      <c r="S388">
        <v>588</v>
      </c>
      <c r="V388">
        <v>2</v>
      </c>
      <c r="W388" t="s">
        <v>790</v>
      </c>
    </row>
    <row r="389" spans="1:23" x14ac:dyDescent="0.25">
      <c r="H389" t="s">
        <v>791</v>
      </c>
    </row>
    <row r="390" spans="1:23" x14ac:dyDescent="0.25">
      <c r="A390">
        <v>192</v>
      </c>
      <c r="B390">
        <v>8358</v>
      </c>
      <c r="C390" t="s">
        <v>792</v>
      </c>
      <c r="D390" t="s">
        <v>31</v>
      </c>
      <c r="E390" t="s">
        <v>175</v>
      </c>
      <c r="F390" t="s">
        <v>793</v>
      </c>
      <c r="G390" t="str">
        <f>"201511032254"</f>
        <v>201511032254</v>
      </c>
      <c r="H390" t="s">
        <v>741</v>
      </c>
      <c r="I390">
        <v>0</v>
      </c>
      <c r="J390">
        <v>0</v>
      </c>
      <c r="K390">
        <v>0</v>
      </c>
      <c r="L390">
        <v>0</v>
      </c>
      <c r="M390">
        <v>0</v>
      </c>
      <c r="N390">
        <v>0</v>
      </c>
      <c r="O390">
        <v>0</v>
      </c>
      <c r="P390">
        <v>0</v>
      </c>
      <c r="Q390">
        <v>0</v>
      </c>
      <c r="R390">
        <v>81</v>
      </c>
      <c r="S390">
        <v>567</v>
      </c>
      <c r="V390">
        <v>0</v>
      </c>
      <c r="W390" t="s">
        <v>794</v>
      </c>
    </row>
    <row r="391" spans="1:23" x14ac:dyDescent="0.25">
      <c r="H391" t="s">
        <v>795</v>
      </c>
    </row>
    <row r="392" spans="1:23" x14ac:dyDescent="0.25">
      <c r="A392">
        <v>193</v>
      </c>
      <c r="B392">
        <v>5310</v>
      </c>
      <c r="C392" t="s">
        <v>796</v>
      </c>
      <c r="D392" t="s">
        <v>352</v>
      </c>
      <c r="E392" t="s">
        <v>797</v>
      </c>
      <c r="F392" t="s">
        <v>798</v>
      </c>
      <c r="G392" t="str">
        <f>"200905000120"</f>
        <v>200905000120</v>
      </c>
      <c r="H392">
        <v>836</v>
      </c>
      <c r="I392">
        <v>0</v>
      </c>
      <c r="J392">
        <v>50</v>
      </c>
      <c r="K392">
        <v>0</v>
      </c>
      <c r="L392">
        <v>0</v>
      </c>
      <c r="M392">
        <v>0</v>
      </c>
      <c r="N392">
        <v>0</v>
      </c>
      <c r="O392">
        <v>0</v>
      </c>
      <c r="P392">
        <v>0</v>
      </c>
      <c r="Q392">
        <v>0</v>
      </c>
      <c r="R392">
        <v>115</v>
      </c>
      <c r="S392">
        <v>588</v>
      </c>
      <c r="V392">
        <v>0</v>
      </c>
      <c r="W392">
        <v>1474</v>
      </c>
    </row>
    <row r="393" spans="1:23" x14ac:dyDescent="0.25">
      <c r="H393" t="s">
        <v>799</v>
      </c>
    </row>
    <row r="394" spans="1:23" x14ac:dyDescent="0.25">
      <c r="A394">
        <v>194</v>
      </c>
      <c r="B394">
        <v>3117</v>
      </c>
      <c r="C394" t="s">
        <v>800</v>
      </c>
      <c r="D394" t="s">
        <v>87</v>
      </c>
      <c r="E394" t="s">
        <v>21</v>
      </c>
      <c r="F394" t="s">
        <v>801</v>
      </c>
      <c r="G394" t="str">
        <f>"201402005993"</f>
        <v>201402005993</v>
      </c>
      <c r="H394" t="s">
        <v>802</v>
      </c>
      <c r="I394">
        <v>150</v>
      </c>
      <c r="J394">
        <v>0</v>
      </c>
      <c r="K394">
        <v>0</v>
      </c>
      <c r="L394">
        <v>0</v>
      </c>
      <c r="M394">
        <v>0</v>
      </c>
      <c r="N394">
        <v>0</v>
      </c>
      <c r="O394">
        <v>0</v>
      </c>
      <c r="P394">
        <v>0</v>
      </c>
      <c r="Q394">
        <v>0</v>
      </c>
      <c r="R394">
        <v>84</v>
      </c>
      <c r="S394">
        <v>588</v>
      </c>
      <c r="V394">
        <v>1</v>
      </c>
      <c r="W394" t="s">
        <v>803</v>
      </c>
    </row>
    <row r="395" spans="1:23" x14ac:dyDescent="0.25">
      <c r="H395" t="s">
        <v>804</v>
      </c>
    </row>
    <row r="396" spans="1:23" x14ac:dyDescent="0.25">
      <c r="A396">
        <v>195</v>
      </c>
      <c r="B396">
        <v>2971</v>
      </c>
      <c r="C396" t="s">
        <v>805</v>
      </c>
      <c r="D396" t="s">
        <v>320</v>
      </c>
      <c r="E396" t="s">
        <v>87</v>
      </c>
      <c r="F396" t="s">
        <v>806</v>
      </c>
      <c r="G396" t="str">
        <f>"00069755"</f>
        <v>00069755</v>
      </c>
      <c r="H396">
        <v>880</v>
      </c>
      <c r="I396">
        <v>0</v>
      </c>
      <c r="J396">
        <v>0</v>
      </c>
      <c r="K396">
        <v>0</v>
      </c>
      <c r="L396">
        <v>0</v>
      </c>
      <c r="M396">
        <v>0</v>
      </c>
      <c r="N396">
        <v>0</v>
      </c>
      <c r="O396">
        <v>0</v>
      </c>
      <c r="P396">
        <v>0</v>
      </c>
      <c r="Q396">
        <v>0</v>
      </c>
      <c r="R396">
        <v>84</v>
      </c>
      <c r="S396">
        <v>588</v>
      </c>
      <c r="V396">
        <v>2</v>
      </c>
      <c r="W396">
        <v>1468</v>
      </c>
    </row>
    <row r="397" spans="1:23" x14ac:dyDescent="0.25">
      <c r="H397" t="s">
        <v>807</v>
      </c>
    </row>
    <row r="398" spans="1:23" x14ac:dyDescent="0.25">
      <c r="A398">
        <v>196</v>
      </c>
      <c r="B398">
        <v>3158</v>
      </c>
      <c r="C398" t="s">
        <v>808</v>
      </c>
      <c r="D398" t="s">
        <v>809</v>
      </c>
      <c r="E398" t="s">
        <v>42</v>
      </c>
      <c r="F398" t="s">
        <v>810</v>
      </c>
      <c r="G398" t="str">
        <f>"00039576"</f>
        <v>00039576</v>
      </c>
      <c r="H398">
        <v>880</v>
      </c>
      <c r="I398">
        <v>0</v>
      </c>
      <c r="J398">
        <v>0</v>
      </c>
      <c r="K398">
        <v>0</v>
      </c>
      <c r="L398">
        <v>0</v>
      </c>
      <c r="M398">
        <v>0</v>
      </c>
      <c r="N398">
        <v>0</v>
      </c>
      <c r="O398">
        <v>0</v>
      </c>
      <c r="P398">
        <v>0</v>
      </c>
      <c r="Q398">
        <v>0</v>
      </c>
      <c r="R398">
        <v>84</v>
      </c>
      <c r="S398">
        <v>588</v>
      </c>
      <c r="V398">
        <v>0</v>
      </c>
      <c r="W398">
        <v>1468</v>
      </c>
    </row>
    <row r="399" spans="1:23" x14ac:dyDescent="0.25">
      <c r="H399" t="s">
        <v>811</v>
      </c>
    </row>
    <row r="400" spans="1:23" x14ac:dyDescent="0.25">
      <c r="A400">
        <v>197</v>
      </c>
      <c r="B400">
        <v>10359</v>
      </c>
      <c r="C400" t="s">
        <v>812</v>
      </c>
      <c r="D400" t="s">
        <v>813</v>
      </c>
      <c r="E400" t="s">
        <v>42</v>
      </c>
      <c r="F400" t="s">
        <v>814</v>
      </c>
      <c r="G400" t="str">
        <f>"00097193"</f>
        <v>00097193</v>
      </c>
      <c r="H400">
        <v>880</v>
      </c>
      <c r="I400">
        <v>0</v>
      </c>
      <c r="J400">
        <v>0</v>
      </c>
      <c r="K400">
        <v>0</v>
      </c>
      <c r="L400">
        <v>0</v>
      </c>
      <c r="M400">
        <v>0</v>
      </c>
      <c r="N400">
        <v>0</v>
      </c>
      <c r="O400">
        <v>0</v>
      </c>
      <c r="P400">
        <v>0</v>
      </c>
      <c r="Q400">
        <v>0</v>
      </c>
      <c r="R400">
        <v>113</v>
      </c>
      <c r="S400">
        <v>588</v>
      </c>
      <c r="V400">
        <v>0</v>
      </c>
      <c r="W400">
        <v>1468</v>
      </c>
    </row>
    <row r="401" spans="1:23" x14ac:dyDescent="0.25">
      <c r="H401" t="s">
        <v>815</v>
      </c>
    </row>
    <row r="402" spans="1:23" x14ac:dyDescent="0.25">
      <c r="A402">
        <v>198</v>
      </c>
      <c r="B402">
        <v>1573</v>
      </c>
      <c r="C402" t="s">
        <v>816</v>
      </c>
      <c r="D402" t="s">
        <v>380</v>
      </c>
      <c r="E402" t="s">
        <v>63</v>
      </c>
      <c r="F402" t="s">
        <v>817</v>
      </c>
      <c r="G402" t="str">
        <f>"201511024682"</f>
        <v>201511024682</v>
      </c>
      <c r="H402">
        <v>880</v>
      </c>
      <c r="I402">
        <v>0</v>
      </c>
      <c r="J402">
        <v>0</v>
      </c>
      <c r="K402">
        <v>0</v>
      </c>
      <c r="L402">
        <v>0</v>
      </c>
      <c r="M402">
        <v>0</v>
      </c>
      <c r="N402">
        <v>0</v>
      </c>
      <c r="O402">
        <v>0</v>
      </c>
      <c r="P402">
        <v>0</v>
      </c>
      <c r="Q402">
        <v>0</v>
      </c>
      <c r="R402">
        <v>136</v>
      </c>
      <c r="S402">
        <v>588</v>
      </c>
      <c r="V402">
        <v>0</v>
      </c>
      <c r="W402">
        <v>1468</v>
      </c>
    </row>
    <row r="403" spans="1:23" x14ac:dyDescent="0.25">
      <c r="H403" t="s">
        <v>818</v>
      </c>
    </row>
    <row r="404" spans="1:23" x14ac:dyDescent="0.25">
      <c r="A404">
        <v>199</v>
      </c>
      <c r="B404">
        <v>4236</v>
      </c>
      <c r="C404" t="s">
        <v>819</v>
      </c>
      <c r="D404" t="s">
        <v>820</v>
      </c>
      <c r="E404" t="s">
        <v>42</v>
      </c>
      <c r="F404">
        <v>553361</v>
      </c>
      <c r="G404" t="str">
        <f>"00088921"</f>
        <v>00088921</v>
      </c>
      <c r="H404">
        <v>880</v>
      </c>
      <c r="I404">
        <v>0</v>
      </c>
      <c r="J404">
        <v>0</v>
      </c>
      <c r="K404">
        <v>0</v>
      </c>
      <c r="L404">
        <v>0</v>
      </c>
      <c r="M404">
        <v>0</v>
      </c>
      <c r="N404">
        <v>0</v>
      </c>
      <c r="O404">
        <v>0</v>
      </c>
      <c r="P404">
        <v>0</v>
      </c>
      <c r="Q404">
        <v>0</v>
      </c>
      <c r="R404">
        <v>143</v>
      </c>
      <c r="S404">
        <v>588</v>
      </c>
      <c r="V404">
        <v>0</v>
      </c>
      <c r="W404">
        <v>1468</v>
      </c>
    </row>
    <row r="405" spans="1:23" x14ac:dyDescent="0.25">
      <c r="H405" t="s">
        <v>216</v>
      </c>
    </row>
    <row r="406" spans="1:23" x14ac:dyDescent="0.25">
      <c r="A406">
        <v>200</v>
      </c>
      <c r="B406">
        <v>9704</v>
      </c>
      <c r="C406" t="s">
        <v>821</v>
      </c>
      <c r="D406" t="s">
        <v>400</v>
      </c>
      <c r="E406" t="s">
        <v>21</v>
      </c>
      <c r="F406" t="s">
        <v>822</v>
      </c>
      <c r="G406" t="str">
        <f>"00038377"</f>
        <v>00038377</v>
      </c>
      <c r="H406">
        <v>880</v>
      </c>
      <c r="I406">
        <v>0</v>
      </c>
      <c r="J406">
        <v>0</v>
      </c>
      <c r="K406">
        <v>0</v>
      </c>
      <c r="L406">
        <v>0</v>
      </c>
      <c r="M406">
        <v>0</v>
      </c>
      <c r="N406">
        <v>0</v>
      </c>
      <c r="O406">
        <v>0</v>
      </c>
      <c r="P406">
        <v>0</v>
      </c>
      <c r="Q406">
        <v>0</v>
      </c>
      <c r="R406">
        <v>86</v>
      </c>
      <c r="S406">
        <v>588</v>
      </c>
      <c r="V406">
        <v>0</v>
      </c>
      <c r="W406">
        <v>1468</v>
      </c>
    </row>
    <row r="407" spans="1:23" x14ac:dyDescent="0.25">
      <c r="H407" t="s">
        <v>823</v>
      </c>
    </row>
    <row r="408" spans="1:23" x14ac:dyDescent="0.25">
      <c r="A408">
        <v>201</v>
      </c>
      <c r="B408">
        <v>2191</v>
      </c>
      <c r="C408" t="s">
        <v>824</v>
      </c>
      <c r="D408" t="s">
        <v>190</v>
      </c>
      <c r="E408" t="s">
        <v>175</v>
      </c>
      <c r="F408" t="s">
        <v>825</v>
      </c>
      <c r="G408" t="str">
        <f>"201510004526"</f>
        <v>201510004526</v>
      </c>
      <c r="H408">
        <v>880</v>
      </c>
      <c r="I408">
        <v>0</v>
      </c>
      <c r="J408">
        <v>0</v>
      </c>
      <c r="K408">
        <v>0</v>
      </c>
      <c r="L408">
        <v>0</v>
      </c>
      <c r="M408">
        <v>0</v>
      </c>
      <c r="N408">
        <v>0</v>
      </c>
      <c r="O408">
        <v>0</v>
      </c>
      <c r="P408">
        <v>0</v>
      </c>
      <c r="Q408">
        <v>0</v>
      </c>
      <c r="R408">
        <v>98</v>
      </c>
      <c r="S408">
        <v>588</v>
      </c>
      <c r="V408">
        <v>0</v>
      </c>
      <c r="W408">
        <v>1468</v>
      </c>
    </row>
    <row r="409" spans="1:23" x14ac:dyDescent="0.25">
      <c r="H409" t="s">
        <v>826</v>
      </c>
    </row>
    <row r="410" spans="1:23" x14ac:dyDescent="0.25">
      <c r="A410">
        <v>202</v>
      </c>
      <c r="B410">
        <v>5344</v>
      </c>
      <c r="C410" t="s">
        <v>827</v>
      </c>
      <c r="D410" t="s">
        <v>14</v>
      </c>
      <c r="E410" t="s">
        <v>42</v>
      </c>
      <c r="F410" t="s">
        <v>828</v>
      </c>
      <c r="G410" t="str">
        <f>"00016505"</f>
        <v>00016505</v>
      </c>
      <c r="H410">
        <v>880</v>
      </c>
      <c r="I410">
        <v>0</v>
      </c>
      <c r="J410">
        <v>0</v>
      </c>
      <c r="K410">
        <v>0</v>
      </c>
      <c r="L410">
        <v>0</v>
      </c>
      <c r="M410">
        <v>0</v>
      </c>
      <c r="N410">
        <v>0</v>
      </c>
      <c r="O410">
        <v>0</v>
      </c>
      <c r="P410">
        <v>0</v>
      </c>
      <c r="Q410">
        <v>0</v>
      </c>
      <c r="R410">
        <v>99</v>
      </c>
      <c r="S410">
        <v>588</v>
      </c>
      <c r="V410">
        <v>0</v>
      </c>
      <c r="W410">
        <v>1468</v>
      </c>
    </row>
    <row r="411" spans="1:23" x14ac:dyDescent="0.25">
      <c r="H411" t="s">
        <v>435</v>
      </c>
    </row>
    <row r="412" spans="1:23" x14ac:dyDescent="0.25">
      <c r="A412">
        <v>203</v>
      </c>
      <c r="B412">
        <v>3392</v>
      </c>
      <c r="C412" t="s">
        <v>829</v>
      </c>
      <c r="D412" t="s">
        <v>140</v>
      </c>
      <c r="E412" t="s">
        <v>830</v>
      </c>
      <c r="F412" t="s">
        <v>831</v>
      </c>
      <c r="G412" t="str">
        <f>"00039588"</f>
        <v>00039588</v>
      </c>
      <c r="H412" t="s">
        <v>461</v>
      </c>
      <c r="I412">
        <v>150</v>
      </c>
      <c r="J412">
        <v>0</v>
      </c>
      <c r="K412">
        <v>0</v>
      </c>
      <c r="L412">
        <v>0</v>
      </c>
      <c r="M412">
        <v>0</v>
      </c>
      <c r="N412">
        <v>0</v>
      </c>
      <c r="O412">
        <v>0</v>
      </c>
      <c r="P412">
        <v>0</v>
      </c>
      <c r="Q412">
        <v>0</v>
      </c>
      <c r="R412">
        <v>48</v>
      </c>
      <c r="S412">
        <v>336</v>
      </c>
      <c r="V412">
        <v>0</v>
      </c>
      <c r="W412" t="s">
        <v>832</v>
      </c>
    </row>
    <row r="413" spans="1:23" x14ac:dyDescent="0.25">
      <c r="H413">
        <v>927</v>
      </c>
    </row>
    <row r="414" spans="1:23" x14ac:dyDescent="0.25">
      <c r="A414">
        <v>204</v>
      </c>
      <c r="B414">
        <v>3480</v>
      </c>
      <c r="C414" t="s">
        <v>833</v>
      </c>
      <c r="D414" t="s">
        <v>834</v>
      </c>
      <c r="E414" t="s">
        <v>121</v>
      </c>
      <c r="F414">
        <v>351511213</v>
      </c>
      <c r="G414" t="str">
        <f>"201511022758"</f>
        <v>201511022758</v>
      </c>
      <c r="H414" t="s">
        <v>835</v>
      </c>
      <c r="I414">
        <v>0</v>
      </c>
      <c r="J414">
        <v>0</v>
      </c>
      <c r="K414">
        <v>0</v>
      </c>
      <c r="L414">
        <v>0</v>
      </c>
      <c r="M414">
        <v>0</v>
      </c>
      <c r="N414">
        <v>0</v>
      </c>
      <c r="O414">
        <v>0</v>
      </c>
      <c r="P414">
        <v>0</v>
      </c>
      <c r="Q414">
        <v>0</v>
      </c>
      <c r="R414">
        <v>110</v>
      </c>
      <c r="S414">
        <v>588</v>
      </c>
      <c r="V414">
        <v>0</v>
      </c>
      <c r="W414" t="s">
        <v>836</v>
      </c>
    </row>
    <row r="415" spans="1:23" x14ac:dyDescent="0.25">
      <c r="H415" t="s">
        <v>216</v>
      </c>
    </row>
    <row r="416" spans="1:23" x14ac:dyDescent="0.25">
      <c r="A416">
        <v>205</v>
      </c>
      <c r="B416">
        <v>7651</v>
      </c>
      <c r="C416" t="s">
        <v>837</v>
      </c>
      <c r="D416" t="s">
        <v>53</v>
      </c>
      <c r="E416" t="s">
        <v>838</v>
      </c>
      <c r="F416" t="s">
        <v>839</v>
      </c>
      <c r="G416" t="str">
        <f>"200801009107"</f>
        <v>200801009107</v>
      </c>
      <c r="H416" t="s">
        <v>77</v>
      </c>
      <c r="I416">
        <v>0</v>
      </c>
      <c r="J416">
        <v>30</v>
      </c>
      <c r="K416">
        <v>0</v>
      </c>
      <c r="L416">
        <v>0</v>
      </c>
      <c r="M416">
        <v>0</v>
      </c>
      <c r="N416">
        <v>0</v>
      </c>
      <c r="O416">
        <v>0</v>
      </c>
      <c r="P416">
        <v>0</v>
      </c>
      <c r="Q416">
        <v>70</v>
      </c>
      <c r="R416">
        <v>38</v>
      </c>
      <c r="S416">
        <v>266</v>
      </c>
      <c r="V416">
        <v>0</v>
      </c>
      <c r="W416" t="s">
        <v>840</v>
      </c>
    </row>
    <row r="417" spans="1:23" x14ac:dyDescent="0.25">
      <c r="H417" t="s">
        <v>841</v>
      </c>
    </row>
    <row r="418" spans="1:23" x14ac:dyDescent="0.25">
      <c r="A418">
        <v>206</v>
      </c>
      <c r="B418">
        <v>6932</v>
      </c>
      <c r="C418" t="s">
        <v>842</v>
      </c>
      <c r="D418" t="s">
        <v>314</v>
      </c>
      <c r="E418" t="s">
        <v>223</v>
      </c>
      <c r="F418" t="s">
        <v>843</v>
      </c>
      <c r="G418" t="str">
        <f>"201510002375"</f>
        <v>201510002375</v>
      </c>
      <c r="H418" t="s">
        <v>589</v>
      </c>
      <c r="I418">
        <v>150</v>
      </c>
      <c r="J418">
        <v>30</v>
      </c>
      <c r="K418">
        <v>0</v>
      </c>
      <c r="L418">
        <v>0</v>
      </c>
      <c r="M418">
        <v>0</v>
      </c>
      <c r="N418">
        <v>0</v>
      </c>
      <c r="O418">
        <v>0</v>
      </c>
      <c r="P418">
        <v>0</v>
      </c>
      <c r="Q418">
        <v>0</v>
      </c>
      <c r="R418">
        <v>48</v>
      </c>
      <c r="S418">
        <v>336</v>
      </c>
      <c r="V418">
        <v>0</v>
      </c>
      <c r="W418" t="s">
        <v>844</v>
      </c>
    </row>
    <row r="419" spans="1:23" x14ac:dyDescent="0.25">
      <c r="H419" t="s">
        <v>845</v>
      </c>
    </row>
    <row r="420" spans="1:23" x14ac:dyDescent="0.25">
      <c r="A420">
        <v>207</v>
      </c>
      <c r="B420">
        <v>1916</v>
      </c>
      <c r="C420" t="s">
        <v>846</v>
      </c>
      <c r="D420" t="s">
        <v>352</v>
      </c>
      <c r="E420" t="s">
        <v>53</v>
      </c>
      <c r="F420" t="s">
        <v>847</v>
      </c>
      <c r="G420" t="str">
        <f>"00027883"</f>
        <v>00027883</v>
      </c>
      <c r="H420">
        <v>1100</v>
      </c>
      <c r="I420">
        <v>0</v>
      </c>
      <c r="J420">
        <v>0</v>
      </c>
      <c r="K420">
        <v>0</v>
      </c>
      <c r="L420">
        <v>0</v>
      </c>
      <c r="M420">
        <v>0</v>
      </c>
      <c r="N420">
        <v>0</v>
      </c>
      <c r="O420">
        <v>0</v>
      </c>
      <c r="P420">
        <v>0</v>
      </c>
      <c r="Q420">
        <v>0</v>
      </c>
      <c r="R420">
        <v>51</v>
      </c>
      <c r="S420">
        <v>357</v>
      </c>
      <c r="V420">
        <v>0</v>
      </c>
      <c r="W420">
        <v>1457</v>
      </c>
    </row>
    <row r="421" spans="1:23" x14ac:dyDescent="0.25">
      <c r="H421">
        <v>908</v>
      </c>
    </row>
    <row r="422" spans="1:23" x14ac:dyDescent="0.25">
      <c r="A422">
        <v>208</v>
      </c>
      <c r="B422">
        <v>1445</v>
      </c>
      <c r="C422" t="s">
        <v>848</v>
      </c>
      <c r="D422" t="s">
        <v>849</v>
      </c>
      <c r="E422" t="s">
        <v>385</v>
      </c>
      <c r="F422" t="s">
        <v>850</v>
      </c>
      <c r="G422" t="str">
        <f>"201510001711"</f>
        <v>201510001711</v>
      </c>
      <c r="H422">
        <v>880</v>
      </c>
      <c r="I422">
        <v>150</v>
      </c>
      <c r="J422">
        <v>0</v>
      </c>
      <c r="K422">
        <v>0</v>
      </c>
      <c r="L422">
        <v>0</v>
      </c>
      <c r="M422">
        <v>0</v>
      </c>
      <c r="N422">
        <v>0</v>
      </c>
      <c r="O422">
        <v>0</v>
      </c>
      <c r="P422">
        <v>0</v>
      </c>
      <c r="Q422">
        <v>0</v>
      </c>
      <c r="R422">
        <v>61</v>
      </c>
      <c r="S422">
        <v>427</v>
      </c>
      <c r="V422">
        <v>0</v>
      </c>
      <c r="W422">
        <v>1457</v>
      </c>
    </row>
    <row r="423" spans="1:23" x14ac:dyDescent="0.25">
      <c r="H423" t="s">
        <v>851</v>
      </c>
    </row>
    <row r="424" spans="1:23" x14ac:dyDescent="0.25">
      <c r="A424">
        <v>209</v>
      </c>
      <c r="B424">
        <v>1445</v>
      </c>
      <c r="C424" t="s">
        <v>848</v>
      </c>
      <c r="D424" t="s">
        <v>849</v>
      </c>
      <c r="E424" t="s">
        <v>385</v>
      </c>
      <c r="F424" t="s">
        <v>850</v>
      </c>
      <c r="G424" t="str">
        <f>"201510001711"</f>
        <v>201510001711</v>
      </c>
      <c r="H424">
        <v>880</v>
      </c>
      <c r="I424">
        <v>150</v>
      </c>
      <c r="J424">
        <v>0</v>
      </c>
      <c r="K424">
        <v>0</v>
      </c>
      <c r="L424">
        <v>0</v>
      </c>
      <c r="M424">
        <v>0</v>
      </c>
      <c r="N424">
        <v>0</v>
      </c>
      <c r="O424">
        <v>0</v>
      </c>
      <c r="P424">
        <v>0</v>
      </c>
      <c r="Q424">
        <v>0</v>
      </c>
      <c r="R424">
        <v>61</v>
      </c>
      <c r="S424">
        <v>427</v>
      </c>
      <c r="T424">
        <v>6</v>
      </c>
      <c r="U424" t="s">
        <v>80</v>
      </c>
      <c r="V424">
        <v>0</v>
      </c>
      <c r="W424">
        <v>1457</v>
      </c>
    </row>
    <row r="425" spans="1:23" x14ac:dyDescent="0.25">
      <c r="H425" t="s">
        <v>851</v>
      </c>
    </row>
    <row r="426" spans="1:23" x14ac:dyDescent="0.25">
      <c r="A426">
        <v>210</v>
      </c>
      <c r="B426">
        <v>8809</v>
      </c>
      <c r="C426" t="s">
        <v>310</v>
      </c>
      <c r="D426" t="s">
        <v>145</v>
      </c>
      <c r="E426" t="s">
        <v>21</v>
      </c>
      <c r="F426" t="s">
        <v>852</v>
      </c>
      <c r="G426" t="str">
        <f>"00082920"</f>
        <v>00082920</v>
      </c>
      <c r="H426">
        <v>869</v>
      </c>
      <c r="I426">
        <v>0</v>
      </c>
      <c r="J426">
        <v>0</v>
      </c>
      <c r="K426">
        <v>0</v>
      </c>
      <c r="L426">
        <v>0</v>
      </c>
      <c r="M426">
        <v>0</v>
      </c>
      <c r="N426">
        <v>0</v>
      </c>
      <c r="O426">
        <v>0</v>
      </c>
      <c r="P426">
        <v>0</v>
      </c>
      <c r="Q426">
        <v>0</v>
      </c>
      <c r="R426">
        <v>90</v>
      </c>
      <c r="S426">
        <v>588</v>
      </c>
      <c r="V426">
        <v>0</v>
      </c>
      <c r="W426">
        <v>1457</v>
      </c>
    </row>
    <row r="427" spans="1:23" x14ac:dyDescent="0.25">
      <c r="H427" t="s">
        <v>853</v>
      </c>
    </row>
    <row r="428" spans="1:23" x14ac:dyDescent="0.25">
      <c r="A428">
        <v>211</v>
      </c>
      <c r="B428">
        <v>2573</v>
      </c>
      <c r="C428" t="s">
        <v>854</v>
      </c>
      <c r="D428" t="s">
        <v>281</v>
      </c>
      <c r="E428" t="s">
        <v>47</v>
      </c>
      <c r="F428" t="s">
        <v>855</v>
      </c>
      <c r="G428" t="str">
        <f>"00069649"</f>
        <v>00069649</v>
      </c>
      <c r="H428">
        <v>869</v>
      </c>
      <c r="I428">
        <v>0</v>
      </c>
      <c r="J428">
        <v>0</v>
      </c>
      <c r="K428">
        <v>0</v>
      </c>
      <c r="L428">
        <v>0</v>
      </c>
      <c r="M428">
        <v>0</v>
      </c>
      <c r="N428">
        <v>0</v>
      </c>
      <c r="O428">
        <v>0</v>
      </c>
      <c r="P428">
        <v>0</v>
      </c>
      <c r="Q428">
        <v>0</v>
      </c>
      <c r="R428">
        <v>216</v>
      </c>
      <c r="S428">
        <v>588</v>
      </c>
      <c r="V428">
        <v>0</v>
      </c>
      <c r="W428">
        <v>1457</v>
      </c>
    </row>
    <row r="429" spans="1:23" x14ac:dyDescent="0.25">
      <c r="H429" t="s">
        <v>856</v>
      </c>
    </row>
    <row r="430" spans="1:23" x14ac:dyDescent="0.25">
      <c r="A430">
        <v>212</v>
      </c>
      <c r="B430">
        <v>9666</v>
      </c>
      <c r="C430" t="s">
        <v>857</v>
      </c>
      <c r="D430" t="s">
        <v>606</v>
      </c>
      <c r="E430" t="s">
        <v>71</v>
      </c>
      <c r="F430" t="s">
        <v>858</v>
      </c>
      <c r="G430" t="str">
        <f>"201511035358"</f>
        <v>201511035358</v>
      </c>
      <c r="H430">
        <v>715</v>
      </c>
      <c r="I430">
        <v>150</v>
      </c>
      <c r="J430">
        <v>0</v>
      </c>
      <c r="K430">
        <v>0</v>
      </c>
      <c r="L430">
        <v>0</v>
      </c>
      <c r="M430">
        <v>0</v>
      </c>
      <c r="N430">
        <v>0</v>
      </c>
      <c r="O430">
        <v>0</v>
      </c>
      <c r="P430">
        <v>0</v>
      </c>
      <c r="Q430">
        <v>0</v>
      </c>
      <c r="R430">
        <v>179</v>
      </c>
      <c r="S430">
        <v>588</v>
      </c>
      <c r="V430">
        <v>0</v>
      </c>
      <c r="W430">
        <v>1453</v>
      </c>
    </row>
    <row r="431" spans="1:23" x14ac:dyDescent="0.25">
      <c r="H431" t="s">
        <v>859</v>
      </c>
    </row>
    <row r="432" spans="1:23" x14ac:dyDescent="0.25">
      <c r="A432">
        <v>213</v>
      </c>
      <c r="B432">
        <v>5664</v>
      </c>
      <c r="C432" t="s">
        <v>860</v>
      </c>
      <c r="D432" t="s">
        <v>861</v>
      </c>
      <c r="E432" t="s">
        <v>121</v>
      </c>
      <c r="F432" t="s">
        <v>862</v>
      </c>
      <c r="G432" t="str">
        <f>"201511028269"</f>
        <v>201511028269</v>
      </c>
      <c r="H432" t="s">
        <v>863</v>
      </c>
      <c r="I432">
        <v>0</v>
      </c>
      <c r="J432">
        <v>0</v>
      </c>
      <c r="K432">
        <v>0</v>
      </c>
      <c r="L432">
        <v>0</v>
      </c>
      <c r="M432">
        <v>0</v>
      </c>
      <c r="N432">
        <v>0</v>
      </c>
      <c r="O432">
        <v>0</v>
      </c>
      <c r="P432">
        <v>0</v>
      </c>
      <c r="Q432">
        <v>0</v>
      </c>
      <c r="R432">
        <v>189</v>
      </c>
      <c r="S432">
        <v>588</v>
      </c>
      <c r="V432">
        <v>0</v>
      </c>
      <c r="W432" t="s">
        <v>864</v>
      </c>
    </row>
    <row r="433" spans="1:23" x14ac:dyDescent="0.25">
      <c r="H433" t="s">
        <v>865</v>
      </c>
    </row>
    <row r="434" spans="1:23" x14ac:dyDescent="0.25">
      <c r="A434">
        <v>214</v>
      </c>
      <c r="B434">
        <v>4498</v>
      </c>
      <c r="C434" t="s">
        <v>866</v>
      </c>
      <c r="D434" t="s">
        <v>156</v>
      </c>
      <c r="E434" t="s">
        <v>218</v>
      </c>
      <c r="F434" t="s">
        <v>867</v>
      </c>
      <c r="G434" t="str">
        <f>"00070874"</f>
        <v>00070874</v>
      </c>
      <c r="H434" t="s">
        <v>868</v>
      </c>
      <c r="I434">
        <v>0</v>
      </c>
      <c r="J434">
        <v>0</v>
      </c>
      <c r="K434">
        <v>0</v>
      </c>
      <c r="L434">
        <v>0</v>
      </c>
      <c r="M434">
        <v>0</v>
      </c>
      <c r="N434">
        <v>0</v>
      </c>
      <c r="O434">
        <v>0</v>
      </c>
      <c r="P434">
        <v>0</v>
      </c>
      <c r="Q434">
        <v>0</v>
      </c>
      <c r="R434">
        <v>105</v>
      </c>
      <c r="S434">
        <v>588</v>
      </c>
      <c r="V434">
        <v>0</v>
      </c>
      <c r="W434" t="s">
        <v>869</v>
      </c>
    </row>
    <row r="435" spans="1:23" x14ac:dyDescent="0.25">
      <c r="H435" t="s">
        <v>870</v>
      </c>
    </row>
    <row r="436" spans="1:23" x14ac:dyDescent="0.25">
      <c r="A436">
        <v>215</v>
      </c>
      <c r="B436">
        <v>4571</v>
      </c>
      <c r="C436" t="s">
        <v>871</v>
      </c>
      <c r="D436" t="s">
        <v>872</v>
      </c>
      <c r="E436" t="s">
        <v>497</v>
      </c>
      <c r="F436" t="s">
        <v>873</v>
      </c>
      <c r="G436" t="str">
        <f>"201510000798"</f>
        <v>201510000798</v>
      </c>
      <c r="H436" t="s">
        <v>868</v>
      </c>
      <c r="I436">
        <v>0</v>
      </c>
      <c r="J436">
        <v>0</v>
      </c>
      <c r="K436">
        <v>0</v>
      </c>
      <c r="L436">
        <v>0</v>
      </c>
      <c r="M436">
        <v>0</v>
      </c>
      <c r="N436">
        <v>0</v>
      </c>
      <c r="O436">
        <v>0</v>
      </c>
      <c r="P436">
        <v>0</v>
      </c>
      <c r="Q436">
        <v>0</v>
      </c>
      <c r="R436">
        <v>91</v>
      </c>
      <c r="S436">
        <v>588</v>
      </c>
      <c r="T436">
        <v>6</v>
      </c>
      <c r="U436" t="s">
        <v>874</v>
      </c>
      <c r="V436">
        <v>0</v>
      </c>
      <c r="W436" t="s">
        <v>869</v>
      </c>
    </row>
    <row r="437" spans="1:23" x14ac:dyDescent="0.25">
      <c r="H437" t="s">
        <v>875</v>
      </c>
    </row>
    <row r="438" spans="1:23" x14ac:dyDescent="0.25">
      <c r="A438">
        <v>216</v>
      </c>
      <c r="B438">
        <v>4571</v>
      </c>
      <c r="C438" t="s">
        <v>871</v>
      </c>
      <c r="D438" t="s">
        <v>872</v>
      </c>
      <c r="E438" t="s">
        <v>497</v>
      </c>
      <c r="F438" t="s">
        <v>873</v>
      </c>
      <c r="G438" t="str">
        <f>"201510000798"</f>
        <v>201510000798</v>
      </c>
      <c r="H438" t="s">
        <v>868</v>
      </c>
      <c r="I438">
        <v>0</v>
      </c>
      <c r="J438">
        <v>0</v>
      </c>
      <c r="K438">
        <v>0</v>
      </c>
      <c r="L438">
        <v>0</v>
      </c>
      <c r="M438">
        <v>0</v>
      </c>
      <c r="N438">
        <v>0</v>
      </c>
      <c r="O438">
        <v>0</v>
      </c>
      <c r="P438">
        <v>0</v>
      </c>
      <c r="Q438">
        <v>0</v>
      </c>
      <c r="R438">
        <v>91</v>
      </c>
      <c r="S438">
        <v>588</v>
      </c>
      <c r="V438">
        <v>0</v>
      </c>
      <c r="W438" t="s">
        <v>869</v>
      </c>
    </row>
    <row r="439" spans="1:23" x14ac:dyDescent="0.25">
      <c r="H439" t="s">
        <v>875</v>
      </c>
    </row>
    <row r="440" spans="1:23" x14ac:dyDescent="0.25">
      <c r="A440">
        <v>217</v>
      </c>
      <c r="B440">
        <v>7273</v>
      </c>
      <c r="C440" t="s">
        <v>876</v>
      </c>
      <c r="D440" t="s">
        <v>379</v>
      </c>
      <c r="E440" t="s">
        <v>877</v>
      </c>
      <c r="F440" t="s">
        <v>878</v>
      </c>
      <c r="G440" t="str">
        <f>"201511015526"</f>
        <v>201511015526</v>
      </c>
      <c r="H440">
        <v>990</v>
      </c>
      <c r="I440">
        <v>0</v>
      </c>
      <c r="J440">
        <v>30</v>
      </c>
      <c r="K440">
        <v>0</v>
      </c>
      <c r="L440">
        <v>0</v>
      </c>
      <c r="M440">
        <v>0</v>
      </c>
      <c r="N440">
        <v>0</v>
      </c>
      <c r="O440">
        <v>0</v>
      </c>
      <c r="P440">
        <v>0</v>
      </c>
      <c r="Q440">
        <v>0</v>
      </c>
      <c r="R440">
        <v>61</v>
      </c>
      <c r="S440">
        <v>427</v>
      </c>
      <c r="V440">
        <v>0</v>
      </c>
      <c r="W440">
        <v>1447</v>
      </c>
    </row>
    <row r="441" spans="1:23" x14ac:dyDescent="0.25">
      <c r="H441" t="s">
        <v>879</v>
      </c>
    </row>
    <row r="442" spans="1:23" x14ac:dyDescent="0.25">
      <c r="A442">
        <v>218</v>
      </c>
      <c r="B442">
        <v>10074</v>
      </c>
      <c r="C442" t="s">
        <v>880</v>
      </c>
      <c r="D442" t="s">
        <v>47</v>
      </c>
      <c r="E442" t="s">
        <v>881</v>
      </c>
      <c r="F442" t="s">
        <v>882</v>
      </c>
      <c r="G442" t="str">
        <f>"201511030087"</f>
        <v>201511030087</v>
      </c>
      <c r="H442">
        <v>825</v>
      </c>
      <c r="I442">
        <v>0</v>
      </c>
      <c r="J442">
        <v>30</v>
      </c>
      <c r="K442">
        <v>0</v>
      </c>
      <c r="L442">
        <v>0</v>
      </c>
      <c r="M442">
        <v>0</v>
      </c>
      <c r="N442">
        <v>0</v>
      </c>
      <c r="O442">
        <v>0</v>
      </c>
      <c r="P442">
        <v>0</v>
      </c>
      <c r="Q442">
        <v>0</v>
      </c>
      <c r="R442">
        <v>178</v>
      </c>
      <c r="S442">
        <v>588</v>
      </c>
      <c r="V442">
        <v>0</v>
      </c>
      <c r="W442">
        <v>1443</v>
      </c>
    </row>
    <row r="443" spans="1:23" x14ac:dyDescent="0.25">
      <c r="H443" t="s">
        <v>216</v>
      </c>
    </row>
    <row r="444" spans="1:23" x14ac:dyDescent="0.25">
      <c r="A444">
        <v>219</v>
      </c>
      <c r="B444">
        <v>96</v>
      </c>
      <c r="C444" t="s">
        <v>883</v>
      </c>
      <c r="D444" t="s">
        <v>352</v>
      </c>
      <c r="E444" t="s">
        <v>218</v>
      </c>
      <c r="F444" t="s">
        <v>884</v>
      </c>
      <c r="G444" t="str">
        <f>"201412002516"</f>
        <v>201412002516</v>
      </c>
      <c r="H444">
        <v>825</v>
      </c>
      <c r="I444">
        <v>0</v>
      </c>
      <c r="J444">
        <v>30</v>
      </c>
      <c r="K444">
        <v>0</v>
      </c>
      <c r="L444">
        <v>0</v>
      </c>
      <c r="M444">
        <v>0</v>
      </c>
      <c r="N444">
        <v>0</v>
      </c>
      <c r="O444">
        <v>0</v>
      </c>
      <c r="P444">
        <v>0</v>
      </c>
      <c r="Q444">
        <v>0</v>
      </c>
      <c r="R444">
        <v>178</v>
      </c>
      <c r="S444">
        <v>588</v>
      </c>
      <c r="V444">
        <v>0</v>
      </c>
      <c r="W444">
        <v>1443</v>
      </c>
    </row>
    <row r="445" spans="1:23" x14ac:dyDescent="0.25">
      <c r="H445" t="s">
        <v>885</v>
      </c>
    </row>
    <row r="446" spans="1:23" x14ac:dyDescent="0.25">
      <c r="A446">
        <v>220</v>
      </c>
      <c r="B446">
        <v>7636</v>
      </c>
      <c r="C446" t="s">
        <v>886</v>
      </c>
      <c r="D446" t="s">
        <v>269</v>
      </c>
      <c r="E446" t="s">
        <v>175</v>
      </c>
      <c r="F446" t="s">
        <v>887</v>
      </c>
      <c r="G446" t="str">
        <f>"00047193"</f>
        <v>00047193</v>
      </c>
      <c r="H446">
        <v>825</v>
      </c>
      <c r="I446">
        <v>0</v>
      </c>
      <c r="J446">
        <v>30</v>
      </c>
      <c r="K446">
        <v>0</v>
      </c>
      <c r="L446">
        <v>0</v>
      </c>
      <c r="M446">
        <v>0</v>
      </c>
      <c r="N446">
        <v>0</v>
      </c>
      <c r="O446">
        <v>0</v>
      </c>
      <c r="P446">
        <v>0</v>
      </c>
      <c r="Q446">
        <v>0</v>
      </c>
      <c r="R446">
        <v>98</v>
      </c>
      <c r="S446">
        <v>588</v>
      </c>
      <c r="V446">
        <v>0</v>
      </c>
      <c r="W446">
        <v>1443</v>
      </c>
    </row>
    <row r="447" spans="1:23" x14ac:dyDescent="0.25">
      <c r="H447" t="s">
        <v>888</v>
      </c>
    </row>
    <row r="448" spans="1:23" x14ac:dyDescent="0.25">
      <c r="A448">
        <v>221</v>
      </c>
      <c r="B448">
        <v>8915</v>
      </c>
      <c r="C448" t="s">
        <v>889</v>
      </c>
      <c r="D448" t="s">
        <v>53</v>
      </c>
      <c r="E448" t="s">
        <v>53</v>
      </c>
      <c r="F448" t="s">
        <v>890</v>
      </c>
      <c r="G448" t="str">
        <f>"201510004797"</f>
        <v>201510004797</v>
      </c>
      <c r="H448">
        <v>825</v>
      </c>
      <c r="I448">
        <v>0</v>
      </c>
      <c r="J448">
        <v>30</v>
      </c>
      <c r="K448">
        <v>0</v>
      </c>
      <c r="L448">
        <v>0</v>
      </c>
      <c r="M448">
        <v>0</v>
      </c>
      <c r="N448">
        <v>0</v>
      </c>
      <c r="O448">
        <v>0</v>
      </c>
      <c r="P448">
        <v>0</v>
      </c>
      <c r="Q448">
        <v>0</v>
      </c>
      <c r="R448">
        <v>113</v>
      </c>
      <c r="S448">
        <v>588</v>
      </c>
      <c r="V448">
        <v>0</v>
      </c>
      <c r="W448">
        <v>1443</v>
      </c>
    </row>
    <row r="449" spans="1:23" x14ac:dyDescent="0.25">
      <c r="H449" t="s">
        <v>891</v>
      </c>
    </row>
    <row r="450" spans="1:23" x14ac:dyDescent="0.25">
      <c r="A450">
        <v>222</v>
      </c>
      <c r="B450">
        <v>5588</v>
      </c>
      <c r="C450" t="s">
        <v>892</v>
      </c>
      <c r="D450" t="s">
        <v>36</v>
      </c>
      <c r="E450" t="s">
        <v>42</v>
      </c>
      <c r="F450" t="s">
        <v>893</v>
      </c>
      <c r="G450" t="str">
        <f>"201511038794"</f>
        <v>201511038794</v>
      </c>
      <c r="H450" t="s">
        <v>894</v>
      </c>
      <c r="I450">
        <v>0</v>
      </c>
      <c r="J450">
        <v>30</v>
      </c>
      <c r="K450">
        <v>0</v>
      </c>
      <c r="L450">
        <v>0</v>
      </c>
      <c r="M450">
        <v>0</v>
      </c>
      <c r="N450">
        <v>0</v>
      </c>
      <c r="O450">
        <v>0</v>
      </c>
      <c r="P450">
        <v>0</v>
      </c>
      <c r="Q450">
        <v>0</v>
      </c>
      <c r="R450">
        <v>90</v>
      </c>
      <c r="S450">
        <v>588</v>
      </c>
      <c r="V450">
        <v>0</v>
      </c>
      <c r="W450" t="s">
        <v>895</v>
      </c>
    </row>
    <row r="451" spans="1:23" x14ac:dyDescent="0.25">
      <c r="H451" t="s">
        <v>896</v>
      </c>
    </row>
    <row r="452" spans="1:23" x14ac:dyDescent="0.25">
      <c r="A452">
        <v>223</v>
      </c>
      <c r="B452">
        <v>2705</v>
      </c>
      <c r="C452" t="s">
        <v>897</v>
      </c>
      <c r="D452" t="s">
        <v>140</v>
      </c>
      <c r="E452" t="s">
        <v>26</v>
      </c>
      <c r="F452" t="s">
        <v>898</v>
      </c>
      <c r="G452" t="str">
        <f>"201511040678"</f>
        <v>201511040678</v>
      </c>
      <c r="H452">
        <v>880</v>
      </c>
      <c r="I452">
        <v>0</v>
      </c>
      <c r="J452">
        <v>30</v>
      </c>
      <c r="K452">
        <v>0</v>
      </c>
      <c r="L452">
        <v>0</v>
      </c>
      <c r="M452">
        <v>0</v>
      </c>
      <c r="N452">
        <v>0</v>
      </c>
      <c r="O452">
        <v>0</v>
      </c>
      <c r="P452">
        <v>0</v>
      </c>
      <c r="Q452">
        <v>0</v>
      </c>
      <c r="R452">
        <v>75</v>
      </c>
      <c r="S452">
        <v>525</v>
      </c>
      <c r="V452">
        <v>0</v>
      </c>
      <c r="W452">
        <v>1435</v>
      </c>
    </row>
    <row r="453" spans="1:23" x14ac:dyDescent="0.25">
      <c r="H453" t="s">
        <v>899</v>
      </c>
    </row>
    <row r="454" spans="1:23" x14ac:dyDescent="0.25">
      <c r="A454">
        <v>224</v>
      </c>
      <c r="B454">
        <v>4001</v>
      </c>
      <c r="C454" t="s">
        <v>900</v>
      </c>
      <c r="D454" t="s">
        <v>901</v>
      </c>
      <c r="E454" t="s">
        <v>26</v>
      </c>
      <c r="F454" t="s">
        <v>902</v>
      </c>
      <c r="G454" t="str">
        <f>"00029278"</f>
        <v>00029278</v>
      </c>
      <c r="H454">
        <v>847</v>
      </c>
      <c r="I454">
        <v>0</v>
      </c>
      <c r="J454">
        <v>0</v>
      </c>
      <c r="K454">
        <v>0</v>
      </c>
      <c r="L454">
        <v>0</v>
      </c>
      <c r="M454">
        <v>0</v>
      </c>
      <c r="N454">
        <v>0</v>
      </c>
      <c r="O454">
        <v>0</v>
      </c>
      <c r="P454">
        <v>0</v>
      </c>
      <c r="Q454">
        <v>0</v>
      </c>
      <c r="R454">
        <v>199</v>
      </c>
      <c r="S454">
        <v>588</v>
      </c>
      <c r="V454">
        <v>0</v>
      </c>
      <c r="W454">
        <v>1435</v>
      </c>
    </row>
    <row r="455" spans="1:23" x14ac:dyDescent="0.25">
      <c r="H455" t="s">
        <v>903</v>
      </c>
    </row>
    <row r="456" spans="1:23" x14ac:dyDescent="0.25">
      <c r="A456">
        <v>225</v>
      </c>
      <c r="B456">
        <v>2297</v>
      </c>
      <c r="C456" t="s">
        <v>904</v>
      </c>
      <c r="D456" t="s">
        <v>111</v>
      </c>
      <c r="E456" t="s">
        <v>26</v>
      </c>
      <c r="F456" t="s">
        <v>905</v>
      </c>
      <c r="G456" t="str">
        <f>"200802001068"</f>
        <v>200802001068</v>
      </c>
      <c r="H456" t="s">
        <v>49</v>
      </c>
      <c r="I456">
        <v>0</v>
      </c>
      <c r="J456">
        <v>0</v>
      </c>
      <c r="K456">
        <v>0</v>
      </c>
      <c r="L456">
        <v>0</v>
      </c>
      <c r="M456">
        <v>0</v>
      </c>
      <c r="N456">
        <v>0</v>
      </c>
      <c r="O456">
        <v>0</v>
      </c>
      <c r="P456">
        <v>0</v>
      </c>
      <c r="Q456">
        <v>0</v>
      </c>
      <c r="R456">
        <v>70</v>
      </c>
      <c r="S456">
        <v>490</v>
      </c>
      <c r="V456">
        <v>0</v>
      </c>
      <c r="W456" t="s">
        <v>906</v>
      </c>
    </row>
    <row r="457" spans="1:23" x14ac:dyDescent="0.25">
      <c r="H457" t="s">
        <v>907</v>
      </c>
    </row>
    <row r="458" spans="1:23" x14ac:dyDescent="0.25">
      <c r="A458">
        <v>226</v>
      </c>
      <c r="B458">
        <v>9123</v>
      </c>
      <c r="C458" t="s">
        <v>429</v>
      </c>
      <c r="D458" t="s">
        <v>908</v>
      </c>
      <c r="E458" t="s">
        <v>53</v>
      </c>
      <c r="F458" t="s">
        <v>909</v>
      </c>
      <c r="G458" t="str">
        <f>"00096466"</f>
        <v>00096466</v>
      </c>
      <c r="H458" t="s">
        <v>693</v>
      </c>
      <c r="I458">
        <v>0</v>
      </c>
      <c r="J458">
        <v>0</v>
      </c>
      <c r="K458">
        <v>0</v>
      </c>
      <c r="L458">
        <v>0</v>
      </c>
      <c r="M458">
        <v>0</v>
      </c>
      <c r="N458">
        <v>0</v>
      </c>
      <c r="O458">
        <v>0</v>
      </c>
      <c r="P458">
        <v>0</v>
      </c>
      <c r="Q458">
        <v>0</v>
      </c>
      <c r="R458">
        <v>74</v>
      </c>
      <c r="S458">
        <v>518</v>
      </c>
      <c r="V458">
        <v>0</v>
      </c>
      <c r="W458" t="s">
        <v>910</v>
      </c>
    </row>
    <row r="459" spans="1:23" x14ac:dyDescent="0.25">
      <c r="H459" t="s">
        <v>911</v>
      </c>
    </row>
    <row r="460" spans="1:23" x14ac:dyDescent="0.25">
      <c r="A460">
        <v>227</v>
      </c>
      <c r="B460">
        <v>867</v>
      </c>
      <c r="C460" t="s">
        <v>912</v>
      </c>
      <c r="D460" t="s">
        <v>36</v>
      </c>
      <c r="E460" t="s">
        <v>42</v>
      </c>
      <c r="F460" t="s">
        <v>913</v>
      </c>
      <c r="G460" t="str">
        <f>"201511004539"</f>
        <v>201511004539</v>
      </c>
      <c r="H460" t="s">
        <v>914</v>
      </c>
      <c r="I460">
        <v>0</v>
      </c>
      <c r="J460">
        <v>0</v>
      </c>
      <c r="K460">
        <v>0</v>
      </c>
      <c r="L460">
        <v>0</v>
      </c>
      <c r="M460">
        <v>0</v>
      </c>
      <c r="N460">
        <v>0</v>
      </c>
      <c r="O460">
        <v>0</v>
      </c>
      <c r="P460">
        <v>0</v>
      </c>
      <c r="Q460">
        <v>0</v>
      </c>
      <c r="R460">
        <v>173</v>
      </c>
      <c r="S460">
        <v>588</v>
      </c>
      <c r="V460">
        <v>0</v>
      </c>
      <c r="W460" t="s">
        <v>915</v>
      </c>
    </row>
    <row r="461" spans="1:23" x14ac:dyDescent="0.25">
      <c r="H461" t="s">
        <v>916</v>
      </c>
    </row>
    <row r="462" spans="1:23" x14ac:dyDescent="0.25">
      <c r="A462">
        <v>228</v>
      </c>
      <c r="B462">
        <v>8082</v>
      </c>
      <c r="C462" t="s">
        <v>917</v>
      </c>
      <c r="D462" t="s">
        <v>156</v>
      </c>
      <c r="E462" t="s">
        <v>26</v>
      </c>
      <c r="F462" t="s">
        <v>918</v>
      </c>
      <c r="G462" t="str">
        <f>"00019888"</f>
        <v>00019888</v>
      </c>
      <c r="H462">
        <v>990</v>
      </c>
      <c r="I462">
        <v>0</v>
      </c>
      <c r="J462">
        <v>0</v>
      </c>
      <c r="K462">
        <v>0</v>
      </c>
      <c r="L462">
        <v>0</v>
      </c>
      <c r="M462">
        <v>0</v>
      </c>
      <c r="N462">
        <v>0</v>
      </c>
      <c r="O462">
        <v>0</v>
      </c>
      <c r="P462">
        <v>0</v>
      </c>
      <c r="Q462">
        <v>0</v>
      </c>
      <c r="R462">
        <v>63</v>
      </c>
      <c r="S462">
        <v>441</v>
      </c>
      <c r="V462">
        <v>0</v>
      </c>
      <c r="W462">
        <v>1431</v>
      </c>
    </row>
    <row r="463" spans="1:23" x14ac:dyDescent="0.25">
      <c r="H463" t="s">
        <v>919</v>
      </c>
    </row>
    <row r="464" spans="1:23" x14ac:dyDescent="0.25">
      <c r="A464">
        <v>229</v>
      </c>
      <c r="B464">
        <v>6126</v>
      </c>
      <c r="C464" t="s">
        <v>920</v>
      </c>
      <c r="D464" t="s">
        <v>42</v>
      </c>
      <c r="E464" t="s">
        <v>53</v>
      </c>
      <c r="F464" t="s">
        <v>921</v>
      </c>
      <c r="G464" t="str">
        <f>"201511017597"</f>
        <v>201511017597</v>
      </c>
      <c r="H464" t="s">
        <v>922</v>
      </c>
      <c r="I464">
        <v>0</v>
      </c>
      <c r="J464">
        <v>0</v>
      </c>
      <c r="K464">
        <v>0</v>
      </c>
      <c r="L464">
        <v>0</v>
      </c>
      <c r="M464">
        <v>0</v>
      </c>
      <c r="N464">
        <v>0</v>
      </c>
      <c r="O464">
        <v>0</v>
      </c>
      <c r="P464">
        <v>0</v>
      </c>
      <c r="Q464">
        <v>0</v>
      </c>
      <c r="R464">
        <v>187</v>
      </c>
      <c r="S464">
        <v>588</v>
      </c>
      <c r="V464">
        <v>0</v>
      </c>
      <c r="W464" t="s">
        <v>923</v>
      </c>
    </row>
    <row r="465" spans="1:23" x14ac:dyDescent="0.25">
      <c r="H465">
        <v>907</v>
      </c>
    </row>
    <row r="466" spans="1:23" x14ac:dyDescent="0.25">
      <c r="A466">
        <v>230</v>
      </c>
      <c r="B466">
        <v>9551</v>
      </c>
      <c r="C466" t="s">
        <v>480</v>
      </c>
      <c r="D466" t="s">
        <v>42</v>
      </c>
      <c r="E466" t="s">
        <v>95</v>
      </c>
      <c r="F466" t="s">
        <v>924</v>
      </c>
      <c r="G466" t="str">
        <f>"00022880"</f>
        <v>00022880</v>
      </c>
      <c r="H466" t="s">
        <v>925</v>
      </c>
      <c r="I466">
        <v>0</v>
      </c>
      <c r="J466">
        <v>0</v>
      </c>
      <c r="K466">
        <v>0</v>
      </c>
      <c r="L466">
        <v>0</v>
      </c>
      <c r="M466">
        <v>0</v>
      </c>
      <c r="N466">
        <v>0</v>
      </c>
      <c r="O466">
        <v>0</v>
      </c>
      <c r="P466">
        <v>0</v>
      </c>
      <c r="Q466">
        <v>0</v>
      </c>
      <c r="R466">
        <v>154</v>
      </c>
      <c r="S466">
        <v>588</v>
      </c>
      <c r="V466">
        <v>0</v>
      </c>
      <c r="W466" t="s">
        <v>926</v>
      </c>
    </row>
    <row r="467" spans="1:23" x14ac:dyDescent="0.25">
      <c r="H467" t="s">
        <v>927</v>
      </c>
    </row>
    <row r="468" spans="1:23" x14ac:dyDescent="0.25">
      <c r="A468">
        <v>231</v>
      </c>
      <c r="B468">
        <v>10288</v>
      </c>
      <c r="C468" t="s">
        <v>928</v>
      </c>
      <c r="D468" t="s">
        <v>365</v>
      </c>
      <c r="E468" t="s">
        <v>721</v>
      </c>
      <c r="F468" t="s">
        <v>929</v>
      </c>
      <c r="G468" t="str">
        <f>"00092721"</f>
        <v>00092721</v>
      </c>
      <c r="H468">
        <v>836</v>
      </c>
      <c r="I468">
        <v>0</v>
      </c>
      <c r="J468">
        <v>0</v>
      </c>
      <c r="K468">
        <v>0</v>
      </c>
      <c r="L468">
        <v>0</v>
      </c>
      <c r="M468">
        <v>0</v>
      </c>
      <c r="N468">
        <v>0</v>
      </c>
      <c r="O468">
        <v>0</v>
      </c>
      <c r="P468">
        <v>0</v>
      </c>
      <c r="Q468">
        <v>0</v>
      </c>
      <c r="R468">
        <v>120</v>
      </c>
      <c r="S468">
        <v>588</v>
      </c>
      <c r="V468">
        <v>0</v>
      </c>
      <c r="W468">
        <v>1424</v>
      </c>
    </row>
    <row r="469" spans="1:23" x14ac:dyDescent="0.25">
      <c r="H469" t="s">
        <v>930</v>
      </c>
    </row>
    <row r="470" spans="1:23" x14ac:dyDescent="0.25">
      <c r="A470">
        <v>232</v>
      </c>
      <c r="B470">
        <v>763</v>
      </c>
      <c r="C470" t="s">
        <v>56</v>
      </c>
      <c r="D470" t="s">
        <v>514</v>
      </c>
      <c r="E470" t="s">
        <v>26</v>
      </c>
      <c r="F470" t="s">
        <v>931</v>
      </c>
      <c r="G470" t="str">
        <f>"201502001901"</f>
        <v>201502001901</v>
      </c>
      <c r="H470">
        <v>1045</v>
      </c>
      <c r="I470">
        <v>0</v>
      </c>
      <c r="J470">
        <v>0</v>
      </c>
      <c r="K470">
        <v>0</v>
      </c>
      <c r="L470">
        <v>0</v>
      </c>
      <c r="M470">
        <v>0</v>
      </c>
      <c r="N470">
        <v>0</v>
      </c>
      <c r="O470">
        <v>0</v>
      </c>
      <c r="P470">
        <v>0</v>
      </c>
      <c r="Q470">
        <v>0</v>
      </c>
      <c r="R470">
        <v>54</v>
      </c>
      <c r="S470">
        <v>378</v>
      </c>
      <c r="V470">
        <v>0</v>
      </c>
      <c r="W470">
        <v>1423</v>
      </c>
    </row>
    <row r="471" spans="1:23" x14ac:dyDescent="0.25">
      <c r="H471" t="s">
        <v>932</v>
      </c>
    </row>
    <row r="472" spans="1:23" x14ac:dyDescent="0.25">
      <c r="A472">
        <v>233</v>
      </c>
      <c r="B472">
        <v>4315</v>
      </c>
      <c r="C472" t="s">
        <v>933</v>
      </c>
      <c r="D472" t="s">
        <v>600</v>
      </c>
      <c r="E472" t="s">
        <v>53</v>
      </c>
      <c r="F472" t="s">
        <v>934</v>
      </c>
      <c r="G472" t="str">
        <f>"00041127"</f>
        <v>00041127</v>
      </c>
      <c r="H472" t="s">
        <v>456</v>
      </c>
      <c r="I472">
        <v>0</v>
      </c>
      <c r="J472">
        <v>0</v>
      </c>
      <c r="K472">
        <v>0</v>
      </c>
      <c r="L472">
        <v>0</v>
      </c>
      <c r="M472">
        <v>0</v>
      </c>
      <c r="N472">
        <v>0</v>
      </c>
      <c r="O472">
        <v>0</v>
      </c>
      <c r="P472">
        <v>0</v>
      </c>
      <c r="Q472">
        <v>0</v>
      </c>
      <c r="R472">
        <v>84</v>
      </c>
      <c r="S472">
        <v>588</v>
      </c>
      <c r="V472">
        <v>0</v>
      </c>
      <c r="W472" t="s">
        <v>935</v>
      </c>
    </row>
    <row r="473" spans="1:23" x14ac:dyDescent="0.25">
      <c r="H473" t="s">
        <v>936</v>
      </c>
    </row>
    <row r="474" spans="1:23" x14ac:dyDescent="0.25">
      <c r="A474">
        <v>234</v>
      </c>
      <c r="B474">
        <v>4614</v>
      </c>
      <c r="C474" t="s">
        <v>937</v>
      </c>
      <c r="D474" t="s">
        <v>663</v>
      </c>
      <c r="E474" t="s">
        <v>15</v>
      </c>
      <c r="F474" t="s">
        <v>938</v>
      </c>
      <c r="G474" t="str">
        <f>"00026205"</f>
        <v>00026205</v>
      </c>
      <c r="H474" t="s">
        <v>456</v>
      </c>
      <c r="I474">
        <v>0</v>
      </c>
      <c r="J474">
        <v>0</v>
      </c>
      <c r="K474">
        <v>0</v>
      </c>
      <c r="L474">
        <v>0</v>
      </c>
      <c r="M474">
        <v>0</v>
      </c>
      <c r="N474">
        <v>0</v>
      </c>
      <c r="O474">
        <v>0</v>
      </c>
      <c r="P474">
        <v>0</v>
      </c>
      <c r="Q474">
        <v>0</v>
      </c>
      <c r="R474">
        <v>94</v>
      </c>
      <c r="S474">
        <v>588</v>
      </c>
      <c r="V474">
        <v>0</v>
      </c>
      <c r="W474" t="s">
        <v>935</v>
      </c>
    </row>
    <row r="475" spans="1:23" x14ac:dyDescent="0.25">
      <c r="H475" t="s">
        <v>708</v>
      </c>
    </row>
    <row r="476" spans="1:23" x14ac:dyDescent="0.25">
      <c r="A476">
        <v>235</v>
      </c>
      <c r="B476">
        <v>2634</v>
      </c>
      <c r="C476" t="s">
        <v>939</v>
      </c>
      <c r="D476" t="s">
        <v>111</v>
      </c>
      <c r="E476" t="s">
        <v>95</v>
      </c>
      <c r="F476" t="s">
        <v>940</v>
      </c>
      <c r="G476" t="str">
        <f>"00033376"</f>
        <v>00033376</v>
      </c>
      <c r="H476" t="s">
        <v>941</v>
      </c>
      <c r="I476">
        <v>0</v>
      </c>
      <c r="J476">
        <v>0</v>
      </c>
      <c r="K476">
        <v>0</v>
      </c>
      <c r="L476">
        <v>0</v>
      </c>
      <c r="M476">
        <v>0</v>
      </c>
      <c r="N476">
        <v>0</v>
      </c>
      <c r="O476">
        <v>0</v>
      </c>
      <c r="P476">
        <v>0</v>
      </c>
      <c r="Q476">
        <v>0</v>
      </c>
      <c r="R476">
        <v>175</v>
      </c>
      <c r="S476">
        <v>588</v>
      </c>
      <c r="V476">
        <v>0</v>
      </c>
      <c r="W476" t="s">
        <v>942</v>
      </c>
    </row>
    <row r="477" spans="1:23" x14ac:dyDescent="0.25">
      <c r="H477" t="s">
        <v>943</v>
      </c>
    </row>
    <row r="478" spans="1:23" x14ac:dyDescent="0.25">
      <c r="A478">
        <v>236</v>
      </c>
      <c r="B478">
        <v>10078</v>
      </c>
      <c r="C478" t="s">
        <v>944</v>
      </c>
      <c r="D478" t="s">
        <v>945</v>
      </c>
      <c r="E478" t="s">
        <v>721</v>
      </c>
      <c r="F478" t="s">
        <v>946</v>
      </c>
      <c r="G478" t="str">
        <f>"200801004239"</f>
        <v>200801004239</v>
      </c>
      <c r="H478">
        <v>946</v>
      </c>
      <c r="I478">
        <v>150</v>
      </c>
      <c r="J478">
        <v>70</v>
      </c>
      <c r="K478">
        <v>0</v>
      </c>
      <c r="L478">
        <v>0</v>
      </c>
      <c r="M478">
        <v>0</v>
      </c>
      <c r="N478">
        <v>0</v>
      </c>
      <c r="O478">
        <v>0</v>
      </c>
      <c r="P478">
        <v>0</v>
      </c>
      <c r="Q478">
        <v>0</v>
      </c>
      <c r="R478">
        <v>36</v>
      </c>
      <c r="S478">
        <v>252</v>
      </c>
      <c r="V478">
        <v>0</v>
      </c>
      <c r="W478">
        <v>1418</v>
      </c>
    </row>
    <row r="479" spans="1:23" x14ac:dyDescent="0.25">
      <c r="H479" t="s">
        <v>947</v>
      </c>
    </row>
    <row r="480" spans="1:23" x14ac:dyDescent="0.25">
      <c r="A480">
        <v>237</v>
      </c>
      <c r="B480">
        <v>1178</v>
      </c>
      <c r="C480" t="s">
        <v>948</v>
      </c>
      <c r="D480" t="s">
        <v>346</v>
      </c>
      <c r="E480" t="s">
        <v>95</v>
      </c>
      <c r="F480" t="s">
        <v>949</v>
      </c>
      <c r="G480" t="str">
        <f>"201604001980"</f>
        <v>201604001980</v>
      </c>
      <c r="H480" t="s">
        <v>950</v>
      </c>
      <c r="I480">
        <v>150</v>
      </c>
      <c r="J480">
        <v>0</v>
      </c>
      <c r="K480">
        <v>0</v>
      </c>
      <c r="L480">
        <v>0</v>
      </c>
      <c r="M480">
        <v>0</v>
      </c>
      <c r="N480">
        <v>0</v>
      </c>
      <c r="O480">
        <v>0</v>
      </c>
      <c r="P480">
        <v>0</v>
      </c>
      <c r="Q480">
        <v>0</v>
      </c>
      <c r="R480">
        <v>90</v>
      </c>
      <c r="S480">
        <v>588</v>
      </c>
      <c r="V480">
        <v>0</v>
      </c>
      <c r="W480" t="s">
        <v>951</v>
      </c>
    </row>
    <row r="481" spans="1:23" x14ac:dyDescent="0.25">
      <c r="H481" t="s">
        <v>952</v>
      </c>
    </row>
    <row r="482" spans="1:23" x14ac:dyDescent="0.25">
      <c r="A482">
        <v>238</v>
      </c>
      <c r="B482">
        <v>9588</v>
      </c>
      <c r="C482" t="s">
        <v>953</v>
      </c>
      <c r="D482" t="s">
        <v>663</v>
      </c>
      <c r="E482" t="s">
        <v>26</v>
      </c>
      <c r="F482" t="s">
        <v>954</v>
      </c>
      <c r="G482" t="str">
        <f>"201511038957"</f>
        <v>201511038957</v>
      </c>
      <c r="H482" t="s">
        <v>955</v>
      </c>
      <c r="I482">
        <v>0</v>
      </c>
      <c r="J482">
        <v>0</v>
      </c>
      <c r="K482">
        <v>0</v>
      </c>
      <c r="L482">
        <v>0</v>
      </c>
      <c r="M482">
        <v>0</v>
      </c>
      <c r="N482">
        <v>0</v>
      </c>
      <c r="O482">
        <v>0</v>
      </c>
      <c r="P482">
        <v>0</v>
      </c>
      <c r="Q482">
        <v>0</v>
      </c>
      <c r="R482">
        <v>126</v>
      </c>
      <c r="S482">
        <v>588</v>
      </c>
      <c r="V482">
        <v>0</v>
      </c>
      <c r="W482" t="s">
        <v>956</v>
      </c>
    </row>
    <row r="483" spans="1:23" x14ac:dyDescent="0.25">
      <c r="H483" t="s">
        <v>957</v>
      </c>
    </row>
    <row r="484" spans="1:23" x14ac:dyDescent="0.25">
      <c r="A484">
        <v>239</v>
      </c>
      <c r="B484">
        <v>7588</v>
      </c>
      <c r="C484" t="s">
        <v>958</v>
      </c>
      <c r="D484" t="s">
        <v>849</v>
      </c>
      <c r="E484" t="s">
        <v>53</v>
      </c>
      <c r="F484" t="s">
        <v>959</v>
      </c>
      <c r="G484" t="str">
        <f>"201511031835"</f>
        <v>201511031835</v>
      </c>
      <c r="H484">
        <v>1100</v>
      </c>
      <c r="I484">
        <v>0</v>
      </c>
      <c r="J484">
        <v>0</v>
      </c>
      <c r="K484">
        <v>0</v>
      </c>
      <c r="L484">
        <v>0</v>
      </c>
      <c r="M484">
        <v>0</v>
      </c>
      <c r="N484">
        <v>0</v>
      </c>
      <c r="O484">
        <v>0</v>
      </c>
      <c r="P484">
        <v>0</v>
      </c>
      <c r="Q484">
        <v>0</v>
      </c>
      <c r="R484">
        <v>45</v>
      </c>
      <c r="S484">
        <v>315</v>
      </c>
      <c r="V484">
        <v>0</v>
      </c>
      <c r="W484">
        <v>1415</v>
      </c>
    </row>
    <row r="485" spans="1:23" x14ac:dyDescent="0.25">
      <c r="H485" t="s">
        <v>960</v>
      </c>
    </row>
    <row r="486" spans="1:23" x14ac:dyDescent="0.25">
      <c r="A486">
        <v>240</v>
      </c>
      <c r="B486">
        <v>5647</v>
      </c>
      <c r="C486" t="s">
        <v>961</v>
      </c>
      <c r="D486" t="s">
        <v>190</v>
      </c>
      <c r="E486" t="s">
        <v>21</v>
      </c>
      <c r="F486" t="s">
        <v>962</v>
      </c>
      <c r="G486" t="str">
        <f>"00017010"</f>
        <v>00017010</v>
      </c>
      <c r="H486">
        <v>825</v>
      </c>
      <c r="I486">
        <v>0</v>
      </c>
      <c r="J486">
        <v>0</v>
      </c>
      <c r="K486">
        <v>0</v>
      </c>
      <c r="L486">
        <v>0</v>
      </c>
      <c r="M486">
        <v>0</v>
      </c>
      <c r="N486">
        <v>0</v>
      </c>
      <c r="O486">
        <v>0</v>
      </c>
      <c r="P486">
        <v>0</v>
      </c>
      <c r="Q486">
        <v>0</v>
      </c>
      <c r="R486">
        <v>177</v>
      </c>
      <c r="S486">
        <v>588</v>
      </c>
      <c r="T486">
        <v>6</v>
      </c>
      <c r="U486">
        <v>906</v>
      </c>
      <c r="V486">
        <v>0</v>
      </c>
      <c r="W486">
        <v>1413</v>
      </c>
    </row>
    <row r="487" spans="1:23" x14ac:dyDescent="0.25">
      <c r="H487" t="s">
        <v>963</v>
      </c>
    </row>
    <row r="488" spans="1:23" x14ac:dyDescent="0.25">
      <c r="A488">
        <v>241</v>
      </c>
      <c r="B488">
        <v>5647</v>
      </c>
      <c r="C488" t="s">
        <v>961</v>
      </c>
      <c r="D488" t="s">
        <v>190</v>
      </c>
      <c r="E488" t="s">
        <v>21</v>
      </c>
      <c r="F488" t="s">
        <v>962</v>
      </c>
      <c r="G488" t="str">
        <f>"00017010"</f>
        <v>00017010</v>
      </c>
      <c r="H488">
        <v>825</v>
      </c>
      <c r="I488">
        <v>0</v>
      </c>
      <c r="J488">
        <v>0</v>
      </c>
      <c r="K488">
        <v>0</v>
      </c>
      <c r="L488">
        <v>0</v>
      </c>
      <c r="M488">
        <v>0</v>
      </c>
      <c r="N488">
        <v>0</v>
      </c>
      <c r="O488">
        <v>0</v>
      </c>
      <c r="P488">
        <v>0</v>
      </c>
      <c r="Q488">
        <v>0</v>
      </c>
      <c r="R488">
        <v>177</v>
      </c>
      <c r="S488">
        <v>588</v>
      </c>
      <c r="V488">
        <v>0</v>
      </c>
      <c r="W488">
        <v>1413</v>
      </c>
    </row>
    <row r="489" spans="1:23" x14ac:dyDescent="0.25">
      <c r="H489" t="s">
        <v>963</v>
      </c>
    </row>
    <row r="490" spans="1:23" x14ac:dyDescent="0.25">
      <c r="A490">
        <v>242</v>
      </c>
      <c r="B490">
        <v>3468</v>
      </c>
      <c r="C490" t="s">
        <v>964</v>
      </c>
      <c r="D490" t="s">
        <v>965</v>
      </c>
      <c r="E490" t="s">
        <v>304</v>
      </c>
      <c r="F490" t="s">
        <v>966</v>
      </c>
      <c r="G490" t="str">
        <f>"201511038755"</f>
        <v>201511038755</v>
      </c>
      <c r="H490">
        <v>825</v>
      </c>
      <c r="I490">
        <v>0</v>
      </c>
      <c r="J490">
        <v>0</v>
      </c>
      <c r="K490">
        <v>0</v>
      </c>
      <c r="L490">
        <v>0</v>
      </c>
      <c r="M490">
        <v>0</v>
      </c>
      <c r="N490">
        <v>0</v>
      </c>
      <c r="O490">
        <v>0</v>
      </c>
      <c r="P490">
        <v>0</v>
      </c>
      <c r="Q490">
        <v>0</v>
      </c>
      <c r="R490">
        <v>143</v>
      </c>
      <c r="S490">
        <v>588</v>
      </c>
      <c r="V490">
        <v>0</v>
      </c>
      <c r="W490">
        <v>1413</v>
      </c>
    </row>
    <row r="491" spans="1:23" x14ac:dyDescent="0.25">
      <c r="H491" t="s">
        <v>967</v>
      </c>
    </row>
    <row r="492" spans="1:23" x14ac:dyDescent="0.25">
      <c r="A492">
        <v>243</v>
      </c>
      <c r="B492">
        <v>1468</v>
      </c>
      <c r="C492" t="s">
        <v>968</v>
      </c>
      <c r="D492" t="s">
        <v>969</v>
      </c>
      <c r="E492" t="s">
        <v>121</v>
      </c>
      <c r="F492" t="s">
        <v>970</v>
      </c>
      <c r="G492" t="str">
        <f>"00022968"</f>
        <v>00022968</v>
      </c>
      <c r="H492">
        <v>825</v>
      </c>
      <c r="I492">
        <v>0</v>
      </c>
      <c r="J492">
        <v>0</v>
      </c>
      <c r="K492">
        <v>0</v>
      </c>
      <c r="L492">
        <v>0</v>
      </c>
      <c r="M492">
        <v>0</v>
      </c>
      <c r="N492">
        <v>0</v>
      </c>
      <c r="O492">
        <v>0</v>
      </c>
      <c r="P492">
        <v>0</v>
      </c>
      <c r="Q492">
        <v>0</v>
      </c>
      <c r="R492">
        <v>116</v>
      </c>
      <c r="S492">
        <v>588</v>
      </c>
      <c r="V492">
        <v>0</v>
      </c>
      <c r="W492">
        <v>1413</v>
      </c>
    </row>
    <row r="493" spans="1:23" x14ac:dyDescent="0.25">
      <c r="H493" t="s">
        <v>971</v>
      </c>
    </row>
    <row r="494" spans="1:23" x14ac:dyDescent="0.25">
      <c r="A494">
        <v>244</v>
      </c>
      <c r="B494">
        <v>6724</v>
      </c>
      <c r="C494" t="s">
        <v>972</v>
      </c>
      <c r="D494" t="s">
        <v>652</v>
      </c>
      <c r="E494" t="s">
        <v>400</v>
      </c>
      <c r="F494" t="s">
        <v>973</v>
      </c>
      <c r="G494" t="str">
        <f>"201510003185"</f>
        <v>201510003185</v>
      </c>
      <c r="H494" t="s">
        <v>77</v>
      </c>
      <c r="I494">
        <v>150</v>
      </c>
      <c r="J494">
        <v>0</v>
      </c>
      <c r="K494">
        <v>0</v>
      </c>
      <c r="L494">
        <v>0</v>
      </c>
      <c r="M494">
        <v>0</v>
      </c>
      <c r="N494">
        <v>0</v>
      </c>
      <c r="O494">
        <v>0</v>
      </c>
      <c r="P494">
        <v>0</v>
      </c>
      <c r="Q494">
        <v>0</v>
      </c>
      <c r="R494">
        <v>24</v>
      </c>
      <c r="S494">
        <v>168</v>
      </c>
      <c r="V494">
        <v>0</v>
      </c>
      <c r="W494" t="s">
        <v>974</v>
      </c>
    </row>
    <row r="495" spans="1:23" x14ac:dyDescent="0.25">
      <c r="H495" t="s">
        <v>975</v>
      </c>
    </row>
    <row r="496" spans="1:23" x14ac:dyDescent="0.25">
      <c r="A496">
        <v>245</v>
      </c>
      <c r="B496">
        <v>665</v>
      </c>
      <c r="C496" t="s">
        <v>976</v>
      </c>
      <c r="D496" t="s">
        <v>877</v>
      </c>
      <c r="E496" t="s">
        <v>42</v>
      </c>
      <c r="F496" t="s">
        <v>977</v>
      </c>
      <c r="G496" t="str">
        <f>"201511004503"</f>
        <v>201511004503</v>
      </c>
      <c r="H496">
        <v>1045</v>
      </c>
      <c r="I496">
        <v>150</v>
      </c>
      <c r="J496">
        <v>0</v>
      </c>
      <c r="K496">
        <v>0</v>
      </c>
      <c r="L496">
        <v>0</v>
      </c>
      <c r="M496">
        <v>0</v>
      </c>
      <c r="N496">
        <v>0</v>
      </c>
      <c r="O496">
        <v>0</v>
      </c>
      <c r="P496">
        <v>0</v>
      </c>
      <c r="Q496">
        <v>0</v>
      </c>
      <c r="R496">
        <v>31</v>
      </c>
      <c r="S496">
        <v>217</v>
      </c>
      <c r="V496">
        <v>0</v>
      </c>
      <c r="W496">
        <v>1412</v>
      </c>
    </row>
    <row r="497" spans="1:23" x14ac:dyDescent="0.25">
      <c r="H497" t="s">
        <v>978</v>
      </c>
    </row>
    <row r="498" spans="1:23" x14ac:dyDescent="0.25">
      <c r="A498">
        <v>246</v>
      </c>
      <c r="B498">
        <v>346</v>
      </c>
      <c r="C498" t="s">
        <v>979</v>
      </c>
      <c r="D498" t="s">
        <v>980</v>
      </c>
      <c r="E498" t="s">
        <v>42</v>
      </c>
      <c r="F498" t="s">
        <v>981</v>
      </c>
      <c r="G498" t="str">
        <f>"00022889"</f>
        <v>00022889</v>
      </c>
      <c r="H498">
        <v>792</v>
      </c>
      <c r="I498">
        <v>0</v>
      </c>
      <c r="J498">
        <v>30</v>
      </c>
      <c r="K498">
        <v>0</v>
      </c>
      <c r="L498">
        <v>0</v>
      </c>
      <c r="M498">
        <v>0</v>
      </c>
      <c r="N498">
        <v>0</v>
      </c>
      <c r="O498">
        <v>0</v>
      </c>
      <c r="P498">
        <v>0</v>
      </c>
      <c r="Q498">
        <v>0</v>
      </c>
      <c r="R498">
        <v>109</v>
      </c>
      <c r="S498">
        <v>588</v>
      </c>
      <c r="V498">
        <v>0</v>
      </c>
      <c r="W498">
        <v>1410</v>
      </c>
    </row>
    <row r="499" spans="1:23" x14ac:dyDescent="0.25">
      <c r="H499" t="s">
        <v>982</v>
      </c>
    </row>
    <row r="500" spans="1:23" x14ac:dyDescent="0.25">
      <c r="A500">
        <v>247</v>
      </c>
      <c r="B500">
        <v>2669</v>
      </c>
      <c r="C500" t="s">
        <v>983</v>
      </c>
      <c r="D500" t="s">
        <v>31</v>
      </c>
      <c r="E500" t="s">
        <v>95</v>
      </c>
      <c r="F500" t="s">
        <v>984</v>
      </c>
      <c r="G500" t="str">
        <f>"00070207"</f>
        <v>00070207</v>
      </c>
      <c r="H500" t="s">
        <v>985</v>
      </c>
      <c r="I500">
        <v>0</v>
      </c>
      <c r="J500">
        <v>0</v>
      </c>
      <c r="K500">
        <v>0</v>
      </c>
      <c r="L500">
        <v>0</v>
      </c>
      <c r="M500">
        <v>0</v>
      </c>
      <c r="N500">
        <v>0</v>
      </c>
      <c r="O500">
        <v>0</v>
      </c>
      <c r="P500">
        <v>0</v>
      </c>
      <c r="Q500">
        <v>0</v>
      </c>
      <c r="R500">
        <v>80</v>
      </c>
      <c r="S500">
        <v>560</v>
      </c>
      <c r="V500">
        <v>0</v>
      </c>
      <c r="W500" t="s">
        <v>986</v>
      </c>
    </row>
    <row r="501" spans="1:23" x14ac:dyDescent="0.25">
      <c r="H501" t="s">
        <v>987</v>
      </c>
    </row>
    <row r="502" spans="1:23" x14ac:dyDescent="0.25">
      <c r="A502">
        <v>248</v>
      </c>
      <c r="B502">
        <v>5916</v>
      </c>
      <c r="C502" t="s">
        <v>988</v>
      </c>
      <c r="D502" t="s">
        <v>606</v>
      </c>
      <c r="E502" t="s">
        <v>53</v>
      </c>
      <c r="F502" t="s">
        <v>989</v>
      </c>
      <c r="G502" t="str">
        <f>"00023910"</f>
        <v>00023910</v>
      </c>
      <c r="H502" t="s">
        <v>990</v>
      </c>
      <c r="I502">
        <v>150</v>
      </c>
      <c r="J502">
        <v>0</v>
      </c>
      <c r="K502">
        <v>0</v>
      </c>
      <c r="L502">
        <v>0</v>
      </c>
      <c r="M502">
        <v>0</v>
      </c>
      <c r="N502">
        <v>0</v>
      </c>
      <c r="O502">
        <v>0</v>
      </c>
      <c r="P502">
        <v>0</v>
      </c>
      <c r="Q502">
        <v>0</v>
      </c>
      <c r="R502">
        <v>53</v>
      </c>
      <c r="S502">
        <v>371</v>
      </c>
      <c r="V502">
        <v>0</v>
      </c>
      <c r="W502" t="s">
        <v>991</v>
      </c>
    </row>
    <row r="503" spans="1:23" x14ac:dyDescent="0.25">
      <c r="H503" t="s">
        <v>992</v>
      </c>
    </row>
    <row r="504" spans="1:23" x14ac:dyDescent="0.25">
      <c r="A504">
        <v>249</v>
      </c>
      <c r="B504">
        <v>1133</v>
      </c>
      <c r="C504" t="s">
        <v>993</v>
      </c>
      <c r="D504" t="s">
        <v>767</v>
      </c>
      <c r="E504" t="s">
        <v>83</v>
      </c>
      <c r="F504" t="s">
        <v>994</v>
      </c>
      <c r="G504" t="str">
        <f>"201511036745"</f>
        <v>201511036745</v>
      </c>
      <c r="H504" t="s">
        <v>894</v>
      </c>
      <c r="I504">
        <v>0</v>
      </c>
      <c r="J504">
        <v>0</v>
      </c>
      <c r="K504">
        <v>0</v>
      </c>
      <c r="L504">
        <v>0</v>
      </c>
      <c r="M504">
        <v>0</v>
      </c>
      <c r="N504">
        <v>0</v>
      </c>
      <c r="O504">
        <v>0</v>
      </c>
      <c r="P504">
        <v>0</v>
      </c>
      <c r="Q504">
        <v>0</v>
      </c>
      <c r="R504">
        <v>280</v>
      </c>
      <c r="S504">
        <v>588</v>
      </c>
      <c r="V504">
        <v>0</v>
      </c>
      <c r="W504" t="s">
        <v>995</v>
      </c>
    </row>
    <row r="505" spans="1:23" x14ac:dyDescent="0.25">
      <c r="H505" t="s">
        <v>996</v>
      </c>
    </row>
    <row r="506" spans="1:23" x14ac:dyDescent="0.25">
      <c r="A506">
        <v>250</v>
      </c>
      <c r="B506">
        <v>2454</v>
      </c>
      <c r="C506" t="s">
        <v>997</v>
      </c>
      <c r="D506" t="s">
        <v>998</v>
      </c>
      <c r="E506" t="s">
        <v>21</v>
      </c>
      <c r="F506" t="s">
        <v>999</v>
      </c>
      <c r="G506" t="str">
        <f>"00036292"</f>
        <v>00036292</v>
      </c>
      <c r="H506">
        <v>880</v>
      </c>
      <c r="I506">
        <v>0</v>
      </c>
      <c r="J506">
        <v>30</v>
      </c>
      <c r="K506">
        <v>0</v>
      </c>
      <c r="L506">
        <v>0</v>
      </c>
      <c r="M506">
        <v>0</v>
      </c>
      <c r="N506">
        <v>0</v>
      </c>
      <c r="O506">
        <v>0</v>
      </c>
      <c r="P506">
        <v>0</v>
      </c>
      <c r="Q506">
        <v>0</v>
      </c>
      <c r="R506">
        <v>71</v>
      </c>
      <c r="S506">
        <v>497</v>
      </c>
      <c r="V506">
        <v>0</v>
      </c>
      <c r="W506">
        <v>1407</v>
      </c>
    </row>
    <row r="507" spans="1:23" x14ac:dyDescent="0.25">
      <c r="H507" t="s">
        <v>1000</v>
      </c>
    </row>
    <row r="508" spans="1:23" x14ac:dyDescent="0.25">
      <c r="A508">
        <v>251</v>
      </c>
      <c r="B508">
        <v>2660</v>
      </c>
      <c r="C508" t="s">
        <v>1001</v>
      </c>
      <c r="D508" t="s">
        <v>1002</v>
      </c>
      <c r="E508" t="s">
        <v>71</v>
      </c>
      <c r="F508" t="s">
        <v>1003</v>
      </c>
      <c r="G508" t="str">
        <f>"201511024344"</f>
        <v>201511024344</v>
      </c>
      <c r="H508">
        <v>990</v>
      </c>
      <c r="I508">
        <v>0</v>
      </c>
      <c r="J508">
        <v>30</v>
      </c>
      <c r="K508">
        <v>0</v>
      </c>
      <c r="L508">
        <v>0</v>
      </c>
      <c r="M508">
        <v>0</v>
      </c>
      <c r="N508">
        <v>0</v>
      </c>
      <c r="O508">
        <v>0</v>
      </c>
      <c r="P508">
        <v>0</v>
      </c>
      <c r="Q508">
        <v>0</v>
      </c>
      <c r="R508">
        <v>55</v>
      </c>
      <c r="S508">
        <v>385</v>
      </c>
      <c r="V508">
        <v>0</v>
      </c>
      <c r="W508">
        <v>1405</v>
      </c>
    </row>
    <row r="509" spans="1:23" x14ac:dyDescent="0.25">
      <c r="H509" t="s">
        <v>1004</v>
      </c>
    </row>
    <row r="510" spans="1:23" x14ac:dyDescent="0.25">
      <c r="A510">
        <v>252</v>
      </c>
      <c r="B510">
        <v>8761</v>
      </c>
      <c r="C510" t="s">
        <v>748</v>
      </c>
      <c r="D510" t="s">
        <v>31</v>
      </c>
      <c r="E510" t="s">
        <v>22</v>
      </c>
      <c r="F510" t="s">
        <v>1005</v>
      </c>
      <c r="G510" t="str">
        <f>"00038710"</f>
        <v>00038710</v>
      </c>
      <c r="H510">
        <v>660</v>
      </c>
      <c r="I510">
        <v>150</v>
      </c>
      <c r="J510">
        <v>0</v>
      </c>
      <c r="K510">
        <v>0</v>
      </c>
      <c r="L510">
        <v>0</v>
      </c>
      <c r="M510">
        <v>0</v>
      </c>
      <c r="N510">
        <v>0</v>
      </c>
      <c r="O510">
        <v>0</v>
      </c>
      <c r="P510">
        <v>0</v>
      </c>
      <c r="Q510">
        <v>0</v>
      </c>
      <c r="R510">
        <v>144</v>
      </c>
      <c r="S510">
        <v>588</v>
      </c>
      <c r="V510">
        <v>0</v>
      </c>
      <c r="W510">
        <v>1398</v>
      </c>
    </row>
    <row r="511" spans="1:23" x14ac:dyDescent="0.25">
      <c r="H511" t="s">
        <v>216</v>
      </c>
    </row>
    <row r="512" spans="1:23" x14ac:dyDescent="0.25">
      <c r="A512">
        <v>253</v>
      </c>
      <c r="B512">
        <v>10609</v>
      </c>
      <c r="C512" t="s">
        <v>480</v>
      </c>
      <c r="D512" t="s">
        <v>156</v>
      </c>
      <c r="E512" t="s">
        <v>26</v>
      </c>
      <c r="F512" t="s">
        <v>1006</v>
      </c>
      <c r="G512" t="str">
        <f>"00041914"</f>
        <v>00041914</v>
      </c>
      <c r="H512">
        <v>1045</v>
      </c>
      <c r="I512">
        <v>0</v>
      </c>
      <c r="J512">
        <v>0</v>
      </c>
      <c r="K512">
        <v>0</v>
      </c>
      <c r="L512">
        <v>0</v>
      </c>
      <c r="M512">
        <v>0</v>
      </c>
      <c r="N512">
        <v>0</v>
      </c>
      <c r="O512">
        <v>0</v>
      </c>
      <c r="P512">
        <v>0</v>
      </c>
      <c r="Q512">
        <v>0</v>
      </c>
      <c r="R512">
        <v>50</v>
      </c>
      <c r="S512">
        <v>350</v>
      </c>
      <c r="T512">
        <v>6</v>
      </c>
      <c r="U512">
        <v>915</v>
      </c>
      <c r="V512">
        <v>0</v>
      </c>
      <c r="W512">
        <v>1395</v>
      </c>
    </row>
    <row r="513" spans="1:23" x14ac:dyDescent="0.25">
      <c r="H513">
        <v>915</v>
      </c>
    </row>
    <row r="514" spans="1:23" x14ac:dyDescent="0.25">
      <c r="A514">
        <v>254</v>
      </c>
      <c r="B514">
        <v>8130</v>
      </c>
      <c r="C514" t="s">
        <v>1007</v>
      </c>
      <c r="D514" t="s">
        <v>156</v>
      </c>
      <c r="E514" t="s">
        <v>95</v>
      </c>
      <c r="F514" t="s">
        <v>1008</v>
      </c>
      <c r="G514" t="str">
        <f>"00095042"</f>
        <v>00095042</v>
      </c>
      <c r="H514" t="s">
        <v>1009</v>
      </c>
      <c r="I514">
        <v>0</v>
      </c>
      <c r="J514">
        <v>0</v>
      </c>
      <c r="K514">
        <v>0</v>
      </c>
      <c r="L514">
        <v>0</v>
      </c>
      <c r="M514">
        <v>0</v>
      </c>
      <c r="N514">
        <v>0</v>
      </c>
      <c r="O514">
        <v>0</v>
      </c>
      <c r="P514">
        <v>0</v>
      </c>
      <c r="Q514">
        <v>0</v>
      </c>
      <c r="R514">
        <v>202</v>
      </c>
      <c r="S514">
        <v>588</v>
      </c>
      <c r="V514">
        <v>0</v>
      </c>
      <c r="W514" t="s">
        <v>1010</v>
      </c>
    </row>
    <row r="515" spans="1:23" x14ac:dyDescent="0.25">
      <c r="H515" t="s">
        <v>1011</v>
      </c>
    </row>
    <row r="516" spans="1:23" x14ac:dyDescent="0.25">
      <c r="A516">
        <v>255</v>
      </c>
      <c r="B516">
        <v>8678</v>
      </c>
      <c r="C516" t="s">
        <v>184</v>
      </c>
      <c r="D516" t="s">
        <v>145</v>
      </c>
      <c r="E516" t="s">
        <v>1012</v>
      </c>
      <c r="F516" t="s">
        <v>1013</v>
      </c>
      <c r="G516" t="str">
        <f>"201511043310"</f>
        <v>201511043310</v>
      </c>
      <c r="H516" t="s">
        <v>589</v>
      </c>
      <c r="I516">
        <v>0</v>
      </c>
      <c r="J516">
        <v>30</v>
      </c>
      <c r="K516">
        <v>0</v>
      </c>
      <c r="L516">
        <v>0</v>
      </c>
      <c r="M516">
        <v>0</v>
      </c>
      <c r="N516">
        <v>0</v>
      </c>
      <c r="O516">
        <v>0</v>
      </c>
      <c r="P516">
        <v>0</v>
      </c>
      <c r="Q516">
        <v>0</v>
      </c>
      <c r="R516">
        <v>60</v>
      </c>
      <c r="S516">
        <v>420</v>
      </c>
      <c r="V516">
        <v>0</v>
      </c>
      <c r="W516" t="s">
        <v>1014</v>
      </c>
    </row>
    <row r="517" spans="1:23" x14ac:dyDescent="0.25">
      <c r="H517" t="s">
        <v>1015</v>
      </c>
    </row>
    <row r="518" spans="1:23" x14ac:dyDescent="0.25">
      <c r="A518">
        <v>256</v>
      </c>
      <c r="B518">
        <v>6631</v>
      </c>
      <c r="C518" t="s">
        <v>1016</v>
      </c>
      <c r="D518" t="s">
        <v>31</v>
      </c>
      <c r="E518" t="s">
        <v>218</v>
      </c>
      <c r="F518" t="s">
        <v>1017</v>
      </c>
      <c r="G518" t="str">
        <f>"201511042422"</f>
        <v>201511042422</v>
      </c>
      <c r="H518" t="s">
        <v>561</v>
      </c>
      <c r="I518">
        <v>0</v>
      </c>
      <c r="J518">
        <v>0</v>
      </c>
      <c r="K518">
        <v>0</v>
      </c>
      <c r="L518">
        <v>0</v>
      </c>
      <c r="M518">
        <v>0</v>
      </c>
      <c r="N518">
        <v>0</v>
      </c>
      <c r="O518">
        <v>0</v>
      </c>
      <c r="P518">
        <v>0</v>
      </c>
      <c r="Q518">
        <v>0</v>
      </c>
      <c r="R518">
        <v>63</v>
      </c>
      <c r="S518">
        <v>441</v>
      </c>
      <c r="V518">
        <v>0</v>
      </c>
      <c r="W518" t="s">
        <v>1018</v>
      </c>
    </row>
    <row r="519" spans="1:23" x14ac:dyDescent="0.25">
      <c r="H519" t="s">
        <v>1019</v>
      </c>
    </row>
    <row r="520" spans="1:23" x14ac:dyDescent="0.25">
      <c r="A520">
        <v>257</v>
      </c>
      <c r="B520">
        <v>4469</v>
      </c>
      <c r="C520" t="s">
        <v>1020</v>
      </c>
      <c r="D520" t="s">
        <v>1021</v>
      </c>
      <c r="E520" t="s">
        <v>53</v>
      </c>
      <c r="F520" t="s">
        <v>1022</v>
      </c>
      <c r="G520" t="str">
        <f>"00044905"</f>
        <v>00044905</v>
      </c>
      <c r="H520">
        <v>1056</v>
      </c>
      <c r="I520">
        <v>0</v>
      </c>
      <c r="J520">
        <v>0</v>
      </c>
      <c r="K520">
        <v>0</v>
      </c>
      <c r="L520">
        <v>0</v>
      </c>
      <c r="M520">
        <v>0</v>
      </c>
      <c r="N520">
        <v>0</v>
      </c>
      <c r="O520">
        <v>0</v>
      </c>
      <c r="P520">
        <v>0</v>
      </c>
      <c r="Q520">
        <v>0</v>
      </c>
      <c r="R520">
        <v>48</v>
      </c>
      <c r="S520">
        <v>336</v>
      </c>
      <c r="V520">
        <v>0</v>
      </c>
      <c r="W520">
        <v>1392</v>
      </c>
    </row>
    <row r="521" spans="1:23" x14ac:dyDescent="0.25">
      <c r="H521" t="s">
        <v>1023</v>
      </c>
    </row>
    <row r="522" spans="1:23" x14ac:dyDescent="0.25">
      <c r="A522">
        <v>258</v>
      </c>
      <c r="B522">
        <v>5459</v>
      </c>
      <c r="C522" t="s">
        <v>1024</v>
      </c>
      <c r="D522" t="s">
        <v>1025</v>
      </c>
      <c r="E522" t="s">
        <v>87</v>
      </c>
      <c r="F522" t="s">
        <v>1026</v>
      </c>
      <c r="G522" t="str">
        <f>"00049038"</f>
        <v>00049038</v>
      </c>
      <c r="H522" t="s">
        <v>329</v>
      </c>
      <c r="I522">
        <v>0</v>
      </c>
      <c r="J522">
        <v>0</v>
      </c>
      <c r="K522">
        <v>0</v>
      </c>
      <c r="L522">
        <v>0</v>
      </c>
      <c r="M522">
        <v>0</v>
      </c>
      <c r="N522">
        <v>0</v>
      </c>
      <c r="O522">
        <v>0</v>
      </c>
      <c r="P522">
        <v>0</v>
      </c>
      <c r="Q522">
        <v>0</v>
      </c>
      <c r="R522">
        <v>75</v>
      </c>
      <c r="S522">
        <v>525</v>
      </c>
      <c r="T522">
        <v>6</v>
      </c>
      <c r="U522">
        <v>905</v>
      </c>
      <c r="V522">
        <v>0</v>
      </c>
      <c r="W522" t="s">
        <v>1027</v>
      </c>
    </row>
    <row r="523" spans="1:23" x14ac:dyDescent="0.25">
      <c r="H523">
        <v>905</v>
      </c>
    </row>
    <row r="524" spans="1:23" x14ac:dyDescent="0.25">
      <c r="A524">
        <v>259</v>
      </c>
      <c r="B524">
        <v>1328</v>
      </c>
      <c r="C524" t="s">
        <v>1028</v>
      </c>
      <c r="D524" t="s">
        <v>908</v>
      </c>
      <c r="E524" t="s">
        <v>42</v>
      </c>
      <c r="F524" t="s">
        <v>1029</v>
      </c>
      <c r="G524" t="str">
        <f>"201511014505"</f>
        <v>201511014505</v>
      </c>
      <c r="H524" t="s">
        <v>706</v>
      </c>
      <c r="I524">
        <v>0</v>
      </c>
      <c r="J524">
        <v>0</v>
      </c>
      <c r="K524">
        <v>0</v>
      </c>
      <c r="L524">
        <v>0</v>
      </c>
      <c r="M524">
        <v>0</v>
      </c>
      <c r="N524">
        <v>0</v>
      </c>
      <c r="O524">
        <v>0</v>
      </c>
      <c r="P524">
        <v>0</v>
      </c>
      <c r="Q524">
        <v>0</v>
      </c>
      <c r="R524">
        <v>72</v>
      </c>
      <c r="S524">
        <v>504</v>
      </c>
      <c r="V524">
        <v>0</v>
      </c>
      <c r="W524" t="s">
        <v>1030</v>
      </c>
    </row>
    <row r="525" spans="1:23" x14ac:dyDescent="0.25">
      <c r="H525" t="s">
        <v>1031</v>
      </c>
    </row>
    <row r="526" spans="1:23" x14ac:dyDescent="0.25">
      <c r="A526">
        <v>260</v>
      </c>
      <c r="B526">
        <v>1589</v>
      </c>
      <c r="C526" t="s">
        <v>1032</v>
      </c>
      <c r="D526" t="s">
        <v>1033</v>
      </c>
      <c r="E526" t="s">
        <v>1034</v>
      </c>
      <c r="F526" t="s">
        <v>1035</v>
      </c>
      <c r="G526" t="str">
        <f>"00084555"</f>
        <v>00084555</v>
      </c>
      <c r="H526" t="s">
        <v>322</v>
      </c>
      <c r="I526">
        <v>0</v>
      </c>
      <c r="J526">
        <v>0</v>
      </c>
      <c r="K526">
        <v>0</v>
      </c>
      <c r="L526">
        <v>0</v>
      </c>
      <c r="M526">
        <v>0</v>
      </c>
      <c r="N526">
        <v>0</v>
      </c>
      <c r="O526">
        <v>0</v>
      </c>
      <c r="P526">
        <v>0</v>
      </c>
      <c r="Q526">
        <v>0</v>
      </c>
      <c r="R526">
        <v>84</v>
      </c>
      <c r="S526">
        <v>588</v>
      </c>
      <c r="V526">
        <v>0</v>
      </c>
      <c r="W526" t="s">
        <v>1036</v>
      </c>
    </row>
    <row r="527" spans="1:23" x14ac:dyDescent="0.25">
      <c r="H527" t="s">
        <v>1037</v>
      </c>
    </row>
    <row r="528" spans="1:23" x14ac:dyDescent="0.25">
      <c r="A528">
        <v>261</v>
      </c>
      <c r="B528">
        <v>299</v>
      </c>
      <c r="C528" t="s">
        <v>1038</v>
      </c>
      <c r="D528" t="s">
        <v>31</v>
      </c>
      <c r="E528" t="s">
        <v>1039</v>
      </c>
      <c r="F528" t="s">
        <v>1040</v>
      </c>
      <c r="G528" t="str">
        <f>"201511024272"</f>
        <v>201511024272</v>
      </c>
      <c r="H528">
        <v>825</v>
      </c>
      <c r="I528">
        <v>0</v>
      </c>
      <c r="J528">
        <v>30</v>
      </c>
      <c r="K528">
        <v>0</v>
      </c>
      <c r="L528">
        <v>0</v>
      </c>
      <c r="M528">
        <v>0</v>
      </c>
      <c r="N528">
        <v>0</v>
      </c>
      <c r="O528">
        <v>0</v>
      </c>
      <c r="P528">
        <v>0</v>
      </c>
      <c r="Q528">
        <v>0</v>
      </c>
      <c r="R528">
        <v>76</v>
      </c>
      <c r="S528">
        <v>532</v>
      </c>
      <c r="V528">
        <v>0</v>
      </c>
      <c r="W528">
        <v>1387</v>
      </c>
    </row>
    <row r="529" spans="1:23" x14ac:dyDescent="0.25">
      <c r="H529" t="s">
        <v>1041</v>
      </c>
    </row>
    <row r="530" spans="1:23" x14ac:dyDescent="0.25">
      <c r="A530">
        <v>262</v>
      </c>
      <c r="B530">
        <v>3749</v>
      </c>
      <c r="C530" t="s">
        <v>745</v>
      </c>
      <c r="D530" t="s">
        <v>42</v>
      </c>
      <c r="E530" t="s">
        <v>121</v>
      </c>
      <c r="F530" t="s">
        <v>1042</v>
      </c>
      <c r="G530" t="str">
        <f>"201506001788"</f>
        <v>201506001788</v>
      </c>
      <c r="H530">
        <v>924</v>
      </c>
      <c r="I530">
        <v>0</v>
      </c>
      <c r="J530">
        <v>0</v>
      </c>
      <c r="K530">
        <v>0</v>
      </c>
      <c r="L530">
        <v>0</v>
      </c>
      <c r="M530">
        <v>0</v>
      </c>
      <c r="N530">
        <v>0</v>
      </c>
      <c r="O530">
        <v>0</v>
      </c>
      <c r="P530">
        <v>0</v>
      </c>
      <c r="Q530">
        <v>0</v>
      </c>
      <c r="R530">
        <v>66</v>
      </c>
      <c r="S530">
        <v>462</v>
      </c>
      <c r="V530">
        <v>0</v>
      </c>
      <c r="W530">
        <v>1386</v>
      </c>
    </row>
    <row r="531" spans="1:23" x14ac:dyDescent="0.25">
      <c r="H531" t="s">
        <v>1043</v>
      </c>
    </row>
    <row r="532" spans="1:23" x14ac:dyDescent="0.25">
      <c r="A532">
        <v>263</v>
      </c>
      <c r="B532">
        <v>4515</v>
      </c>
      <c r="C532" t="s">
        <v>1044</v>
      </c>
      <c r="D532" t="s">
        <v>1045</v>
      </c>
      <c r="E532" t="s">
        <v>1046</v>
      </c>
      <c r="F532" t="s">
        <v>1047</v>
      </c>
      <c r="G532" t="str">
        <f>"201511010700"</f>
        <v>201511010700</v>
      </c>
      <c r="H532">
        <v>1056</v>
      </c>
      <c r="I532">
        <v>0</v>
      </c>
      <c r="J532">
        <v>0</v>
      </c>
      <c r="K532">
        <v>0</v>
      </c>
      <c r="L532">
        <v>0</v>
      </c>
      <c r="M532">
        <v>0</v>
      </c>
      <c r="N532">
        <v>0</v>
      </c>
      <c r="O532">
        <v>0</v>
      </c>
      <c r="P532">
        <v>0</v>
      </c>
      <c r="Q532">
        <v>0</v>
      </c>
      <c r="R532">
        <v>47</v>
      </c>
      <c r="S532">
        <v>329</v>
      </c>
      <c r="V532">
        <v>0</v>
      </c>
      <c r="W532">
        <v>1385</v>
      </c>
    </row>
    <row r="533" spans="1:23" x14ac:dyDescent="0.25">
      <c r="H533" t="s">
        <v>1048</v>
      </c>
    </row>
    <row r="534" spans="1:23" x14ac:dyDescent="0.25">
      <c r="A534">
        <v>264</v>
      </c>
      <c r="B534">
        <v>967</v>
      </c>
      <c r="C534" t="s">
        <v>1049</v>
      </c>
      <c r="D534" t="s">
        <v>1050</v>
      </c>
      <c r="E534" t="s">
        <v>21</v>
      </c>
      <c r="F534" t="s">
        <v>1051</v>
      </c>
      <c r="G534" t="str">
        <f>"201511033435"</f>
        <v>201511033435</v>
      </c>
      <c r="H534">
        <v>990</v>
      </c>
      <c r="I534">
        <v>0</v>
      </c>
      <c r="J534">
        <v>0</v>
      </c>
      <c r="K534">
        <v>0</v>
      </c>
      <c r="L534">
        <v>0</v>
      </c>
      <c r="M534">
        <v>0</v>
      </c>
      <c r="N534">
        <v>0</v>
      </c>
      <c r="O534">
        <v>0</v>
      </c>
      <c r="P534">
        <v>0</v>
      </c>
      <c r="Q534">
        <v>0</v>
      </c>
      <c r="R534">
        <v>56</v>
      </c>
      <c r="S534">
        <v>392</v>
      </c>
      <c r="V534">
        <v>0</v>
      </c>
      <c r="W534">
        <v>1382</v>
      </c>
    </row>
    <row r="535" spans="1:23" x14ac:dyDescent="0.25">
      <c r="H535" t="s">
        <v>1052</v>
      </c>
    </row>
    <row r="536" spans="1:23" x14ac:dyDescent="0.25">
      <c r="A536">
        <v>265</v>
      </c>
      <c r="B536">
        <v>9945</v>
      </c>
      <c r="C536" t="s">
        <v>1053</v>
      </c>
      <c r="D536" t="s">
        <v>170</v>
      </c>
      <c r="E536" t="s">
        <v>523</v>
      </c>
      <c r="F536" t="s">
        <v>1054</v>
      </c>
      <c r="G536" t="str">
        <f>"00095765"</f>
        <v>00095765</v>
      </c>
      <c r="H536" t="s">
        <v>393</v>
      </c>
      <c r="I536">
        <v>150</v>
      </c>
      <c r="J536">
        <v>30</v>
      </c>
      <c r="K536">
        <v>0</v>
      </c>
      <c r="L536">
        <v>0</v>
      </c>
      <c r="M536">
        <v>0</v>
      </c>
      <c r="N536">
        <v>0</v>
      </c>
      <c r="O536">
        <v>0</v>
      </c>
      <c r="P536">
        <v>0</v>
      </c>
      <c r="Q536">
        <v>0</v>
      </c>
      <c r="R536">
        <v>51</v>
      </c>
      <c r="S536">
        <v>357</v>
      </c>
      <c r="V536">
        <v>0</v>
      </c>
      <c r="W536" t="s">
        <v>1055</v>
      </c>
    </row>
    <row r="537" spans="1:23" x14ac:dyDescent="0.25">
      <c r="H537" t="s">
        <v>1056</v>
      </c>
    </row>
    <row r="538" spans="1:23" x14ac:dyDescent="0.25">
      <c r="A538">
        <v>266</v>
      </c>
      <c r="B538">
        <v>9465</v>
      </c>
      <c r="C538" t="s">
        <v>1057</v>
      </c>
      <c r="D538" t="s">
        <v>1058</v>
      </c>
      <c r="E538" t="s">
        <v>218</v>
      </c>
      <c r="F538" t="s">
        <v>1059</v>
      </c>
      <c r="G538" t="str">
        <f>"201511025086"</f>
        <v>201511025086</v>
      </c>
      <c r="H538" t="s">
        <v>1060</v>
      </c>
      <c r="I538">
        <v>0</v>
      </c>
      <c r="J538">
        <v>0</v>
      </c>
      <c r="K538">
        <v>0</v>
      </c>
      <c r="L538">
        <v>0</v>
      </c>
      <c r="M538">
        <v>0</v>
      </c>
      <c r="N538">
        <v>0</v>
      </c>
      <c r="O538">
        <v>0</v>
      </c>
      <c r="P538">
        <v>0</v>
      </c>
      <c r="Q538">
        <v>0</v>
      </c>
      <c r="R538">
        <v>84</v>
      </c>
      <c r="S538">
        <v>588</v>
      </c>
      <c r="V538">
        <v>0</v>
      </c>
      <c r="W538" t="s">
        <v>1061</v>
      </c>
    </row>
    <row r="539" spans="1:23" x14ac:dyDescent="0.25">
      <c r="H539" t="s">
        <v>1062</v>
      </c>
    </row>
    <row r="540" spans="1:23" x14ac:dyDescent="0.25">
      <c r="A540">
        <v>267</v>
      </c>
      <c r="B540">
        <v>7465</v>
      </c>
      <c r="C540" t="s">
        <v>1063</v>
      </c>
      <c r="D540" t="s">
        <v>497</v>
      </c>
      <c r="E540" t="s">
        <v>523</v>
      </c>
      <c r="F540" t="s">
        <v>1064</v>
      </c>
      <c r="G540" t="str">
        <f>"201604002779"</f>
        <v>201604002779</v>
      </c>
      <c r="H540">
        <v>759</v>
      </c>
      <c r="I540">
        <v>0</v>
      </c>
      <c r="J540">
        <v>30</v>
      </c>
      <c r="K540">
        <v>0</v>
      </c>
      <c r="L540">
        <v>0</v>
      </c>
      <c r="M540">
        <v>0</v>
      </c>
      <c r="N540">
        <v>0</v>
      </c>
      <c r="O540">
        <v>0</v>
      </c>
      <c r="P540">
        <v>0</v>
      </c>
      <c r="Q540">
        <v>0</v>
      </c>
      <c r="R540">
        <v>119</v>
      </c>
      <c r="S540">
        <v>588</v>
      </c>
      <c r="V540">
        <v>2</v>
      </c>
      <c r="W540">
        <v>1377</v>
      </c>
    </row>
    <row r="541" spans="1:23" x14ac:dyDescent="0.25">
      <c r="H541" t="s">
        <v>1065</v>
      </c>
    </row>
    <row r="542" spans="1:23" x14ac:dyDescent="0.25">
      <c r="A542">
        <v>268</v>
      </c>
      <c r="B542">
        <v>2102</v>
      </c>
      <c r="C542" t="s">
        <v>1066</v>
      </c>
      <c r="D542" t="s">
        <v>1067</v>
      </c>
      <c r="E542" t="s">
        <v>71</v>
      </c>
      <c r="F542" t="s">
        <v>1068</v>
      </c>
      <c r="G542" t="str">
        <f>"201603000287"</f>
        <v>201603000287</v>
      </c>
      <c r="H542" t="s">
        <v>603</v>
      </c>
      <c r="I542">
        <v>0</v>
      </c>
      <c r="J542">
        <v>30</v>
      </c>
      <c r="K542">
        <v>0</v>
      </c>
      <c r="L542">
        <v>0</v>
      </c>
      <c r="M542">
        <v>0</v>
      </c>
      <c r="N542">
        <v>0</v>
      </c>
      <c r="O542">
        <v>0</v>
      </c>
      <c r="P542">
        <v>0</v>
      </c>
      <c r="Q542">
        <v>0</v>
      </c>
      <c r="R542">
        <v>58</v>
      </c>
      <c r="S542">
        <v>406</v>
      </c>
      <c r="V542">
        <v>0</v>
      </c>
      <c r="W542" t="s">
        <v>1069</v>
      </c>
    </row>
    <row r="543" spans="1:23" x14ac:dyDescent="0.25">
      <c r="H543" t="s">
        <v>1070</v>
      </c>
    </row>
    <row r="544" spans="1:23" x14ac:dyDescent="0.25">
      <c r="A544">
        <v>269</v>
      </c>
      <c r="B544">
        <v>8237</v>
      </c>
      <c r="C544" t="s">
        <v>1071</v>
      </c>
      <c r="D544" t="s">
        <v>95</v>
      </c>
      <c r="E544" t="s">
        <v>175</v>
      </c>
      <c r="F544" t="s">
        <v>1072</v>
      </c>
      <c r="G544" t="str">
        <f>"00088853"</f>
        <v>00088853</v>
      </c>
      <c r="H544" t="s">
        <v>1073</v>
      </c>
      <c r="I544">
        <v>0</v>
      </c>
      <c r="J544">
        <v>0</v>
      </c>
      <c r="K544">
        <v>0</v>
      </c>
      <c r="L544">
        <v>0</v>
      </c>
      <c r="M544">
        <v>0</v>
      </c>
      <c r="N544">
        <v>0</v>
      </c>
      <c r="O544">
        <v>0</v>
      </c>
      <c r="P544">
        <v>0</v>
      </c>
      <c r="Q544">
        <v>0</v>
      </c>
      <c r="R544">
        <v>168</v>
      </c>
      <c r="S544">
        <v>588</v>
      </c>
      <c r="V544">
        <v>2</v>
      </c>
      <c r="W544" t="s">
        <v>1074</v>
      </c>
    </row>
    <row r="545" spans="1:23" x14ac:dyDescent="0.25">
      <c r="H545" t="s">
        <v>1075</v>
      </c>
    </row>
    <row r="546" spans="1:23" x14ac:dyDescent="0.25">
      <c r="A546">
        <v>270</v>
      </c>
      <c r="B546">
        <v>8525</v>
      </c>
      <c r="C546" t="s">
        <v>1076</v>
      </c>
      <c r="D546" t="s">
        <v>156</v>
      </c>
      <c r="E546" t="s">
        <v>42</v>
      </c>
      <c r="F546" t="s">
        <v>1077</v>
      </c>
      <c r="G546" t="str">
        <f>"201511043216"</f>
        <v>201511043216</v>
      </c>
      <c r="H546" t="s">
        <v>609</v>
      </c>
      <c r="I546">
        <v>0</v>
      </c>
      <c r="J546">
        <v>0</v>
      </c>
      <c r="K546">
        <v>0</v>
      </c>
      <c r="L546">
        <v>0</v>
      </c>
      <c r="M546">
        <v>0</v>
      </c>
      <c r="N546">
        <v>0</v>
      </c>
      <c r="O546">
        <v>0</v>
      </c>
      <c r="P546">
        <v>0</v>
      </c>
      <c r="Q546">
        <v>0</v>
      </c>
      <c r="R546">
        <v>43</v>
      </c>
      <c r="S546">
        <v>301</v>
      </c>
      <c r="V546">
        <v>2</v>
      </c>
      <c r="W546" t="s">
        <v>1078</v>
      </c>
    </row>
    <row r="547" spans="1:23" x14ac:dyDescent="0.25">
      <c r="H547" t="s">
        <v>1079</v>
      </c>
    </row>
    <row r="548" spans="1:23" x14ac:dyDescent="0.25">
      <c r="A548">
        <v>271</v>
      </c>
      <c r="B548">
        <v>5698</v>
      </c>
      <c r="C548" t="s">
        <v>1080</v>
      </c>
      <c r="D548" t="s">
        <v>352</v>
      </c>
      <c r="E548" t="s">
        <v>21</v>
      </c>
      <c r="F548" t="s">
        <v>1081</v>
      </c>
      <c r="G548" t="str">
        <f>"201511009525"</f>
        <v>201511009525</v>
      </c>
      <c r="H548" t="s">
        <v>1082</v>
      </c>
      <c r="I548">
        <v>0</v>
      </c>
      <c r="J548">
        <v>0</v>
      </c>
      <c r="K548">
        <v>0</v>
      </c>
      <c r="L548">
        <v>0</v>
      </c>
      <c r="M548">
        <v>0</v>
      </c>
      <c r="N548">
        <v>0</v>
      </c>
      <c r="O548">
        <v>0</v>
      </c>
      <c r="P548">
        <v>0</v>
      </c>
      <c r="Q548">
        <v>0</v>
      </c>
      <c r="R548">
        <v>92</v>
      </c>
      <c r="S548">
        <v>588</v>
      </c>
      <c r="V548">
        <v>0</v>
      </c>
      <c r="W548" t="s">
        <v>1083</v>
      </c>
    </row>
    <row r="549" spans="1:23" x14ac:dyDescent="0.25">
      <c r="H549" t="s">
        <v>1084</v>
      </c>
    </row>
    <row r="550" spans="1:23" x14ac:dyDescent="0.25">
      <c r="A550">
        <v>272</v>
      </c>
      <c r="B550">
        <v>9488</v>
      </c>
      <c r="C550" t="s">
        <v>432</v>
      </c>
      <c r="D550" t="s">
        <v>14</v>
      </c>
      <c r="E550" t="s">
        <v>42</v>
      </c>
      <c r="F550" t="s">
        <v>1085</v>
      </c>
      <c r="G550" t="str">
        <f>"00069948"</f>
        <v>00069948</v>
      </c>
      <c r="H550">
        <v>935</v>
      </c>
      <c r="I550">
        <v>0</v>
      </c>
      <c r="J550">
        <v>30</v>
      </c>
      <c r="K550">
        <v>0</v>
      </c>
      <c r="L550">
        <v>0</v>
      </c>
      <c r="M550">
        <v>0</v>
      </c>
      <c r="N550">
        <v>0</v>
      </c>
      <c r="O550">
        <v>0</v>
      </c>
      <c r="P550">
        <v>0</v>
      </c>
      <c r="Q550">
        <v>0</v>
      </c>
      <c r="R550">
        <v>58</v>
      </c>
      <c r="S550">
        <v>406</v>
      </c>
      <c r="V550">
        <v>0</v>
      </c>
      <c r="W550">
        <v>1371</v>
      </c>
    </row>
    <row r="551" spans="1:23" x14ac:dyDescent="0.25">
      <c r="H551" t="s">
        <v>1086</v>
      </c>
    </row>
    <row r="552" spans="1:23" x14ac:dyDescent="0.25">
      <c r="A552">
        <v>273</v>
      </c>
      <c r="B552">
        <v>2507</v>
      </c>
      <c r="C552" t="s">
        <v>1087</v>
      </c>
      <c r="D552" t="s">
        <v>140</v>
      </c>
      <c r="E552" t="s">
        <v>141</v>
      </c>
      <c r="F552" t="s">
        <v>1088</v>
      </c>
      <c r="G552" t="str">
        <f>"00023451"</f>
        <v>00023451</v>
      </c>
      <c r="H552">
        <v>825</v>
      </c>
      <c r="I552">
        <v>0</v>
      </c>
      <c r="J552">
        <v>0</v>
      </c>
      <c r="K552">
        <v>0</v>
      </c>
      <c r="L552">
        <v>0</v>
      </c>
      <c r="M552">
        <v>0</v>
      </c>
      <c r="N552">
        <v>0</v>
      </c>
      <c r="O552">
        <v>0</v>
      </c>
      <c r="P552">
        <v>0</v>
      </c>
      <c r="Q552">
        <v>0</v>
      </c>
      <c r="R552">
        <v>78</v>
      </c>
      <c r="S552">
        <v>546</v>
      </c>
      <c r="V552">
        <v>0</v>
      </c>
      <c r="W552">
        <v>1371</v>
      </c>
    </row>
    <row r="553" spans="1:23" x14ac:dyDescent="0.25">
      <c r="H553" t="s">
        <v>1089</v>
      </c>
    </row>
    <row r="554" spans="1:23" x14ac:dyDescent="0.25">
      <c r="A554">
        <v>274</v>
      </c>
      <c r="B554">
        <v>2507</v>
      </c>
      <c r="C554" t="s">
        <v>1087</v>
      </c>
      <c r="D554" t="s">
        <v>140</v>
      </c>
      <c r="E554" t="s">
        <v>141</v>
      </c>
      <c r="F554" t="s">
        <v>1088</v>
      </c>
      <c r="G554" t="str">
        <f>"00023451"</f>
        <v>00023451</v>
      </c>
      <c r="H554">
        <v>825</v>
      </c>
      <c r="I554">
        <v>0</v>
      </c>
      <c r="J554">
        <v>0</v>
      </c>
      <c r="K554">
        <v>0</v>
      </c>
      <c r="L554">
        <v>0</v>
      </c>
      <c r="M554">
        <v>0</v>
      </c>
      <c r="N554">
        <v>0</v>
      </c>
      <c r="O554">
        <v>0</v>
      </c>
      <c r="P554">
        <v>0</v>
      </c>
      <c r="Q554">
        <v>0</v>
      </c>
      <c r="R554">
        <v>78</v>
      </c>
      <c r="S554">
        <v>546</v>
      </c>
      <c r="T554">
        <v>6</v>
      </c>
      <c r="U554">
        <v>932</v>
      </c>
      <c r="V554">
        <v>0</v>
      </c>
      <c r="W554">
        <v>1371</v>
      </c>
    </row>
    <row r="555" spans="1:23" x14ac:dyDescent="0.25">
      <c r="H555" t="s">
        <v>1089</v>
      </c>
    </row>
    <row r="556" spans="1:23" x14ac:dyDescent="0.25">
      <c r="A556">
        <v>275</v>
      </c>
      <c r="B556">
        <v>7592</v>
      </c>
      <c r="C556" t="s">
        <v>1090</v>
      </c>
      <c r="D556" t="s">
        <v>190</v>
      </c>
      <c r="E556" t="s">
        <v>21</v>
      </c>
      <c r="F556" t="s">
        <v>1091</v>
      </c>
      <c r="G556" t="str">
        <f>"201511027346"</f>
        <v>201511027346</v>
      </c>
      <c r="H556" t="s">
        <v>529</v>
      </c>
      <c r="I556">
        <v>0</v>
      </c>
      <c r="J556">
        <v>30</v>
      </c>
      <c r="K556">
        <v>0</v>
      </c>
      <c r="L556">
        <v>0</v>
      </c>
      <c r="M556">
        <v>0</v>
      </c>
      <c r="N556">
        <v>0</v>
      </c>
      <c r="O556">
        <v>0</v>
      </c>
      <c r="P556">
        <v>0</v>
      </c>
      <c r="Q556">
        <v>0</v>
      </c>
      <c r="R556">
        <v>54</v>
      </c>
      <c r="S556">
        <v>378</v>
      </c>
      <c r="V556">
        <v>0</v>
      </c>
      <c r="W556" t="s">
        <v>1092</v>
      </c>
    </row>
    <row r="557" spans="1:23" x14ac:dyDescent="0.25">
      <c r="H557" t="s">
        <v>1093</v>
      </c>
    </row>
    <row r="558" spans="1:23" x14ac:dyDescent="0.25">
      <c r="A558">
        <v>276</v>
      </c>
      <c r="B558">
        <v>1976</v>
      </c>
      <c r="C558" t="s">
        <v>1094</v>
      </c>
      <c r="D558" t="s">
        <v>21</v>
      </c>
      <c r="E558" t="s">
        <v>1095</v>
      </c>
      <c r="F558" t="s">
        <v>1096</v>
      </c>
      <c r="G558" t="str">
        <f>"00046290"</f>
        <v>00046290</v>
      </c>
      <c r="H558" t="s">
        <v>1097</v>
      </c>
      <c r="I558">
        <v>0</v>
      </c>
      <c r="J558">
        <v>0</v>
      </c>
      <c r="K558">
        <v>0</v>
      </c>
      <c r="L558">
        <v>0</v>
      </c>
      <c r="M558">
        <v>0</v>
      </c>
      <c r="N558">
        <v>0</v>
      </c>
      <c r="O558">
        <v>0</v>
      </c>
      <c r="P558">
        <v>0</v>
      </c>
      <c r="Q558">
        <v>0</v>
      </c>
      <c r="R558">
        <v>56</v>
      </c>
      <c r="S558">
        <v>392</v>
      </c>
      <c r="V558">
        <v>0</v>
      </c>
      <c r="W558" t="s">
        <v>1098</v>
      </c>
    </row>
    <row r="559" spans="1:23" x14ac:dyDescent="0.25">
      <c r="H559" t="s">
        <v>1099</v>
      </c>
    </row>
    <row r="560" spans="1:23" x14ac:dyDescent="0.25">
      <c r="A560">
        <v>277</v>
      </c>
      <c r="B560">
        <v>8433</v>
      </c>
      <c r="C560" t="s">
        <v>1100</v>
      </c>
      <c r="D560" t="s">
        <v>21</v>
      </c>
      <c r="E560" t="s">
        <v>95</v>
      </c>
      <c r="F560" t="s">
        <v>1101</v>
      </c>
      <c r="G560" t="str">
        <f>"00103648"</f>
        <v>00103648</v>
      </c>
      <c r="H560" t="s">
        <v>1102</v>
      </c>
      <c r="I560">
        <v>0</v>
      </c>
      <c r="J560">
        <v>0</v>
      </c>
      <c r="K560">
        <v>0</v>
      </c>
      <c r="L560">
        <v>0</v>
      </c>
      <c r="M560">
        <v>0</v>
      </c>
      <c r="N560">
        <v>0</v>
      </c>
      <c r="O560">
        <v>0</v>
      </c>
      <c r="P560">
        <v>0</v>
      </c>
      <c r="Q560">
        <v>0</v>
      </c>
      <c r="R560">
        <v>96</v>
      </c>
      <c r="S560">
        <v>588</v>
      </c>
      <c r="V560">
        <v>0</v>
      </c>
      <c r="W560" t="s">
        <v>1103</v>
      </c>
    </row>
    <row r="561" spans="1:23" x14ac:dyDescent="0.25">
      <c r="H561" t="s">
        <v>1104</v>
      </c>
    </row>
    <row r="562" spans="1:23" x14ac:dyDescent="0.25">
      <c r="A562">
        <v>278</v>
      </c>
      <c r="B562">
        <v>9949</v>
      </c>
      <c r="C562" t="s">
        <v>1105</v>
      </c>
      <c r="D562" t="s">
        <v>1106</v>
      </c>
      <c r="E562" t="s">
        <v>1107</v>
      </c>
      <c r="F562" t="s">
        <v>1108</v>
      </c>
      <c r="G562" t="str">
        <f>"00041878"</f>
        <v>00041878</v>
      </c>
      <c r="H562" t="s">
        <v>789</v>
      </c>
      <c r="I562">
        <v>150</v>
      </c>
      <c r="J562">
        <v>0</v>
      </c>
      <c r="K562">
        <v>0</v>
      </c>
      <c r="L562">
        <v>0</v>
      </c>
      <c r="M562">
        <v>0</v>
      </c>
      <c r="N562">
        <v>0</v>
      </c>
      <c r="O562">
        <v>0</v>
      </c>
      <c r="P562">
        <v>0</v>
      </c>
      <c r="Q562">
        <v>0</v>
      </c>
      <c r="R562">
        <v>46</v>
      </c>
      <c r="S562">
        <v>322</v>
      </c>
      <c r="V562">
        <v>0</v>
      </c>
      <c r="W562" t="s">
        <v>1109</v>
      </c>
    </row>
    <row r="563" spans="1:23" x14ac:dyDescent="0.25">
      <c r="H563" t="s">
        <v>1110</v>
      </c>
    </row>
    <row r="564" spans="1:23" x14ac:dyDescent="0.25">
      <c r="A564">
        <v>279</v>
      </c>
      <c r="B564">
        <v>6591</v>
      </c>
      <c r="C564" t="s">
        <v>1111</v>
      </c>
      <c r="D564" t="s">
        <v>1112</v>
      </c>
      <c r="E564" t="s">
        <v>1113</v>
      </c>
      <c r="F564" t="s">
        <v>1114</v>
      </c>
      <c r="G564" t="str">
        <f>"00076463"</f>
        <v>00076463</v>
      </c>
      <c r="H564" t="s">
        <v>682</v>
      </c>
      <c r="I564">
        <v>0</v>
      </c>
      <c r="J564">
        <v>0</v>
      </c>
      <c r="K564">
        <v>0</v>
      </c>
      <c r="L564">
        <v>0</v>
      </c>
      <c r="M564">
        <v>0</v>
      </c>
      <c r="N564">
        <v>0</v>
      </c>
      <c r="O564">
        <v>0</v>
      </c>
      <c r="P564">
        <v>0</v>
      </c>
      <c r="Q564">
        <v>0</v>
      </c>
      <c r="R564">
        <v>63</v>
      </c>
      <c r="S564">
        <v>441</v>
      </c>
      <c r="V564">
        <v>0</v>
      </c>
      <c r="W564" t="s">
        <v>1115</v>
      </c>
    </row>
    <row r="565" spans="1:23" x14ac:dyDescent="0.25">
      <c r="H565" t="s">
        <v>1116</v>
      </c>
    </row>
    <row r="566" spans="1:23" x14ac:dyDescent="0.25">
      <c r="A566">
        <v>280</v>
      </c>
      <c r="B566">
        <v>7250</v>
      </c>
      <c r="C566" t="s">
        <v>1117</v>
      </c>
      <c r="D566" t="s">
        <v>475</v>
      </c>
      <c r="E566" t="s">
        <v>877</v>
      </c>
      <c r="F566" t="s">
        <v>1118</v>
      </c>
      <c r="G566" t="str">
        <f>"00031583"</f>
        <v>00031583</v>
      </c>
      <c r="H566">
        <v>770</v>
      </c>
      <c r="I566">
        <v>0</v>
      </c>
      <c r="J566">
        <v>0</v>
      </c>
      <c r="K566">
        <v>0</v>
      </c>
      <c r="L566">
        <v>0</v>
      </c>
      <c r="M566">
        <v>0</v>
      </c>
      <c r="N566">
        <v>0</v>
      </c>
      <c r="O566">
        <v>0</v>
      </c>
      <c r="P566">
        <v>0</v>
      </c>
      <c r="Q566">
        <v>0</v>
      </c>
      <c r="R566">
        <v>84</v>
      </c>
      <c r="S566">
        <v>588</v>
      </c>
      <c r="V566">
        <v>1</v>
      </c>
      <c r="W566">
        <v>1358</v>
      </c>
    </row>
    <row r="567" spans="1:23" x14ac:dyDescent="0.25">
      <c r="H567" t="s">
        <v>1119</v>
      </c>
    </row>
    <row r="568" spans="1:23" x14ac:dyDescent="0.25">
      <c r="A568">
        <v>281</v>
      </c>
      <c r="B568">
        <v>9607</v>
      </c>
      <c r="C568" t="s">
        <v>1120</v>
      </c>
      <c r="D568" t="s">
        <v>272</v>
      </c>
      <c r="E568" t="s">
        <v>32</v>
      </c>
      <c r="F568" t="s">
        <v>1121</v>
      </c>
      <c r="G568" t="str">
        <f>"00084704"</f>
        <v>00084704</v>
      </c>
      <c r="H568">
        <v>770</v>
      </c>
      <c r="I568">
        <v>0</v>
      </c>
      <c r="J568">
        <v>0</v>
      </c>
      <c r="K568">
        <v>0</v>
      </c>
      <c r="L568">
        <v>0</v>
      </c>
      <c r="M568">
        <v>0</v>
      </c>
      <c r="N568">
        <v>0</v>
      </c>
      <c r="O568">
        <v>0</v>
      </c>
      <c r="P568">
        <v>0</v>
      </c>
      <c r="Q568">
        <v>0</v>
      </c>
      <c r="R568">
        <v>84</v>
      </c>
      <c r="S568">
        <v>588</v>
      </c>
      <c r="V568">
        <v>0</v>
      </c>
      <c r="W568">
        <v>1358</v>
      </c>
    </row>
    <row r="569" spans="1:23" x14ac:dyDescent="0.25">
      <c r="H569" t="s">
        <v>1122</v>
      </c>
    </row>
    <row r="570" spans="1:23" x14ac:dyDescent="0.25">
      <c r="A570">
        <v>282</v>
      </c>
      <c r="B570">
        <v>5100</v>
      </c>
      <c r="C570" t="s">
        <v>1123</v>
      </c>
      <c r="D570" t="s">
        <v>1124</v>
      </c>
      <c r="E570" t="s">
        <v>26</v>
      </c>
      <c r="F570" t="s">
        <v>1125</v>
      </c>
      <c r="G570" t="str">
        <f>"201511020312"</f>
        <v>201511020312</v>
      </c>
      <c r="H570">
        <v>770</v>
      </c>
      <c r="I570">
        <v>0</v>
      </c>
      <c r="J570">
        <v>0</v>
      </c>
      <c r="K570">
        <v>0</v>
      </c>
      <c r="L570">
        <v>0</v>
      </c>
      <c r="M570">
        <v>0</v>
      </c>
      <c r="N570">
        <v>0</v>
      </c>
      <c r="O570">
        <v>0</v>
      </c>
      <c r="P570">
        <v>0</v>
      </c>
      <c r="Q570">
        <v>0</v>
      </c>
      <c r="R570">
        <v>117</v>
      </c>
      <c r="S570">
        <v>588</v>
      </c>
      <c r="V570">
        <v>0</v>
      </c>
      <c r="W570">
        <v>1358</v>
      </c>
    </row>
    <row r="571" spans="1:23" x14ac:dyDescent="0.25">
      <c r="H571" t="s">
        <v>1126</v>
      </c>
    </row>
    <row r="572" spans="1:23" x14ac:dyDescent="0.25">
      <c r="A572">
        <v>283</v>
      </c>
      <c r="B572">
        <v>9862</v>
      </c>
      <c r="C572" t="s">
        <v>1127</v>
      </c>
      <c r="D572" t="s">
        <v>53</v>
      </c>
      <c r="E572" t="s">
        <v>21</v>
      </c>
      <c r="F572" t="s">
        <v>1128</v>
      </c>
      <c r="G572" t="str">
        <f>"00046107"</f>
        <v>00046107</v>
      </c>
      <c r="H572">
        <v>770</v>
      </c>
      <c r="I572">
        <v>0</v>
      </c>
      <c r="J572">
        <v>0</v>
      </c>
      <c r="K572">
        <v>0</v>
      </c>
      <c r="L572">
        <v>0</v>
      </c>
      <c r="M572">
        <v>0</v>
      </c>
      <c r="N572">
        <v>0</v>
      </c>
      <c r="O572">
        <v>0</v>
      </c>
      <c r="P572">
        <v>0</v>
      </c>
      <c r="Q572">
        <v>0</v>
      </c>
      <c r="R572">
        <v>106</v>
      </c>
      <c r="S572">
        <v>588</v>
      </c>
      <c r="V572">
        <v>0</v>
      </c>
      <c r="W572">
        <v>1358</v>
      </c>
    </row>
    <row r="573" spans="1:23" x14ac:dyDescent="0.25">
      <c r="H573" t="s">
        <v>1129</v>
      </c>
    </row>
    <row r="574" spans="1:23" x14ac:dyDescent="0.25">
      <c r="A574">
        <v>284</v>
      </c>
      <c r="B574">
        <v>8488</v>
      </c>
      <c r="C574" t="s">
        <v>1130</v>
      </c>
      <c r="D574" t="s">
        <v>26</v>
      </c>
      <c r="E574" t="s">
        <v>71</v>
      </c>
      <c r="F574" t="s">
        <v>1131</v>
      </c>
      <c r="G574" t="str">
        <f>"201511015508"</f>
        <v>201511015508</v>
      </c>
      <c r="H574">
        <v>770</v>
      </c>
      <c r="I574">
        <v>0</v>
      </c>
      <c r="J574">
        <v>0</v>
      </c>
      <c r="K574">
        <v>0</v>
      </c>
      <c r="L574">
        <v>0</v>
      </c>
      <c r="M574">
        <v>0</v>
      </c>
      <c r="N574">
        <v>0</v>
      </c>
      <c r="O574">
        <v>0</v>
      </c>
      <c r="P574">
        <v>0</v>
      </c>
      <c r="Q574">
        <v>0</v>
      </c>
      <c r="R574">
        <v>108</v>
      </c>
      <c r="S574">
        <v>588</v>
      </c>
      <c r="V574">
        <v>0</v>
      </c>
      <c r="W574">
        <v>1358</v>
      </c>
    </row>
    <row r="575" spans="1:23" x14ac:dyDescent="0.25">
      <c r="H575" t="s">
        <v>1132</v>
      </c>
    </row>
    <row r="576" spans="1:23" x14ac:dyDescent="0.25">
      <c r="A576">
        <v>285</v>
      </c>
      <c r="B576">
        <v>6560</v>
      </c>
      <c r="C576" t="s">
        <v>1133</v>
      </c>
      <c r="D576" t="s">
        <v>31</v>
      </c>
      <c r="E576" t="s">
        <v>53</v>
      </c>
      <c r="F576" t="s">
        <v>1134</v>
      </c>
      <c r="G576" t="str">
        <f>"201511043474"</f>
        <v>201511043474</v>
      </c>
      <c r="H576">
        <v>770</v>
      </c>
      <c r="I576">
        <v>0</v>
      </c>
      <c r="J576">
        <v>0</v>
      </c>
      <c r="K576">
        <v>0</v>
      </c>
      <c r="L576">
        <v>0</v>
      </c>
      <c r="M576">
        <v>0</v>
      </c>
      <c r="N576">
        <v>0</v>
      </c>
      <c r="O576">
        <v>0</v>
      </c>
      <c r="P576">
        <v>0</v>
      </c>
      <c r="Q576">
        <v>0</v>
      </c>
      <c r="R576">
        <v>168</v>
      </c>
      <c r="S576">
        <v>588</v>
      </c>
      <c r="V576">
        <v>1</v>
      </c>
      <c r="W576">
        <v>1358</v>
      </c>
    </row>
    <row r="577" spans="1:23" x14ac:dyDescent="0.25">
      <c r="H577" t="s">
        <v>1135</v>
      </c>
    </row>
    <row r="578" spans="1:23" x14ac:dyDescent="0.25">
      <c r="A578">
        <v>286</v>
      </c>
      <c r="B578">
        <v>9346</v>
      </c>
      <c r="C578" t="s">
        <v>1136</v>
      </c>
      <c r="D578" t="s">
        <v>94</v>
      </c>
      <c r="E578" t="s">
        <v>95</v>
      </c>
      <c r="F578" t="s">
        <v>1137</v>
      </c>
      <c r="G578" t="str">
        <f>"00050621"</f>
        <v>00050621</v>
      </c>
      <c r="H578">
        <v>770</v>
      </c>
      <c r="I578">
        <v>0</v>
      </c>
      <c r="J578">
        <v>0</v>
      </c>
      <c r="K578">
        <v>0</v>
      </c>
      <c r="L578">
        <v>0</v>
      </c>
      <c r="M578">
        <v>0</v>
      </c>
      <c r="N578">
        <v>0</v>
      </c>
      <c r="O578">
        <v>0</v>
      </c>
      <c r="P578">
        <v>0</v>
      </c>
      <c r="Q578">
        <v>0</v>
      </c>
      <c r="R578">
        <v>84</v>
      </c>
      <c r="S578">
        <v>588</v>
      </c>
      <c r="V578">
        <v>1</v>
      </c>
      <c r="W578">
        <v>1358</v>
      </c>
    </row>
    <row r="579" spans="1:23" x14ac:dyDescent="0.25">
      <c r="H579" t="s">
        <v>1138</v>
      </c>
    </row>
    <row r="580" spans="1:23" x14ac:dyDescent="0.25">
      <c r="A580">
        <v>287</v>
      </c>
      <c r="B580">
        <v>10444</v>
      </c>
      <c r="C580" t="s">
        <v>1139</v>
      </c>
      <c r="D580" t="s">
        <v>272</v>
      </c>
      <c r="E580" t="s">
        <v>71</v>
      </c>
      <c r="F580" t="s">
        <v>1140</v>
      </c>
      <c r="G580" t="str">
        <f>"201511033730"</f>
        <v>201511033730</v>
      </c>
      <c r="H580">
        <v>825</v>
      </c>
      <c r="I580">
        <v>0</v>
      </c>
      <c r="J580">
        <v>0</v>
      </c>
      <c r="K580">
        <v>0</v>
      </c>
      <c r="L580">
        <v>0</v>
      </c>
      <c r="M580">
        <v>0</v>
      </c>
      <c r="N580">
        <v>0</v>
      </c>
      <c r="O580">
        <v>0</v>
      </c>
      <c r="P580">
        <v>0</v>
      </c>
      <c r="Q580">
        <v>0</v>
      </c>
      <c r="R580">
        <v>76</v>
      </c>
      <c r="S580">
        <v>532</v>
      </c>
      <c r="V580">
        <v>0</v>
      </c>
      <c r="W580">
        <v>1357</v>
      </c>
    </row>
    <row r="581" spans="1:23" x14ac:dyDescent="0.25">
      <c r="H581" t="s">
        <v>1141</v>
      </c>
    </row>
    <row r="582" spans="1:23" x14ac:dyDescent="0.25">
      <c r="A582">
        <v>288</v>
      </c>
      <c r="B582">
        <v>3195</v>
      </c>
      <c r="C582" t="s">
        <v>1142</v>
      </c>
      <c r="D582" t="s">
        <v>94</v>
      </c>
      <c r="E582" t="s">
        <v>767</v>
      </c>
      <c r="F582" t="s">
        <v>1143</v>
      </c>
      <c r="G582" t="str">
        <f>"201511028377"</f>
        <v>201511028377</v>
      </c>
      <c r="H582">
        <v>1023</v>
      </c>
      <c r="I582">
        <v>150</v>
      </c>
      <c r="J582">
        <v>0</v>
      </c>
      <c r="K582">
        <v>0</v>
      </c>
      <c r="L582">
        <v>0</v>
      </c>
      <c r="M582">
        <v>0</v>
      </c>
      <c r="N582">
        <v>0</v>
      </c>
      <c r="O582">
        <v>0</v>
      </c>
      <c r="P582">
        <v>0</v>
      </c>
      <c r="Q582">
        <v>0</v>
      </c>
      <c r="R582">
        <v>26</v>
      </c>
      <c r="S582">
        <v>182</v>
      </c>
      <c r="V582">
        <v>0</v>
      </c>
      <c r="W582">
        <v>1355</v>
      </c>
    </row>
    <row r="583" spans="1:23" x14ac:dyDescent="0.25">
      <c r="H583" t="s">
        <v>1144</v>
      </c>
    </row>
    <row r="584" spans="1:23" x14ac:dyDescent="0.25">
      <c r="A584">
        <v>289</v>
      </c>
      <c r="B584">
        <v>87</v>
      </c>
      <c r="C584" t="s">
        <v>1145</v>
      </c>
      <c r="D584" t="s">
        <v>42</v>
      </c>
      <c r="E584" t="s">
        <v>95</v>
      </c>
      <c r="F584" t="s">
        <v>1146</v>
      </c>
      <c r="G584" t="str">
        <f>"201409001030"</f>
        <v>201409001030</v>
      </c>
      <c r="H584" t="s">
        <v>1147</v>
      </c>
      <c r="I584">
        <v>0</v>
      </c>
      <c r="J584">
        <v>30</v>
      </c>
      <c r="K584">
        <v>0</v>
      </c>
      <c r="L584">
        <v>0</v>
      </c>
      <c r="M584">
        <v>0</v>
      </c>
      <c r="N584">
        <v>0</v>
      </c>
      <c r="O584">
        <v>0</v>
      </c>
      <c r="P584">
        <v>0</v>
      </c>
      <c r="Q584">
        <v>0</v>
      </c>
      <c r="R584">
        <v>95</v>
      </c>
      <c r="S584">
        <v>588</v>
      </c>
      <c r="V584">
        <v>1</v>
      </c>
      <c r="W584" t="s">
        <v>1148</v>
      </c>
    </row>
    <row r="585" spans="1:23" x14ac:dyDescent="0.25">
      <c r="H585" t="s">
        <v>1149</v>
      </c>
    </row>
    <row r="586" spans="1:23" x14ac:dyDescent="0.25">
      <c r="A586">
        <v>290</v>
      </c>
      <c r="B586">
        <v>6644</v>
      </c>
      <c r="C586" t="s">
        <v>1150</v>
      </c>
      <c r="D586" t="s">
        <v>1151</v>
      </c>
      <c r="E586" t="s">
        <v>32</v>
      </c>
      <c r="F586" t="s">
        <v>1152</v>
      </c>
      <c r="G586" t="str">
        <f>"201511011850"</f>
        <v>201511011850</v>
      </c>
      <c r="H586">
        <v>1100</v>
      </c>
      <c r="I586">
        <v>0</v>
      </c>
      <c r="J586">
        <v>0</v>
      </c>
      <c r="K586">
        <v>0</v>
      </c>
      <c r="L586">
        <v>0</v>
      </c>
      <c r="M586">
        <v>0</v>
      </c>
      <c r="N586">
        <v>0</v>
      </c>
      <c r="O586">
        <v>0</v>
      </c>
      <c r="P586">
        <v>0</v>
      </c>
      <c r="Q586">
        <v>0</v>
      </c>
      <c r="R586">
        <v>35</v>
      </c>
      <c r="S586">
        <v>245</v>
      </c>
      <c r="V586">
        <v>0</v>
      </c>
      <c r="W586">
        <v>1345</v>
      </c>
    </row>
    <row r="587" spans="1:23" x14ac:dyDescent="0.25">
      <c r="H587" t="s">
        <v>1153</v>
      </c>
    </row>
    <row r="588" spans="1:23" x14ac:dyDescent="0.25">
      <c r="A588">
        <v>291</v>
      </c>
      <c r="B588">
        <v>3846</v>
      </c>
      <c r="C588" t="s">
        <v>1154</v>
      </c>
      <c r="D588" t="s">
        <v>1155</v>
      </c>
      <c r="E588" t="s">
        <v>346</v>
      </c>
      <c r="F588" t="s">
        <v>1156</v>
      </c>
      <c r="G588" t="str">
        <f>"201511038766"</f>
        <v>201511038766</v>
      </c>
      <c r="H588" t="s">
        <v>1157</v>
      </c>
      <c r="I588">
        <v>0</v>
      </c>
      <c r="J588">
        <v>0</v>
      </c>
      <c r="K588">
        <v>0</v>
      </c>
      <c r="L588">
        <v>0</v>
      </c>
      <c r="M588">
        <v>0</v>
      </c>
      <c r="N588">
        <v>0</v>
      </c>
      <c r="O588">
        <v>0</v>
      </c>
      <c r="P588">
        <v>0</v>
      </c>
      <c r="Q588">
        <v>0</v>
      </c>
      <c r="R588">
        <v>223</v>
      </c>
      <c r="S588">
        <v>588</v>
      </c>
      <c r="V588">
        <v>0</v>
      </c>
      <c r="W588" t="s">
        <v>1158</v>
      </c>
    </row>
    <row r="589" spans="1:23" x14ac:dyDescent="0.25">
      <c r="H589" t="s">
        <v>1159</v>
      </c>
    </row>
    <row r="590" spans="1:23" x14ac:dyDescent="0.25">
      <c r="A590">
        <v>292</v>
      </c>
      <c r="B590">
        <v>8364</v>
      </c>
      <c r="C590" t="s">
        <v>345</v>
      </c>
      <c r="D590" t="s">
        <v>21</v>
      </c>
      <c r="E590" t="s">
        <v>71</v>
      </c>
      <c r="F590" t="s">
        <v>1160</v>
      </c>
      <c r="G590" t="str">
        <f>"201510001995"</f>
        <v>201510001995</v>
      </c>
      <c r="H590" t="s">
        <v>615</v>
      </c>
      <c r="I590">
        <v>150</v>
      </c>
      <c r="J590">
        <v>0</v>
      </c>
      <c r="K590">
        <v>0</v>
      </c>
      <c r="L590">
        <v>0</v>
      </c>
      <c r="M590">
        <v>0</v>
      </c>
      <c r="N590">
        <v>0</v>
      </c>
      <c r="O590">
        <v>0</v>
      </c>
      <c r="P590">
        <v>0</v>
      </c>
      <c r="Q590">
        <v>0</v>
      </c>
      <c r="R590">
        <v>37</v>
      </c>
      <c r="S590">
        <v>259</v>
      </c>
      <c r="V590">
        <v>0</v>
      </c>
      <c r="W590" t="s">
        <v>1161</v>
      </c>
    </row>
    <row r="591" spans="1:23" x14ac:dyDescent="0.25">
      <c r="H591" t="s">
        <v>1162</v>
      </c>
    </row>
    <row r="592" spans="1:23" x14ac:dyDescent="0.25">
      <c r="A592">
        <v>293</v>
      </c>
      <c r="B592">
        <v>284</v>
      </c>
      <c r="C592" t="s">
        <v>1163</v>
      </c>
      <c r="D592" t="s">
        <v>71</v>
      </c>
      <c r="E592" t="s">
        <v>704</v>
      </c>
      <c r="F592" t="s">
        <v>1164</v>
      </c>
      <c r="G592" t="str">
        <f>"201511019297"</f>
        <v>201511019297</v>
      </c>
      <c r="H592">
        <v>902</v>
      </c>
      <c r="I592">
        <v>150</v>
      </c>
      <c r="J592">
        <v>30</v>
      </c>
      <c r="K592">
        <v>0</v>
      </c>
      <c r="L592">
        <v>0</v>
      </c>
      <c r="M592">
        <v>0</v>
      </c>
      <c r="N592">
        <v>0</v>
      </c>
      <c r="O592">
        <v>0</v>
      </c>
      <c r="P592">
        <v>0</v>
      </c>
      <c r="Q592">
        <v>0</v>
      </c>
      <c r="R592">
        <v>36</v>
      </c>
      <c r="S592">
        <v>252</v>
      </c>
      <c r="V592">
        <v>0</v>
      </c>
      <c r="W592">
        <v>1334</v>
      </c>
    </row>
    <row r="593" spans="1:23" x14ac:dyDescent="0.25">
      <c r="H593" t="s">
        <v>1165</v>
      </c>
    </row>
    <row r="594" spans="1:23" x14ac:dyDescent="0.25">
      <c r="A594">
        <v>294</v>
      </c>
      <c r="B594">
        <v>2703</v>
      </c>
      <c r="C594" t="s">
        <v>1166</v>
      </c>
      <c r="D594" t="s">
        <v>190</v>
      </c>
      <c r="E594" t="s">
        <v>95</v>
      </c>
      <c r="F594" t="s">
        <v>1167</v>
      </c>
      <c r="G594" t="str">
        <f>"00057109"</f>
        <v>00057109</v>
      </c>
      <c r="H594">
        <v>715</v>
      </c>
      <c r="I594">
        <v>0</v>
      </c>
      <c r="J594">
        <v>30</v>
      </c>
      <c r="K594">
        <v>0</v>
      </c>
      <c r="L594">
        <v>0</v>
      </c>
      <c r="M594">
        <v>0</v>
      </c>
      <c r="N594">
        <v>0</v>
      </c>
      <c r="O594">
        <v>0</v>
      </c>
      <c r="P594">
        <v>0</v>
      </c>
      <c r="Q594">
        <v>0</v>
      </c>
      <c r="R594">
        <v>84</v>
      </c>
      <c r="S594">
        <v>588</v>
      </c>
      <c r="V594">
        <v>0</v>
      </c>
      <c r="W594">
        <v>1333</v>
      </c>
    </row>
    <row r="595" spans="1:23" x14ac:dyDescent="0.25">
      <c r="H595" t="s">
        <v>1168</v>
      </c>
    </row>
    <row r="596" spans="1:23" x14ac:dyDescent="0.25">
      <c r="A596">
        <v>295</v>
      </c>
      <c r="B596">
        <v>10276</v>
      </c>
      <c r="C596" t="s">
        <v>1169</v>
      </c>
      <c r="D596" t="s">
        <v>1170</v>
      </c>
      <c r="E596" t="s">
        <v>88</v>
      </c>
      <c r="F596" t="s">
        <v>1171</v>
      </c>
      <c r="G596" t="str">
        <f>"00092285"</f>
        <v>00092285</v>
      </c>
      <c r="H596">
        <v>715</v>
      </c>
      <c r="I596">
        <v>0</v>
      </c>
      <c r="J596">
        <v>30</v>
      </c>
      <c r="K596">
        <v>0</v>
      </c>
      <c r="L596">
        <v>0</v>
      </c>
      <c r="M596">
        <v>0</v>
      </c>
      <c r="N596">
        <v>0</v>
      </c>
      <c r="O596">
        <v>0</v>
      </c>
      <c r="P596">
        <v>0</v>
      </c>
      <c r="Q596">
        <v>0</v>
      </c>
      <c r="R596">
        <v>120</v>
      </c>
      <c r="S596">
        <v>588</v>
      </c>
      <c r="V596">
        <v>0</v>
      </c>
      <c r="W596">
        <v>1333</v>
      </c>
    </row>
    <row r="597" spans="1:23" x14ac:dyDescent="0.25">
      <c r="H597" t="s">
        <v>1172</v>
      </c>
    </row>
    <row r="598" spans="1:23" x14ac:dyDescent="0.25">
      <c r="A598">
        <v>296</v>
      </c>
      <c r="B598">
        <v>10514</v>
      </c>
      <c r="C598" t="s">
        <v>1173</v>
      </c>
      <c r="D598" t="s">
        <v>21</v>
      </c>
      <c r="E598" t="s">
        <v>380</v>
      </c>
      <c r="F598" t="s">
        <v>1174</v>
      </c>
      <c r="G598" t="str">
        <f>"201512001231"</f>
        <v>201512001231</v>
      </c>
      <c r="H598">
        <v>715</v>
      </c>
      <c r="I598">
        <v>0</v>
      </c>
      <c r="J598">
        <v>30</v>
      </c>
      <c r="K598">
        <v>0</v>
      </c>
      <c r="L598">
        <v>0</v>
      </c>
      <c r="M598">
        <v>0</v>
      </c>
      <c r="N598">
        <v>0</v>
      </c>
      <c r="O598">
        <v>0</v>
      </c>
      <c r="P598">
        <v>0</v>
      </c>
      <c r="Q598">
        <v>0</v>
      </c>
      <c r="R598">
        <v>101</v>
      </c>
      <c r="S598">
        <v>588</v>
      </c>
      <c r="V598">
        <v>0</v>
      </c>
      <c r="W598">
        <v>1333</v>
      </c>
    </row>
    <row r="599" spans="1:23" x14ac:dyDescent="0.25">
      <c r="H599" t="s">
        <v>1175</v>
      </c>
    </row>
    <row r="600" spans="1:23" x14ac:dyDescent="0.25">
      <c r="A600">
        <v>297</v>
      </c>
      <c r="B600">
        <v>5023</v>
      </c>
      <c r="C600" t="s">
        <v>1176</v>
      </c>
      <c r="D600" t="s">
        <v>352</v>
      </c>
      <c r="E600" t="s">
        <v>171</v>
      </c>
      <c r="F600" t="s">
        <v>1177</v>
      </c>
      <c r="G600" t="str">
        <f>"201511042506"</f>
        <v>201511042506</v>
      </c>
      <c r="H600" t="s">
        <v>1178</v>
      </c>
      <c r="I600">
        <v>0</v>
      </c>
      <c r="J600">
        <v>0</v>
      </c>
      <c r="K600">
        <v>0</v>
      </c>
      <c r="L600">
        <v>0</v>
      </c>
      <c r="M600">
        <v>0</v>
      </c>
      <c r="N600">
        <v>0</v>
      </c>
      <c r="O600">
        <v>0</v>
      </c>
      <c r="P600">
        <v>0</v>
      </c>
      <c r="Q600">
        <v>0</v>
      </c>
      <c r="R600">
        <v>68</v>
      </c>
      <c r="S600">
        <v>476</v>
      </c>
      <c r="V600">
        <v>0</v>
      </c>
      <c r="W600" t="s">
        <v>1179</v>
      </c>
    </row>
    <row r="601" spans="1:23" x14ac:dyDescent="0.25">
      <c r="H601" t="s">
        <v>1180</v>
      </c>
    </row>
    <row r="602" spans="1:23" x14ac:dyDescent="0.25">
      <c r="A602">
        <v>298</v>
      </c>
      <c r="B602">
        <v>1232</v>
      </c>
      <c r="C602" t="s">
        <v>1181</v>
      </c>
      <c r="D602" t="s">
        <v>156</v>
      </c>
      <c r="E602" t="s">
        <v>1182</v>
      </c>
      <c r="F602" t="s">
        <v>1183</v>
      </c>
      <c r="G602" t="str">
        <f>"201511012780"</f>
        <v>201511012780</v>
      </c>
      <c r="H602" t="s">
        <v>461</v>
      </c>
      <c r="I602">
        <v>0</v>
      </c>
      <c r="J602">
        <v>0</v>
      </c>
      <c r="K602">
        <v>0</v>
      </c>
      <c r="L602">
        <v>0</v>
      </c>
      <c r="M602">
        <v>0</v>
      </c>
      <c r="N602">
        <v>0</v>
      </c>
      <c r="O602">
        <v>0</v>
      </c>
      <c r="P602">
        <v>0</v>
      </c>
      <c r="Q602">
        <v>0</v>
      </c>
      <c r="R602">
        <v>50</v>
      </c>
      <c r="S602">
        <v>350</v>
      </c>
      <c r="V602">
        <v>0</v>
      </c>
      <c r="W602" t="s">
        <v>1184</v>
      </c>
    </row>
    <row r="603" spans="1:23" x14ac:dyDescent="0.25">
      <c r="H603" t="s">
        <v>1185</v>
      </c>
    </row>
    <row r="604" spans="1:23" x14ac:dyDescent="0.25">
      <c r="A604">
        <v>299</v>
      </c>
      <c r="B604">
        <v>145</v>
      </c>
      <c r="C604" t="s">
        <v>1186</v>
      </c>
      <c r="D604" t="s">
        <v>1187</v>
      </c>
      <c r="E604" t="s">
        <v>87</v>
      </c>
      <c r="F604" t="s">
        <v>1188</v>
      </c>
      <c r="G604" t="str">
        <f>"201511015683"</f>
        <v>201511015683</v>
      </c>
      <c r="H604">
        <v>990</v>
      </c>
      <c r="I604">
        <v>0</v>
      </c>
      <c r="J604">
        <v>30</v>
      </c>
      <c r="K604">
        <v>0</v>
      </c>
      <c r="L604">
        <v>0</v>
      </c>
      <c r="M604">
        <v>0</v>
      </c>
      <c r="N604">
        <v>0</v>
      </c>
      <c r="O604">
        <v>0</v>
      </c>
      <c r="P604">
        <v>0</v>
      </c>
      <c r="Q604">
        <v>0</v>
      </c>
      <c r="R604">
        <v>44</v>
      </c>
      <c r="S604">
        <v>308</v>
      </c>
      <c r="V604">
        <v>2</v>
      </c>
      <c r="W604">
        <v>1328</v>
      </c>
    </row>
    <row r="605" spans="1:23" x14ac:dyDescent="0.25">
      <c r="H605" t="s">
        <v>1189</v>
      </c>
    </row>
    <row r="606" spans="1:23" x14ac:dyDescent="0.25">
      <c r="A606">
        <v>300</v>
      </c>
      <c r="B606">
        <v>1487</v>
      </c>
      <c r="C606" t="s">
        <v>1190</v>
      </c>
      <c r="D606" t="s">
        <v>42</v>
      </c>
      <c r="E606" t="s">
        <v>53</v>
      </c>
      <c r="F606" t="s">
        <v>1191</v>
      </c>
      <c r="G606" t="str">
        <f>"201511037309"</f>
        <v>201511037309</v>
      </c>
      <c r="H606" t="s">
        <v>1192</v>
      </c>
      <c r="I606">
        <v>0</v>
      </c>
      <c r="J606">
        <v>0</v>
      </c>
      <c r="K606">
        <v>0</v>
      </c>
      <c r="L606">
        <v>0</v>
      </c>
      <c r="M606">
        <v>0</v>
      </c>
      <c r="N606">
        <v>0</v>
      </c>
      <c r="O606">
        <v>0</v>
      </c>
      <c r="P606">
        <v>0</v>
      </c>
      <c r="Q606">
        <v>0</v>
      </c>
      <c r="R606">
        <v>84</v>
      </c>
      <c r="S606">
        <v>588</v>
      </c>
      <c r="V606">
        <v>0</v>
      </c>
      <c r="W606" t="s">
        <v>1193</v>
      </c>
    </row>
    <row r="607" spans="1:23" x14ac:dyDescent="0.25">
      <c r="H607" t="s">
        <v>1194</v>
      </c>
    </row>
    <row r="608" spans="1:23" x14ac:dyDescent="0.25">
      <c r="A608">
        <v>301</v>
      </c>
      <c r="B608">
        <v>1989</v>
      </c>
      <c r="C608" t="s">
        <v>1195</v>
      </c>
      <c r="D608" t="s">
        <v>1196</v>
      </c>
      <c r="E608" t="s">
        <v>83</v>
      </c>
      <c r="F608" t="s">
        <v>1197</v>
      </c>
      <c r="G608" t="str">
        <f>"00021954"</f>
        <v>00021954</v>
      </c>
      <c r="H608" t="s">
        <v>955</v>
      </c>
      <c r="I608">
        <v>150</v>
      </c>
      <c r="J608">
        <v>0</v>
      </c>
      <c r="K608">
        <v>0</v>
      </c>
      <c r="L608">
        <v>0</v>
      </c>
      <c r="M608">
        <v>0</v>
      </c>
      <c r="N608">
        <v>0</v>
      </c>
      <c r="O608">
        <v>0</v>
      </c>
      <c r="P608">
        <v>0</v>
      </c>
      <c r="Q608">
        <v>0</v>
      </c>
      <c r="R608">
        <v>49</v>
      </c>
      <c r="S608">
        <v>343</v>
      </c>
      <c r="V608">
        <v>0</v>
      </c>
      <c r="W608" t="s">
        <v>1198</v>
      </c>
    </row>
    <row r="609" spans="1:23" x14ac:dyDescent="0.25">
      <c r="H609" t="s">
        <v>1199</v>
      </c>
    </row>
    <row r="610" spans="1:23" x14ac:dyDescent="0.25">
      <c r="A610">
        <v>302</v>
      </c>
      <c r="B610">
        <v>1989</v>
      </c>
      <c r="C610" t="s">
        <v>1195</v>
      </c>
      <c r="D610" t="s">
        <v>1196</v>
      </c>
      <c r="E610" t="s">
        <v>83</v>
      </c>
      <c r="F610" t="s">
        <v>1197</v>
      </c>
      <c r="G610" t="str">
        <f>"00021954"</f>
        <v>00021954</v>
      </c>
      <c r="H610" t="s">
        <v>955</v>
      </c>
      <c r="I610">
        <v>150</v>
      </c>
      <c r="J610">
        <v>0</v>
      </c>
      <c r="K610">
        <v>0</v>
      </c>
      <c r="L610">
        <v>0</v>
      </c>
      <c r="M610">
        <v>0</v>
      </c>
      <c r="N610">
        <v>0</v>
      </c>
      <c r="O610">
        <v>0</v>
      </c>
      <c r="P610">
        <v>0</v>
      </c>
      <c r="Q610">
        <v>0</v>
      </c>
      <c r="R610">
        <v>49</v>
      </c>
      <c r="S610">
        <v>343</v>
      </c>
      <c r="T610">
        <v>6</v>
      </c>
      <c r="U610">
        <v>923</v>
      </c>
      <c r="V610">
        <v>0</v>
      </c>
      <c r="W610" t="s">
        <v>1198</v>
      </c>
    </row>
    <row r="611" spans="1:23" x14ac:dyDescent="0.25">
      <c r="H611" t="s">
        <v>1199</v>
      </c>
    </row>
    <row r="612" spans="1:23" x14ac:dyDescent="0.25">
      <c r="A612">
        <v>303</v>
      </c>
      <c r="B612">
        <v>10313</v>
      </c>
      <c r="C612" t="s">
        <v>1200</v>
      </c>
      <c r="D612" t="s">
        <v>475</v>
      </c>
      <c r="E612" t="s">
        <v>15</v>
      </c>
      <c r="F612" t="s">
        <v>1201</v>
      </c>
      <c r="G612" t="str">
        <f>"00026398"</f>
        <v>00026398</v>
      </c>
      <c r="H612" t="s">
        <v>1202</v>
      </c>
      <c r="I612">
        <v>0</v>
      </c>
      <c r="J612">
        <v>0</v>
      </c>
      <c r="K612">
        <v>0</v>
      </c>
      <c r="L612">
        <v>0</v>
      </c>
      <c r="M612">
        <v>0</v>
      </c>
      <c r="N612">
        <v>0</v>
      </c>
      <c r="O612">
        <v>0</v>
      </c>
      <c r="P612">
        <v>0</v>
      </c>
      <c r="Q612">
        <v>0</v>
      </c>
      <c r="R612">
        <v>50</v>
      </c>
      <c r="S612">
        <v>350</v>
      </c>
      <c r="V612">
        <v>0</v>
      </c>
      <c r="W612" t="s">
        <v>1203</v>
      </c>
    </row>
    <row r="613" spans="1:23" x14ac:dyDescent="0.25">
      <c r="H613" t="s">
        <v>1204</v>
      </c>
    </row>
    <row r="614" spans="1:23" x14ac:dyDescent="0.25">
      <c r="A614">
        <v>304</v>
      </c>
      <c r="B614">
        <v>10313</v>
      </c>
      <c r="C614" t="s">
        <v>1200</v>
      </c>
      <c r="D614" t="s">
        <v>475</v>
      </c>
      <c r="E614" t="s">
        <v>15</v>
      </c>
      <c r="F614" t="s">
        <v>1201</v>
      </c>
      <c r="G614" t="str">
        <f>"00026398"</f>
        <v>00026398</v>
      </c>
      <c r="H614" t="s">
        <v>1202</v>
      </c>
      <c r="I614">
        <v>0</v>
      </c>
      <c r="J614">
        <v>0</v>
      </c>
      <c r="K614">
        <v>0</v>
      </c>
      <c r="L614">
        <v>0</v>
      </c>
      <c r="M614">
        <v>0</v>
      </c>
      <c r="N614">
        <v>0</v>
      </c>
      <c r="O614">
        <v>0</v>
      </c>
      <c r="P614">
        <v>0</v>
      </c>
      <c r="Q614">
        <v>0</v>
      </c>
      <c r="R614">
        <v>50</v>
      </c>
      <c r="S614">
        <v>350</v>
      </c>
      <c r="T614">
        <v>6</v>
      </c>
      <c r="U614" t="s">
        <v>874</v>
      </c>
      <c r="V614">
        <v>0</v>
      </c>
      <c r="W614" t="s">
        <v>1203</v>
      </c>
    </row>
    <row r="615" spans="1:23" x14ac:dyDescent="0.25">
      <c r="H615" t="s">
        <v>1204</v>
      </c>
    </row>
    <row r="616" spans="1:23" x14ac:dyDescent="0.25">
      <c r="A616">
        <v>305</v>
      </c>
      <c r="B616">
        <v>10445</v>
      </c>
      <c r="C616" t="s">
        <v>1205</v>
      </c>
      <c r="D616" t="s">
        <v>281</v>
      </c>
      <c r="E616" t="s">
        <v>26</v>
      </c>
      <c r="F616" t="s">
        <v>1206</v>
      </c>
      <c r="G616" t="str">
        <f>"00077480"</f>
        <v>00077480</v>
      </c>
      <c r="H616">
        <v>660</v>
      </c>
      <c r="I616">
        <v>0</v>
      </c>
      <c r="J616">
        <v>70</v>
      </c>
      <c r="K616">
        <v>0</v>
      </c>
      <c r="L616">
        <v>0</v>
      </c>
      <c r="M616">
        <v>0</v>
      </c>
      <c r="N616">
        <v>0</v>
      </c>
      <c r="O616">
        <v>0</v>
      </c>
      <c r="P616">
        <v>0</v>
      </c>
      <c r="Q616">
        <v>0</v>
      </c>
      <c r="R616">
        <v>225</v>
      </c>
      <c r="S616">
        <v>588</v>
      </c>
      <c r="V616">
        <v>0</v>
      </c>
      <c r="W616">
        <v>1318</v>
      </c>
    </row>
    <row r="617" spans="1:23" x14ac:dyDescent="0.25">
      <c r="H617" t="s">
        <v>1207</v>
      </c>
    </row>
    <row r="618" spans="1:23" x14ac:dyDescent="0.25">
      <c r="A618">
        <v>306</v>
      </c>
      <c r="B618">
        <v>4645</v>
      </c>
      <c r="C618" t="s">
        <v>1208</v>
      </c>
      <c r="D618" t="s">
        <v>1209</v>
      </c>
      <c r="E618" t="s">
        <v>71</v>
      </c>
      <c r="F618" t="s">
        <v>1210</v>
      </c>
      <c r="G618" t="str">
        <f>"201511004990"</f>
        <v>201511004990</v>
      </c>
      <c r="H618" t="s">
        <v>741</v>
      </c>
      <c r="I618">
        <v>150</v>
      </c>
      <c r="J618">
        <v>0</v>
      </c>
      <c r="K618">
        <v>0</v>
      </c>
      <c r="L618">
        <v>0</v>
      </c>
      <c r="M618">
        <v>0</v>
      </c>
      <c r="N618">
        <v>0</v>
      </c>
      <c r="O618">
        <v>0</v>
      </c>
      <c r="P618">
        <v>0</v>
      </c>
      <c r="Q618">
        <v>0</v>
      </c>
      <c r="R618">
        <v>37</v>
      </c>
      <c r="S618">
        <v>259</v>
      </c>
      <c r="V618">
        <v>0</v>
      </c>
      <c r="W618" t="s">
        <v>1211</v>
      </c>
    </row>
    <row r="619" spans="1:23" x14ac:dyDescent="0.25">
      <c r="H619" t="s">
        <v>1212</v>
      </c>
    </row>
    <row r="620" spans="1:23" x14ac:dyDescent="0.25">
      <c r="A620">
        <v>307</v>
      </c>
      <c r="B620">
        <v>8136</v>
      </c>
      <c r="C620" t="s">
        <v>1213</v>
      </c>
      <c r="D620" t="s">
        <v>87</v>
      </c>
      <c r="E620" t="s">
        <v>53</v>
      </c>
      <c r="F620" t="s">
        <v>1214</v>
      </c>
      <c r="G620" t="str">
        <f>"201511034532"</f>
        <v>201511034532</v>
      </c>
      <c r="H620" t="s">
        <v>375</v>
      </c>
      <c r="I620">
        <v>0</v>
      </c>
      <c r="J620">
        <v>0</v>
      </c>
      <c r="K620">
        <v>0</v>
      </c>
      <c r="L620">
        <v>0</v>
      </c>
      <c r="M620">
        <v>0</v>
      </c>
      <c r="N620">
        <v>0</v>
      </c>
      <c r="O620">
        <v>0</v>
      </c>
      <c r="P620">
        <v>0</v>
      </c>
      <c r="Q620">
        <v>0</v>
      </c>
      <c r="R620">
        <v>45</v>
      </c>
      <c r="S620">
        <v>315</v>
      </c>
      <c r="V620">
        <v>0</v>
      </c>
      <c r="W620" t="s">
        <v>1215</v>
      </c>
    </row>
    <row r="621" spans="1:23" x14ac:dyDescent="0.25">
      <c r="H621" t="s">
        <v>1216</v>
      </c>
    </row>
    <row r="622" spans="1:23" x14ac:dyDescent="0.25">
      <c r="A622">
        <v>308</v>
      </c>
      <c r="B622">
        <v>8241</v>
      </c>
      <c r="C622" t="s">
        <v>1217</v>
      </c>
      <c r="D622" t="s">
        <v>1218</v>
      </c>
      <c r="E622" t="s">
        <v>400</v>
      </c>
      <c r="F622" t="s">
        <v>1219</v>
      </c>
      <c r="G622" t="str">
        <f>"00075246"</f>
        <v>00075246</v>
      </c>
      <c r="H622" t="s">
        <v>158</v>
      </c>
      <c r="I622">
        <v>0</v>
      </c>
      <c r="J622">
        <v>0</v>
      </c>
      <c r="K622">
        <v>0</v>
      </c>
      <c r="L622">
        <v>0</v>
      </c>
      <c r="M622">
        <v>0</v>
      </c>
      <c r="N622">
        <v>0</v>
      </c>
      <c r="O622">
        <v>0</v>
      </c>
      <c r="P622">
        <v>0</v>
      </c>
      <c r="Q622">
        <v>0</v>
      </c>
      <c r="R622">
        <v>36</v>
      </c>
      <c r="S622">
        <v>252</v>
      </c>
      <c r="V622">
        <v>0</v>
      </c>
      <c r="W622" t="s">
        <v>1220</v>
      </c>
    </row>
    <row r="623" spans="1:23" x14ac:dyDescent="0.25">
      <c r="H623" t="s">
        <v>1221</v>
      </c>
    </row>
    <row r="624" spans="1:23" x14ac:dyDescent="0.25">
      <c r="A624">
        <v>309</v>
      </c>
      <c r="B624">
        <v>4846</v>
      </c>
      <c r="C624" t="s">
        <v>1222</v>
      </c>
      <c r="D624" t="s">
        <v>1196</v>
      </c>
      <c r="E624" t="s">
        <v>42</v>
      </c>
      <c r="F624" t="s">
        <v>1223</v>
      </c>
      <c r="G624" t="str">
        <f>"00016218"</f>
        <v>00016218</v>
      </c>
      <c r="H624">
        <v>935</v>
      </c>
      <c r="I624">
        <v>0</v>
      </c>
      <c r="J624">
        <v>0</v>
      </c>
      <c r="K624">
        <v>0</v>
      </c>
      <c r="L624">
        <v>0</v>
      </c>
      <c r="M624">
        <v>0</v>
      </c>
      <c r="N624">
        <v>0</v>
      </c>
      <c r="O624">
        <v>0</v>
      </c>
      <c r="P624">
        <v>0</v>
      </c>
      <c r="Q624">
        <v>0</v>
      </c>
      <c r="R624">
        <v>54</v>
      </c>
      <c r="S624">
        <v>378</v>
      </c>
      <c r="V624">
        <v>0</v>
      </c>
      <c r="W624">
        <v>1313</v>
      </c>
    </row>
    <row r="625" spans="1:23" x14ac:dyDescent="0.25">
      <c r="H625" t="s">
        <v>1224</v>
      </c>
    </row>
    <row r="626" spans="1:23" x14ac:dyDescent="0.25">
      <c r="A626">
        <v>310</v>
      </c>
      <c r="B626">
        <v>4416</v>
      </c>
      <c r="C626" t="s">
        <v>1225</v>
      </c>
      <c r="D626" t="s">
        <v>465</v>
      </c>
      <c r="E626" t="s">
        <v>71</v>
      </c>
      <c r="F626" t="s">
        <v>1226</v>
      </c>
      <c r="G626" t="str">
        <f>"00069714"</f>
        <v>00069714</v>
      </c>
      <c r="H626">
        <v>715</v>
      </c>
      <c r="I626">
        <v>0</v>
      </c>
      <c r="J626">
        <v>30</v>
      </c>
      <c r="K626">
        <v>0</v>
      </c>
      <c r="L626">
        <v>0</v>
      </c>
      <c r="M626">
        <v>0</v>
      </c>
      <c r="N626">
        <v>0</v>
      </c>
      <c r="O626">
        <v>0</v>
      </c>
      <c r="P626">
        <v>0</v>
      </c>
      <c r="Q626">
        <v>0</v>
      </c>
      <c r="R626">
        <v>81</v>
      </c>
      <c r="S626">
        <v>567</v>
      </c>
      <c r="V626">
        <v>0</v>
      </c>
      <c r="W626">
        <v>1312</v>
      </c>
    </row>
    <row r="627" spans="1:23" x14ac:dyDescent="0.25">
      <c r="H627" t="s">
        <v>1227</v>
      </c>
    </row>
    <row r="628" spans="1:23" x14ac:dyDescent="0.25">
      <c r="A628">
        <v>311</v>
      </c>
      <c r="B628">
        <v>8315</v>
      </c>
      <c r="C628" t="s">
        <v>1228</v>
      </c>
      <c r="D628" t="s">
        <v>140</v>
      </c>
      <c r="E628" t="s">
        <v>95</v>
      </c>
      <c r="F628" t="s">
        <v>1229</v>
      </c>
      <c r="G628" t="str">
        <f>"201511042435"</f>
        <v>201511042435</v>
      </c>
      <c r="H628">
        <v>693</v>
      </c>
      <c r="I628">
        <v>0</v>
      </c>
      <c r="J628">
        <v>30</v>
      </c>
      <c r="K628">
        <v>0</v>
      </c>
      <c r="L628">
        <v>0</v>
      </c>
      <c r="M628">
        <v>0</v>
      </c>
      <c r="N628">
        <v>0</v>
      </c>
      <c r="O628">
        <v>0</v>
      </c>
      <c r="P628">
        <v>0</v>
      </c>
      <c r="Q628">
        <v>0</v>
      </c>
      <c r="R628">
        <v>178</v>
      </c>
      <c r="S628">
        <v>588</v>
      </c>
      <c r="V628">
        <v>1</v>
      </c>
      <c r="W628">
        <v>1311</v>
      </c>
    </row>
    <row r="629" spans="1:23" x14ac:dyDescent="0.25">
      <c r="H629" t="s">
        <v>1230</v>
      </c>
    </row>
    <row r="630" spans="1:23" x14ac:dyDescent="0.25">
      <c r="A630">
        <v>312</v>
      </c>
      <c r="B630">
        <v>8815</v>
      </c>
      <c r="C630" t="s">
        <v>1231</v>
      </c>
      <c r="D630" t="s">
        <v>156</v>
      </c>
      <c r="E630" t="s">
        <v>346</v>
      </c>
      <c r="F630" t="s">
        <v>1232</v>
      </c>
      <c r="G630" t="str">
        <f>"201511023440"</f>
        <v>201511023440</v>
      </c>
      <c r="H630" t="s">
        <v>1233</v>
      </c>
      <c r="I630">
        <v>0</v>
      </c>
      <c r="J630">
        <v>0</v>
      </c>
      <c r="K630">
        <v>0</v>
      </c>
      <c r="L630">
        <v>0</v>
      </c>
      <c r="M630">
        <v>0</v>
      </c>
      <c r="N630">
        <v>0</v>
      </c>
      <c r="O630">
        <v>0</v>
      </c>
      <c r="P630">
        <v>0</v>
      </c>
      <c r="Q630">
        <v>0</v>
      </c>
      <c r="R630">
        <v>40</v>
      </c>
      <c r="S630">
        <v>280</v>
      </c>
      <c r="V630">
        <v>0</v>
      </c>
      <c r="W630" t="s">
        <v>1234</v>
      </c>
    </row>
    <row r="631" spans="1:23" x14ac:dyDescent="0.25">
      <c r="H631" t="s">
        <v>1235</v>
      </c>
    </row>
    <row r="632" spans="1:23" x14ac:dyDescent="0.25">
      <c r="A632">
        <v>313</v>
      </c>
      <c r="B632">
        <v>7677</v>
      </c>
      <c r="C632" t="s">
        <v>1236</v>
      </c>
      <c r="D632" t="s">
        <v>87</v>
      </c>
      <c r="E632" t="s">
        <v>42</v>
      </c>
      <c r="F632" t="s">
        <v>1237</v>
      </c>
      <c r="G632" t="str">
        <f>"00002311"</f>
        <v>00002311</v>
      </c>
      <c r="H632">
        <v>1089</v>
      </c>
      <c r="I632">
        <v>150</v>
      </c>
      <c r="J632">
        <v>70</v>
      </c>
      <c r="K632">
        <v>0</v>
      </c>
      <c r="L632">
        <v>0</v>
      </c>
      <c r="M632">
        <v>0</v>
      </c>
      <c r="N632">
        <v>0</v>
      </c>
      <c r="O632">
        <v>0</v>
      </c>
      <c r="P632">
        <v>0</v>
      </c>
      <c r="Q632">
        <v>0</v>
      </c>
      <c r="R632">
        <v>0</v>
      </c>
      <c r="S632">
        <v>0</v>
      </c>
      <c r="V632">
        <v>0</v>
      </c>
      <c r="W632">
        <v>1309</v>
      </c>
    </row>
    <row r="633" spans="1:23" x14ac:dyDescent="0.25">
      <c r="H633" t="s">
        <v>1238</v>
      </c>
    </row>
    <row r="634" spans="1:23" x14ac:dyDescent="0.25">
      <c r="A634">
        <v>314</v>
      </c>
      <c r="B634">
        <v>3233</v>
      </c>
      <c r="C634" t="s">
        <v>1239</v>
      </c>
      <c r="D634" t="s">
        <v>352</v>
      </c>
      <c r="E634" t="s">
        <v>523</v>
      </c>
      <c r="F634" t="s">
        <v>1240</v>
      </c>
      <c r="G634" t="str">
        <f>"00082738"</f>
        <v>00082738</v>
      </c>
      <c r="H634">
        <v>935</v>
      </c>
      <c r="I634">
        <v>0</v>
      </c>
      <c r="J634">
        <v>0</v>
      </c>
      <c r="K634">
        <v>0</v>
      </c>
      <c r="L634">
        <v>0</v>
      </c>
      <c r="M634">
        <v>0</v>
      </c>
      <c r="N634">
        <v>0</v>
      </c>
      <c r="O634">
        <v>0</v>
      </c>
      <c r="P634">
        <v>0</v>
      </c>
      <c r="Q634">
        <v>0</v>
      </c>
      <c r="R634">
        <v>53</v>
      </c>
      <c r="S634">
        <v>371</v>
      </c>
      <c r="T634">
        <v>6</v>
      </c>
      <c r="U634">
        <v>915</v>
      </c>
      <c r="V634">
        <v>0</v>
      </c>
      <c r="W634">
        <v>1306</v>
      </c>
    </row>
    <row r="635" spans="1:23" x14ac:dyDescent="0.25">
      <c r="H635">
        <v>915</v>
      </c>
    </row>
    <row r="636" spans="1:23" x14ac:dyDescent="0.25">
      <c r="A636">
        <v>315</v>
      </c>
      <c r="B636">
        <v>7821</v>
      </c>
      <c r="C636" t="s">
        <v>1241</v>
      </c>
      <c r="D636" t="s">
        <v>1242</v>
      </c>
      <c r="E636" t="s">
        <v>121</v>
      </c>
      <c r="F636" t="s">
        <v>1243</v>
      </c>
      <c r="G636" t="str">
        <f>"201511030169"</f>
        <v>201511030169</v>
      </c>
      <c r="H636">
        <v>715</v>
      </c>
      <c r="I636">
        <v>0</v>
      </c>
      <c r="J636">
        <v>0</v>
      </c>
      <c r="K636">
        <v>0</v>
      </c>
      <c r="L636">
        <v>0</v>
      </c>
      <c r="M636">
        <v>0</v>
      </c>
      <c r="N636">
        <v>0</v>
      </c>
      <c r="O636">
        <v>0</v>
      </c>
      <c r="P636">
        <v>0</v>
      </c>
      <c r="Q636">
        <v>0</v>
      </c>
      <c r="R636">
        <v>166</v>
      </c>
      <c r="S636">
        <v>588</v>
      </c>
      <c r="V636">
        <v>1</v>
      </c>
      <c r="W636">
        <v>1303</v>
      </c>
    </row>
    <row r="637" spans="1:23" x14ac:dyDescent="0.25">
      <c r="H637" t="s">
        <v>1244</v>
      </c>
    </row>
    <row r="638" spans="1:23" x14ac:dyDescent="0.25">
      <c r="A638">
        <v>316</v>
      </c>
      <c r="B638">
        <v>3466</v>
      </c>
      <c r="C638" t="s">
        <v>1245</v>
      </c>
      <c r="D638" t="s">
        <v>1246</v>
      </c>
      <c r="E638" t="s">
        <v>42</v>
      </c>
      <c r="F638" t="s">
        <v>1247</v>
      </c>
      <c r="G638" t="str">
        <f>"201511038739"</f>
        <v>201511038739</v>
      </c>
      <c r="H638">
        <v>715</v>
      </c>
      <c r="I638">
        <v>0</v>
      </c>
      <c r="J638">
        <v>0</v>
      </c>
      <c r="K638">
        <v>0</v>
      </c>
      <c r="L638">
        <v>0</v>
      </c>
      <c r="M638">
        <v>0</v>
      </c>
      <c r="N638">
        <v>0</v>
      </c>
      <c r="O638">
        <v>0</v>
      </c>
      <c r="P638">
        <v>0</v>
      </c>
      <c r="Q638">
        <v>0</v>
      </c>
      <c r="R638">
        <v>132</v>
      </c>
      <c r="S638">
        <v>588</v>
      </c>
      <c r="V638">
        <v>1</v>
      </c>
      <c r="W638">
        <v>1303</v>
      </c>
    </row>
    <row r="639" spans="1:23" x14ac:dyDescent="0.25">
      <c r="H639" t="s">
        <v>1248</v>
      </c>
    </row>
    <row r="640" spans="1:23" x14ac:dyDescent="0.25">
      <c r="A640">
        <v>317</v>
      </c>
      <c r="B640">
        <v>7958</v>
      </c>
      <c r="C640" t="s">
        <v>56</v>
      </c>
      <c r="D640" t="s">
        <v>1249</v>
      </c>
      <c r="E640" t="s">
        <v>21</v>
      </c>
      <c r="F640" t="s">
        <v>1250</v>
      </c>
      <c r="G640" t="str">
        <f>"201511040128"</f>
        <v>201511040128</v>
      </c>
      <c r="H640">
        <v>715</v>
      </c>
      <c r="I640">
        <v>0</v>
      </c>
      <c r="J640">
        <v>0</v>
      </c>
      <c r="K640">
        <v>0</v>
      </c>
      <c r="L640">
        <v>0</v>
      </c>
      <c r="M640">
        <v>0</v>
      </c>
      <c r="N640">
        <v>0</v>
      </c>
      <c r="O640">
        <v>0</v>
      </c>
      <c r="P640">
        <v>0</v>
      </c>
      <c r="Q640">
        <v>0</v>
      </c>
      <c r="R640">
        <v>103</v>
      </c>
      <c r="S640">
        <v>588</v>
      </c>
      <c r="V640">
        <v>0</v>
      </c>
      <c r="W640">
        <v>1303</v>
      </c>
    </row>
    <row r="641" spans="1:23" x14ac:dyDescent="0.25">
      <c r="H641" t="s">
        <v>1251</v>
      </c>
    </row>
    <row r="642" spans="1:23" x14ac:dyDescent="0.25">
      <c r="A642">
        <v>318</v>
      </c>
      <c r="B642">
        <v>4635</v>
      </c>
      <c r="C642" t="s">
        <v>669</v>
      </c>
      <c r="D642" t="s">
        <v>1002</v>
      </c>
      <c r="E642" t="s">
        <v>1252</v>
      </c>
      <c r="F642" t="s">
        <v>1253</v>
      </c>
      <c r="G642" t="str">
        <f>"201511006939"</f>
        <v>201511006939</v>
      </c>
      <c r="H642">
        <v>715</v>
      </c>
      <c r="I642">
        <v>0</v>
      </c>
      <c r="J642">
        <v>0</v>
      </c>
      <c r="K642">
        <v>0</v>
      </c>
      <c r="L642">
        <v>0</v>
      </c>
      <c r="M642">
        <v>0</v>
      </c>
      <c r="N642">
        <v>0</v>
      </c>
      <c r="O642">
        <v>0</v>
      </c>
      <c r="P642">
        <v>0</v>
      </c>
      <c r="Q642">
        <v>0</v>
      </c>
      <c r="R642">
        <v>88</v>
      </c>
      <c r="S642">
        <v>588</v>
      </c>
      <c r="V642">
        <v>0</v>
      </c>
      <c r="W642">
        <v>1303</v>
      </c>
    </row>
    <row r="643" spans="1:23" x14ac:dyDescent="0.25">
      <c r="H643" t="s">
        <v>1254</v>
      </c>
    </row>
    <row r="644" spans="1:23" x14ac:dyDescent="0.25">
      <c r="A644">
        <v>319</v>
      </c>
      <c r="B644">
        <v>9406</v>
      </c>
      <c r="C644" t="s">
        <v>1255</v>
      </c>
      <c r="D644" t="s">
        <v>126</v>
      </c>
      <c r="E644" t="s">
        <v>42</v>
      </c>
      <c r="F644" t="s">
        <v>1256</v>
      </c>
      <c r="G644" t="str">
        <f>"00038753"</f>
        <v>00038753</v>
      </c>
      <c r="H644">
        <v>715</v>
      </c>
      <c r="I644">
        <v>0</v>
      </c>
      <c r="J644">
        <v>0</v>
      </c>
      <c r="K644">
        <v>0</v>
      </c>
      <c r="L644">
        <v>0</v>
      </c>
      <c r="M644">
        <v>0</v>
      </c>
      <c r="N644">
        <v>0</v>
      </c>
      <c r="O644">
        <v>0</v>
      </c>
      <c r="P644">
        <v>0</v>
      </c>
      <c r="Q644">
        <v>0</v>
      </c>
      <c r="R644">
        <v>120</v>
      </c>
      <c r="S644">
        <v>588</v>
      </c>
      <c r="V644">
        <v>0</v>
      </c>
      <c r="W644">
        <v>1303</v>
      </c>
    </row>
    <row r="645" spans="1:23" x14ac:dyDescent="0.25">
      <c r="H645" t="s">
        <v>823</v>
      </c>
    </row>
    <row r="646" spans="1:23" x14ac:dyDescent="0.25">
      <c r="A646">
        <v>320</v>
      </c>
      <c r="B646">
        <v>3740</v>
      </c>
      <c r="C646" t="s">
        <v>1107</v>
      </c>
      <c r="D646" t="s">
        <v>1155</v>
      </c>
      <c r="E646" t="s">
        <v>95</v>
      </c>
      <c r="F646" t="s">
        <v>1257</v>
      </c>
      <c r="G646" t="str">
        <f>"00016787"</f>
        <v>00016787</v>
      </c>
      <c r="H646">
        <v>715</v>
      </c>
      <c r="I646">
        <v>0</v>
      </c>
      <c r="J646">
        <v>0</v>
      </c>
      <c r="K646">
        <v>0</v>
      </c>
      <c r="L646">
        <v>0</v>
      </c>
      <c r="M646">
        <v>0</v>
      </c>
      <c r="N646">
        <v>0</v>
      </c>
      <c r="O646">
        <v>0</v>
      </c>
      <c r="P646">
        <v>0</v>
      </c>
      <c r="Q646">
        <v>0</v>
      </c>
      <c r="R646">
        <v>90</v>
      </c>
      <c r="S646">
        <v>588</v>
      </c>
      <c r="V646">
        <v>1</v>
      </c>
      <c r="W646">
        <v>1303</v>
      </c>
    </row>
    <row r="647" spans="1:23" x14ac:dyDescent="0.25">
      <c r="H647" t="s">
        <v>1258</v>
      </c>
    </row>
    <row r="648" spans="1:23" x14ac:dyDescent="0.25">
      <c r="A648">
        <v>321</v>
      </c>
      <c r="B648">
        <v>9865</v>
      </c>
      <c r="C648" t="s">
        <v>1259</v>
      </c>
      <c r="D648" t="s">
        <v>663</v>
      </c>
      <c r="E648" t="s">
        <v>1260</v>
      </c>
      <c r="F648" t="s">
        <v>1261</v>
      </c>
      <c r="G648" t="str">
        <f>"201008000166"</f>
        <v>201008000166</v>
      </c>
      <c r="H648">
        <v>660</v>
      </c>
      <c r="I648">
        <v>0</v>
      </c>
      <c r="J648">
        <v>50</v>
      </c>
      <c r="K648">
        <v>0</v>
      </c>
      <c r="L648">
        <v>0</v>
      </c>
      <c r="M648">
        <v>0</v>
      </c>
      <c r="N648">
        <v>0</v>
      </c>
      <c r="O648">
        <v>0</v>
      </c>
      <c r="P648">
        <v>0</v>
      </c>
      <c r="Q648">
        <v>0</v>
      </c>
      <c r="R648">
        <v>236</v>
      </c>
      <c r="S648">
        <v>588</v>
      </c>
      <c r="V648">
        <v>2</v>
      </c>
      <c r="W648">
        <v>1298</v>
      </c>
    </row>
    <row r="649" spans="1:23" x14ac:dyDescent="0.25">
      <c r="H649" t="s">
        <v>1262</v>
      </c>
    </row>
    <row r="650" spans="1:23" x14ac:dyDescent="0.25">
      <c r="A650">
        <v>322</v>
      </c>
      <c r="B650">
        <v>323</v>
      </c>
      <c r="C650" t="s">
        <v>1263</v>
      </c>
      <c r="D650" t="s">
        <v>352</v>
      </c>
      <c r="E650" t="s">
        <v>830</v>
      </c>
      <c r="F650" t="s">
        <v>1264</v>
      </c>
      <c r="G650" t="str">
        <f>"201511016698"</f>
        <v>201511016698</v>
      </c>
      <c r="H650" t="s">
        <v>922</v>
      </c>
      <c r="I650">
        <v>0</v>
      </c>
      <c r="J650">
        <v>0</v>
      </c>
      <c r="K650">
        <v>0</v>
      </c>
      <c r="L650">
        <v>0</v>
      </c>
      <c r="M650">
        <v>0</v>
      </c>
      <c r="N650">
        <v>0</v>
      </c>
      <c r="O650">
        <v>0</v>
      </c>
      <c r="P650">
        <v>0</v>
      </c>
      <c r="Q650">
        <v>0</v>
      </c>
      <c r="R650">
        <v>65</v>
      </c>
      <c r="S650">
        <v>455</v>
      </c>
      <c r="V650">
        <v>0</v>
      </c>
      <c r="W650" t="s">
        <v>1265</v>
      </c>
    </row>
    <row r="651" spans="1:23" x14ac:dyDescent="0.25">
      <c r="H651" t="s">
        <v>1266</v>
      </c>
    </row>
    <row r="652" spans="1:23" x14ac:dyDescent="0.25">
      <c r="A652">
        <v>323</v>
      </c>
      <c r="B652">
        <v>7767</v>
      </c>
      <c r="C652" t="s">
        <v>1267</v>
      </c>
      <c r="D652" t="s">
        <v>111</v>
      </c>
      <c r="E652" t="s">
        <v>26</v>
      </c>
      <c r="F652" t="s">
        <v>1268</v>
      </c>
      <c r="G652" t="str">
        <f>"201511043035"</f>
        <v>201511043035</v>
      </c>
      <c r="H652">
        <v>1045</v>
      </c>
      <c r="I652">
        <v>0</v>
      </c>
      <c r="J652">
        <v>0</v>
      </c>
      <c r="K652">
        <v>0</v>
      </c>
      <c r="L652">
        <v>0</v>
      </c>
      <c r="M652">
        <v>0</v>
      </c>
      <c r="N652">
        <v>0</v>
      </c>
      <c r="O652">
        <v>0</v>
      </c>
      <c r="P652">
        <v>0</v>
      </c>
      <c r="Q652">
        <v>0</v>
      </c>
      <c r="R652">
        <v>36</v>
      </c>
      <c r="S652">
        <v>252</v>
      </c>
      <c r="V652">
        <v>0</v>
      </c>
      <c r="W652">
        <v>1297</v>
      </c>
    </row>
    <row r="653" spans="1:23" x14ac:dyDescent="0.25">
      <c r="H653" t="s">
        <v>1269</v>
      </c>
    </row>
    <row r="654" spans="1:23" x14ac:dyDescent="0.25">
      <c r="A654">
        <v>324</v>
      </c>
      <c r="B654">
        <v>2204</v>
      </c>
      <c r="C654" t="s">
        <v>1270</v>
      </c>
      <c r="D654" t="s">
        <v>1271</v>
      </c>
      <c r="E654" t="s">
        <v>21</v>
      </c>
      <c r="F654" t="s">
        <v>1272</v>
      </c>
      <c r="G654" t="str">
        <f>"201511018997"</f>
        <v>201511018997</v>
      </c>
      <c r="H654" t="s">
        <v>615</v>
      </c>
      <c r="I654">
        <v>150</v>
      </c>
      <c r="J654">
        <v>0</v>
      </c>
      <c r="K654">
        <v>0</v>
      </c>
      <c r="L654">
        <v>0</v>
      </c>
      <c r="M654">
        <v>0</v>
      </c>
      <c r="N654">
        <v>0</v>
      </c>
      <c r="O654">
        <v>0</v>
      </c>
      <c r="P654">
        <v>0</v>
      </c>
      <c r="Q654">
        <v>0</v>
      </c>
      <c r="R654">
        <v>31</v>
      </c>
      <c r="S654">
        <v>217</v>
      </c>
      <c r="V654">
        <v>0</v>
      </c>
      <c r="W654" t="s">
        <v>1273</v>
      </c>
    </row>
    <row r="655" spans="1:23" x14ac:dyDescent="0.25">
      <c r="H655" t="s">
        <v>1274</v>
      </c>
    </row>
    <row r="656" spans="1:23" x14ac:dyDescent="0.25">
      <c r="A656">
        <v>325</v>
      </c>
      <c r="B656">
        <v>2204</v>
      </c>
      <c r="C656" t="s">
        <v>1270</v>
      </c>
      <c r="D656" t="s">
        <v>1271</v>
      </c>
      <c r="E656" t="s">
        <v>21</v>
      </c>
      <c r="F656" t="s">
        <v>1272</v>
      </c>
      <c r="G656" t="str">
        <f>"201511018997"</f>
        <v>201511018997</v>
      </c>
      <c r="H656" t="s">
        <v>615</v>
      </c>
      <c r="I656">
        <v>150</v>
      </c>
      <c r="J656">
        <v>0</v>
      </c>
      <c r="K656">
        <v>0</v>
      </c>
      <c r="L656">
        <v>0</v>
      </c>
      <c r="M656">
        <v>0</v>
      </c>
      <c r="N656">
        <v>0</v>
      </c>
      <c r="O656">
        <v>0</v>
      </c>
      <c r="P656">
        <v>0</v>
      </c>
      <c r="Q656">
        <v>0</v>
      </c>
      <c r="R656">
        <v>31</v>
      </c>
      <c r="S656">
        <v>217</v>
      </c>
      <c r="T656">
        <v>6</v>
      </c>
      <c r="U656">
        <v>923</v>
      </c>
      <c r="V656">
        <v>0</v>
      </c>
      <c r="W656" t="s">
        <v>1273</v>
      </c>
    </row>
    <row r="657" spans="1:23" x14ac:dyDescent="0.25">
      <c r="H657" t="s">
        <v>1274</v>
      </c>
    </row>
    <row r="658" spans="1:23" x14ac:dyDescent="0.25">
      <c r="A658">
        <v>326</v>
      </c>
      <c r="B658">
        <v>6973</v>
      </c>
      <c r="C658" t="s">
        <v>1275</v>
      </c>
      <c r="D658" t="s">
        <v>26</v>
      </c>
      <c r="E658" t="s">
        <v>497</v>
      </c>
      <c r="F658" t="s">
        <v>1276</v>
      </c>
      <c r="G658" t="str">
        <f>"00022375"</f>
        <v>00022375</v>
      </c>
      <c r="H658" t="s">
        <v>1277</v>
      </c>
      <c r="I658">
        <v>0</v>
      </c>
      <c r="J658">
        <v>0</v>
      </c>
      <c r="K658">
        <v>0</v>
      </c>
      <c r="L658">
        <v>0</v>
      </c>
      <c r="M658">
        <v>0</v>
      </c>
      <c r="N658">
        <v>0</v>
      </c>
      <c r="O658">
        <v>0</v>
      </c>
      <c r="P658">
        <v>0</v>
      </c>
      <c r="Q658">
        <v>0</v>
      </c>
      <c r="R658">
        <v>180</v>
      </c>
      <c r="S658">
        <v>588</v>
      </c>
      <c r="V658">
        <v>0</v>
      </c>
      <c r="W658" t="s">
        <v>1278</v>
      </c>
    </row>
    <row r="659" spans="1:23" x14ac:dyDescent="0.25">
      <c r="H659" t="s">
        <v>1279</v>
      </c>
    </row>
    <row r="660" spans="1:23" x14ac:dyDescent="0.25">
      <c r="A660">
        <v>327</v>
      </c>
      <c r="B660">
        <v>5349</v>
      </c>
      <c r="C660" t="s">
        <v>1280</v>
      </c>
      <c r="D660" t="s">
        <v>126</v>
      </c>
      <c r="E660" t="s">
        <v>42</v>
      </c>
      <c r="F660" t="s">
        <v>1281</v>
      </c>
      <c r="G660" t="str">
        <f>"200802011250"</f>
        <v>200802011250</v>
      </c>
      <c r="H660" t="s">
        <v>1282</v>
      </c>
      <c r="I660">
        <v>0</v>
      </c>
      <c r="J660">
        <v>0</v>
      </c>
      <c r="K660">
        <v>0</v>
      </c>
      <c r="L660">
        <v>0</v>
      </c>
      <c r="M660">
        <v>0</v>
      </c>
      <c r="N660">
        <v>0</v>
      </c>
      <c r="O660">
        <v>0</v>
      </c>
      <c r="P660">
        <v>0</v>
      </c>
      <c r="Q660">
        <v>0</v>
      </c>
      <c r="R660">
        <v>43</v>
      </c>
      <c r="S660">
        <v>301</v>
      </c>
      <c r="V660">
        <v>1</v>
      </c>
      <c r="W660" t="s">
        <v>1283</v>
      </c>
    </row>
    <row r="661" spans="1:23" x14ac:dyDescent="0.25">
      <c r="H661" t="s">
        <v>1284</v>
      </c>
    </row>
    <row r="662" spans="1:23" x14ac:dyDescent="0.25">
      <c r="A662">
        <v>328</v>
      </c>
      <c r="B662">
        <v>2398</v>
      </c>
      <c r="C662" t="s">
        <v>1285</v>
      </c>
      <c r="D662" t="s">
        <v>1286</v>
      </c>
      <c r="E662" t="s">
        <v>53</v>
      </c>
      <c r="F662" t="s">
        <v>1287</v>
      </c>
      <c r="G662" t="str">
        <f>"201511008944"</f>
        <v>201511008944</v>
      </c>
      <c r="H662">
        <v>770</v>
      </c>
      <c r="I662">
        <v>0</v>
      </c>
      <c r="J662">
        <v>0</v>
      </c>
      <c r="K662">
        <v>0</v>
      </c>
      <c r="L662">
        <v>0</v>
      </c>
      <c r="M662">
        <v>0</v>
      </c>
      <c r="N662">
        <v>0</v>
      </c>
      <c r="O662">
        <v>0</v>
      </c>
      <c r="P662">
        <v>0</v>
      </c>
      <c r="Q662">
        <v>0</v>
      </c>
      <c r="R662">
        <v>75</v>
      </c>
      <c r="S662">
        <v>525</v>
      </c>
      <c r="V662">
        <v>0</v>
      </c>
      <c r="W662">
        <v>1295</v>
      </c>
    </row>
    <row r="663" spans="1:23" x14ac:dyDescent="0.25">
      <c r="H663" t="s">
        <v>1288</v>
      </c>
    </row>
    <row r="664" spans="1:23" x14ac:dyDescent="0.25">
      <c r="A664">
        <v>329</v>
      </c>
      <c r="B664">
        <v>8986</v>
      </c>
      <c r="C664" t="s">
        <v>1289</v>
      </c>
      <c r="D664" t="s">
        <v>42</v>
      </c>
      <c r="E664" t="s">
        <v>21</v>
      </c>
      <c r="F664" t="s">
        <v>1290</v>
      </c>
      <c r="G664" t="str">
        <f>"00024961"</f>
        <v>00024961</v>
      </c>
      <c r="H664" t="s">
        <v>1291</v>
      </c>
      <c r="I664">
        <v>0</v>
      </c>
      <c r="J664">
        <v>0</v>
      </c>
      <c r="K664">
        <v>0</v>
      </c>
      <c r="L664">
        <v>0</v>
      </c>
      <c r="M664">
        <v>0</v>
      </c>
      <c r="N664">
        <v>0</v>
      </c>
      <c r="O664">
        <v>0</v>
      </c>
      <c r="P664">
        <v>0</v>
      </c>
      <c r="Q664">
        <v>0</v>
      </c>
      <c r="R664">
        <v>197</v>
      </c>
      <c r="S664">
        <v>588</v>
      </c>
      <c r="V664">
        <v>0</v>
      </c>
      <c r="W664" t="s">
        <v>1292</v>
      </c>
    </row>
    <row r="665" spans="1:23" x14ac:dyDescent="0.25">
      <c r="H665" t="s">
        <v>1293</v>
      </c>
    </row>
    <row r="666" spans="1:23" x14ac:dyDescent="0.25">
      <c r="A666">
        <v>330</v>
      </c>
      <c r="B666">
        <v>2104</v>
      </c>
      <c r="C666" t="s">
        <v>1294</v>
      </c>
      <c r="D666" t="s">
        <v>145</v>
      </c>
      <c r="E666" t="s">
        <v>53</v>
      </c>
      <c r="F666" t="s">
        <v>1295</v>
      </c>
      <c r="G666" t="str">
        <f>"00019026"</f>
        <v>00019026</v>
      </c>
      <c r="H666" t="s">
        <v>107</v>
      </c>
      <c r="I666">
        <v>0</v>
      </c>
      <c r="J666">
        <v>0</v>
      </c>
      <c r="K666">
        <v>0</v>
      </c>
      <c r="L666">
        <v>0</v>
      </c>
      <c r="M666">
        <v>0</v>
      </c>
      <c r="N666">
        <v>0</v>
      </c>
      <c r="O666">
        <v>0</v>
      </c>
      <c r="P666">
        <v>0</v>
      </c>
      <c r="Q666">
        <v>0</v>
      </c>
      <c r="R666">
        <v>29</v>
      </c>
      <c r="S666">
        <v>203</v>
      </c>
      <c r="T666">
        <v>6</v>
      </c>
      <c r="U666">
        <v>932</v>
      </c>
      <c r="V666">
        <v>0</v>
      </c>
      <c r="W666" t="s">
        <v>1296</v>
      </c>
    </row>
    <row r="667" spans="1:23" x14ac:dyDescent="0.25">
      <c r="H667">
        <v>932</v>
      </c>
    </row>
    <row r="668" spans="1:23" x14ac:dyDescent="0.25">
      <c r="A668">
        <v>331</v>
      </c>
      <c r="B668">
        <v>7674</v>
      </c>
      <c r="C668" t="s">
        <v>1297</v>
      </c>
      <c r="D668" t="s">
        <v>1249</v>
      </c>
      <c r="E668" t="s">
        <v>22</v>
      </c>
      <c r="F668" t="s">
        <v>1298</v>
      </c>
      <c r="G668" t="str">
        <f>"201511030294"</f>
        <v>201511030294</v>
      </c>
      <c r="H668" t="s">
        <v>789</v>
      </c>
      <c r="I668">
        <v>0</v>
      </c>
      <c r="J668">
        <v>0</v>
      </c>
      <c r="K668">
        <v>0</v>
      </c>
      <c r="L668">
        <v>0</v>
      </c>
      <c r="M668">
        <v>0</v>
      </c>
      <c r="N668">
        <v>0</v>
      </c>
      <c r="O668">
        <v>0</v>
      </c>
      <c r="P668">
        <v>0</v>
      </c>
      <c r="Q668">
        <v>0</v>
      </c>
      <c r="R668">
        <v>57</v>
      </c>
      <c r="S668">
        <v>399</v>
      </c>
      <c r="V668">
        <v>0</v>
      </c>
      <c r="W668" t="s">
        <v>1299</v>
      </c>
    </row>
    <row r="669" spans="1:23" x14ac:dyDescent="0.25">
      <c r="H669" t="s">
        <v>1300</v>
      </c>
    </row>
    <row r="670" spans="1:23" x14ac:dyDescent="0.25">
      <c r="A670">
        <v>332</v>
      </c>
      <c r="B670">
        <v>8636</v>
      </c>
      <c r="C670" t="s">
        <v>1301</v>
      </c>
      <c r="D670" t="s">
        <v>31</v>
      </c>
      <c r="E670" t="s">
        <v>42</v>
      </c>
      <c r="F670" t="s">
        <v>1302</v>
      </c>
      <c r="G670" t="str">
        <f>"201511031293"</f>
        <v>201511031293</v>
      </c>
      <c r="H670">
        <v>1100</v>
      </c>
      <c r="I670">
        <v>150</v>
      </c>
      <c r="J670">
        <v>30</v>
      </c>
      <c r="K670">
        <v>0</v>
      </c>
      <c r="L670">
        <v>0</v>
      </c>
      <c r="M670">
        <v>0</v>
      </c>
      <c r="N670">
        <v>0</v>
      </c>
      <c r="O670">
        <v>0</v>
      </c>
      <c r="P670">
        <v>0</v>
      </c>
      <c r="Q670">
        <v>0</v>
      </c>
      <c r="R670">
        <v>1</v>
      </c>
      <c r="S670">
        <v>7</v>
      </c>
      <c r="V670">
        <v>0</v>
      </c>
      <c r="W670">
        <v>1287</v>
      </c>
    </row>
    <row r="671" spans="1:23" x14ac:dyDescent="0.25">
      <c r="H671" t="s">
        <v>1303</v>
      </c>
    </row>
    <row r="672" spans="1:23" x14ac:dyDescent="0.25">
      <c r="A672">
        <v>333</v>
      </c>
      <c r="B672">
        <v>7010</v>
      </c>
      <c r="C672" t="s">
        <v>1304</v>
      </c>
      <c r="D672" t="s">
        <v>475</v>
      </c>
      <c r="E672" t="s">
        <v>407</v>
      </c>
      <c r="F672" t="s">
        <v>1305</v>
      </c>
      <c r="G672" t="str">
        <f>"201512002329"</f>
        <v>201512002329</v>
      </c>
      <c r="H672" t="s">
        <v>1306</v>
      </c>
      <c r="I672">
        <v>0</v>
      </c>
      <c r="J672">
        <v>0</v>
      </c>
      <c r="K672">
        <v>0</v>
      </c>
      <c r="L672">
        <v>0</v>
      </c>
      <c r="M672">
        <v>0</v>
      </c>
      <c r="N672">
        <v>0</v>
      </c>
      <c r="O672">
        <v>0</v>
      </c>
      <c r="P672">
        <v>0</v>
      </c>
      <c r="Q672">
        <v>0</v>
      </c>
      <c r="R672">
        <v>88</v>
      </c>
      <c r="S672">
        <v>588</v>
      </c>
      <c r="V672">
        <v>0</v>
      </c>
      <c r="W672" t="s">
        <v>1307</v>
      </c>
    </row>
    <row r="673" spans="1:23" x14ac:dyDescent="0.25">
      <c r="H673" t="s">
        <v>1308</v>
      </c>
    </row>
    <row r="674" spans="1:23" x14ac:dyDescent="0.25">
      <c r="A674">
        <v>334</v>
      </c>
      <c r="B674">
        <v>106</v>
      </c>
      <c r="C674" t="s">
        <v>1309</v>
      </c>
      <c r="D674" t="s">
        <v>31</v>
      </c>
      <c r="E674" t="s">
        <v>121</v>
      </c>
      <c r="F674" t="s">
        <v>1310</v>
      </c>
      <c r="G674" t="str">
        <f>"00002273"</f>
        <v>00002273</v>
      </c>
      <c r="H674">
        <v>770</v>
      </c>
      <c r="I674">
        <v>0</v>
      </c>
      <c r="J674">
        <v>0</v>
      </c>
      <c r="K674">
        <v>0</v>
      </c>
      <c r="L674">
        <v>0</v>
      </c>
      <c r="M674">
        <v>0</v>
      </c>
      <c r="N674">
        <v>0</v>
      </c>
      <c r="O674">
        <v>0</v>
      </c>
      <c r="P674">
        <v>0</v>
      </c>
      <c r="Q674">
        <v>0</v>
      </c>
      <c r="R674">
        <v>73</v>
      </c>
      <c r="S674">
        <v>511</v>
      </c>
      <c r="V674">
        <v>0</v>
      </c>
      <c r="W674">
        <v>1281</v>
      </c>
    </row>
    <row r="675" spans="1:23" x14ac:dyDescent="0.25">
      <c r="H675" t="s">
        <v>1311</v>
      </c>
    </row>
    <row r="676" spans="1:23" x14ac:dyDescent="0.25">
      <c r="A676">
        <v>335</v>
      </c>
      <c r="B676">
        <v>8359</v>
      </c>
      <c r="C676" t="s">
        <v>1312</v>
      </c>
      <c r="D676" t="s">
        <v>965</v>
      </c>
      <c r="E676" t="s">
        <v>42</v>
      </c>
      <c r="F676" t="s">
        <v>1313</v>
      </c>
      <c r="G676" t="str">
        <f>"00101704"</f>
        <v>00101704</v>
      </c>
      <c r="H676">
        <v>693</v>
      </c>
      <c r="I676">
        <v>0</v>
      </c>
      <c r="J676">
        <v>0</v>
      </c>
      <c r="K676">
        <v>0</v>
      </c>
      <c r="L676">
        <v>0</v>
      </c>
      <c r="M676">
        <v>0</v>
      </c>
      <c r="N676">
        <v>0</v>
      </c>
      <c r="O676">
        <v>0</v>
      </c>
      <c r="P676">
        <v>0</v>
      </c>
      <c r="Q676">
        <v>0</v>
      </c>
      <c r="R676">
        <v>135</v>
      </c>
      <c r="S676">
        <v>588</v>
      </c>
      <c r="V676">
        <v>0</v>
      </c>
      <c r="W676">
        <v>1281</v>
      </c>
    </row>
    <row r="677" spans="1:23" x14ac:dyDescent="0.25">
      <c r="H677" t="s">
        <v>1314</v>
      </c>
    </row>
    <row r="678" spans="1:23" x14ac:dyDescent="0.25">
      <c r="A678">
        <v>336</v>
      </c>
      <c r="B678">
        <v>9968</v>
      </c>
      <c r="C678" t="s">
        <v>1315</v>
      </c>
      <c r="D678" t="s">
        <v>190</v>
      </c>
      <c r="E678" t="s">
        <v>71</v>
      </c>
      <c r="F678" t="s">
        <v>1316</v>
      </c>
      <c r="G678" t="str">
        <f>"200804000436"</f>
        <v>200804000436</v>
      </c>
      <c r="H678" t="s">
        <v>49</v>
      </c>
      <c r="I678">
        <v>0</v>
      </c>
      <c r="J678">
        <v>0</v>
      </c>
      <c r="K678">
        <v>0</v>
      </c>
      <c r="L678">
        <v>0</v>
      </c>
      <c r="M678">
        <v>0</v>
      </c>
      <c r="N678">
        <v>0</v>
      </c>
      <c r="O678">
        <v>0</v>
      </c>
      <c r="P678">
        <v>0</v>
      </c>
      <c r="Q678">
        <v>0</v>
      </c>
      <c r="R678">
        <v>48</v>
      </c>
      <c r="S678">
        <v>336</v>
      </c>
      <c r="V678">
        <v>0</v>
      </c>
      <c r="W678" t="s">
        <v>1317</v>
      </c>
    </row>
    <row r="679" spans="1:23" x14ac:dyDescent="0.25">
      <c r="H679" t="s">
        <v>1318</v>
      </c>
    </row>
    <row r="680" spans="1:23" x14ac:dyDescent="0.25">
      <c r="A680">
        <v>337</v>
      </c>
      <c r="B680">
        <v>9968</v>
      </c>
      <c r="C680" t="s">
        <v>1315</v>
      </c>
      <c r="D680" t="s">
        <v>190</v>
      </c>
      <c r="E680" t="s">
        <v>71</v>
      </c>
      <c r="F680" t="s">
        <v>1316</v>
      </c>
      <c r="G680" t="str">
        <f>"200804000436"</f>
        <v>200804000436</v>
      </c>
      <c r="H680" t="s">
        <v>49</v>
      </c>
      <c r="I680">
        <v>0</v>
      </c>
      <c r="J680">
        <v>0</v>
      </c>
      <c r="K680">
        <v>0</v>
      </c>
      <c r="L680">
        <v>0</v>
      </c>
      <c r="M680">
        <v>0</v>
      </c>
      <c r="N680">
        <v>0</v>
      </c>
      <c r="O680">
        <v>0</v>
      </c>
      <c r="P680">
        <v>0</v>
      </c>
      <c r="Q680">
        <v>0</v>
      </c>
      <c r="R680">
        <v>48</v>
      </c>
      <c r="S680">
        <v>336</v>
      </c>
      <c r="T680">
        <v>6</v>
      </c>
      <c r="U680" t="s">
        <v>731</v>
      </c>
      <c r="V680">
        <v>0</v>
      </c>
      <c r="W680" t="s">
        <v>1317</v>
      </c>
    </row>
    <row r="681" spans="1:23" x14ac:dyDescent="0.25">
      <c r="H681" t="s">
        <v>1318</v>
      </c>
    </row>
    <row r="682" spans="1:23" x14ac:dyDescent="0.25">
      <c r="A682">
        <v>338</v>
      </c>
      <c r="B682">
        <v>6640</v>
      </c>
      <c r="C682" t="s">
        <v>1319</v>
      </c>
      <c r="D682" t="s">
        <v>42</v>
      </c>
      <c r="E682" t="s">
        <v>21</v>
      </c>
      <c r="F682" t="s">
        <v>1320</v>
      </c>
      <c r="G682" t="str">
        <f>"201511011835"</f>
        <v>201511011835</v>
      </c>
      <c r="H682">
        <v>1100</v>
      </c>
      <c r="I682">
        <v>150</v>
      </c>
      <c r="J682">
        <v>30</v>
      </c>
      <c r="K682">
        <v>0</v>
      </c>
      <c r="L682">
        <v>0</v>
      </c>
      <c r="M682">
        <v>0</v>
      </c>
      <c r="N682">
        <v>0</v>
      </c>
      <c r="O682">
        <v>0</v>
      </c>
      <c r="P682">
        <v>0</v>
      </c>
      <c r="Q682">
        <v>0</v>
      </c>
      <c r="R682">
        <v>0</v>
      </c>
      <c r="S682">
        <v>0</v>
      </c>
      <c r="V682">
        <v>0</v>
      </c>
      <c r="W682">
        <v>1280</v>
      </c>
    </row>
    <row r="683" spans="1:23" x14ac:dyDescent="0.25">
      <c r="H683" t="s">
        <v>1321</v>
      </c>
    </row>
    <row r="684" spans="1:23" x14ac:dyDescent="0.25">
      <c r="A684">
        <v>339</v>
      </c>
      <c r="B684">
        <v>6350</v>
      </c>
      <c r="C684" t="s">
        <v>1322</v>
      </c>
      <c r="D684" t="s">
        <v>613</v>
      </c>
      <c r="E684" t="s">
        <v>389</v>
      </c>
      <c r="F684" t="s">
        <v>1323</v>
      </c>
      <c r="G684" t="str">
        <f>"00042969"</f>
        <v>00042969</v>
      </c>
      <c r="H684">
        <v>660</v>
      </c>
      <c r="I684">
        <v>0</v>
      </c>
      <c r="J684">
        <v>30</v>
      </c>
      <c r="K684">
        <v>0</v>
      </c>
      <c r="L684">
        <v>0</v>
      </c>
      <c r="M684">
        <v>0</v>
      </c>
      <c r="N684">
        <v>0</v>
      </c>
      <c r="O684">
        <v>0</v>
      </c>
      <c r="P684">
        <v>0</v>
      </c>
      <c r="Q684">
        <v>0</v>
      </c>
      <c r="R684">
        <v>156</v>
      </c>
      <c r="S684">
        <v>588</v>
      </c>
      <c r="V684">
        <v>0</v>
      </c>
      <c r="W684">
        <v>1278</v>
      </c>
    </row>
    <row r="685" spans="1:23" x14ac:dyDescent="0.25">
      <c r="H685" t="s">
        <v>1324</v>
      </c>
    </row>
    <row r="686" spans="1:23" x14ac:dyDescent="0.25">
      <c r="A686">
        <v>340</v>
      </c>
      <c r="B686">
        <v>9844</v>
      </c>
      <c r="C686" t="s">
        <v>1325</v>
      </c>
      <c r="D686" t="s">
        <v>95</v>
      </c>
      <c r="E686" t="s">
        <v>150</v>
      </c>
      <c r="F686" t="s">
        <v>1326</v>
      </c>
      <c r="G686" t="str">
        <f>"00024325"</f>
        <v>00024325</v>
      </c>
      <c r="H686">
        <v>660</v>
      </c>
      <c r="I686">
        <v>0</v>
      </c>
      <c r="J686">
        <v>30</v>
      </c>
      <c r="K686">
        <v>0</v>
      </c>
      <c r="L686">
        <v>0</v>
      </c>
      <c r="M686">
        <v>0</v>
      </c>
      <c r="N686">
        <v>0</v>
      </c>
      <c r="O686">
        <v>0</v>
      </c>
      <c r="P686">
        <v>0</v>
      </c>
      <c r="Q686">
        <v>0</v>
      </c>
      <c r="R686">
        <v>277</v>
      </c>
      <c r="S686">
        <v>588</v>
      </c>
      <c r="V686">
        <v>0</v>
      </c>
      <c r="W686">
        <v>1278</v>
      </c>
    </row>
    <row r="687" spans="1:23" x14ac:dyDescent="0.25">
      <c r="H687" t="s">
        <v>1327</v>
      </c>
    </row>
    <row r="688" spans="1:23" x14ac:dyDescent="0.25">
      <c r="A688">
        <v>341</v>
      </c>
      <c r="B688">
        <v>234</v>
      </c>
      <c r="C688" t="s">
        <v>1328</v>
      </c>
      <c r="D688" t="s">
        <v>190</v>
      </c>
      <c r="E688" t="s">
        <v>42</v>
      </c>
      <c r="F688" t="s">
        <v>1329</v>
      </c>
      <c r="G688" t="str">
        <f>"201511042838"</f>
        <v>201511042838</v>
      </c>
      <c r="H688">
        <v>1067</v>
      </c>
      <c r="I688">
        <v>0</v>
      </c>
      <c r="J688">
        <v>0</v>
      </c>
      <c r="K688">
        <v>0</v>
      </c>
      <c r="L688">
        <v>0</v>
      </c>
      <c r="M688">
        <v>0</v>
      </c>
      <c r="N688">
        <v>0</v>
      </c>
      <c r="O688">
        <v>0</v>
      </c>
      <c r="P688">
        <v>0</v>
      </c>
      <c r="Q688">
        <v>0</v>
      </c>
      <c r="R688">
        <v>30</v>
      </c>
      <c r="S688">
        <v>210</v>
      </c>
      <c r="T688">
        <v>6</v>
      </c>
      <c r="U688">
        <v>935</v>
      </c>
      <c r="V688">
        <v>0</v>
      </c>
      <c r="W688">
        <v>1277</v>
      </c>
    </row>
    <row r="689" spans="1:23" x14ac:dyDescent="0.25">
      <c r="H689" t="s">
        <v>1330</v>
      </c>
    </row>
    <row r="690" spans="1:23" x14ac:dyDescent="0.25">
      <c r="A690">
        <v>342</v>
      </c>
      <c r="B690">
        <v>234</v>
      </c>
      <c r="C690" t="s">
        <v>1328</v>
      </c>
      <c r="D690" t="s">
        <v>190</v>
      </c>
      <c r="E690" t="s">
        <v>42</v>
      </c>
      <c r="F690" t="s">
        <v>1329</v>
      </c>
      <c r="G690" t="str">
        <f>"201511042838"</f>
        <v>201511042838</v>
      </c>
      <c r="H690">
        <v>1067</v>
      </c>
      <c r="I690">
        <v>0</v>
      </c>
      <c r="J690">
        <v>0</v>
      </c>
      <c r="K690">
        <v>0</v>
      </c>
      <c r="L690">
        <v>0</v>
      </c>
      <c r="M690">
        <v>0</v>
      </c>
      <c r="N690">
        <v>0</v>
      </c>
      <c r="O690">
        <v>0</v>
      </c>
      <c r="P690">
        <v>0</v>
      </c>
      <c r="Q690">
        <v>0</v>
      </c>
      <c r="R690">
        <v>30</v>
      </c>
      <c r="S690">
        <v>210</v>
      </c>
      <c r="V690">
        <v>0</v>
      </c>
      <c r="W690">
        <v>1277</v>
      </c>
    </row>
    <row r="691" spans="1:23" x14ac:dyDescent="0.25">
      <c r="H691" t="s">
        <v>1330</v>
      </c>
    </row>
    <row r="692" spans="1:23" x14ac:dyDescent="0.25">
      <c r="A692">
        <v>343</v>
      </c>
      <c r="B692">
        <v>7932</v>
      </c>
      <c r="C692" t="s">
        <v>1331</v>
      </c>
      <c r="D692" t="s">
        <v>21</v>
      </c>
      <c r="E692" t="s">
        <v>199</v>
      </c>
      <c r="F692" t="s">
        <v>1332</v>
      </c>
      <c r="G692" t="str">
        <f>"201511023363"</f>
        <v>201511023363</v>
      </c>
      <c r="H692" t="s">
        <v>1333</v>
      </c>
      <c r="I692">
        <v>0</v>
      </c>
      <c r="J692">
        <v>0</v>
      </c>
      <c r="K692">
        <v>0</v>
      </c>
      <c r="L692">
        <v>0</v>
      </c>
      <c r="M692">
        <v>0</v>
      </c>
      <c r="N692">
        <v>0</v>
      </c>
      <c r="O692">
        <v>0</v>
      </c>
      <c r="P692">
        <v>0</v>
      </c>
      <c r="Q692">
        <v>0</v>
      </c>
      <c r="R692">
        <v>192</v>
      </c>
      <c r="S692">
        <v>588</v>
      </c>
      <c r="V692">
        <v>0</v>
      </c>
      <c r="W692" t="s">
        <v>1334</v>
      </c>
    </row>
    <row r="693" spans="1:23" x14ac:dyDescent="0.25">
      <c r="H693" t="s">
        <v>1335</v>
      </c>
    </row>
    <row r="694" spans="1:23" x14ac:dyDescent="0.25">
      <c r="A694">
        <v>344</v>
      </c>
      <c r="B694">
        <v>1366</v>
      </c>
      <c r="C694" t="s">
        <v>1336</v>
      </c>
      <c r="D694" t="s">
        <v>352</v>
      </c>
      <c r="E694" t="s">
        <v>121</v>
      </c>
      <c r="F694" t="s">
        <v>1337</v>
      </c>
      <c r="G694" t="str">
        <f>"00034862"</f>
        <v>00034862</v>
      </c>
      <c r="H694">
        <v>682</v>
      </c>
      <c r="I694">
        <v>0</v>
      </c>
      <c r="J694">
        <v>0</v>
      </c>
      <c r="K694">
        <v>0</v>
      </c>
      <c r="L694">
        <v>0</v>
      </c>
      <c r="M694">
        <v>0</v>
      </c>
      <c r="N694">
        <v>0</v>
      </c>
      <c r="O694">
        <v>0</v>
      </c>
      <c r="P694">
        <v>0</v>
      </c>
      <c r="Q694">
        <v>0</v>
      </c>
      <c r="R694">
        <v>156</v>
      </c>
      <c r="S694">
        <v>588</v>
      </c>
      <c r="V694">
        <v>0</v>
      </c>
      <c r="W694">
        <v>1270</v>
      </c>
    </row>
    <row r="695" spans="1:23" x14ac:dyDescent="0.25">
      <c r="H695" t="s">
        <v>1338</v>
      </c>
    </row>
    <row r="696" spans="1:23" x14ac:dyDescent="0.25">
      <c r="A696">
        <v>345</v>
      </c>
      <c r="B696">
        <v>9395</v>
      </c>
      <c r="C696" t="s">
        <v>1339</v>
      </c>
      <c r="D696" t="s">
        <v>156</v>
      </c>
      <c r="E696" t="s">
        <v>53</v>
      </c>
      <c r="F696" t="s">
        <v>1340</v>
      </c>
      <c r="G696" t="str">
        <f>"201511043425"</f>
        <v>201511043425</v>
      </c>
      <c r="H696" t="s">
        <v>566</v>
      </c>
      <c r="I696">
        <v>150</v>
      </c>
      <c r="J696">
        <v>0</v>
      </c>
      <c r="K696">
        <v>0</v>
      </c>
      <c r="L696">
        <v>0</v>
      </c>
      <c r="M696">
        <v>0</v>
      </c>
      <c r="N696">
        <v>0</v>
      </c>
      <c r="O696">
        <v>0</v>
      </c>
      <c r="P696">
        <v>0</v>
      </c>
      <c r="Q696">
        <v>0</v>
      </c>
      <c r="R696">
        <v>24</v>
      </c>
      <c r="S696">
        <v>168</v>
      </c>
      <c r="V696">
        <v>2</v>
      </c>
      <c r="W696" t="s">
        <v>1341</v>
      </c>
    </row>
    <row r="697" spans="1:23" x14ac:dyDescent="0.25">
      <c r="H697" t="s">
        <v>1342</v>
      </c>
    </row>
    <row r="698" spans="1:23" x14ac:dyDescent="0.25">
      <c r="A698">
        <v>346</v>
      </c>
      <c r="B698">
        <v>6569</v>
      </c>
      <c r="C698" t="s">
        <v>1343</v>
      </c>
      <c r="D698" t="s">
        <v>14</v>
      </c>
      <c r="E698" t="s">
        <v>721</v>
      </c>
      <c r="F698" t="s">
        <v>1344</v>
      </c>
      <c r="G698" t="str">
        <f>"201504001679"</f>
        <v>201504001679</v>
      </c>
      <c r="H698" t="s">
        <v>181</v>
      </c>
      <c r="I698">
        <v>0</v>
      </c>
      <c r="J698">
        <v>0</v>
      </c>
      <c r="K698">
        <v>0</v>
      </c>
      <c r="L698">
        <v>0</v>
      </c>
      <c r="M698">
        <v>0</v>
      </c>
      <c r="N698">
        <v>0</v>
      </c>
      <c r="O698">
        <v>0</v>
      </c>
      <c r="P698">
        <v>0</v>
      </c>
      <c r="Q698">
        <v>0</v>
      </c>
      <c r="R698">
        <v>52</v>
      </c>
      <c r="S698">
        <v>364</v>
      </c>
      <c r="V698">
        <v>0</v>
      </c>
      <c r="W698" t="s">
        <v>1345</v>
      </c>
    </row>
    <row r="699" spans="1:23" x14ac:dyDescent="0.25">
      <c r="H699" t="s">
        <v>1346</v>
      </c>
    </row>
    <row r="700" spans="1:23" x14ac:dyDescent="0.25">
      <c r="A700">
        <v>347</v>
      </c>
      <c r="B700">
        <v>6705</v>
      </c>
      <c r="C700" t="s">
        <v>1347</v>
      </c>
      <c r="D700" t="s">
        <v>352</v>
      </c>
      <c r="E700" t="s">
        <v>121</v>
      </c>
      <c r="F700" t="s">
        <v>1348</v>
      </c>
      <c r="G700" t="str">
        <f>"201510000176"</f>
        <v>201510000176</v>
      </c>
      <c r="H700" t="s">
        <v>461</v>
      </c>
      <c r="I700">
        <v>0</v>
      </c>
      <c r="J700">
        <v>0</v>
      </c>
      <c r="K700">
        <v>0</v>
      </c>
      <c r="L700">
        <v>0</v>
      </c>
      <c r="M700">
        <v>0</v>
      </c>
      <c r="N700">
        <v>0</v>
      </c>
      <c r="O700">
        <v>0</v>
      </c>
      <c r="P700">
        <v>0</v>
      </c>
      <c r="Q700">
        <v>0</v>
      </c>
      <c r="R700">
        <v>41</v>
      </c>
      <c r="S700">
        <v>287</v>
      </c>
      <c r="V700">
        <v>0</v>
      </c>
      <c r="W700" t="s">
        <v>1349</v>
      </c>
    </row>
    <row r="701" spans="1:23" x14ac:dyDescent="0.25">
      <c r="H701" t="s">
        <v>1350</v>
      </c>
    </row>
    <row r="702" spans="1:23" x14ac:dyDescent="0.25">
      <c r="A702">
        <v>348</v>
      </c>
      <c r="B702">
        <v>6306</v>
      </c>
      <c r="C702" t="s">
        <v>1351</v>
      </c>
      <c r="D702" t="s">
        <v>1352</v>
      </c>
      <c r="E702" t="s">
        <v>87</v>
      </c>
      <c r="F702" t="s">
        <v>1353</v>
      </c>
      <c r="G702" t="str">
        <f>"201511025101"</f>
        <v>201511025101</v>
      </c>
      <c r="H702">
        <v>770</v>
      </c>
      <c r="I702">
        <v>0</v>
      </c>
      <c r="J702">
        <v>0</v>
      </c>
      <c r="K702">
        <v>0</v>
      </c>
      <c r="L702">
        <v>0</v>
      </c>
      <c r="M702">
        <v>0</v>
      </c>
      <c r="N702">
        <v>0</v>
      </c>
      <c r="O702">
        <v>0</v>
      </c>
      <c r="P702">
        <v>0</v>
      </c>
      <c r="Q702">
        <v>0</v>
      </c>
      <c r="R702">
        <v>71</v>
      </c>
      <c r="S702">
        <v>497</v>
      </c>
      <c r="V702">
        <v>0</v>
      </c>
      <c r="W702">
        <v>1267</v>
      </c>
    </row>
    <row r="703" spans="1:23" x14ac:dyDescent="0.25">
      <c r="H703" t="s">
        <v>1354</v>
      </c>
    </row>
    <row r="704" spans="1:23" x14ac:dyDescent="0.25">
      <c r="A704">
        <v>349</v>
      </c>
      <c r="B704">
        <v>5553</v>
      </c>
      <c r="C704" t="s">
        <v>1355</v>
      </c>
      <c r="D704" t="s">
        <v>1356</v>
      </c>
      <c r="E704" t="s">
        <v>1357</v>
      </c>
      <c r="F704" t="s">
        <v>1358</v>
      </c>
      <c r="G704" t="str">
        <f>"00012913"</f>
        <v>00012913</v>
      </c>
      <c r="H704" t="s">
        <v>186</v>
      </c>
      <c r="I704">
        <v>150</v>
      </c>
      <c r="J704">
        <v>0</v>
      </c>
      <c r="K704">
        <v>0</v>
      </c>
      <c r="L704">
        <v>0</v>
      </c>
      <c r="M704">
        <v>0</v>
      </c>
      <c r="N704">
        <v>0</v>
      </c>
      <c r="O704">
        <v>0</v>
      </c>
      <c r="P704">
        <v>0</v>
      </c>
      <c r="Q704">
        <v>0</v>
      </c>
      <c r="R704">
        <v>9</v>
      </c>
      <c r="S704">
        <v>63</v>
      </c>
      <c r="V704">
        <v>0</v>
      </c>
      <c r="W704" t="s">
        <v>1359</v>
      </c>
    </row>
    <row r="705" spans="1:23" x14ac:dyDescent="0.25">
      <c r="H705" t="s">
        <v>1360</v>
      </c>
    </row>
    <row r="706" spans="1:23" x14ac:dyDescent="0.25">
      <c r="A706">
        <v>350</v>
      </c>
      <c r="B706">
        <v>4345</v>
      </c>
      <c r="C706" t="s">
        <v>1361</v>
      </c>
      <c r="D706" t="s">
        <v>1362</v>
      </c>
      <c r="E706" t="s">
        <v>32</v>
      </c>
      <c r="F706" t="s">
        <v>1363</v>
      </c>
      <c r="G706" t="str">
        <f>"201511035534"</f>
        <v>201511035534</v>
      </c>
      <c r="H706" t="s">
        <v>293</v>
      </c>
      <c r="I706">
        <v>0</v>
      </c>
      <c r="J706">
        <v>0</v>
      </c>
      <c r="K706">
        <v>0</v>
      </c>
      <c r="L706">
        <v>0</v>
      </c>
      <c r="M706">
        <v>0</v>
      </c>
      <c r="N706">
        <v>0</v>
      </c>
      <c r="O706">
        <v>0</v>
      </c>
      <c r="P706">
        <v>0</v>
      </c>
      <c r="Q706">
        <v>0</v>
      </c>
      <c r="R706">
        <v>34</v>
      </c>
      <c r="S706">
        <v>238</v>
      </c>
      <c r="V706">
        <v>0</v>
      </c>
      <c r="W706" t="s">
        <v>1364</v>
      </c>
    </row>
    <row r="707" spans="1:23" x14ac:dyDescent="0.25">
      <c r="H707" t="s">
        <v>1365</v>
      </c>
    </row>
    <row r="708" spans="1:23" x14ac:dyDescent="0.25">
      <c r="A708">
        <v>351</v>
      </c>
      <c r="B708">
        <v>8674</v>
      </c>
      <c r="C708" t="s">
        <v>1366</v>
      </c>
      <c r="D708" t="s">
        <v>26</v>
      </c>
      <c r="E708" t="s">
        <v>1367</v>
      </c>
      <c r="F708" t="s">
        <v>1368</v>
      </c>
      <c r="G708" t="str">
        <f>"00091663"</f>
        <v>00091663</v>
      </c>
      <c r="H708">
        <v>715</v>
      </c>
      <c r="I708">
        <v>0</v>
      </c>
      <c r="J708">
        <v>50</v>
      </c>
      <c r="K708">
        <v>0</v>
      </c>
      <c r="L708">
        <v>0</v>
      </c>
      <c r="M708">
        <v>0</v>
      </c>
      <c r="N708">
        <v>0</v>
      </c>
      <c r="O708">
        <v>0</v>
      </c>
      <c r="P708">
        <v>0</v>
      </c>
      <c r="Q708">
        <v>0</v>
      </c>
      <c r="R708">
        <v>71</v>
      </c>
      <c r="S708">
        <v>497</v>
      </c>
      <c r="V708">
        <v>0</v>
      </c>
      <c r="W708">
        <v>1262</v>
      </c>
    </row>
    <row r="709" spans="1:23" x14ac:dyDescent="0.25">
      <c r="H709" t="s">
        <v>295</v>
      </c>
    </row>
    <row r="710" spans="1:23" x14ac:dyDescent="0.25">
      <c r="A710">
        <v>352</v>
      </c>
      <c r="B710">
        <v>8664</v>
      </c>
      <c r="C710" t="s">
        <v>1369</v>
      </c>
      <c r="D710" t="s">
        <v>32</v>
      </c>
      <c r="E710" t="s">
        <v>42</v>
      </c>
      <c r="F710" t="s">
        <v>1370</v>
      </c>
      <c r="G710" t="str">
        <f>"201511024474"</f>
        <v>201511024474</v>
      </c>
      <c r="H710">
        <v>902</v>
      </c>
      <c r="I710">
        <v>0</v>
      </c>
      <c r="J710">
        <v>0</v>
      </c>
      <c r="K710">
        <v>0</v>
      </c>
      <c r="L710">
        <v>0</v>
      </c>
      <c r="M710">
        <v>0</v>
      </c>
      <c r="N710">
        <v>0</v>
      </c>
      <c r="O710">
        <v>0</v>
      </c>
      <c r="P710">
        <v>0</v>
      </c>
      <c r="Q710">
        <v>0</v>
      </c>
      <c r="R710">
        <v>51</v>
      </c>
      <c r="S710">
        <v>357</v>
      </c>
      <c r="V710">
        <v>2</v>
      </c>
      <c r="W710">
        <v>1259</v>
      </c>
    </row>
    <row r="711" spans="1:23" x14ac:dyDescent="0.25">
      <c r="H711" t="s">
        <v>1371</v>
      </c>
    </row>
    <row r="712" spans="1:23" x14ac:dyDescent="0.25">
      <c r="A712">
        <v>353</v>
      </c>
      <c r="B712">
        <v>2655</v>
      </c>
      <c r="C712" t="s">
        <v>1372</v>
      </c>
      <c r="D712" t="s">
        <v>218</v>
      </c>
      <c r="E712" t="s">
        <v>32</v>
      </c>
      <c r="F712" t="s">
        <v>1373</v>
      </c>
      <c r="G712" t="str">
        <f>"201511037751"</f>
        <v>201511037751</v>
      </c>
      <c r="H712">
        <v>902</v>
      </c>
      <c r="I712">
        <v>0</v>
      </c>
      <c r="J712">
        <v>0</v>
      </c>
      <c r="K712">
        <v>0</v>
      </c>
      <c r="L712">
        <v>0</v>
      </c>
      <c r="M712">
        <v>0</v>
      </c>
      <c r="N712">
        <v>0</v>
      </c>
      <c r="O712">
        <v>0</v>
      </c>
      <c r="P712">
        <v>0</v>
      </c>
      <c r="Q712">
        <v>0</v>
      </c>
      <c r="R712">
        <v>51</v>
      </c>
      <c r="S712">
        <v>357</v>
      </c>
      <c r="V712">
        <v>0</v>
      </c>
      <c r="W712">
        <v>1259</v>
      </c>
    </row>
    <row r="713" spans="1:23" x14ac:dyDescent="0.25">
      <c r="H713" t="s">
        <v>1374</v>
      </c>
    </row>
    <row r="714" spans="1:23" x14ac:dyDescent="0.25">
      <c r="A714">
        <v>354</v>
      </c>
      <c r="B714">
        <v>5812</v>
      </c>
      <c r="C714" t="s">
        <v>1375</v>
      </c>
      <c r="D714" t="s">
        <v>663</v>
      </c>
      <c r="E714" t="s">
        <v>1376</v>
      </c>
      <c r="F714" t="s">
        <v>1377</v>
      </c>
      <c r="G714" t="str">
        <f>"201512004159"</f>
        <v>201512004159</v>
      </c>
      <c r="H714">
        <v>946</v>
      </c>
      <c r="I714">
        <v>0</v>
      </c>
      <c r="J714">
        <v>0</v>
      </c>
      <c r="K714">
        <v>0</v>
      </c>
      <c r="L714">
        <v>0</v>
      </c>
      <c r="M714">
        <v>0</v>
      </c>
      <c r="N714">
        <v>0</v>
      </c>
      <c r="O714">
        <v>0</v>
      </c>
      <c r="P714">
        <v>0</v>
      </c>
      <c r="Q714">
        <v>0</v>
      </c>
      <c r="R714">
        <v>44</v>
      </c>
      <c r="S714">
        <v>308</v>
      </c>
      <c r="V714">
        <v>0</v>
      </c>
      <c r="W714">
        <v>1254</v>
      </c>
    </row>
    <row r="715" spans="1:23" x14ac:dyDescent="0.25">
      <c r="H715" t="s">
        <v>1378</v>
      </c>
    </row>
    <row r="716" spans="1:23" x14ac:dyDescent="0.25">
      <c r="A716">
        <v>355</v>
      </c>
      <c r="B716">
        <v>3087</v>
      </c>
      <c r="C716" t="s">
        <v>1379</v>
      </c>
      <c r="D716" t="s">
        <v>1380</v>
      </c>
      <c r="E716" t="s">
        <v>1107</v>
      </c>
      <c r="F716" t="s">
        <v>1381</v>
      </c>
      <c r="G716" t="str">
        <f>"201510002901"</f>
        <v>201510002901</v>
      </c>
      <c r="H716">
        <v>957</v>
      </c>
      <c r="I716">
        <v>0</v>
      </c>
      <c r="J716">
        <v>30</v>
      </c>
      <c r="K716">
        <v>0</v>
      </c>
      <c r="L716">
        <v>0</v>
      </c>
      <c r="M716">
        <v>0</v>
      </c>
      <c r="N716">
        <v>0</v>
      </c>
      <c r="O716">
        <v>0</v>
      </c>
      <c r="P716">
        <v>0</v>
      </c>
      <c r="Q716">
        <v>0</v>
      </c>
      <c r="R716">
        <v>38</v>
      </c>
      <c r="S716">
        <v>266</v>
      </c>
      <c r="V716">
        <v>0</v>
      </c>
      <c r="W716">
        <v>1253</v>
      </c>
    </row>
    <row r="717" spans="1:23" x14ac:dyDescent="0.25">
      <c r="H717" t="s">
        <v>1382</v>
      </c>
    </row>
    <row r="718" spans="1:23" x14ac:dyDescent="0.25">
      <c r="A718">
        <v>356</v>
      </c>
      <c r="B718">
        <v>3595</v>
      </c>
      <c r="C718" t="s">
        <v>1383</v>
      </c>
      <c r="D718" t="s">
        <v>717</v>
      </c>
      <c r="E718" t="s">
        <v>53</v>
      </c>
      <c r="F718" t="s">
        <v>1384</v>
      </c>
      <c r="G718" t="str">
        <f>"00020835"</f>
        <v>00020835</v>
      </c>
      <c r="H718">
        <v>605</v>
      </c>
      <c r="I718">
        <v>0</v>
      </c>
      <c r="J718">
        <v>30</v>
      </c>
      <c r="K718">
        <v>0</v>
      </c>
      <c r="L718">
        <v>0</v>
      </c>
      <c r="M718">
        <v>0</v>
      </c>
      <c r="N718">
        <v>30</v>
      </c>
      <c r="O718">
        <v>0</v>
      </c>
      <c r="P718">
        <v>0</v>
      </c>
      <c r="Q718">
        <v>0</v>
      </c>
      <c r="R718">
        <v>113</v>
      </c>
      <c r="S718">
        <v>588</v>
      </c>
      <c r="V718">
        <v>0</v>
      </c>
      <c r="W718">
        <v>1253</v>
      </c>
    </row>
    <row r="719" spans="1:23" x14ac:dyDescent="0.25">
      <c r="H719" t="s">
        <v>1385</v>
      </c>
    </row>
    <row r="720" spans="1:23" x14ac:dyDescent="0.25">
      <c r="A720">
        <v>357</v>
      </c>
      <c r="B720">
        <v>9532</v>
      </c>
      <c r="C720" t="s">
        <v>1386</v>
      </c>
      <c r="D720" t="s">
        <v>26</v>
      </c>
      <c r="E720" t="s">
        <v>42</v>
      </c>
      <c r="F720" t="s">
        <v>1387</v>
      </c>
      <c r="G720" t="str">
        <f>"00086664"</f>
        <v>00086664</v>
      </c>
      <c r="H720" t="s">
        <v>1388</v>
      </c>
      <c r="I720">
        <v>0</v>
      </c>
      <c r="J720">
        <v>30</v>
      </c>
      <c r="K720">
        <v>0</v>
      </c>
      <c r="L720">
        <v>0</v>
      </c>
      <c r="M720">
        <v>0</v>
      </c>
      <c r="N720">
        <v>0</v>
      </c>
      <c r="O720">
        <v>0</v>
      </c>
      <c r="P720">
        <v>0</v>
      </c>
      <c r="Q720">
        <v>0</v>
      </c>
      <c r="R720">
        <v>167</v>
      </c>
      <c r="S720">
        <v>588</v>
      </c>
      <c r="V720">
        <v>0</v>
      </c>
      <c r="W720" t="s">
        <v>1389</v>
      </c>
    </row>
    <row r="721" spans="1:23" x14ac:dyDescent="0.25">
      <c r="H721" t="s">
        <v>1390</v>
      </c>
    </row>
    <row r="722" spans="1:23" x14ac:dyDescent="0.25">
      <c r="A722">
        <v>358</v>
      </c>
      <c r="B722">
        <v>8870</v>
      </c>
      <c r="C722" t="s">
        <v>265</v>
      </c>
      <c r="D722" t="s">
        <v>1391</v>
      </c>
      <c r="E722" t="s">
        <v>71</v>
      </c>
      <c r="F722" t="s">
        <v>1392</v>
      </c>
      <c r="G722" t="str">
        <f>"00046936"</f>
        <v>00046936</v>
      </c>
      <c r="H722">
        <v>605</v>
      </c>
      <c r="I722">
        <v>150</v>
      </c>
      <c r="J722">
        <v>0</v>
      </c>
      <c r="K722">
        <v>0</v>
      </c>
      <c r="L722">
        <v>0</v>
      </c>
      <c r="M722">
        <v>0</v>
      </c>
      <c r="N722">
        <v>0</v>
      </c>
      <c r="O722">
        <v>0</v>
      </c>
      <c r="P722">
        <v>0</v>
      </c>
      <c r="Q722">
        <v>0</v>
      </c>
      <c r="R722">
        <v>71</v>
      </c>
      <c r="S722">
        <v>497</v>
      </c>
      <c r="V722">
        <v>0</v>
      </c>
      <c r="W722">
        <v>1252</v>
      </c>
    </row>
    <row r="723" spans="1:23" x14ac:dyDescent="0.25">
      <c r="H723" t="s">
        <v>1393</v>
      </c>
    </row>
    <row r="724" spans="1:23" x14ac:dyDescent="0.25">
      <c r="A724">
        <v>359</v>
      </c>
      <c r="B724">
        <v>1334</v>
      </c>
      <c r="C724" t="s">
        <v>1394</v>
      </c>
      <c r="D724" t="s">
        <v>1395</v>
      </c>
      <c r="E724" t="s">
        <v>71</v>
      </c>
      <c r="F724" t="s">
        <v>1396</v>
      </c>
      <c r="G724" t="str">
        <f>"201102000067"</f>
        <v>201102000067</v>
      </c>
      <c r="H724">
        <v>1100</v>
      </c>
      <c r="I724">
        <v>150</v>
      </c>
      <c r="J724">
        <v>0</v>
      </c>
      <c r="K724">
        <v>0</v>
      </c>
      <c r="L724">
        <v>0</v>
      </c>
      <c r="M724">
        <v>0</v>
      </c>
      <c r="N724">
        <v>0</v>
      </c>
      <c r="O724">
        <v>0</v>
      </c>
      <c r="P724">
        <v>0</v>
      </c>
      <c r="Q724">
        <v>0</v>
      </c>
      <c r="R724">
        <v>0</v>
      </c>
      <c r="S724">
        <v>0</v>
      </c>
      <c r="V724">
        <v>0</v>
      </c>
      <c r="W724">
        <v>1250</v>
      </c>
    </row>
    <row r="725" spans="1:23" x14ac:dyDescent="0.25">
      <c r="H725" t="s">
        <v>1397</v>
      </c>
    </row>
    <row r="726" spans="1:23" x14ac:dyDescent="0.25">
      <c r="A726">
        <v>360</v>
      </c>
      <c r="B726">
        <v>3976</v>
      </c>
      <c r="C726" t="s">
        <v>1398</v>
      </c>
      <c r="D726" t="s">
        <v>156</v>
      </c>
      <c r="E726" t="s">
        <v>95</v>
      </c>
      <c r="F726" t="s">
        <v>1399</v>
      </c>
      <c r="G726" t="str">
        <f>"201511041642"</f>
        <v>201511041642</v>
      </c>
      <c r="H726">
        <v>1100</v>
      </c>
      <c r="I726">
        <v>150</v>
      </c>
      <c r="J726">
        <v>0</v>
      </c>
      <c r="K726">
        <v>0</v>
      </c>
      <c r="L726">
        <v>0</v>
      </c>
      <c r="M726">
        <v>0</v>
      </c>
      <c r="N726">
        <v>0</v>
      </c>
      <c r="O726">
        <v>0</v>
      </c>
      <c r="P726">
        <v>0</v>
      </c>
      <c r="Q726">
        <v>0</v>
      </c>
      <c r="R726">
        <v>0</v>
      </c>
      <c r="S726">
        <v>0</v>
      </c>
      <c r="V726">
        <v>0</v>
      </c>
      <c r="W726">
        <v>1250</v>
      </c>
    </row>
    <row r="727" spans="1:23" x14ac:dyDescent="0.25">
      <c r="H727" t="s">
        <v>1400</v>
      </c>
    </row>
    <row r="728" spans="1:23" x14ac:dyDescent="0.25">
      <c r="A728">
        <v>361</v>
      </c>
      <c r="B728">
        <v>9357</v>
      </c>
      <c r="C728" t="s">
        <v>1401</v>
      </c>
      <c r="D728" t="s">
        <v>126</v>
      </c>
      <c r="E728" t="s">
        <v>116</v>
      </c>
      <c r="F728" t="s">
        <v>1402</v>
      </c>
      <c r="G728" t="str">
        <f>"201511029616"</f>
        <v>201511029616</v>
      </c>
      <c r="H728">
        <v>990</v>
      </c>
      <c r="I728">
        <v>0</v>
      </c>
      <c r="J728">
        <v>0</v>
      </c>
      <c r="K728">
        <v>0</v>
      </c>
      <c r="L728">
        <v>0</v>
      </c>
      <c r="M728">
        <v>0</v>
      </c>
      <c r="N728">
        <v>0</v>
      </c>
      <c r="O728">
        <v>0</v>
      </c>
      <c r="P728">
        <v>0</v>
      </c>
      <c r="Q728">
        <v>0</v>
      </c>
      <c r="R728">
        <v>37</v>
      </c>
      <c r="S728">
        <v>259</v>
      </c>
      <c r="V728">
        <v>0</v>
      </c>
      <c r="W728">
        <v>1249</v>
      </c>
    </row>
    <row r="729" spans="1:23" x14ac:dyDescent="0.25">
      <c r="H729" t="s">
        <v>1403</v>
      </c>
    </row>
    <row r="730" spans="1:23" x14ac:dyDescent="0.25">
      <c r="A730">
        <v>362</v>
      </c>
      <c r="B730">
        <v>10208</v>
      </c>
      <c r="C730" t="s">
        <v>1404</v>
      </c>
      <c r="D730" t="s">
        <v>132</v>
      </c>
      <c r="E730" t="s">
        <v>304</v>
      </c>
      <c r="F730" t="s">
        <v>1405</v>
      </c>
      <c r="G730" t="str">
        <f>"201511008464"</f>
        <v>201511008464</v>
      </c>
      <c r="H730">
        <v>880</v>
      </c>
      <c r="I730">
        <v>150</v>
      </c>
      <c r="J730">
        <v>30</v>
      </c>
      <c r="K730">
        <v>0</v>
      </c>
      <c r="L730">
        <v>0</v>
      </c>
      <c r="M730">
        <v>0</v>
      </c>
      <c r="N730">
        <v>0</v>
      </c>
      <c r="O730">
        <v>0</v>
      </c>
      <c r="P730">
        <v>0</v>
      </c>
      <c r="Q730">
        <v>0</v>
      </c>
      <c r="R730">
        <v>27</v>
      </c>
      <c r="S730">
        <v>189</v>
      </c>
      <c r="V730">
        <v>0</v>
      </c>
      <c r="W730">
        <v>1249</v>
      </c>
    </row>
    <row r="731" spans="1:23" x14ac:dyDescent="0.25">
      <c r="H731" t="s">
        <v>1406</v>
      </c>
    </row>
    <row r="732" spans="1:23" x14ac:dyDescent="0.25">
      <c r="A732">
        <v>363</v>
      </c>
      <c r="B732">
        <v>1144</v>
      </c>
      <c r="C732" t="s">
        <v>1407</v>
      </c>
      <c r="D732" t="s">
        <v>31</v>
      </c>
      <c r="E732" t="s">
        <v>1376</v>
      </c>
      <c r="F732" t="s">
        <v>1408</v>
      </c>
      <c r="G732" t="str">
        <f>"201511030231"</f>
        <v>201511030231</v>
      </c>
      <c r="H732">
        <v>660</v>
      </c>
      <c r="I732">
        <v>0</v>
      </c>
      <c r="J732">
        <v>0</v>
      </c>
      <c r="K732">
        <v>0</v>
      </c>
      <c r="L732">
        <v>0</v>
      </c>
      <c r="M732">
        <v>0</v>
      </c>
      <c r="N732">
        <v>0</v>
      </c>
      <c r="O732">
        <v>0</v>
      </c>
      <c r="P732">
        <v>0</v>
      </c>
      <c r="Q732">
        <v>0</v>
      </c>
      <c r="R732">
        <v>127</v>
      </c>
      <c r="S732">
        <v>588</v>
      </c>
      <c r="V732">
        <v>0</v>
      </c>
      <c r="W732">
        <v>1248</v>
      </c>
    </row>
    <row r="733" spans="1:23" x14ac:dyDescent="0.25">
      <c r="H733" t="s">
        <v>1409</v>
      </c>
    </row>
    <row r="734" spans="1:23" x14ac:dyDescent="0.25">
      <c r="A734">
        <v>364</v>
      </c>
      <c r="B734">
        <v>8677</v>
      </c>
      <c r="C734" t="s">
        <v>1410</v>
      </c>
      <c r="D734" t="s">
        <v>31</v>
      </c>
      <c r="E734" t="s">
        <v>26</v>
      </c>
      <c r="F734" t="s">
        <v>1411</v>
      </c>
      <c r="G734" t="str">
        <f>"00027638"</f>
        <v>00027638</v>
      </c>
      <c r="H734">
        <v>660</v>
      </c>
      <c r="I734">
        <v>0</v>
      </c>
      <c r="J734">
        <v>0</v>
      </c>
      <c r="K734">
        <v>0</v>
      </c>
      <c r="L734">
        <v>0</v>
      </c>
      <c r="M734">
        <v>0</v>
      </c>
      <c r="N734">
        <v>0</v>
      </c>
      <c r="O734">
        <v>0</v>
      </c>
      <c r="P734">
        <v>0</v>
      </c>
      <c r="Q734">
        <v>0</v>
      </c>
      <c r="R734">
        <v>155</v>
      </c>
      <c r="S734">
        <v>588</v>
      </c>
      <c r="V734">
        <v>0</v>
      </c>
      <c r="W734">
        <v>1248</v>
      </c>
    </row>
    <row r="735" spans="1:23" x14ac:dyDescent="0.25">
      <c r="H735" t="s">
        <v>1412</v>
      </c>
    </row>
    <row r="736" spans="1:23" x14ac:dyDescent="0.25">
      <c r="A736">
        <v>365</v>
      </c>
      <c r="B736">
        <v>2293</v>
      </c>
      <c r="C736" t="s">
        <v>1413</v>
      </c>
      <c r="D736" t="s">
        <v>1414</v>
      </c>
      <c r="E736" t="s">
        <v>88</v>
      </c>
      <c r="F736" t="s">
        <v>1415</v>
      </c>
      <c r="G736" t="str">
        <f>"00021330"</f>
        <v>00021330</v>
      </c>
      <c r="H736">
        <v>660</v>
      </c>
      <c r="I736">
        <v>0</v>
      </c>
      <c r="J736">
        <v>0</v>
      </c>
      <c r="K736">
        <v>0</v>
      </c>
      <c r="L736">
        <v>0</v>
      </c>
      <c r="M736">
        <v>0</v>
      </c>
      <c r="N736">
        <v>0</v>
      </c>
      <c r="O736">
        <v>0</v>
      </c>
      <c r="P736">
        <v>0</v>
      </c>
      <c r="Q736">
        <v>0</v>
      </c>
      <c r="R736">
        <v>84</v>
      </c>
      <c r="S736">
        <v>588</v>
      </c>
      <c r="V736">
        <v>0</v>
      </c>
      <c r="W736">
        <v>1248</v>
      </c>
    </row>
    <row r="737" spans="1:23" x14ac:dyDescent="0.25">
      <c r="H737" t="s">
        <v>1416</v>
      </c>
    </row>
    <row r="738" spans="1:23" x14ac:dyDescent="0.25">
      <c r="A738">
        <v>366</v>
      </c>
      <c r="B738">
        <v>1743</v>
      </c>
      <c r="C738" t="s">
        <v>1417</v>
      </c>
      <c r="D738" t="s">
        <v>830</v>
      </c>
      <c r="E738" t="s">
        <v>42</v>
      </c>
      <c r="F738" t="s">
        <v>1418</v>
      </c>
      <c r="G738" t="str">
        <f>"201511039694"</f>
        <v>201511039694</v>
      </c>
      <c r="H738">
        <v>660</v>
      </c>
      <c r="I738">
        <v>0</v>
      </c>
      <c r="J738">
        <v>0</v>
      </c>
      <c r="K738">
        <v>0</v>
      </c>
      <c r="L738">
        <v>0</v>
      </c>
      <c r="M738">
        <v>0</v>
      </c>
      <c r="N738">
        <v>0</v>
      </c>
      <c r="O738">
        <v>0</v>
      </c>
      <c r="P738">
        <v>0</v>
      </c>
      <c r="Q738">
        <v>0</v>
      </c>
      <c r="R738">
        <v>120</v>
      </c>
      <c r="S738">
        <v>588</v>
      </c>
      <c r="V738">
        <v>0</v>
      </c>
      <c r="W738">
        <v>1248</v>
      </c>
    </row>
    <row r="739" spans="1:23" x14ac:dyDescent="0.25">
      <c r="H739" t="s">
        <v>1419</v>
      </c>
    </row>
    <row r="740" spans="1:23" x14ac:dyDescent="0.25">
      <c r="A740">
        <v>367</v>
      </c>
      <c r="B740">
        <v>241</v>
      </c>
      <c r="C740" t="s">
        <v>1420</v>
      </c>
      <c r="D740" t="s">
        <v>269</v>
      </c>
      <c r="E740" t="s">
        <v>533</v>
      </c>
      <c r="F740" t="s">
        <v>1421</v>
      </c>
      <c r="G740" t="str">
        <f>"201511038467"</f>
        <v>201511038467</v>
      </c>
      <c r="H740">
        <v>660</v>
      </c>
      <c r="I740">
        <v>0</v>
      </c>
      <c r="J740">
        <v>0</v>
      </c>
      <c r="K740">
        <v>0</v>
      </c>
      <c r="L740">
        <v>0</v>
      </c>
      <c r="M740">
        <v>0</v>
      </c>
      <c r="N740">
        <v>0</v>
      </c>
      <c r="O740">
        <v>0</v>
      </c>
      <c r="P740">
        <v>0</v>
      </c>
      <c r="Q740">
        <v>0</v>
      </c>
      <c r="R740">
        <v>131</v>
      </c>
      <c r="S740">
        <v>588</v>
      </c>
      <c r="V740">
        <v>0</v>
      </c>
      <c r="W740">
        <v>1248</v>
      </c>
    </row>
    <row r="741" spans="1:23" x14ac:dyDescent="0.25">
      <c r="H741" t="s">
        <v>1422</v>
      </c>
    </row>
    <row r="742" spans="1:23" x14ac:dyDescent="0.25">
      <c r="A742">
        <v>368</v>
      </c>
      <c r="B742">
        <v>4186</v>
      </c>
      <c r="C742" t="s">
        <v>480</v>
      </c>
      <c r="D742" t="s">
        <v>1423</v>
      </c>
      <c r="E742" t="s">
        <v>141</v>
      </c>
      <c r="F742" t="s">
        <v>1424</v>
      </c>
      <c r="G742" t="str">
        <f>"00049287"</f>
        <v>00049287</v>
      </c>
      <c r="H742" t="s">
        <v>609</v>
      </c>
      <c r="I742">
        <v>0</v>
      </c>
      <c r="J742">
        <v>0</v>
      </c>
      <c r="K742">
        <v>0</v>
      </c>
      <c r="L742">
        <v>0</v>
      </c>
      <c r="M742">
        <v>0</v>
      </c>
      <c r="N742">
        <v>0</v>
      </c>
      <c r="O742">
        <v>0</v>
      </c>
      <c r="P742">
        <v>0</v>
      </c>
      <c r="Q742">
        <v>0</v>
      </c>
      <c r="R742">
        <v>25</v>
      </c>
      <c r="S742">
        <v>175</v>
      </c>
      <c r="V742">
        <v>0</v>
      </c>
      <c r="W742" t="s">
        <v>1425</v>
      </c>
    </row>
    <row r="743" spans="1:23" x14ac:dyDescent="0.25">
      <c r="H743" t="s">
        <v>1426</v>
      </c>
    </row>
    <row r="744" spans="1:23" x14ac:dyDescent="0.25">
      <c r="A744">
        <v>369</v>
      </c>
      <c r="B744">
        <v>8574</v>
      </c>
      <c r="C744" t="s">
        <v>459</v>
      </c>
      <c r="D744" t="s">
        <v>175</v>
      </c>
      <c r="E744" t="s">
        <v>218</v>
      </c>
      <c r="F744" t="s">
        <v>1427</v>
      </c>
      <c r="G744" t="str">
        <f>"201406010405"</f>
        <v>201406010405</v>
      </c>
      <c r="H744">
        <v>1078</v>
      </c>
      <c r="I744">
        <v>0</v>
      </c>
      <c r="J744">
        <v>50</v>
      </c>
      <c r="K744">
        <v>0</v>
      </c>
      <c r="L744">
        <v>0</v>
      </c>
      <c r="M744">
        <v>0</v>
      </c>
      <c r="N744">
        <v>0</v>
      </c>
      <c r="O744">
        <v>0</v>
      </c>
      <c r="P744">
        <v>0</v>
      </c>
      <c r="Q744">
        <v>0</v>
      </c>
      <c r="R744">
        <v>17</v>
      </c>
      <c r="S744">
        <v>119</v>
      </c>
      <c r="V744">
        <v>0</v>
      </c>
      <c r="W744">
        <v>1247</v>
      </c>
    </row>
    <row r="745" spans="1:23" x14ac:dyDescent="0.25">
      <c r="H745" t="s">
        <v>1428</v>
      </c>
    </row>
    <row r="746" spans="1:23" x14ac:dyDescent="0.25">
      <c r="A746">
        <v>370</v>
      </c>
      <c r="B746">
        <v>2936</v>
      </c>
      <c r="C746" t="s">
        <v>1429</v>
      </c>
      <c r="D746" t="s">
        <v>175</v>
      </c>
      <c r="E746" t="s">
        <v>53</v>
      </c>
      <c r="F746" t="s">
        <v>1430</v>
      </c>
      <c r="G746" t="str">
        <f>"201511014201"</f>
        <v>201511014201</v>
      </c>
      <c r="H746">
        <v>1023</v>
      </c>
      <c r="I746">
        <v>0</v>
      </c>
      <c r="J746">
        <v>0</v>
      </c>
      <c r="K746">
        <v>0</v>
      </c>
      <c r="L746">
        <v>0</v>
      </c>
      <c r="M746">
        <v>0</v>
      </c>
      <c r="N746">
        <v>0</v>
      </c>
      <c r="O746">
        <v>0</v>
      </c>
      <c r="P746">
        <v>0</v>
      </c>
      <c r="Q746">
        <v>0</v>
      </c>
      <c r="R746">
        <v>32</v>
      </c>
      <c r="S746">
        <v>224</v>
      </c>
      <c r="V746">
        <v>0</v>
      </c>
      <c r="W746">
        <v>1247</v>
      </c>
    </row>
    <row r="747" spans="1:23" x14ac:dyDescent="0.25">
      <c r="H747" t="s">
        <v>1431</v>
      </c>
    </row>
    <row r="748" spans="1:23" x14ac:dyDescent="0.25">
      <c r="A748">
        <v>371</v>
      </c>
      <c r="B748">
        <v>2936</v>
      </c>
      <c r="C748" t="s">
        <v>1429</v>
      </c>
      <c r="D748" t="s">
        <v>175</v>
      </c>
      <c r="E748" t="s">
        <v>53</v>
      </c>
      <c r="F748" t="s">
        <v>1430</v>
      </c>
      <c r="G748" t="str">
        <f>"201511014201"</f>
        <v>201511014201</v>
      </c>
      <c r="H748">
        <v>1023</v>
      </c>
      <c r="I748">
        <v>0</v>
      </c>
      <c r="J748">
        <v>0</v>
      </c>
      <c r="K748">
        <v>0</v>
      </c>
      <c r="L748">
        <v>0</v>
      </c>
      <c r="M748">
        <v>0</v>
      </c>
      <c r="N748">
        <v>0</v>
      </c>
      <c r="O748">
        <v>0</v>
      </c>
      <c r="P748">
        <v>0</v>
      </c>
      <c r="Q748">
        <v>0</v>
      </c>
      <c r="R748">
        <v>32</v>
      </c>
      <c r="S748">
        <v>224</v>
      </c>
      <c r="T748">
        <v>6</v>
      </c>
      <c r="U748" t="s">
        <v>80</v>
      </c>
      <c r="V748">
        <v>0</v>
      </c>
      <c r="W748">
        <v>1247</v>
      </c>
    </row>
    <row r="749" spans="1:23" x14ac:dyDescent="0.25">
      <c r="H749" t="s">
        <v>1431</v>
      </c>
    </row>
    <row r="750" spans="1:23" x14ac:dyDescent="0.25">
      <c r="A750">
        <v>372</v>
      </c>
      <c r="B750">
        <v>2733</v>
      </c>
      <c r="C750" t="s">
        <v>1432</v>
      </c>
      <c r="D750" t="s">
        <v>190</v>
      </c>
      <c r="E750" t="s">
        <v>1433</v>
      </c>
      <c r="F750" t="s">
        <v>1434</v>
      </c>
      <c r="G750" t="str">
        <f>"201511017418"</f>
        <v>201511017418</v>
      </c>
      <c r="H750" t="s">
        <v>77</v>
      </c>
      <c r="I750">
        <v>150</v>
      </c>
      <c r="J750">
        <v>0</v>
      </c>
      <c r="K750">
        <v>0</v>
      </c>
      <c r="L750">
        <v>0</v>
      </c>
      <c r="M750">
        <v>0</v>
      </c>
      <c r="N750">
        <v>0</v>
      </c>
      <c r="O750">
        <v>0</v>
      </c>
      <c r="P750">
        <v>0</v>
      </c>
      <c r="Q750">
        <v>0</v>
      </c>
      <c r="R750">
        <v>0</v>
      </c>
      <c r="S750">
        <v>0</v>
      </c>
      <c r="V750">
        <v>0</v>
      </c>
      <c r="W750" t="s">
        <v>1435</v>
      </c>
    </row>
    <row r="751" spans="1:23" x14ac:dyDescent="0.25">
      <c r="H751" t="s">
        <v>1436</v>
      </c>
    </row>
    <row r="752" spans="1:23" x14ac:dyDescent="0.25">
      <c r="A752">
        <v>373</v>
      </c>
      <c r="B752">
        <v>7879</v>
      </c>
      <c r="C752" t="s">
        <v>1437</v>
      </c>
      <c r="D752" t="s">
        <v>67</v>
      </c>
      <c r="E752" t="s">
        <v>71</v>
      </c>
      <c r="F752" t="s">
        <v>1438</v>
      </c>
      <c r="G752" t="str">
        <f>"00073126"</f>
        <v>00073126</v>
      </c>
      <c r="H752" t="s">
        <v>1439</v>
      </c>
      <c r="I752">
        <v>150</v>
      </c>
      <c r="J752">
        <v>30</v>
      </c>
      <c r="K752">
        <v>0</v>
      </c>
      <c r="L752">
        <v>0</v>
      </c>
      <c r="M752">
        <v>0</v>
      </c>
      <c r="N752">
        <v>0</v>
      </c>
      <c r="O752">
        <v>0</v>
      </c>
      <c r="P752">
        <v>0</v>
      </c>
      <c r="Q752">
        <v>0</v>
      </c>
      <c r="R752">
        <v>0</v>
      </c>
      <c r="S752">
        <v>0</v>
      </c>
      <c r="V752">
        <v>0</v>
      </c>
      <c r="W752" t="s">
        <v>1440</v>
      </c>
    </row>
    <row r="753" spans="1:23" x14ac:dyDescent="0.25">
      <c r="H753" t="s">
        <v>1441</v>
      </c>
    </row>
    <row r="754" spans="1:23" x14ac:dyDescent="0.25">
      <c r="A754">
        <v>374</v>
      </c>
      <c r="B754">
        <v>4452</v>
      </c>
      <c r="C754" t="s">
        <v>1442</v>
      </c>
      <c r="D754" t="s">
        <v>190</v>
      </c>
      <c r="E754" t="s">
        <v>121</v>
      </c>
      <c r="F754" t="s">
        <v>1443</v>
      </c>
      <c r="G754" t="str">
        <f>"201511033353"</f>
        <v>201511033353</v>
      </c>
      <c r="H754">
        <v>935</v>
      </c>
      <c r="I754">
        <v>0</v>
      </c>
      <c r="J754">
        <v>0</v>
      </c>
      <c r="K754">
        <v>0</v>
      </c>
      <c r="L754">
        <v>0</v>
      </c>
      <c r="M754">
        <v>0</v>
      </c>
      <c r="N754">
        <v>0</v>
      </c>
      <c r="O754">
        <v>0</v>
      </c>
      <c r="P754">
        <v>0</v>
      </c>
      <c r="Q754">
        <v>0</v>
      </c>
      <c r="R754">
        <v>44</v>
      </c>
      <c r="S754">
        <v>308</v>
      </c>
      <c r="V754">
        <v>0</v>
      </c>
      <c r="W754">
        <v>1243</v>
      </c>
    </row>
    <row r="755" spans="1:23" x14ac:dyDescent="0.25">
      <c r="H755" t="s">
        <v>1444</v>
      </c>
    </row>
    <row r="756" spans="1:23" x14ac:dyDescent="0.25">
      <c r="A756">
        <v>375</v>
      </c>
      <c r="B756">
        <v>5354</v>
      </c>
      <c r="C756" t="s">
        <v>1445</v>
      </c>
      <c r="D756" t="s">
        <v>1446</v>
      </c>
      <c r="E756" t="s">
        <v>42</v>
      </c>
      <c r="F756" t="s">
        <v>1447</v>
      </c>
      <c r="G756" t="str">
        <f>"00091742"</f>
        <v>00091742</v>
      </c>
      <c r="H756">
        <v>990</v>
      </c>
      <c r="I756">
        <v>0</v>
      </c>
      <c r="J756">
        <v>0</v>
      </c>
      <c r="K756">
        <v>0</v>
      </c>
      <c r="L756">
        <v>0</v>
      </c>
      <c r="M756">
        <v>0</v>
      </c>
      <c r="N756">
        <v>0</v>
      </c>
      <c r="O756">
        <v>0</v>
      </c>
      <c r="P756">
        <v>0</v>
      </c>
      <c r="Q756">
        <v>0</v>
      </c>
      <c r="R756">
        <v>36</v>
      </c>
      <c r="S756">
        <v>252</v>
      </c>
      <c r="V756">
        <v>0</v>
      </c>
      <c r="W756">
        <v>1242</v>
      </c>
    </row>
    <row r="757" spans="1:23" x14ac:dyDescent="0.25">
      <c r="H757" t="s">
        <v>1448</v>
      </c>
    </row>
    <row r="758" spans="1:23" x14ac:dyDescent="0.25">
      <c r="A758">
        <v>376</v>
      </c>
      <c r="B758">
        <v>6409</v>
      </c>
      <c r="C758" t="s">
        <v>1449</v>
      </c>
      <c r="D758" t="s">
        <v>1450</v>
      </c>
      <c r="E758" t="s">
        <v>1451</v>
      </c>
      <c r="F758" t="s">
        <v>1452</v>
      </c>
      <c r="G758" t="str">
        <f>"201511034303"</f>
        <v>201511034303</v>
      </c>
      <c r="H758" t="s">
        <v>1453</v>
      </c>
      <c r="I758">
        <v>0</v>
      </c>
      <c r="J758">
        <v>30</v>
      </c>
      <c r="K758">
        <v>0</v>
      </c>
      <c r="L758">
        <v>0</v>
      </c>
      <c r="M758">
        <v>0</v>
      </c>
      <c r="N758">
        <v>0</v>
      </c>
      <c r="O758">
        <v>0</v>
      </c>
      <c r="P758">
        <v>0</v>
      </c>
      <c r="Q758">
        <v>0</v>
      </c>
      <c r="R758">
        <v>28</v>
      </c>
      <c r="S758">
        <v>196</v>
      </c>
      <c r="V758">
        <v>0</v>
      </c>
      <c r="W758" t="s">
        <v>1454</v>
      </c>
    </row>
    <row r="759" spans="1:23" x14ac:dyDescent="0.25">
      <c r="H759" t="s">
        <v>1455</v>
      </c>
    </row>
    <row r="760" spans="1:23" x14ac:dyDescent="0.25">
      <c r="A760">
        <v>377</v>
      </c>
      <c r="B760">
        <v>4779</v>
      </c>
      <c r="C760" t="s">
        <v>1456</v>
      </c>
      <c r="D760" t="s">
        <v>1457</v>
      </c>
      <c r="E760" t="s">
        <v>1458</v>
      </c>
      <c r="F760" t="s">
        <v>1459</v>
      </c>
      <c r="G760" t="str">
        <f>"201512002911"</f>
        <v>201512002911</v>
      </c>
      <c r="H760">
        <v>1100</v>
      </c>
      <c r="I760">
        <v>0</v>
      </c>
      <c r="J760">
        <v>0</v>
      </c>
      <c r="K760">
        <v>0</v>
      </c>
      <c r="L760">
        <v>0</v>
      </c>
      <c r="M760">
        <v>0</v>
      </c>
      <c r="N760">
        <v>0</v>
      </c>
      <c r="O760">
        <v>0</v>
      </c>
      <c r="P760">
        <v>0</v>
      </c>
      <c r="Q760">
        <v>0</v>
      </c>
      <c r="R760">
        <v>20</v>
      </c>
      <c r="S760">
        <v>140</v>
      </c>
      <c r="V760">
        <v>0</v>
      </c>
      <c r="W760">
        <v>1240</v>
      </c>
    </row>
    <row r="761" spans="1:23" x14ac:dyDescent="0.25">
      <c r="H761" t="s">
        <v>1460</v>
      </c>
    </row>
    <row r="762" spans="1:23" x14ac:dyDescent="0.25">
      <c r="A762">
        <v>378</v>
      </c>
      <c r="B762">
        <v>10346</v>
      </c>
      <c r="C762" t="s">
        <v>1461</v>
      </c>
      <c r="D762" t="s">
        <v>71</v>
      </c>
      <c r="E762" t="s">
        <v>42</v>
      </c>
      <c r="F762" t="s">
        <v>1462</v>
      </c>
      <c r="G762" t="str">
        <f>"00073578"</f>
        <v>00073578</v>
      </c>
      <c r="H762" t="s">
        <v>1463</v>
      </c>
      <c r="I762">
        <v>0</v>
      </c>
      <c r="J762">
        <v>0</v>
      </c>
      <c r="K762">
        <v>0</v>
      </c>
      <c r="L762">
        <v>0</v>
      </c>
      <c r="M762">
        <v>0</v>
      </c>
      <c r="N762">
        <v>0</v>
      </c>
      <c r="O762">
        <v>0</v>
      </c>
      <c r="P762">
        <v>0</v>
      </c>
      <c r="Q762">
        <v>0</v>
      </c>
      <c r="R762">
        <v>33</v>
      </c>
      <c r="S762">
        <v>231</v>
      </c>
      <c r="V762">
        <v>0</v>
      </c>
      <c r="W762" t="s">
        <v>1464</v>
      </c>
    </row>
    <row r="763" spans="1:23" x14ac:dyDescent="0.25">
      <c r="H763" t="s">
        <v>1465</v>
      </c>
    </row>
    <row r="764" spans="1:23" x14ac:dyDescent="0.25">
      <c r="A764">
        <v>379</v>
      </c>
      <c r="B764">
        <v>4721</v>
      </c>
      <c r="C764" t="s">
        <v>1466</v>
      </c>
      <c r="D764" t="s">
        <v>663</v>
      </c>
      <c r="E764" t="s">
        <v>71</v>
      </c>
      <c r="F764" t="s">
        <v>1467</v>
      </c>
      <c r="G764" t="str">
        <f>"00023642"</f>
        <v>00023642</v>
      </c>
      <c r="H764" t="s">
        <v>1468</v>
      </c>
      <c r="I764">
        <v>0</v>
      </c>
      <c r="J764">
        <v>0</v>
      </c>
      <c r="K764">
        <v>0</v>
      </c>
      <c r="L764">
        <v>0</v>
      </c>
      <c r="M764">
        <v>0</v>
      </c>
      <c r="N764">
        <v>0</v>
      </c>
      <c r="O764">
        <v>0</v>
      </c>
      <c r="P764">
        <v>0</v>
      </c>
      <c r="Q764">
        <v>0</v>
      </c>
      <c r="R764">
        <v>36</v>
      </c>
      <c r="S764">
        <v>252</v>
      </c>
      <c r="T764">
        <v>6</v>
      </c>
      <c r="U764">
        <v>932</v>
      </c>
      <c r="V764">
        <v>0</v>
      </c>
      <c r="W764" t="s">
        <v>1469</v>
      </c>
    </row>
    <row r="765" spans="1:23" x14ac:dyDescent="0.25">
      <c r="H765" t="s">
        <v>1470</v>
      </c>
    </row>
    <row r="766" spans="1:23" x14ac:dyDescent="0.25">
      <c r="A766">
        <v>380</v>
      </c>
      <c r="B766">
        <v>2717</v>
      </c>
      <c r="C766" t="s">
        <v>1471</v>
      </c>
      <c r="D766" t="s">
        <v>36</v>
      </c>
      <c r="E766" t="s">
        <v>42</v>
      </c>
      <c r="F766" t="s">
        <v>1472</v>
      </c>
      <c r="G766" t="str">
        <f>"00036217"</f>
        <v>00036217</v>
      </c>
      <c r="H766">
        <v>935</v>
      </c>
      <c r="I766">
        <v>0</v>
      </c>
      <c r="J766">
        <v>0</v>
      </c>
      <c r="K766">
        <v>0</v>
      </c>
      <c r="L766">
        <v>0</v>
      </c>
      <c r="M766">
        <v>0</v>
      </c>
      <c r="N766">
        <v>0</v>
      </c>
      <c r="O766">
        <v>0</v>
      </c>
      <c r="P766">
        <v>0</v>
      </c>
      <c r="Q766">
        <v>0</v>
      </c>
      <c r="R766">
        <v>43</v>
      </c>
      <c r="S766">
        <v>301</v>
      </c>
      <c r="T766">
        <v>6</v>
      </c>
      <c r="U766">
        <v>906</v>
      </c>
      <c r="V766">
        <v>0</v>
      </c>
      <c r="W766">
        <v>1236</v>
      </c>
    </row>
    <row r="767" spans="1:23" x14ac:dyDescent="0.25">
      <c r="H767" t="s">
        <v>1473</v>
      </c>
    </row>
    <row r="768" spans="1:23" x14ac:dyDescent="0.25">
      <c r="A768">
        <v>381</v>
      </c>
      <c r="B768">
        <v>5533</v>
      </c>
      <c r="C768" t="s">
        <v>1474</v>
      </c>
      <c r="D768" t="s">
        <v>1475</v>
      </c>
      <c r="E768" t="s">
        <v>87</v>
      </c>
      <c r="F768" t="s">
        <v>1476</v>
      </c>
      <c r="G768" t="str">
        <f>"201511039339"</f>
        <v>201511039339</v>
      </c>
      <c r="H768" t="s">
        <v>1477</v>
      </c>
      <c r="I768">
        <v>0</v>
      </c>
      <c r="J768">
        <v>0</v>
      </c>
      <c r="K768">
        <v>0</v>
      </c>
      <c r="L768">
        <v>0</v>
      </c>
      <c r="M768">
        <v>0</v>
      </c>
      <c r="N768">
        <v>0</v>
      </c>
      <c r="O768">
        <v>0</v>
      </c>
      <c r="P768">
        <v>0</v>
      </c>
      <c r="Q768">
        <v>0</v>
      </c>
      <c r="R768">
        <v>83</v>
      </c>
      <c r="S768">
        <v>581</v>
      </c>
      <c r="V768">
        <v>0</v>
      </c>
      <c r="W768" t="s">
        <v>1478</v>
      </c>
    </row>
    <row r="769" spans="1:23" x14ac:dyDescent="0.25">
      <c r="H769" t="s">
        <v>1479</v>
      </c>
    </row>
    <row r="770" spans="1:23" x14ac:dyDescent="0.25">
      <c r="A770">
        <v>382</v>
      </c>
      <c r="B770">
        <v>5846</v>
      </c>
      <c r="C770" t="s">
        <v>1480</v>
      </c>
      <c r="D770" t="s">
        <v>31</v>
      </c>
      <c r="E770" t="s">
        <v>87</v>
      </c>
      <c r="F770" t="s">
        <v>1481</v>
      </c>
      <c r="G770" t="str">
        <f>"201504000279"</f>
        <v>201504000279</v>
      </c>
      <c r="H770" t="s">
        <v>1202</v>
      </c>
      <c r="I770">
        <v>0</v>
      </c>
      <c r="J770">
        <v>0</v>
      </c>
      <c r="K770">
        <v>0</v>
      </c>
      <c r="L770">
        <v>0</v>
      </c>
      <c r="M770">
        <v>0</v>
      </c>
      <c r="N770">
        <v>0</v>
      </c>
      <c r="O770">
        <v>0</v>
      </c>
      <c r="P770">
        <v>0</v>
      </c>
      <c r="Q770">
        <v>0</v>
      </c>
      <c r="R770">
        <v>38</v>
      </c>
      <c r="S770">
        <v>266</v>
      </c>
      <c r="T770">
        <v>6</v>
      </c>
      <c r="U770">
        <v>932</v>
      </c>
      <c r="V770">
        <v>0</v>
      </c>
      <c r="W770" t="s">
        <v>1482</v>
      </c>
    </row>
    <row r="771" spans="1:23" x14ac:dyDescent="0.25">
      <c r="H771" t="s">
        <v>1483</v>
      </c>
    </row>
    <row r="772" spans="1:23" x14ac:dyDescent="0.25">
      <c r="A772">
        <v>383</v>
      </c>
      <c r="B772">
        <v>5846</v>
      </c>
      <c r="C772" t="s">
        <v>1480</v>
      </c>
      <c r="D772" t="s">
        <v>31</v>
      </c>
      <c r="E772" t="s">
        <v>87</v>
      </c>
      <c r="F772" t="s">
        <v>1481</v>
      </c>
      <c r="G772" t="str">
        <f>"201504000279"</f>
        <v>201504000279</v>
      </c>
      <c r="H772" t="s">
        <v>1202</v>
      </c>
      <c r="I772">
        <v>0</v>
      </c>
      <c r="J772">
        <v>0</v>
      </c>
      <c r="K772">
        <v>0</v>
      </c>
      <c r="L772">
        <v>0</v>
      </c>
      <c r="M772">
        <v>0</v>
      </c>
      <c r="N772">
        <v>0</v>
      </c>
      <c r="O772">
        <v>0</v>
      </c>
      <c r="P772">
        <v>0</v>
      </c>
      <c r="Q772">
        <v>0</v>
      </c>
      <c r="R772">
        <v>38</v>
      </c>
      <c r="S772">
        <v>266</v>
      </c>
      <c r="V772">
        <v>0</v>
      </c>
      <c r="W772" t="s">
        <v>1482</v>
      </c>
    </row>
    <row r="773" spans="1:23" x14ac:dyDescent="0.25">
      <c r="H773" t="s">
        <v>1483</v>
      </c>
    </row>
    <row r="774" spans="1:23" x14ac:dyDescent="0.25">
      <c r="A774">
        <v>384</v>
      </c>
      <c r="B774">
        <v>9701</v>
      </c>
      <c r="C774" t="s">
        <v>1484</v>
      </c>
      <c r="D774" t="s">
        <v>67</v>
      </c>
      <c r="E774" t="s">
        <v>121</v>
      </c>
      <c r="F774" t="s">
        <v>1485</v>
      </c>
      <c r="G774" t="str">
        <f>"00027454"</f>
        <v>00027454</v>
      </c>
      <c r="H774">
        <v>990</v>
      </c>
      <c r="I774">
        <v>0</v>
      </c>
      <c r="J774">
        <v>0</v>
      </c>
      <c r="K774">
        <v>0</v>
      </c>
      <c r="L774">
        <v>0</v>
      </c>
      <c r="M774">
        <v>0</v>
      </c>
      <c r="N774">
        <v>0</v>
      </c>
      <c r="O774">
        <v>0</v>
      </c>
      <c r="P774">
        <v>0</v>
      </c>
      <c r="Q774">
        <v>0</v>
      </c>
      <c r="R774">
        <v>35</v>
      </c>
      <c r="S774">
        <v>245</v>
      </c>
      <c r="V774">
        <v>0</v>
      </c>
      <c r="W774">
        <v>1235</v>
      </c>
    </row>
    <row r="775" spans="1:23" x14ac:dyDescent="0.25">
      <c r="H775" t="s">
        <v>1486</v>
      </c>
    </row>
    <row r="776" spans="1:23" x14ac:dyDescent="0.25">
      <c r="A776">
        <v>385</v>
      </c>
      <c r="B776">
        <v>1902</v>
      </c>
      <c r="C776" t="s">
        <v>1487</v>
      </c>
      <c r="D776" t="s">
        <v>1488</v>
      </c>
      <c r="E776" t="s">
        <v>141</v>
      </c>
      <c r="F776" t="s">
        <v>1489</v>
      </c>
      <c r="G776" t="str">
        <f>"201511036268"</f>
        <v>201511036268</v>
      </c>
      <c r="H776" t="s">
        <v>59</v>
      </c>
      <c r="I776">
        <v>0</v>
      </c>
      <c r="J776">
        <v>0</v>
      </c>
      <c r="K776">
        <v>0</v>
      </c>
      <c r="L776">
        <v>0</v>
      </c>
      <c r="M776">
        <v>0</v>
      </c>
      <c r="N776">
        <v>0</v>
      </c>
      <c r="O776">
        <v>0</v>
      </c>
      <c r="P776">
        <v>0</v>
      </c>
      <c r="Q776">
        <v>0</v>
      </c>
      <c r="R776">
        <v>22</v>
      </c>
      <c r="S776">
        <v>154</v>
      </c>
      <c r="V776">
        <v>0</v>
      </c>
      <c r="W776" t="s">
        <v>1490</v>
      </c>
    </row>
    <row r="777" spans="1:23" x14ac:dyDescent="0.25">
      <c r="H777" t="s">
        <v>1491</v>
      </c>
    </row>
    <row r="778" spans="1:23" x14ac:dyDescent="0.25">
      <c r="A778">
        <v>386</v>
      </c>
      <c r="B778">
        <v>1074</v>
      </c>
      <c r="C778" t="s">
        <v>1492</v>
      </c>
      <c r="D778" t="s">
        <v>26</v>
      </c>
      <c r="E778" t="s">
        <v>21</v>
      </c>
      <c r="F778" t="s">
        <v>1493</v>
      </c>
      <c r="G778" t="str">
        <f>"201511031651"</f>
        <v>201511031651</v>
      </c>
      <c r="H778">
        <v>715</v>
      </c>
      <c r="I778">
        <v>0</v>
      </c>
      <c r="J778">
        <v>0</v>
      </c>
      <c r="K778">
        <v>0</v>
      </c>
      <c r="L778">
        <v>0</v>
      </c>
      <c r="M778">
        <v>0</v>
      </c>
      <c r="N778">
        <v>0</v>
      </c>
      <c r="O778">
        <v>0</v>
      </c>
      <c r="P778">
        <v>0</v>
      </c>
      <c r="Q778">
        <v>0</v>
      </c>
      <c r="R778">
        <v>74</v>
      </c>
      <c r="S778">
        <v>518</v>
      </c>
      <c r="V778">
        <v>0</v>
      </c>
      <c r="W778">
        <v>1233</v>
      </c>
    </row>
    <row r="779" spans="1:23" x14ac:dyDescent="0.25">
      <c r="H779" t="s">
        <v>1494</v>
      </c>
    </row>
    <row r="780" spans="1:23" x14ac:dyDescent="0.25">
      <c r="A780">
        <v>387</v>
      </c>
      <c r="B780">
        <v>297</v>
      </c>
      <c r="C780" t="s">
        <v>1495</v>
      </c>
      <c r="D780" t="s">
        <v>36</v>
      </c>
      <c r="E780" t="s">
        <v>21</v>
      </c>
      <c r="F780" t="s">
        <v>1496</v>
      </c>
      <c r="G780" t="str">
        <f>"00016753"</f>
        <v>00016753</v>
      </c>
      <c r="H780" t="s">
        <v>1497</v>
      </c>
      <c r="I780">
        <v>0</v>
      </c>
      <c r="J780">
        <v>0</v>
      </c>
      <c r="K780">
        <v>0</v>
      </c>
      <c r="L780">
        <v>0</v>
      </c>
      <c r="M780">
        <v>0</v>
      </c>
      <c r="N780">
        <v>0</v>
      </c>
      <c r="O780">
        <v>0</v>
      </c>
      <c r="P780">
        <v>0</v>
      </c>
      <c r="Q780">
        <v>0</v>
      </c>
      <c r="R780">
        <v>48</v>
      </c>
      <c r="S780">
        <v>336</v>
      </c>
      <c r="T780">
        <v>6</v>
      </c>
      <c r="U780">
        <v>906</v>
      </c>
      <c r="V780">
        <v>0</v>
      </c>
      <c r="W780" t="s">
        <v>1498</v>
      </c>
    </row>
    <row r="781" spans="1:23" x14ac:dyDescent="0.25">
      <c r="H781" t="s">
        <v>1499</v>
      </c>
    </row>
    <row r="782" spans="1:23" x14ac:dyDescent="0.25">
      <c r="A782">
        <v>388</v>
      </c>
      <c r="B782">
        <v>6789</v>
      </c>
      <c r="C782" t="s">
        <v>1500</v>
      </c>
      <c r="D782" t="s">
        <v>21</v>
      </c>
      <c r="E782" t="s">
        <v>121</v>
      </c>
      <c r="F782" t="s">
        <v>1501</v>
      </c>
      <c r="G782" t="str">
        <f>"201511005238"</f>
        <v>201511005238</v>
      </c>
      <c r="H782" t="s">
        <v>1502</v>
      </c>
      <c r="I782">
        <v>0</v>
      </c>
      <c r="J782">
        <v>30</v>
      </c>
      <c r="K782">
        <v>0</v>
      </c>
      <c r="L782">
        <v>0</v>
      </c>
      <c r="M782">
        <v>0</v>
      </c>
      <c r="N782">
        <v>0</v>
      </c>
      <c r="O782">
        <v>0</v>
      </c>
      <c r="P782">
        <v>0</v>
      </c>
      <c r="Q782">
        <v>0</v>
      </c>
      <c r="R782">
        <v>50</v>
      </c>
      <c r="S782">
        <v>350</v>
      </c>
      <c r="V782">
        <v>0</v>
      </c>
      <c r="W782" t="s">
        <v>1498</v>
      </c>
    </row>
    <row r="783" spans="1:23" x14ac:dyDescent="0.25">
      <c r="H783" t="s">
        <v>1503</v>
      </c>
    </row>
    <row r="784" spans="1:23" x14ac:dyDescent="0.25">
      <c r="A784">
        <v>389</v>
      </c>
      <c r="B784">
        <v>8337</v>
      </c>
      <c r="C784" t="s">
        <v>1504</v>
      </c>
      <c r="D784" t="s">
        <v>14</v>
      </c>
      <c r="E784" t="s">
        <v>21</v>
      </c>
      <c r="F784" t="s">
        <v>1505</v>
      </c>
      <c r="G784" t="str">
        <f>"201511017582"</f>
        <v>201511017582</v>
      </c>
      <c r="H784" t="s">
        <v>566</v>
      </c>
      <c r="I784">
        <v>0</v>
      </c>
      <c r="J784">
        <v>0</v>
      </c>
      <c r="K784">
        <v>0</v>
      </c>
      <c r="L784">
        <v>0</v>
      </c>
      <c r="M784">
        <v>0</v>
      </c>
      <c r="N784">
        <v>0</v>
      </c>
      <c r="O784">
        <v>0</v>
      </c>
      <c r="P784">
        <v>0</v>
      </c>
      <c r="Q784">
        <v>0</v>
      </c>
      <c r="R784">
        <v>40</v>
      </c>
      <c r="S784">
        <v>280</v>
      </c>
      <c r="T784">
        <v>6</v>
      </c>
      <c r="U784">
        <v>930</v>
      </c>
      <c r="V784">
        <v>0</v>
      </c>
      <c r="W784" t="s">
        <v>1506</v>
      </c>
    </row>
    <row r="785" spans="1:23" x14ac:dyDescent="0.25">
      <c r="H785" t="s">
        <v>1507</v>
      </c>
    </row>
    <row r="786" spans="1:23" x14ac:dyDescent="0.25">
      <c r="A786">
        <v>390</v>
      </c>
      <c r="B786">
        <v>8337</v>
      </c>
      <c r="C786" t="s">
        <v>1504</v>
      </c>
      <c r="D786" t="s">
        <v>14</v>
      </c>
      <c r="E786" t="s">
        <v>21</v>
      </c>
      <c r="F786" t="s">
        <v>1505</v>
      </c>
      <c r="G786" t="str">
        <f>"201511017582"</f>
        <v>201511017582</v>
      </c>
      <c r="H786" t="s">
        <v>566</v>
      </c>
      <c r="I786">
        <v>0</v>
      </c>
      <c r="J786">
        <v>0</v>
      </c>
      <c r="K786">
        <v>0</v>
      </c>
      <c r="L786">
        <v>0</v>
      </c>
      <c r="M786">
        <v>0</v>
      </c>
      <c r="N786">
        <v>0</v>
      </c>
      <c r="O786">
        <v>0</v>
      </c>
      <c r="P786">
        <v>0</v>
      </c>
      <c r="Q786">
        <v>0</v>
      </c>
      <c r="R786">
        <v>40</v>
      </c>
      <c r="S786">
        <v>280</v>
      </c>
      <c r="V786">
        <v>0</v>
      </c>
      <c r="W786" t="s">
        <v>1506</v>
      </c>
    </row>
    <row r="787" spans="1:23" x14ac:dyDescent="0.25">
      <c r="H787" t="s">
        <v>1507</v>
      </c>
    </row>
    <row r="788" spans="1:23" x14ac:dyDescent="0.25">
      <c r="A788">
        <v>391</v>
      </c>
      <c r="B788">
        <v>6218</v>
      </c>
      <c r="C788" t="s">
        <v>1508</v>
      </c>
      <c r="D788" t="s">
        <v>365</v>
      </c>
      <c r="E788" t="s">
        <v>175</v>
      </c>
      <c r="F788" t="s">
        <v>1509</v>
      </c>
      <c r="G788" t="str">
        <f>"201510003456"</f>
        <v>201510003456</v>
      </c>
      <c r="H788">
        <v>1078</v>
      </c>
      <c r="I788">
        <v>150</v>
      </c>
      <c r="J788">
        <v>0</v>
      </c>
      <c r="K788">
        <v>0</v>
      </c>
      <c r="L788">
        <v>0</v>
      </c>
      <c r="M788">
        <v>0</v>
      </c>
      <c r="N788">
        <v>0</v>
      </c>
      <c r="O788">
        <v>0</v>
      </c>
      <c r="P788">
        <v>0</v>
      </c>
      <c r="Q788">
        <v>0</v>
      </c>
      <c r="R788">
        <v>0</v>
      </c>
      <c r="S788">
        <v>0</v>
      </c>
      <c r="V788">
        <v>0</v>
      </c>
      <c r="W788">
        <v>1228</v>
      </c>
    </row>
    <row r="789" spans="1:23" x14ac:dyDescent="0.25">
      <c r="H789" t="s">
        <v>1510</v>
      </c>
    </row>
    <row r="790" spans="1:23" x14ac:dyDescent="0.25">
      <c r="A790">
        <v>392</v>
      </c>
      <c r="B790">
        <v>7063</v>
      </c>
      <c r="C790" t="s">
        <v>1511</v>
      </c>
      <c r="D790" t="s">
        <v>352</v>
      </c>
      <c r="E790" t="s">
        <v>71</v>
      </c>
      <c r="F790" t="s">
        <v>1512</v>
      </c>
      <c r="G790" t="str">
        <f>"201102000658"</f>
        <v>201102000658</v>
      </c>
      <c r="H790">
        <v>990</v>
      </c>
      <c r="I790">
        <v>0</v>
      </c>
      <c r="J790">
        <v>0</v>
      </c>
      <c r="K790">
        <v>0</v>
      </c>
      <c r="L790">
        <v>0</v>
      </c>
      <c r="M790">
        <v>0</v>
      </c>
      <c r="N790">
        <v>0</v>
      </c>
      <c r="O790">
        <v>0</v>
      </c>
      <c r="P790">
        <v>0</v>
      </c>
      <c r="Q790">
        <v>0</v>
      </c>
      <c r="R790">
        <v>34</v>
      </c>
      <c r="S790">
        <v>238</v>
      </c>
      <c r="V790">
        <v>0</v>
      </c>
      <c r="W790">
        <v>1228</v>
      </c>
    </row>
    <row r="791" spans="1:23" x14ac:dyDescent="0.25">
      <c r="H791" t="s">
        <v>1513</v>
      </c>
    </row>
    <row r="792" spans="1:23" x14ac:dyDescent="0.25">
      <c r="A792">
        <v>393</v>
      </c>
      <c r="B792">
        <v>7881</v>
      </c>
      <c r="C792" t="s">
        <v>1514</v>
      </c>
      <c r="D792" t="s">
        <v>1391</v>
      </c>
      <c r="E792" t="s">
        <v>218</v>
      </c>
      <c r="F792" t="s">
        <v>1515</v>
      </c>
      <c r="G792" t="str">
        <f>"00029841"</f>
        <v>00029841</v>
      </c>
      <c r="H792">
        <v>990</v>
      </c>
      <c r="I792">
        <v>0</v>
      </c>
      <c r="J792">
        <v>0</v>
      </c>
      <c r="K792">
        <v>0</v>
      </c>
      <c r="L792">
        <v>0</v>
      </c>
      <c r="M792">
        <v>0</v>
      </c>
      <c r="N792">
        <v>0</v>
      </c>
      <c r="O792">
        <v>0</v>
      </c>
      <c r="P792">
        <v>0</v>
      </c>
      <c r="Q792">
        <v>0</v>
      </c>
      <c r="R792">
        <v>34</v>
      </c>
      <c r="S792">
        <v>238</v>
      </c>
      <c r="T792">
        <v>6</v>
      </c>
      <c r="U792">
        <v>905</v>
      </c>
      <c r="V792">
        <v>0</v>
      </c>
      <c r="W792">
        <v>1228</v>
      </c>
    </row>
    <row r="793" spans="1:23" x14ac:dyDescent="0.25">
      <c r="H793">
        <v>905</v>
      </c>
    </row>
    <row r="794" spans="1:23" x14ac:dyDescent="0.25">
      <c r="A794">
        <v>394</v>
      </c>
      <c r="B794">
        <v>4123</v>
      </c>
      <c r="C794" t="s">
        <v>1516</v>
      </c>
      <c r="D794" t="s">
        <v>67</v>
      </c>
      <c r="E794" t="s">
        <v>523</v>
      </c>
      <c r="F794" t="s">
        <v>1517</v>
      </c>
      <c r="G794" t="str">
        <f>"200903000130"</f>
        <v>200903000130</v>
      </c>
      <c r="H794">
        <v>825</v>
      </c>
      <c r="I794">
        <v>150</v>
      </c>
      <c r="J794">
        <v>0</v>
      </c>
      <c r="K794">
        <v>0</v>
      </c>
      <c r="L794">
        <v>0</v>
      </c>
      <c r="M794">
        <v>0</v>
      </c>
      <c r="N794">
        <v>0</v>
      </c>
      <c r="O794">
        <v>0</v>
      </c>
      <c r="P794">
        <v>0</v>
      </c>
      <c r="Q794">
        <v>0</v>
      </c>
      <c r="R794">
        <v>36</v>
      </c>
      <c r="S794">
        <v>252</v>
      </c>
      <c r="V794">
        <v>1</v>
      </c>
      <c r="W794">
        <v>1227</v>
      </c>
    </row>
    <row r="795" spans="1:23" x14ac:dyDescent="0.25">
      <c r="H795" t="s">
        <v>1518</v>
      </c>
    </row>
    <row r="796" spans="1:23" x14ac:dyDescent="0.25">
      <c r="A796">
        <v>395</v>
      </c>
      <c r="B796">
        <v>6497</v>
      </c>
      <c r="C796" t="s">
        <v>1519</v>
      </c>
      <c r="D796" t="s">
        <v>31</v>
      </c>
      <c r="E796" t="s">
        <v>171</v>
      </c>
      <c r="F796" t="s">
        <v>1520</v>
      </c>
      <c r="G796" t="str">
        <f>"00021480"</f>
        <v>00021480</v>
      </c>
      <c r="H796">
        <v>770</v>
      </c>
      <c r="I796">
        <v>0</v>
      </c>
      <c r="J796">
        <v>30</v>
      </c>
      <c r="K796">
        <v>0</v>
      </c>
      <c r="L796">
        <v>0</v>
      </c>
      <c r="M796">
        <v>0</v>
      </c>
      <c r="N796">
        <v>0</v>
      </c>
      <c r="O796">
        <v>0</v>
      </c>
      <c r="P796">
        <v>0</v>
      </c>
      <c r="Q796">
        <v>0</v>
      </c>
      <c r="R796">
        <v>61</v>
      </c>
      <c r="S796">
        <v>427</v>
      </c>
      <c r="V796">
        <v>0</v>
      </c>
      <c r="W796">
        <v>1227</v>
      </c>
    </row>
    <row r="797" spans="1:23" x14ac:dyDescent="0.25">
      <c r="H797" t="s">
        <v>1521</v>
      </c>
    </row>
    <row r="798" spans="1:23" x14ac:dyDescent="0.25">
      <c r="A798">
        <v>396</v>
      </c>
      <c r="B798">
        <v>10485</v>
      </c>
      <c r="C798" t="s">
        <v>1522</v>
      </c>
      <c r="D798" t="s">
        <v>31</v>
      </c>
      <c r="E798" t="s">
        <v>523</v>
      </c>
      <c r="F798" t="s">
        <v>1523</v>
      </c>
      <c r="G798" t="str">
        <f>"201511042322"</f>
        <v>201511042322</v>
      </c>
      <c r="H798">
        <v>880</v>
      </c>
      <c r="I798">
        <v>150</v>
      </c>
      <c r="J798">
        <v>0</v>
      </c>
      <c r="K798">
        <v>0</v>
      </c>
      <c r="L798">
        <v>0</v>
      </c>
      <c r="M798">
        <v>0</v>
      </c>
      <c r="N798">
        <v>0</v>
      </c>
      <c r="O798">
        <v>0</v>
      </c>
      <c r="P798">
        <v>0</v>
      </c>
      <c r="Q798">
        <v>0</v>
      </c>
      <c r="R798">
        <v>28</v>
      </c>
      <c r="S798">
        <v>196</v>
      </c>
      <c r="V798">
        <v>0</v>
      </c>
      <c r="W798">
        <v>1226</v>
      </c>
    </row>
    <row r="799" spans="1:23" x14ac:dyDescent="0.25">
      <c r="H799" t="s">
        <v>1524</v>
      </c>
    </row>
    <row r="800" spans="1:23" x14ac:dyDescent="0.25">
      <c r="A800">
        <v>397</v>
      </c>
      <c r="B800">
        <v>9366</v>
      </c>
      <c r="C800" t="s">
        <v>1245</v>
      </c>
      <c r="D800" t="s">
        <v>1525</v>
      </c>
      <c r="E800" t="s">
        <v>223</v>
      </c>
      <c r="F800" t="s">
        <v>1526</v>
      </c>
      <c r="G800" t="str">
        <f>"201410012756"</f>
        <v>201410012756</v>
      </c>
      <c r="H800">
        <v>1056</v>
      </c>
      <c r="I800">
        <v>0</v>
      </c>
      <c r="J800">
        <v>0</v>
      </c>
      <c r="K800">
        <v>0</v>
      </c>
      <c r="L800">
        <v>50</v>
      </c>
      <c r="M800">
        <v>0</v>
      </c>
      <c r="N800">
        <v>0</v>
      </c>
      <c r="O800">
        <v>0</v>
      </c>
      <c r="P800">
        <v>0</v>
      </c>
      <c r="Q800">
        <v>0</v>
      </c>
      <c r="R800">
        <v>17</v>
      </c>
      <c r="S800">
        <v>119</v>
      </c>
      <c r="V800">
        <v>2</v>
      </c>
      <c r="W800">
        <v>1225</v>
      </c>
    </row>
    <row r="801" spans="1:23" x14ac:dyDescent="0.25">
      <c r="H801" t="s">
        <v>1527</v>
      </c>
    </row>
    <row r="802" spans="1:23" x14ac:dyDescent="0.25">
      <c r="A802">
        <v>398</v>
      </c>
      <c r="B802">
        <v>4153</v>
      </c>
      <c r="C802" t="s">
        <v>1528</v>
      </c>
      <c r="D802" t="s">
        <v>87</v>
      </c>
      <c r="E802" t="s">
        <v>42</v>
      </c>
      <c r="F802" t="s">
        <v>1529</v>
      </c>
      <c r="G802" t="str">
        <f>"201511037074"</f>
        <v>201511037074</v>
      </c>
      <c r="H802">
        <v>605</v>
      </c>
      <c r="I802">
        <v>0</v>
      </c>
      <c r="J802">
        <v>30</v>
      </c>
      <c r="K802">
        <v>0</v>
      </c>
      <c r="L802">
        <v>0</v>
      </c>
      <c r="M802">
        <v>0</v>
      </c>
      <c r="N802">
        <v>0</v>
      </c>
      <c r="O802">
        <v>0</v>
      </c>
      <c r="P802">
        <v>0</v>
      </c>
      <c r="Q802">
        <v>0</v>
      </c>
      <c r="R802">
        <v>129</v>
      </c>
      <c r="S802">
        <v>588</v>
      </c>
      <c r="V802">
        <v>0</v>
      </c>
      <c r="W802">
        <v>1223</v>
      </c>
    </row>
    <row r="803" spans="1:23" x14ac:dyDescent="0.25">
      <c r="H803" t="s">
        <v>1530</v>
      </c>
    </row>
    <row r="804" spans="1:23" x14ac:dyDescent="0.25">
      <c r="A804">
        <v>399</v>
      </c>
      <c r="B804">
        <v>3178</v>
      </c>
      <c r="C804" t="s">
        <v>1531</v>
      </c>
      <c r="D804" t="s">
        <v>998</v>
      </c>
      <c r="E804" t="s">
        <v>42</v>
      </c>
      <c r="F804" t="s">
        <v>1532</v>
      </c>
      <c r="G804" t="str">
        <f>"201511030155"</f>
        <v>201511030155</v>
      </c>
      <c r="H804">
        <v>605</v>
      </c>
      <c r="I804">
        <v>0</v>
      </c>
      <c r="J804">
        <v>30</v>
      </c>
      <c r="K804">
        <v>0</v>
      </c>
      <c r="L804">
        <v>0</v>
      </c>
      <c r="M804">
        <v>0</v>
      </c>
      <c r="N804">
        <v>0</v>
      </c>
      <c r="O804">
        <v>0</v>
      </c>
      <c r="P804">
        <v>0</v>
      </c>
      <c r="Q804">
        <v>0</v>
      </c>
      <c r="R804">
        <v>135</v>
      </c>
      <c r="S804">
        <v>588</v>
      </c>
      <c r="V804">
        <v>0</v>
      </c>
      <c r="W804">
        <v>1223</v>
      </c>
    </row>
    <row r="805" spans="1:23" x14ac:dyDescent="0.25">
      <c r="H805" t="s">
        <v>1533</v>
      </c>
    </row>
    <row r="806" spans="1:23" x14ac:dyDescent="0.25">
      <c r="A806">
        <v>400</v>
      </c>
      <c r="B806">
        <v>9236</v>
      </c>
      <c r="C806" t="s">
        <v>1534</v>
      </c>
      <c r="D806" t="s">
        <v>111</v>
      </c>
      <c r="E806" t="s">
        <v>121</v>
      </c>
      <c r="F806" t="s">
        <v>1535</v>
      </c>
      <c r="G806" t="str">
        <f>"00021945"</f>
        <v>00021945</v>
      </c>
      <c r="H806">
        <v>605</v>
      </c>
      <c r="I806">
        <v>0</v>
      </c>
      <c r="J806">
        <v>30</v>
      </c>
      <c r="K806">
        <v>0</v>
      </c>
      <c r="L806">
        <v>0</v>
      </c>
      <c r="M806">
        <v>0</v>
      </c>
      <c r="N806">
        <v>0</v>
      </c>
      <c r="O806">
        <v>0</v>
      </c>
      <c r="P806">
        <v>0</v>
      </c>
      <c r="Q806">
        <v>0</v>
      </c>
      <c r="R806">
        <v>146</v>
      </c>
      <c r="S806">
        <v>588</v>
      </c>
      <c r="V806">
        <v>0</v>
      </c>
      <c r="W806">
        <v>1223</v>
      </c>
    </row>
    <row r="807" spans="1:23" x14ac:dyDescent="0.25">
      <c r="H807" t="s">
        <v>1536</v>
      </c>
    </row>
    <row r="808" spans="1:23" x14ac:dyDescent="0.25">
      <c r="A808">
        <v>401</v>
      </c>
      <c r="B808">
        <v>5051</v>
      </c>
      <c r="C808" t="s">
        <v>1537</v>
      </c>
      <c r="D808" t="s">
        <v>1538</v>
      </c>
      <c r="E808" t="s">
        <v>42</v>
      </c>
      <c r="F808" t="s">
        <v>1539</v>
      </c>
      <c r="G808" t="str">
        <f>"00041045"</f>
        <v>00041045</v>
      </c>
      <c r="H808">
        <v>605</v>
      </c>
      <c r="I808">
        <v>0</v>
      </c>
      <c r="J808">
        <v>30</v>
      </c>
      <c r="K808">
        <v>0</v>
      </c>
      <c r="L808">
        <v>0</v>
      </c>
      <c r="M808">
        <v>0</v>
      </c>
      <c r="N808">
        <v>0</v>
      </c>
      <c r="O808">
        <v>0</v>
      </c>
      <c r="P808">
        <v>0</v>
      </c>
      <c r="Q808">
        <v>0</v>
      </c>
      <c r="R808">
        <v>119</v>
      </c>
      <c r="S808">
        <v>588</v>
      </c>
      <c r="V808">
        <v>0</v>
      </c>
      <c r="W808">
        <v>1223</v>
      </c>
    </row>
    <row r="809" spans="1:23" x14ac:dyDescent="0.25">
      <c r="H809" t="s">
        <v>1540</v>
      </c>
    </row>
    <row r="810" spans="1:23" x14ac:dyDescent="0.25">
      <c r="A810">
        <v>402</v>
      </c>
      <c r="B810">
        <v>6742</v>
      </c>
      <c r="C810" t="s">
        <v>1541</v>
      </c>
      <c r="D810" t="s">
        <v>1542</v>
      </c>
      <c r="E810" t="s">
        <v>849</v>
      </c>
      <c r="F810" t="s">
        <v>1543</v>
      </c>
      <c r="G810" t="str">
        <f>"00036007"</f>
        <v>00036007</v>
      </c>
      <c r="H810">
        <v>605</v>
      </c>
      <c r="I810">
        <v>0</v>
      </c>
      <c r="J810">
        <v>30</v>
      </c>
      <c r="K810">
        <v>0</v>
      </c>
      <c r="L810">
        <v>0</v>
      </c>
      <c r="M810">
        <v>0</v>
      </c>
      <c r="N810">
        <v>0</v>
      </c>
      <c r="O810">
        <v>0</v>
      </c>
      <c r="P810">
        <v>0</v>
      </c>
      <c r="Q810">
        <v>0</v>
      </c>
      <c r="R810">
        <v>86</v>
      </c>
      <c r="S810">
        <v>588</v>
      </c>
      <c r="V810">
        <v>0</v>
      </c>
      <c r="W810">
        <v>1223</v>
      </c>
    </row>
    <row r="811" spans="1:23" x14ac:dyDescent="0.25">
      <c r="H811" t="s">
        <v>1544</v>
      </c>
    </row>
    <row r="812" spans="1:23" x14ac:dyDescent="0.25">
      <c r="A812">
        <v>403</v>
      </c>
      <c r="B812">
        <v>1966</v>
      </c>
      <c r="C812" t="s">
        <v>1545</v>
      </c>
      <c r="D812" t="s">
        <v>1546</v>
      </c>
      <c r="E812" t="s">
        <v>1391</v>
      </c>
      <c r="F812" t="s">
        <v>1547</v>
      </c>
      <c r="G812" t="str">
        <f>"00046505"</f>
        <v>00046505</v>
      </c>
      <c r="H812" t="s">
        <v>609</v>
      </c>
      <c r="I812">
        <v>150</v>
      </c>
      <c r="J812">
        <v>0</v>
      </c>
      <c r="K812">
        <v>0</v>
      </c>
      <c r="L812">
        <v>0</v>
      </c>
      <c r="M812">
        <v>0</v>
      </c>
      <c r="N812">
        <v>0</v>
      </c>
      <c r="O812">
        <v>0</v>
      </c>
      <c r="P812">
        <v>0</v>
      </c>
      <c r="Q812">
        <v>0</v>
      </c>
      <c r="R812">
        <v>0</v>
      </c>
      <c r="S812">
        <v>0</v>
      </c>
      <c r="V812">
        <v>0</v>
      </c>
      <c r="W812" t="s">
        <v>1548</v>
      </c>
    </row>
    <row r="813" spans="1:23" x14ac:dyDescent="0.25">
      <c r="H813" t="s">
        <v>1549</v>
      </c>
    </row>
    <row r="814" spans="1:23" x14ac:dyDescent="0.25">
      <c r="A814">
        <v>404</v>
      </c>
      <c r="B814">
        <v>8948</v>
      </c>
      <c r="C814" t="s">
        <v>1550</v>
      </c>
      <c r="D814" t="s">
        <v>67</v>
      </c>
      <c r="E814" t="s">
        <v>53</v>
      </c>
      <c r="F814" t="s">
        <v>1551</v>
      </c>
      <c r="G814" t="str">
        <f>"201511011516"</f>
        <v>201511011516</v>
      </c>
      <c r="H814" t="s">
        <v>1552</v>
      </c>
      <c r="I814">
        <v>0</v>
      </c>
      <c r="J814">
        <v>0</v>
      </c>
      <c r="K814">
        <v>0</v>
      </c>
      <c r="L814">
        <v>0</v>
      </c>
      <c r="M814">
        <v>0</v>
      </c>
      <c r="N814">
        <v>0</v>
      </c>
      <c r="O814">
        <v>0</v>
      </c>
      <c r="P814">
        <v>0</v>
      </c>
      <c r="Q814">
        <v>0</v>
      </c>
      <c r="R814">
        <v>31</v>
      </c>
      <c r="S814">
        <v>217</v>
      </c>
      <c r="V814">
        <v>0</v>
      </c>
      <c r="W814" t="s">
        <v>1553</v>
      </c>
    </row>
    <row r="815" spans="1:23" x14ac:dyDescent="0.25">
      <c r="H815" t="s">
        <v>1554</v>
      </c>
    </row>
    <row r="816" spans="1:23" x14ac:dyDescent="0.25">
      <c r="A816">
        <v>405</v>
      </c>
      <c r="B816">
        <v>7708</v>
      </c>
      <c r="C816" t="s">
        <v>1555</v>
      </c>
      <c r="D816" t="s">
        <v>1556</v>
      </c>
      <c r="E816" t="s">
        <v>21</v>
      </c>
      <c r="F816" t="s">
        <v>1557</v>
      </c>
      <c r="G816" t="str">
        <f>"201511029023"</f>
        <v>201511029023</v>
      </c>
      <c r="H816" t="s">
        <v>152</v>
      </c>
      <c r="I816">
        <v>150</v>
      </c>
      <c r="J816">
        <v>0</v>
      </c>
      <c r="K816">
        <v>0</v>
      </c>
      <c r="L816">
        <v>0</v>
      </c>
      <c r="M816">
        <v>0</v>
      </c>
      <c r="N816">
        <v>0</v>
      </c>
      <c r="O816">
        <v>0</v>
      </c>
      <c r="P816">
        <v>0</v>
      </c>
      <c r="Q816">
        <v>0</v>
      </c>
      <c r="R816">
        <v>0</v>
      </c>
      <c r="S816">
        <v>0</v>
      </c>
      <c r="V816">
        <v>0</v>
      </c>
      <c r="W816" t="s">
        <v>1558</v>
      </c>
    </row>
    <row r="817" spans="1:23" x14ac:dyDescent="0.25">
      <c r="H817" t="s">
        <v>1559</v>
      </c>
    </row>
    <row r="818" spans="1:23" x14ac:dyDescent="0.25">
      <c r="A818">
        <v>406</v>
      </c>
      <c r="B818">
        <v>6833</v>
      </c>
      <c r="C818" t="s">
        <v>1560</v>
      </c>
      <c r="D818" t="s">
        <v>36</v>
      </c>
      <c r="E818" t="s">
        <v>121</v>
      </c>
      <c r="F818" t="s">
        <v>1561</v>
      </c>
      <c r="G818" t="str">
        <f>"00036887"</f>
        <v>00036887</v>
      </c>
      <c r="H818">
        <v>935</v>
      </c>
      <c r="I818">
        <v>0</v>
      </c>
      <c r="J818">
        <v>0</v>
      </c>
      <c r="K818">
        <v>0</v>
      </c>
      <c r="L818">
        <v>0</v>
      </c>
      <c r="M818">
        <v>0</v>
      </c>
      <c r="N818">
        <v>0</v>
      </c>
      <c r="O818">
        <v>0</v>
      </c>
      <c r="P818">
        <v>0</v>
      </c>
      <c r="Q818">
        <v>0</v>
      </c>
      <c r="R818">
        <v>40</v>
      </c>
      <c r="S818">
        <v>280</v>
      </c>
      <c r="T818">
        <v>6</v>
      </c>
      <c r="U818" t="s">
        <v>731</v>
      </c>
      <c r="V818">
        <v>2</v>
      </c>
      <c r="W818">
        <v>1215</v>
      </c>
    </row>
    <row r="819" spans="1:23" x14ac:dyDescent="0.25">
      <c r="H819" t="s">
        <v>1562</v>
      </c>
    </row>
    <row r="820" spans="1:23" x14ac:dyDescent="0.25">
      <c r="A820">
        <v>407</v>
      </c>
      <c r="B820">
        <v>10186</v>
      </c>
      <c r="C820" t="s">
        <v>1563</v>
      </c>
      <c r="D820" t="s">
        <v>365</v>
      </c>
      <c r="E820" t="s">
        <v>53</v>
      </c>
      <c r="F820" t="s">
        <v>1564</v>
      </c>
      <c r="G820" t="str">
        <f>"201510004656"</f>
        <v>201510004656</v>
      </c>
      <c r="H820">
        <v>935</v>
      </c>
      <c r="I820">
        <v>0</v>
      </c>
      <c r="J820">
        <v>0</v>
      </c>
      <c r="K820">
        <v>0</v>
      </c>
      <c r="L820">
        <v>0</v>
      </c>
      <c r="M820">
        <v>0</v>
      </c>
      <c r="N820">
        <v>0</v>
      </c>
      <c r="O820">
        <v>0</v>
      </c>
      <c r="P820">
        <v>0</v>
      </c>
      <c r="Q820">
        <v>0</v>
      </c>
      <c r="R820">
        <v>40</v>
      </c>
      <c r="S820">
        <v>280</v>
      </c>
      <c r="V820">
        <v>0</v>
      </c>
      <c r="W820">
        <v>1215</v>
      </c>
    </row>
    <row r="821" spans="1:23" x14ac:dyDescent="0.25">
      <c r="H821" t="s">
        <v>1565</v>
      </c>
    </row>
    <row r="822" spans="1:23" x14ac:dyDescent="0.25">
      <c r="A822">
        <v>408</v>
      </c>
      <c r="B822">
        <v>829</v>
      </c>
      <c r="C822" t="s">
        <v>1566</v>
      </c>
      <c r="D822" t="s">
        <v>145</v>
      </c>
      <c r="E822" t="s">
        <v>71</v>
      </c>
      <c r="F822" t="s">
        <v>1567</v>
      </c>
      <c r="G822" t="str">
        <f>"201102000956"</f>
        <v>201102000956</v>
      </c>
      <c r="H822">
        <v>1100</v>
      </c>
      <c r="I822">
        <v>0</v>
      </c>
      <c r="J822">
        <v>30</v>
      </c>
      <c r="K822">
        <v>0</v>
      </c>
      <c r="L822">
        <v>0</v>
      </c>
      <c r="M822">
        <v>0</v>
      </c>
      <c r="N822">
        <v>0</v>
      </c>
      <c r="O822">
        <v>0</v>
      </c>
      <c r="P822">
        <v>0</v>
      </c>
      <c r="Q822">
        <v>0</v>
      </c>
      <c r="R822">
        <v>12</v>
      </c>
      <c r="S822">
        <v>84</v>
      </c>
      <c r="V822">
        <v>0</v>
      </c>
      <c r="W822">
        <v>1214</v>
      </c>
    </row>
    <row r="823" spans="1:23" x14ac:dyDescent="0.25">
      <c r="H823" t="s">
        <v>1568</v>
      </c>
    </row>
    <row r="824" spans="1:23" x14ac:dyDescent="0.25">
      <c r="A824">
        <v>409</v>
      </c>
      <c r="B824">
        <v>2142</v>
      </c>
      <c r="C824" t="s">
        <v>1569</v>
      </c>
      <c r="D824" t="s">
        <v>475</v>
      </c>
      <c r="E824" t="s">
        <v>830</v>
      </c>
      <c r="F824" t="s">
        <v>1570</v>
      </c>
      <c r="G824" t="str">
        <f>"201511036377"</f>
        <v>201511036377</v>
      </c>
      <c r="H824">
        <v>1034</v>
      </c>
      <c r="I824">
        <v>150</v>
      </c>
      <c r="J824">
        <v>30</v>
      </c>
      <c r="K824">
        <v>0</v>
      </c>
      <c r="L824">
        <v>0</v>
      </c>
      <c r="M824">
        <v>0</v>
      </c>
      <c r="N824">
        <v>0</v>
      </c>
      <c r="O824">
        <v>0</v>
      </c>
      <c r="P824">
        <v>0</v>
      </c>
      <c r="Q824">
        <v>0</v>
      </c>
      <c r="R824">
        <v>0</v>
      </c>
      <c r="S824">
        <v>0</v>
      </c>
      <c r="V824">
        <v>0</v>
      </c>
      <c r="W824">
        <v>1214</v>
      </c>
    </row>
    <row r="825" spans="1:23" x14ac:dyDescent="0.25">
      <c r="H825" t="s">
        <v>1571</v>
      </c>
    </row>
    <row r="826" spans="1:23" x14ac:dyDescent="0.25">
      <c r="A826">
        <v>410</v>
      </c>
      <c r="B826">
        <v>8010</v>
      </c>
      <c r="C826" t="s">
        <v>1572</v>
      </c>
      <c r="D826" t="s">
        <v>1573</v>
      </c>
      <c r="E826" t="s">
        <v>53</v>
      </c>
      <c r="F826" t="s">
        <v>1574</v>
      </c>
      <c r="G826" t="str">
        <f>"00029385"</f>
        <v>00029385</v>
      </c>
      <c r="H826">
        <v>1012</v>
      </c>
      <c r="I826">
        <v>0</v>
      </c>
      <c r="J826">
        <v>0</v>
      </c>
      <c r="K826">
        <v>0</v>
      </c>
      <c r="L826">
        <v>30</v>
      </c>
      <c r="M826">
        <v>0</v>
      </c>
      <c r="N826">
        <v>0</v>
      </c>
      <c r="O826">
        <v>0</v>
      </c>
      <c r="P826">
        <v>0</v>
      </c>
      <c r="Q826">
        <v>0</v>
      </c>
      <c r="R826">
        <v>24</v>
      </c>
      <c r="S826">
        <v>168</v>
      </c>
      <c r="V826">
        <v>0</v>
      </c>
      <c r="W826">
        <v>1210</v>
      </c>
    </row>
    <row r="827" spans="1:23" x14ac:dyDescent="0.25">
      <c r="H827" t="s">
        <v>1575</v>
      </c>
    </row>
    <row r="828" spans="1:23" x14ac:dyDescent="0.25">
      <c r="A828">
        <v>411</v>
      </c>
      <c r="B828">
        <v>6421</v>
      </c>
      <c r="C828" t="s">
        <v>1576</v>
      </c>
      <c r="D828" t="s">
        <v>1577</v>
      </c>
      <c r="E828" t="s">
        <v>1578</v>
      </c>
      <c r="F828" t="s">
        <v>1579</v>
      </c>
      <c r="G828" t="str">
        <f>"201511036583"</f>
        <v>201511036583</v>
      </c>
      <c r="H828" t="s">
        <v>1580</v>
      </c>
      <c r="I828">
        <v>0</v>
      </c>
      <c r="J828">
        <v>0</v>
      </c>
      <c r="K828">
        <v>0</v>
      </c>
      <c r="L828">
        <v>0</v>
      </c>
      <c r="M828">
        <v>0</v>
      </c>
      <c r="N828">
        <v>0</v>
      </c>
      <c r="O828">
        <v>0</v>
      </c>
      <c r="P828">
        <v>0</v>
      </c>
      <c r="Q828">
        <v>0</v>
      </c>
      <c r="R828">
        <v>135</v>
      </c>
      <c r="S828">
        <v>588</v>
      </c>
      <c r="V828">
        <v>0</v>
      </c>
      <c r="W828" t="s">
        <v>1581</v>
      </c>
    </row>
    <row r="829" spans="1:23" x14ac:dyDescent="0.25">
      <c r="H829" t="s">
        <v>1582</v>
      </c>
    </row>
    <row r="830" spans="1:23" x14ac:dyDescent="0.25">
      <c r="A830">
        <v>412</v>
      </c>
      <c r="B830">
        <v>1340</v>
      </c>
      <c r="C830" t="s">
        <v>1583</v>
      </c>
      <c r="D830" t="s">
        <v>1584</v>
      </c>
      <c r="E830" t="s">
        <v>1585</v>
      </c>
      <c r="F830" t="s">
        <v>1586</v>
      </c>
      <c r="G830" t="str">
        <f>"00075032"</f>
        <v>00075032</v>
      </c>
      <c r="H830" t="s">
        <v>90</v>
      </c>
      <c r="I830">
        <v>150</v>
      </c>
      <c r="J830">
        <v>0</v>
      </c>
      <c r="K830">
        <v>0</v>
      </c>
      <c r="L830">
        <v>0</v>
      </c>
      <c r="M830">
        <v>0</v>
      </c>
      <c r="N830">
        <v>0</v>
      </c>
      <c r="O830">
        <v>0</v>
      </c>
      <c r="P830">
        <v>0</v>
      </c>
      <c r="Q830">
        <v>0</v>
      </c>
      <c r="R830">
        <v>0</v>
      </c>
      <c r="S830">
        <v>0</v>
      </c>
      <c r="V830">
        <v>0</v>
      </c>
      <c r="W830" t="s">
        <v>1587</v>
      </c>
    </row>
    <row r="831" spans="1:23" x14ac:dyDescent="0.25">
      <c r="H831" t="s">
        <v>1588</v>
      </c>
    </row>
    <row r="832" spans="1:23" x14ac:dyDescent="0.25">
      <c r="A832">
        <v>413</v>
      </c>
      <c r="B832">
        <v>1296</v>
      </c>
      <c r="C832" t="s">
        <v>1589</v>
      </c>
      <c r="D832" t="s">
        <v>908</v>
      </c>
      <c r="E832" t="s">
        <v>53</v>
      </c>
      <c r="F832" t="s">
        <v>1590</v>
      </c>
      <c r="G832" t="str">
        <f>"201512004957"</f>
        <v>201512004957</v>
      </c>
      <c r="H832" t="s">
        <v>287</v>
      </c>
      <c r="I832">
        <v>150</v>
      </c>
      <c r="J832">
        <v>30</v>
      </c>
      <c r="K832">
        <v>0</v>
      </c>
      <c r="L832">
        <v>0</v>
      </c>
      <c r="M832">
        <v>0</v>
      </c>
      <c r="N832">
        <v>0</v>
      </c>
      <c r="O832">
        <v>0</v>
      </c>
      <c r="P832">
        <v>0</v>
      </c>
      <c r="Q832">
        <v>0</v>
      </c>
      <c r="R832">
        <v>0</v>
      </c>
      <c r="S832">
        <v>0</v>
      </c>
      <c r="V832">
        <v>0</v>
      </c>
      <c r="W832" t="s">
        <v>1591</v>
      </c>
    </row>
    <row r="833" spans="1:23" x14ac:dyDescent="0.25">
      <c r="H833" t="s">
        <v>1592</v>
      </c>
    </row>
    <row r="834" spans="1:23" x14ac:dyDescent="0.25">
      <c r="A834">
        <v>414</v>
      </c>
      <c r="B834">
        <v>2638</v>
      </c>
      <c r="C834" t="s">
        <v>1593</v>
      </c>
      <c r="D834" t="s">
        <v>1594</v>
      </c>
      <c r="E834" t="s">
        <v>830</v>
      </c>
      <c r="F834" t="s">
        <v>1595</v>
      </c>
      <c r="G834" t="str">
        <f>"201511033193"</f>
        <v>201511033193</v>
      </c>
      <c r="H834">
        <v>935</v>
      </c>
      <c r="I834">
        <v>0</v>
      </c>
      <c r="J834">
        <v>0</v>
      </c>
      <c r="K834">
        <v>0</v>
      </c>
      <c r="L834">
        <v>0</v>
      </c>
      <c r="M834">
        <v>0</v>
      </c>
      <c r="N834">
        <v>0</v>
      </c>
      <c r="O834">
        <v>0</v>
      </c>
      <c r="P834">
        <v>0</v>
      </c>
      <c r="Q834">
        <v>0</v>
      </c>
      <c r="R834">
        <v>39</v>
      </c>
      <c r="S834">
        <v>273</v>
      </c>
      <c r="V834">
        <v>0</v>
      </c>
      <c r="W834">
        <v>1208</v>
      </c>
    </row>
    <row r="835" spans="1:23" x14ac:dyDescent="0.25">
      <c r="H835" t="s">
        <v>952</v>
      </c>
    </row>
    <row r="836" spans="1:23" x14ac:dyDescent="0.25">
      <c r="A836">
        <v>415</v>
      </c>
      <c r="B836">
        <v>9131</v>
      </c>
      <c r="C836" t="s">
        <v>1596</v>
      </c>
      <c r="D836" t="s">
        <v>62</v>
      </c>
      <c r="E836" t="s">
        <v>830</v>
      </c>
      <c r="F836" t="s">
        <v>1597</v>
      </c>
      <c r="G836" t="str">
        <f>"201511018017"</f>
        <v>201511018017</v>
      </c>
      <c r="H836" t="s">
        <v>1598</v>
      </c>
      <c r="I836">
        <v>150</v>
      </c>
      <c r="J836">
        <v>0</v>
      </c>
      <c r="K836">
        <v>0</v>
      </c>
      <c r="L836">
        <v>0</v>
      </c>
      <c r="M836">
        <v>0</v>
      </c>
      <c r="N836">
        <v>0</v>
      </c>
      <c r="O836">
        <v>0</v>
      </c>
      <c r="P836">
        <v>0</v>
      </c>
      <c r="Q836">
        <v>0</v>
      </c>
      <c r="R836">
        <v>24</v>
      </c>
      <c r="S836">
        <v>168</v>
      </c>
      <c r="V836">
        <v>0</v>
      </c>
      <c r="W836" t="s">
        <v>1599</v>
      </c>
    </row>
    <row r="837" spans="1:23" x14ac:dyDescent="0.25">
      <c r="H837" t="s">
        <v>1600</v>
      </c>
    </row>
    <row r="838" spans="1:23" x14ac:dyDescent="0.25">
      <c r="A838">
        <v>416</v>
      </c>
      <c r="B838">
        <v>5821</v>
      </c>
      <c r="C838" t="s">
        <v>1601</v>
      </c>
      <c r="D838" t="s">
        <v>1602</v>
      </c>
      <c r="E838" t="s">
        <v>218</v>
      </c>
      <c r="F838" t="s">
        <v>1603</v>
      </c>
      <c r="G838" t="str">
        <f>"201511014976"</f>
        <v>201511014976</v>
      </c>
      <c r="H838">
        <v>1045</v>
      </c>
      <c r="I838">
        <v>0</v>
      </c>
      <c r="J838">
        <v>0</v>
      </c>
      <c r="K838">
        <v>0</v>
      </c>
      <c r="L838">
        <v>0</v>
      </c>
      <c r="M838">
        <v>0</v>
      </c>
      <c r="N838">
        <v>0</v>
      </c>
      <c r="O838">
        <v>0</v>
      </c>
      <c r="P838">
        <v>0</v>
      </c>
      <c r="Q838">
        <v>0</v>
      </c>
      <c r="R838">
        <v>23</v>
      </c>
      <c r="S838">
        <v>161</v>
      </c>
      <c r="V838">
        <v>0</v>
      </c>
      <c r="W838">
        <v>1206</v>
      </c>
    </row>
    <row r="839" spans="1:23" x14ac:dyDescent="0.25">
      <c r="H839" t="s">
        <v>1604</v>
      </c>
    </row>
    <row r="840" spans="1:23" x14ac:dyDescent="0.25">
      <c r="A840">
        <v>417</v>
      </c>
      <c r="B840">
        <v>6885</v>
      </c>
      <c r="C840" t="s">
        <v>1605</v>
      </c>
      <c r="D840" t="s">
        <v>617</v>
      </c>
      <c r="E840" t="s">
        <v>218</v>
      </c>
      <c r="F840" t="s">
        <v>1606</v>
      </c>
      <c r="G840" t="str">
        <f>"201511042778"</f>
        <v>201511042778</v>
      </c>
      <c r="H840" t="s">
        <v>186</v>
      </c>
      <c r="I840">
        <v>150</v>
      </c>
      <c r="J840">
        <v>0</v>
      </c>
      <c r="K840">
        <v>0</v>
      </c>
      <c r="L840">
        <v>0</v>
      </c>
      <c r="M840">
        <v>0</v>
      </c>
      <c r="N840">
        <v>0</v>
      </c>
      <c r="O840">
        <v>0</v>
      </c>
      <c r="P840">
        <v>0</v>
      </c>
      <c r="Q840">
        <v>0</v>
      </c>
      <c r="R840">
        <v>0</v>
      </c>
      <c r="S840">
        <v>0</v>
      </c>
      <c r="V840">
        <v>2</v>
      </c>
      <c r="W840" t="s">
        <v>1607</v>
      </c>
    </row>
    <row r="841" spans="1:23" x14ac:dyDescent="0.25">
      <c r="H841">
        <v>929</v>
      </c>
    </row>
    <row r="842" spans="1:23" x14ac:dyDescent="0.25">
      <c r="A842">
        <v>418</v>
      </c>
      <c r="B842">
        <v>6101</v>
      </c>
      <c r="C842" t="s">
        <v>1608</v>
      </c>
      <c r="D842" t="s">
        <v>141</v>
      </c>
      <c r="E842" t="s">
        <v>175</v>
      </c>
      <c r="F842" t="s">
        <v>1609</v>
      </c>
      <c r="G842" t="str">
        <f>"201511032313"</f>
        <v>201511032313</v>
      </c>
      <c r="H842">
        <v>990</v>
      </c>
      <c r="I842">
        <v>0</v>
      </c>
      <c r="J842">
        <v>30</v>
      </c>
      <c r="K842">
        <v>0</v>
      </c>
      <c r="L842">
        <v>0</v>
      </c>
      <c r="M842">
        <v>0</v>
      </c>
      <c r="N842">
        <v>0</v>
      </c>
      <c r="O842">
        <v>0</v>
      </c>
      <c r="P842">
        <v>0</v>
      </c>
      <c r="Q842">
        <v>0</v>
      </c>
      <c r="R842">
        <v>26</v>
      </c>
      <c r="S842">
        <v>182</v>
      </c>
      <c r="V842">
        <v>0</v>
      </c>
      <c r="W842">
        <v>1202</v>
      </c>
    </row>
    <row r="843" spans="1:23" x14ac:dyDescent="0.25">
      <c r="H843" t="s">
        <v>1610</v>
      </c>
    </row>
    <row r="844" spans="1:23" x14ac:dyDescent="0.25">
      <c r="A844">
        <v>419</v>
      </c>
      <c r="B844">
        <v>5067</v>
      </c>
      <c r="C844" t="s">
        <v>1611</v>
      </c>
      <c r="D844" t="s">
        <v>1242</v>
      </c>
      <c r="E844" t="s">
        <v>1612</v>
      </c>
      <c r="F844" t="s">
        <v>1613</v>
      </c>
      <c r="G844" t="str">
        <f>"00022550"</f>
        <v>00022550</v>
      </c>
      <c r="H844">
        <v>935</v>
      </c>
      <c r="I844">
        <v>0</v>
      </c>
      <c r="J844">
        <v>0</v>
      </c>
      <c r="K844">
        <v>0</v>
      </c>
      <c r="L844">
        <v>0</v>
      </c>
      <c r="M844">
        <v>0</v>
      </c>
      <c r="N844">
        <v>0</v>
      </c>
      <c r="O844">
        <v>0</v>
      </c>
      <c r="P844">
        <v>0</v>
      </c>
      <c r="Q844">
        <v>0</v>
      </c>
      <c r="R844">
        <v>38</v>
      </c>
      <c r="S844">
        <v>266</v>
      </c>
      <c r="V844">
        <v>0</v>
      </c>
      <c r="W844">
        <v>1201</v>
      </c>
    </row>
    <row r="845" spans="1:23" x14ac:dyDescent="0.25">
      <c r="H845" t="s">
        <v>1614</v>
      </c>
    </row>
    <row r="846" spans="1:23" x14ac:dyDescent="0.25">
      <c r="A846">
        <v>420</v>
      </c>
      <c r="B846">
        <v>6720</v>
      </c>
      <c r="C846" t="s">
        <v>1615</v>
      </c>
      <c r="D846" t="s">
        <v>31</v>
      </c>
      <c r="E846" t="s">
        <v>1616</v>
      </c>
      <c r="F846" t="s">
        <v>1617</v>
      </c>
      <c r="G846" t="str">
        <f>"00068704"</f>
        <v>00068704</v>
      </c>
      <c r="H846" t="s">
        <v>334</v>
      </c>
      <c r="I846">
        <v>0</v>
      </c>
      <c r="J846">
        <v>0</v>
      </c>
      <c r="K846">
        <v>0</v>
      </c>
      <c r="L846">
        <v>0</v>
      </c>
      <c r="M846">
        <v>0</v>
      </c>
      <c r="N846">
        <v>0</v>
      </c>
      <c r="O846">
        <v>0</v>
      </c>
      <c r="P846">
        <v>0</v>
      </c>
      <c r="Q846">
        <v>0</v>
      </c>
      <c r="R846">
        <v>23</v>
      </c>
      <c r="S846">
        <v>161</v>
      </c>
      <c r="V846">
        <v>2</v>
      </c>
      <c r="W846" t="s">
        <v>1618</v>
      </c>
    </row>
    <row r="847" spans="1:23" x14ac:dyDescent="0.25">
      <c r="H847" t="s">
        <v>1619</v>
      </c>
    </row>
    <row r="848" spans="1:23" x14ac:dyDescent="0.25">
      <c r="A848">
        <v>421</v>
      </c>
      <c r="B848">
        <v>6720</v>
      </c>
      <c r="C848" t="s">
        <v>1615</v>
      </c>
      <c r="D848" t="s">
        <v>31</v>
      </c>
      <c r="E848" t="s">
        <v>1616</v>
      </c>
      <c r="F848" t="s">
        <v>1617</v>
      </c>
      <c r="G848" t="str">
        <f>"00068704"</f>
        <v>00068704</v>
      </c>
      <c r="H848" t="s">
        <v>334</v>
      </c>
      <c r="I848">
        <v>0</v>
      </c>
      <c r="J848">
        <v>0</v>
      </c>
      <c r="K848">
        <v>0</v>
      </c>
      <c r="L848">
        <v>0</v>
      </c>
      <c r="M848">
        <v>0</v>
      </c>
      <c r="N848">
        <v>0</v>
      </c>
      <c r="O848">
        <v>0</v>
      </c>
      <c r="P848">
        <v>0</v>
      </c>
      <c r="Q848">
        <v>0</v>
      </c>
      <c r="R848">
        <v>23</v>
      </c>
      <c r="S848">
        <v>161</v>
      </c>
      <c r="T848">
        <v>6</v>
      </c>
      <c r="U848">
        <v>931</v>
      </c>
      <c r="V848">
        <v>2</v>
      </c>
      <c r="W848" t="s">
        <v>1618</v>
      </c>
    </row>
    <row r="849" spans="1:23" x14ac:dyDescent="0.25">
      <c r="H849" t="s">
        <v>1619</v>
      </c>
    </row>
    <row r="850" spans="1:23" x14ac:dyDescent="0.25">
      <c r="A850">
        <v>422</v>
      </c>
      <c r="B850">
        <v>1640</v>
      </c>
      <c r="C850" t="s">
        <v>214</v>
      </c>
      <c r="D850" t="s">
        <v>1033</v>
      </c>
      <c r="E850" t="s">
        <v>121</v>
      </c>
      <c r="F850" t="s">
        <v>1620</v>
      </c>
      <c r="G850" t="str">
        <f>"201504000688"</f>
        <v>201504000688</v>
      </c>
      <c r="H850" t="s">
        <v>541</v>
      </c>
      <c r="I850">
        <v>0</v>
      </c>
      <c r="J850">
        <v>30</v>
      </c>
      <c r="K850">
        <v>0</v>
      </c>
      <c r="L850">
        <v>0</v>
      </c>
      <c r="M850">
        <v>0</v>
      </c>
      <c r="N850">
        <v>0</v>
      </c>
      <c r="O850">
        <v>0</v>
      </c>
      <c r="P850">
        <v>0</v>
      </c>
      <c r="Q850">
        <v>0</v>
      </c>
      <c r="R850">
        <v>30</v>
      </c>
      <c r="S850">
        <v>210</v>
      </c>
      <c r="V850">
        <v>0</v>
      </c>
      <c r="W850" t="s">
        <v>1621</v>
      </c>
    </row>
    <row r="851" spans="1:23" x14ac:dyDescent="0.25">
      <c r="H851" t="s">
        <v>1622</v>
      </c>
    </row>
    <row r="852" spans="1:23" x14ac:dyDescent="0.25">
      <c r="A852">
        <v>423</v>
      </c>
      <c r="B852">
        <v>10390</v>
      </c>
      <c r="C852" t="s">
        <v>1623</v>
      </c>
      <c r="D852" t="s">
        <v>385</v>
      </c>
      <c r="E852" t="s">
        <v>533</v>
      </c>
      <c r="F852" t="s">
        <v>1624</v>
      </c>
      <c r="G852" t="str">
        <f>"00028938"</f>
        <v>00028938</v>
      </c>
      <c r="H852">
        <v>1100</v>
      </c>
      <c r="I852">
        <v>0</v>
      </c>
      <c r="J852">
        <v>0</v>
      </c>
      <c r="K852">
        <v>0</v>
      </c>
      <c r="L852">
        <v>0</v>
      </c>
      <c r="M852">
        <v>0</v>
      </c>
      <c r="N852">
        <v>0</v>
      </c>
      <c r="O852">
        <v>0</v>
      </c>
      <c r="P852">
        <v>0</v>
      </c>
      <c r="Q852">
        <v>0</v>
      </c>
      <c r="R852">
        <v>14</v>
      </c>
      <c r="S852">
        <v>98</v>
      </c>
      <c r="V852">
        <v>0</v>
      </c>
      <c r="W852">
        <v>1198</v>
      </c>
    </row>
    <row r="853" spans="1:23" x14ac:dyDescent="0.25">
      <c r="H853" t="s">
        <v>1625</v>
      </c>
    </row>
    <row r="854" spans="1:23" x14ac:dyDescent="0.25">
      <c r="A854">
        <v>424</v>
      </c>
      <c r="B854">
        <v>7653</v>
      </c>
      <c r="C854" t="s">
        <v>1626</v>
      </c>
      <c r="D854" t="s">
        <v>53</v>
      </c>
      <c r="E854" t="s">
        <v>121</v>
      </c>
      <c r="F854" t="s">
        <v>1627</v>
      </c>
      <c r="G854" t="str">
        <f>"201511012131"</f>
        <v>201511012131</v>
      </c>
      <c r="H854">
        <v>935</v>
      </c>
      <c r="I854">
        <v>0</v>
      </c>
      <c r="J854">
        <v>30</v>
      </c>
      <c r="K854">
        <v>0</v>
      </c>
      <c r="L854">
        <v>0</v>
      </c>
      <c r="M854">
        <v>0</v>
      </c>
      <c r="N854">
        <v>0</v>
      </c>
      <c r="O854">
        <v>0</v>
      </c>
      <c r="P854">
        <v>0</v>
      </c>
      <c r="Q854">
        <v>0</v>
      </c>
      <c r="R854">
        <v>33</v>
      </c>
      <c r="S854">
        <v>231</v>
      </c>
      <c r="V854">
        <v>0</v>
      </c>
      <c r="W854">
        <v>1196</v>
      </c>
    </row>
    <row r="855" spans="1:23" x14ac:dyDescent="0.25">
      <c r="H855" t="s">
        <v>1628</v>
      </c>
    </row>
    <row r="856" spans="1:23" x14ac:dyDescent="0.25">
      <c r="A856">
        <v>425</v>
      </c>
      <c r="B856">
        <v>764</v>
      </c>
      <c r="C856" t="s">
        <v>1629</v>
      </c>
      <c r="D856" t="s">
        <v>725</v>
      </c>
      <c r="E856" t="s">
        <v>849</v>
      </c>
      <c r="F856" t="s">
        <v>1630</v>
      </c>
      <c r="G856" t="str">
        <f>"201510003798"</f>
        <v>201510003798</v>
      </c>
      <c r="H856" t="s">
        <v>1631</v>
      </c>
      <c r="I856">
        <v>0</v>
      </c>
      <c r="J856">
        <v>30</v>
      </c>
      <c r="K856">
        <v>0</v>
      </c>
      <c r="L856">
        <v>0</v>
      </c>
      <c r="M856">
        <v>0</v>
      </c>
      <c r="N856">
        <v>0</v>
      </c>
      <c r="O856">
        <v>0</v>
      </c>
      <c r="P856">
        <v>0</v>
      </c>
      <c r="Q856">
        <v>0</v>
      </c>
      <c r="R856">
        <v>97</v>
      </c>
      <c r="S856">
        <v>588</v>
      </c>
      <c r="V856">
        <v>1</v>
      </c>
      <c r="W856" t="s">
        <v>1632</v>
      </c>
    </row>
    <row r="857" spans="1:23" x14ac:dyDescent="0.25">
      <c r="H857" t="s">
        <v>1633</v>
      </c>
    </row>
    <row r="858" spans="1:23" x14ac:dyDescent="0.25">
      <c r="A858">
        <v>426</v>
      </c>
      <c r="B858">
        <v>424</v>
      </c>
      <c r="C858" t="s">
        <v>1634</v>
      </c>
      <c r="D858" t="s">
        <v>1635</v>
      </c>
      <c r="E858" t="s">
        <v>15</v>
      </c>
      <c r="F858" t="s">
        <v>1636</v>
      </c>
      <c r="G858" t="str">
        <f>"00018848"</f>
        <v>00018848</v>
      </c>
      <c r="H858" t="s">
        <v>152</v>
      </c>
      <c r="I858">
        <v>0</v>
      </c>
      <c r="J858">
        <v>0</v>
      </c>
      <c r="K858">
        <v>0</v>
      </c>
      <c r="L858">
        <v>0</v>
      </c>
      <c r="M858">
        <v>0</v>
      </c>
      <c r="N858">
        <v>0</v>
      </c>
      <c r="O858">
        <v>0</v>
      </c>
      <c r="P858">
        <v>0</v>
      </c>
      <c r="Q858">
        <v>0</v>
      </c>
      <c r="R858">
        <v>18</v>
      </c>
      <c r="S858">
        <v>126</v>
      </c>
      <c r="V858">
        <v>0</v>
      </c>
      <c r="W858" t="s">
        <v>1637</v>
      </c>
    </row>
    <row r="859" spans="1:23" x14ac:dyDescent="0.25">
      <c r="H859" t="s">
        <v>1638</v>
      </c>
    </row>
    <row r="860" spans="1:23" x14ac:dyDescent="0.25">
      <c r="A860">
        <v>427</v>
      </c>
      <c r="B860">
        <v>7013</v>
      </c>
      <c r="C860" t="s">
        <v>1639</v>
      </c>
      <c r="D860" t="s">
        <v>1640</v>
      </c>
      <c r="E860" t="s">
        <v>1641</v>
      </c>
      <c r="F860" t="s">
        <v>1642</v>
      </c>
      <c r="G860" t="str">
        <f>"00045588"</f>
        <v>00045588</v>
      </c>
      <c r="H860">
        <v>1045</v>
      </c>
      <c r="I860">
        <v>150</v>
      </c>
      <c r="J860">
        <v>0</v>
      </c>
      <c r="K860">
        <v>0</v>
      </c>
      <c r="L860">
        <v>0</v>
      </c>
      <c r="M860">
        <v>0</v>
      </c>
      <c r="N860">
        <v>0</v>
      </c>
      <c r="O860">
        <v>0</v>
      </c>
      <c r="P860">
        <v>0</v>
      </c>
      <c r="Q860">
        <v>0</v>
      </c>
      <c r="R860">
        <v>0</v>
      </c>
      <c r="S860">
        <v>0</v>
      </c>
      <c r="V860">
        <v>0</v>
      </c>
      <c r="W860">
        <v>1195</v>
      </c>
    </row>
    <row r="861" spans="1:23" x14ac:dyDescent="0.25">
      <c r="H861" t="s">
        <v>1643</v>
      </c>
    </row>
    <row r="862" spans="1:23" x14ac:dyDescent="0.25">
      <c r="A862">
        <v>428</v>
      </c>
      <c r="B862">
        <v>9732</v>
      </c>
      <c r="C862" t="s">
        <v>1644</v>
      </c>
      <c r="D862" t="s">
        <v>629</v>
      </c>
      <c r="E862" t="s">
        <v>32</v>
      </c>
      <c r="F862" t="s">
        <v>1645</v>
      </c>
      <c r="G862" t="str">
        <f>"201511043404"</f>
        <v>201511043404</v>
      </c>
      <c r="H862">
        <v>1045</v>
      </c>
      <c r="I862">
        <v>150</v>
      </c>
      <c r="J862">
        <v>0</v>
      </c>
      <c r="K862">
        <v>0</v>
      </c>
      <c r="L862">
        <v>0</v>
      </c>
      <c r="M862">
        <v>0</v>
      </c>
      <c r="N862">
        <v>0</v>
      </c>
      <c r="O862">
        <v>0</v>
      </c>
      <c r="P862">
        <v>0</v>
      </c>
      <c r="Q862">
        <v>0</v>
      </c>
      <c r="R862">
        <v>0</v>
      </c>
      <c r="S862">
        <v>0</v>
      </c>
      <c r="V862">
        <v>1</v>
      </c>
      <c r="W862">
        <v>1195</v>
      </c>
    </row>
    <row r="863" spans="1:23" x14ac:dyDescent="0.25">
      <c r="H863" t="s">
        <v>1646</v>
      </c>
    </row>
    <row r="864" spans="1:23" x14ac:dyDescent="0.25">
      <c r="A864">
        <v>429</v>
      </c>
      <c r="B864">
        <v>10289</v>
      </c>
      <c r="C864" t="s">
        <v>1647</v>
      </c>
      <c r="D864" t="s">
        <v>140</v>
      </c>
      <c r="E864" t="s">
        <v>1641</v>
      </c>
      <c r="F864" t="s">
        <v>1648</v>
      </c>
      <c r="G864" t="str">
        <f>"201511032918"</f>
        <v>201511032918</v>
      </c>
      <c r="H864">
        <v>1045</v>
      </c>
      <c r="I864">
        <v>150</v>
      </c>
      <c r="J864">
        <v>0</v>
      </c>
      <c r="K864">
        <v>0</v>
      </c>
      <c r="L864">
        <v>0</v>
      </c>
      <c r="M864">
        <v>0</v>
      </c>
      <c r="N864">
        <v>0</v>
      </c>
      <c r="O864">
        <v>0</v>
      </c>
      <c r="P864">
        <v>0</v>
      </c>
      <c r="Q864">
        <v>0</v>
      </c>
      <c r="R864">
        <v>0</v>
      </c>
      <c r="S864">
        <v>0</v>
      </c>
      <c r="V864">
        <v>1</v>
      </c>
      <c r="W864">
        <v>1195</v>
      </c>
    </row>
    <row r="865" spans="1:23" x14ac:dyDescent="0.25">
      <c r="H865" t="s">
        <v>1649</v>
      </c>
    </row>
    <row r="866" spans="1:23" x14ac:dyDescent="0.25">
      <c r="A866">
        <v>430</v>
      </c>
      <c r="B866">
        <v>5883</v>
      </c>
      <c r="C866" t="s">
        <v>1650</v>
      </c>
      <c r="D866" t="s">
        <v>31</v>
      </c>
      <c r="E866" t="s">
        <v>71</v>
      </c>
      <c r="F866" t="s">
        <v>1651</v>
      </c>
      <c r="G866" t="str">
        <f>"00033095"</f>
        <v>00033095</v>
      </c>
      <c r="H866" t="s">
        <v>1468</v>
      </c>
      <c r="I866">
        <v>0</v>
      </c>
      <c r="J866">
        <v>0</v>
      </c>
      <c r="K866">
        <v>0</v>
      </c>
      <c r="L866">
        <v>0</v>
      </c>
      <c r="M866">
        <v>0</v>
      </c>
      <c r="N866">
        <v>0</v>
      </c>
      <c r="O866">
        <v>0</v>
      </c>
      <c r="P866">
        <v>0</v>
      </c>
      <c r="Q866">
        <v>0</v>
      </c>
      <c r="R866">
        <v>30</v>
      </c>
      <c r="S866">
        <v>210</v>
      </c>
      <c r="T866">
        <v>6</v>
      </c>
      <c r="U866">
        <v>932</v>
      </c>
      <c r="V866">
        <v>0</v>
      </c>
      <c r="W866" t="s">
        <v>1652</v>
      </c>
    </row>
    <row r="867" spans="1:23" x14ac:dyDescent="0.25">
      <c r="H867">
        <v>932</v>
      </c>
    </row>
    <row r="868" spans="1:23" x14ac:dyDescent="0.25">
      <c r="A868">
        <v>431</v>
      </c>
      <c r="B868">
        <v>2537</v>
      </c>
      <c r="C868" t="s">
        <v>1653</v>
      </c>
      <c r="D868" t="s">
        <v>1654</v>
      </c>
      <c r="E868" t="s">
        <v>26</v>
      </c>
      <c r="F868" t="s">
        <v>1655</v>
      </c>
      <c r="G868" t="str">
        <f>"201510004019"</f>
        <v>201510004019</v>
      </c>
      <c r="H868" t="s">
        <v>186</v>
      </c>
      <c r="I868">
        <v>0</v>
      </c>
      <c r="J868">
        <v>0</v>
      </c>
      <c r="K868">
        <v>0</v>
      </c>
      <c r="L868">
        <v>0</v>
      </c>
      <c r="M868">
        <v>0</v>
      </c>
      <c r="N868">
        <v>0</v>
      </c>
      <c r="O868">
        <v>0</v>
      </c>
      <c r="P868">
        <v>0</v>
      </c>
      <c r="Q868">
        <v>0</v>
      </c>
      <c r="R868">
        <v>20</v>
      </c>
      <c r="S868">
        <v>140</v>
      </c>
      <c r="V868">
        <v>1</v>
      </c>
      <c r="W868" t="s">
        <v>1656</v>
      </c>
    </row>
    <row r="869" spans="1:23" x14ac:dyDescent="0.25">
      <c r="H869" t="s">
        <v>1657</v>
      </c>
    </row>
    <row r="870" spans="1:23" x14ac:dyDescent="0.25">
      <c r="A870">
        <v>432</v>
      </c>
      <c r="B870">
        <v>4171</v>
      </c>
      <c r="C870" t="s">
        <v>1658</v>
      </c>
      <c r="D870" t="s">
        <v>1659</v>
      </c>
      <c r="E870" t="s">
        <v>121</v>
      </c>
      <c r="F870" t="s">
        <v>1660</v>
      </c>
      <c r="G870" t="str">
        <f>"00077595"</f>
        <v>00077595</v>
      </c>
      <c r="H870">
        <v>990</v>
      </c>
      <c r="I870">
        <v>0</v>
      </c>
      <c r="J870">
        <v>0</v>
      </c>
      <c r="K870">
        <v>0</v>
      </c>
      <c r="L870">
        <v>0</v>
      </c>
      <c r="M870">
        <v>0</v>
      </c>
      <c r="N870">
        <v>0</v>
      </c>
      <c r="O870">
        <v>0</v>
      </c>
      <c r="P870">
        <v>0</v>
      </c>
      <c r="Q870">
        <v>0</v>
      </c>
      <c r="R870">
        <v>29</v>
      </c>
      <c r="S870">
        <v>203</v>
      </c>
      <c r="V870">
        <v>1</v>
      </c>
      <c r="W870">
        <v>1193</v>
      </c>
    </row>
    <row r="871" spans="1:23" x14ac:dyDescent="0.25">
      <c r="H871" t="s">
        <v>1661</v>
      </c>
    </row>
    <row r="872" spans="1:23" x14ac:dyDescent="0.25">
      <c r="A872">
        <v>433</v>
      </c>
      <c r="B872">
        <v>8388</v>
      </c>
      <c r="C872" t="s">
        <v>1662</v>
      </c>
      <c r="D872" t="s">
        <v>523</v>
      </c>
      <c r="E872" t="s">
        <v>32</v>
      </c>
      <c r="F872" t="s">
        <v>1663</v>
      </c>
      <c r="G872" t="str">
        <f>"201511009051"</f>
        <v>201511009051</v>
      </c>
      <c r="H872">
        <v>605</v>
      </c>
      <c r="I872">
        <v>0</v>
      </c>
      <c r="J872">
        <v>0</v>
      </c>
      <c r="K872">
        <v>0</v>
      </c>
      <c r="L872">
        <v>0</v>
      </c>
      <c r="M872">
        <v>0</v>
      </c>
      <c r="N872">
        <v>0</v>
      </c>
      <c r="O872">
        <v>0</v>
      </c>
      <c r="P872">
        <v>0</v>
      </c>
      <c r="Q872">
        <v>0</v>
      </c>
      <c r="R872">
        <v>84</v>
      </c>
      <c r="S872">
        <v>588</v>
      </c>
      <c r="V872">
        <v>0</v>
      </c>
      <c r="W872">
        <v>1193</v>
      </c>
    </row>
    <row r="873" spans="1:23" x14ac:dyDescent="0.25">
      <c r="H873" t="s">
        <v>216</v>
      </c>
    </row>
    <row r="874" spans="1:23" x14ac:dyDescent="0.25">
      <c r="A874">
        <v>434</v>
      </c>
      <c r="B874">
        <v>4190</v>
      </c>
      <c r="C874" t="s">
        <v>1664</v>
      </c>
      <c r="D874" t="s">
        <v>14</v>
      </c>
      <c r="E874" t="s">
        <v>42</v>
      </c>
      <c r="F874" t="s">
        <v>1665</v>
      </c>
      <c r="G874" t="str">
        <f>"00092705"</f>
        <v>00092705</v>
      </c>
      <c r="H874">
        <v>605</v>
      </c>
      <c r="I874">
        <v>0</v>
      </c>
      <c r="J874">
        <v>0</v>
      </c>
      <c r="K874">
        <v>0</v>
      </c>
      <c r="L874">
        <v>0</v>
      </c>
      <c r="M874">
        <v>0</v>
      </c>
      <c r="N874">
        <v>0</v>
      </c>
      <c r="O874">
        <v>0</v>
      </c>
      <c r="P874">
        <v>0</v>
      </c>
      <c r="Q874">
        <v>0</v>
      </c>
      <c r="R874">
        <v>187</v>
      </c>
      <c r="S874">
        <v>588</v>
      </c>
      <c r="V874">
        <v>0</v>
      </c>
      <c r="W874">
        <v>1193</v>
      </c>
    </row>
    <row r="875" spans="1:23" x14ac:dyDescent="0.25">
      <c r="H875" t="s">
        <v>1666</v>
      </c>
    </row>
    <row r="876" spans="1:23" x14ac:dyDescent="0.25">
      <c r="A876">
        <v>435</v>
      </c>
      <c r="B876">
        <v>1497</v>
      </c>
      <c r="C876" t="s">
        <v>1667</v>
      </c>
      <c r="D876" t="s">
        <v>1668</v>
      </c>
      <c r="E876" t="s">
        <v>42</v>
      </c>
      <c r="F876" t="s">
        <v>1669</v>
      </c>
      <c r="G876" t="str">
        <f>"00032665"</f>
        <v>00032665</v>
      </c>
      <c r="H876">
        <v>605</v>
      </c>
      <c r="I876">
        <v>0</v>
      </c>
      <c r="J876">
        <v>0</v>
      </c>
      <c r="K876">
        <v>0</v>
      </c>
      <c r="L876">
        <v>0</v>
      </c>
      <c r="M876">
        <v>0</v>
      </c>
      <c r="N876">
        <v>0</v>
      </c>
      <c r="O876">
        <v>0</v>
      </c>
      <c r="P876">
        <v>0</v>
      </c>
      <c r="Q876">
        <v>0</v>
      </c>
      <c r="R876">
        <v>105</v>
      </c>
      <c r="S876">
        <v>588</v>
      </c>
      <c r="V876">
        <v>0</v>
      </c>
      <c r="W876">
        <v>1193</v>
      </c>
    </row>
    <row r="877" spans="1:23" x14ac:dyDescent="0.25">
      <c r="H877" t="s">
        <v>1670</v>
      </c>
    </row>
    <row r="878" spans="1:23" x14ac:dyDescent="0.25">
      <c r="A878">
        <v>436</v>
      </c>
      <c r="B878">
        <v>1433</v>
      </c>
      <c r="C878" t="s">
        <v>1671</v>
      </c>
      <c r="D878" t="s">
        <v>36</v>
      </c>
      <c r="E878" t="s">
        <v>218</v>
      </c>
      <c r="F878" t="s">
        <v>1672</v>
      </c>
      <c r="G878" t="str">
        <f>"201511021904"</f>
        <v>201511021904</v>
      </c>
      <c r="H878">
        <v>605</v>
      </c>
      <c r="I878">
        <v>0</v>
      </c>
      <c r="J878">
        <v>0</v>
      </c>
      <c r="K878">
        <v>0</v>
      </c>
      <c r="L878">
        <v>0</v>
      </c>
      <c r="M878">
        <v>0</v>
      </c>
      <c r="N878">
        <v>0</v>
      </c>
      <c r="O878">
        <v>0</v>
      </c>
      <c r="P878">
        <v>0</v>
      </c>
      <c r="Q878">
        <v>0</v>
      </c>
      <c r="R878">
        <v>110</v>
      </c>
      <c r="S878">
        <v>588</v>
      </c>
      <c r="V878">
        <v>0</v>
      </c>
      <c r="W878">
        <v>1193</v>
      </c>
    </row>
    <row r="879" spans="1:23" x14ac:dyDescent="0.25">
      <c r="H879" t="s">
        <v>1673</v>
      </c>
    </row>
    <row r="880" spans="1:23" x14ac:dyDescent="0.25">
      <c r="A880">
        <v>437</v>
      </c>
      <c r="B880">
        <v>6465</v>
      </c>
      <c r="C880" t="s">
        <v>1674</v>
      </c>
      <c r="D880" t="s">
        <v>94</v>
      </c>
      <c r="E880" t="s">
        <v>346</v>
      </c>
      <c r="F880" t="s">
        <v>1675</v>
      </c>
      <c r="G880" t="str">
        <f>"200802006220"</f>
        <v>200802006220</v>
      </c>
      <c r="H880">
        <v>605</v>
      </c>
      <c r="I880">
        <v>0</v>
      </c>
      <c r="J880">
        <v>0</v>
      </c>
      <c r="K880">
        <v>0</v>
      </c>
      <c r="L880">
        <v>0</v>
      </c>
      <c r="M880">
        <v>0</v>
      </c>
      <c r="N880">
        <v>0</v>
      </c>
      <c r="O880">
        <v>0</v>
      </c>
      <c r="P880">
        <v>0</v>
      </c>
      <c r="Q880">
        <v>0</v>
      </c>
      <c r="R880">
        <v>84</v>
      </c>
      <c r="S880">
        <v>588</v>
      </c>
      <c r="V880">
        <v>0</v>
      </c>
      <c r="W880">
        <v>1193</v>
      </c>
    </row>
    <row r="881" spans="1:23" x14ac:dyDescent="0.25">
      <c r="H881" t="s">
        <v>1676</v>
      </c>
    </row>
    <row r="882" spans="1:23" x14ac:dyDescent="0.25">
      <c r="A882">
        <v>438</v>
      </c>
      <c r="B882">
        <v>1041</v>
      </c>
      <c r="C882" t="s">
        <v>1677</v>
      </c>
      <c r="D882" t="s">
        <v>105</v>
      </c>
      <c r="E882" t="s">
        <v>849</v>
      </c>
      <c r="F882" t="s">
        <v>1678</v>
      </c>
      <c r="G882" t="str">
        <f>"00041179"</f>
        <v>00041179</v>
      </c>
      <c r="H882" t="s">
        <v>603</v>
      </c>
      <c r="I882">
        <v>0</v>
      </c>
      <c r="J882">
        <v>0</v>
      </c>
      <c r="K882">
        <v>0</v>
      </c>
      <c r="L882">
        <v>0</v>
      </c>
      <c r="M882">
        <v>0</v>
      </c>
      <c r="N882">
        <v>0</v>
      </c>
      <c r="O882">
        <v>0</v>
      </c>
      <c r="P882">
        <v>0</v>
      </c>
      <c r="Q882">
        <v>0</v>
      </c>
      <c r="R882">
        <v>36</v>
      </c>
      <c r="S882">
        <v>252</v>
      </c>
      <c r="V882">
        <v>0</v>
      </c>
      <c r="W882" t="s">
        <v>1679</v>
      </c>
    </row>
    <row r="883" spans="1:23" x14ac:dyDescent="0.25">
      <c r="H883" t="s">
        <v>1680</v>
      </c>
    </row>
    <row r="884" spans="1:23" x14ac:dyDescent="0.25">
      <c r="A884">
        <v>439</v>
      </c>
      <c r="B884">
        <v>6315</v>
      </c>
      <c r="C884" t="s">
        <v>939</v>
      </c>
      <c r="D884" t="s">
        <v>269</v>
      </c>
      <c r="E884" t="s">
        <v>32</v>
      </c>
      <c r="F884" t="s">
        <v>1681</v>
      </c>
      <c r="G884" t="str">
        <f>"201510004395"</f>
        <v>201510004395</v>
      </c>
      <c r="H884">
        <v>1045</v>
      </c>
      <c r="I884">
        <v>0</v>
      </c>
      <c r="J884">
        <v>0</v>
      </c>
      <c r="K884">
        <v>0</v>
      </c>
      <c r="L884">
        <v>0</v>
      </c>
      <c r="M884">
        <v>0</v>
      </c>
      <c r="N884">
        <v>0</v>
      </c>
      <c r="O884">
        <v>0</v>
      </c>
      <c r="P884">
        <v>0</v>
      </c>
      <c r="Q884">
        <v>0</v>
      </c>
      <c r="R884">
        <v>21</v>
      </c>
      <c r="S884">
        <v>147</v>
      </c>
      <c r="T884">
        <v>6</v>
      </c>
      <c r="U884">
        <v>932</v>
      </c>
      <c r="V884">
        <v>0</v>
      </c>
      <c r="W884">
        <v>1192</v>
      </c>
    </row>
    <row r="885" spans="1:23" x14ac:dyDescent="0.25">
      <c r="H885" t="s">
        <v>1682</v>
      </c>
    </row>
    <row r="886" spans="1:23" x14ac:dyDescent="0.25">
      <c r="A886">
        <v>440</v>
      </c>
      <c r="B886">
        <v>6315</v>
      </c>
      <c r="C886" t="s">
        <v>939</v>
      </c>
      <c r="D886" t="s">
        <v>269</v>
      </c>
      <c r="E886" t="s">
        <v>32</v>
      </c>
      <c r="F886" t="s">
        <v>1681</v>
      </c>
      <c r="G886" t="str">
        <f>"201510004395"</f>
        <v>201510004395</v>
      </c>
      <c r="H886">
        <v>1045</v>
      </c>
      <c r="I886">
        <v>0</v>
      </c>
      <c r="J886">
        <v>0</v>
      </c>
      <c r="K886">
        <v>0</v>
      </c>
      <c r="L886">
        <v>0</v>
      </c>
      <c r="M886">
        <v>0</v>
      </c>
      <c r="N886">
        <v>0</v>
      </c>
      <c r="O886">
        <v>0</v>
      </c>
      <c r="P886">
        <v>0</v>
      </c>
      <c r="Q886">
        <v>0</v>
      </c>
      <c r="R886">
        <v>21</v>
      </c>
      <c r="S886">
        <v>147</v>
      </c>
      <c r="V886">
        <v>0</v>
      </c>
      <c r="W886">
        <v>1192</v>
      </c>
    </row>
    <row r="887" spans="1:23" x14ac:dyDescent="0.25">
      <c r="H887" t="s">
        <v>1682</v>
      </c>
    </row>
    <row r="888" spans="1:23" x14ac:dyDescent="0.25">
      <c r="A888">
        <v>441</v>
      </c>
      <c r="B888">
        <v>227</v>
      </c>
      <c r="C888" t="s">
        <v>1683</v>
      </c>
      <c r="D888" t="s">
        <v>67</v>
      </c>
      <c r="E888" t="s">
        <v>211</v>
      </c>
      <c r="F888" t="s">
        <v>1684</v>
      </c>
      <c r="G888" t="str">
        <f>"00021157"</f>
        <v>00021157</v>
      </c>
      <c r="H888">
        <v>660</v>
      </c>
      <c r="I888">
        <v>0</v>
      </c>
      <c r="J888">
        <v>0</v>
      </c>
      <c r="K888">
        <v>0</v>
      </c>
      <c r="L888">
        <v>0</v>
      </c>
      <c r="M888">
        <v>0</v>
      </c>
      <c r="N888">
        <v>0</v>
      </c>
      <c r="O888">
        <v>0</v>
      </c>
      <c r="P888">
        <v>0</v>
      </c>
      <c r="Q888">
        <v>0</v>
      </c>
      <c r="R888">
        <v>76</v>
      </c>
      <c r="S888">
        <v>532</v>
      </c>
      <c r="V888">
        <v>0</v>
      </c>
      <c r="W888">
        <v>1192</v>
      </c>
    </row>
    <row r="889" spans="1:23" x14ac:dyDescent="0.25">
      <c r="H889" t="s">
        <v>1685</v>
      </c>
    </row>
    <row r="890" spans="1:23" x14ac:dyDescent="0.25">
      <c r="A890">
        <v>442</v>
      </c>
      <c r="B890">
        <v>2839</v>
      </c>
      <c r="C890" t="s">
        <v>1686</v>
      </c>
      <c r="D890" t="s">
        <v>304</v>
      </c>
      <c r="E890" t="s">
        <v>53</v>
      </c>
      <c r="F890" t="s">
        <v>1687</v>
      </c>
      <c r="G890" t="str">
        <f>"00044963"</f>
        <v>00044963</v>
      </c>
      <c r="H890" t="s">
        <v>1688</v>
      </c>
      <c r="I890">
        <v>0</v>
      </c>
      <c r="J890">
        <v>0</v>
      </c>
      <c r="K890">
        <v>0</v>
      </c>
      <c r="L890">
        <v>0</v>
      </c>
      <c r="M890">
        <v>0</v>
      </c>
      <c r="N890">
        <v>0</v>
      </c>
      <c r="O890">
        <v>0</v>
      </c>
      <c r="P890">
        <v>0</v>
      </c>
      <c r="Q890">
        <v>0</v>
      </c>
      <c r="R890">
        <v>26</v>
      </c>
      <c r="S890">
        <v>182</v>
      </c>
      <c r="V890">
        <v>0</v>
      </c>
      <c r="W890" t="s">
        <v>1689</v>
      </c>
    </row>
    <row r="891" spans="1:23" x14ac:dyDescent="0.25">
      <c r="H891" t="s">
        <v>1690</v>
      </c>
    </row>
    <row r="892" spans="1:23" x14ac:dyDescent="0.25">
      <c r="A892">
        <v>443</v>
      </c>
      <c r="B892">
        <v>7768</v>
      </c>
      <c r="C892" t="s">
        <v>1691</v>
      </c>
      <c r="D892" t="s">
        <v>140</v>
      </c>
      <c r="E892" t="s">
        <v>21</v>
      </c>
      <c r="F892" t="s">
        <v>1692</v>
      </c>
      <c r="G892" t="str">
        <f>"201511041071"</f>
        <v>201511041071</v>
      </c>
      <c r="H892">
        <v>913</v>
      </c>
      <c r="I892">
        <v>150</v>
      </c>
      <c r="J892">
        <v>0</v>
      </c>
      <c r="K892">
        <v>0</v>
      </c>
      <c r="L892">
        <v>0</v>
      </c>
      <c r="M892">
        <v>0</v>
      </c>
      <c r="N892">
        <v>0</v>
      </c>
      <c r="O892">
        <v>0</v>
      </c>
      <c r="P892">
        <v>0</v>
      </c>
      <c r="Q892">
        <v>0</v>
      </c>
      <c r="R892">
        <v>18</v>
      </c>
      <c r="S892">
        <v>126</v>
      </c>
      <c r="V892">
        <v>0</v>
      </c>
      <c r="W892">
        <v>1189</v>
      </c>
    </row>
    <row r="893" spans="1:23" x14ac:dyDescent="0.25">
      <c r="H893" t="s">
        <v>1693</v>
      </c>
    </row>
    <row r="894" spans="1:23" x14ac:dyDescent="0.25">
      <c r="A894">
        <v>444</v>
      </c>
      <c r="B894">
        <v>5903</v>
      </c>
      <c r="C894" t="s">
        <v>912</v>
      </c>
      <c r="D894" t="s">
        <v>1694</v>
      </c>
      <c r="E894" t="s">
        <v>497</v>
      </c>
      <c r="F894" t="s">
        <v>1695</v>
      </c>
      <c r="G894" t="str">
        <f>"00069381"</f>
        <v>00069381</v>
      </c>
      <c r="H894" t="s">
        <v>44</v>
      </c>
      <c r="I894">
        <v>0</v>
      </c>
      <c r="J894">
        <v>0</v>
      </c>
      <c r="K894">
        <v>0</v>
      </c>
      <c r="L894">
        <v>0</v>
      </c>
      <c r="M894">
        <v>0</v>
      </c>
      <c r="N894">
        <v>0</v>
      </c>
      <c r="O894">
        <v>0</v>
      </c>
      <c r="P894">
        <v>0</v>
      </c>
      <c r="Q894">
        <v>0</v>
      </c>
      <c r="R894">
        <v>34</v>
      </c>
      <c r="S894">
        <v>238</v>
      </c>
      <c r="V894">
        <v>0</v>
      </c>
      <c r="W894" t="s">
        <v>1696</v>
      </c>
    </row>
    <row r="895" spans="1:23" x14ac:dyDescent="0.25">
      <c r="H895">
        <v>913</v>
      </c>
    </row>
    <row r="896" spans="1:23" x14ac:dyDescent="0.25">
      <c r="A896">
        <v>445</v>
      </c>
      <c r="B896">
        <v>255</v>
      </c>
      <c r="C896" t="s">
        <v>1697</v>
      </c>
      <c r="D896" t="s">
        <v>600</v>
      </c>
      <c r="E896" t="s">
        <v>218</v>
      </c>
      <c r="F896" t="s">
        <v>1698</v>
      </c>
      <c r="G896" t="str">
        <f>"201511027335"</f>
        <v>201511027335</v>
      </c>
      <c r="H896" t="s">
        <v>492</v>
      </c>
      <c r="I896">
        <v>0</v>
      </c>
      <c r="J896">
        <v>0</v>
      </c>
      <c r="K896">
        <v>0</v>
      </c>
      <c r="L896">
        <v>0</v>
      </c>
      <c r="M896">
        <v>0</v>
      </c>
      <c r="N896">
        <v>0</v>
      </c>
      <c r="O896">
        <v>0</v>
      </c>
      <c r="P896">
        <v>0</v>
      </c>
      <c r="Q896">
        <v>0</v>
      </c>
      <c r="R896">
        <v>37</v>
      </c>
      <c r="S896">
        <v>259</v>
      </c>
      <c r="V896">
        <v>0</v>
      </c>
      <c r="W896" t="s">
        <v>1699</v>
      </c>
    </row>
    <row r="897" spans="1:23" x14ac:dyDescent="0.25">
      <c r="H897" t="s">
        <v>1700</v>
      </c>
    </row>
    <row r="898" spans="1:23" x14ac:dyDescent="0.25">
      <c r="A898">
        <v>446</v>
      </c>
      <c r="B898">
        <v>2246</v>
      </c>
      <c r="C898" t="s">
        <v>1701</v>
      </c>
      <c r="D898" t="s">
        <v>31</v>
      </c>
      <c r="E898" t="s">
        <v>21</v>
      </c>
      <c r="F898" t="s">
        <v>1702</v>
      </c>
      <c r="G898" t="str">
        <f>"201510003602"</f>
        <v>201510003602</v>
      </c>
      <c r="H898">
        <v>825</v>
      </c>
      <c r="I898">
        <v>0</v>
      </c>
      <c r="J898">
        <v>30</v>
      </c>
      <c r="K898">
        <v>0</v>
      </c>
      <c r="L898">
        <v>0</v>
      </c>
      <c r="M898">
        <v>0</v>
      </c>
      <c r="N898">
        <v>0</v>
      </c>
      <c r="O898">
        <v>0</v>
      </c>
      <c r="P898">
        <v>0</v>
      </c>
      <c r="Q898">
        <v>0</v>
      </c>
      <c r="R898">
        <v>47</v>
      </c>
      <c r="S898">
        <v>329</v>
      </c>
      <c r="V898">
        <v>0</v>
      </c>
      <c r="W898">
        <v>1184</v>
      </c>
    </row>
    <row r="899" spans="1:23" x14ac:dyDescent="0.25">
      <c r="H899" t="s">
        <v>1703</v>
      </c>
    </row>
    <row r="900" spans="1:23" x14ac:dyDescent="0.25">
      <c r="A900">
        <v>447</v>
      </c>
      <c r="B900">
        <v>9350</v>
      </c>
      <c r="C900" t="s">
        <v>432</v>
      </c>
      <c r="D900" t="s">
        <v>965</v>
      </c>
      <c r="E900" t="s">
        <v>877</v>
      </c>
      <c r="F900" t="s">
        <v>1704</v>
      </c>
      <c r="G900" t="str">
        <f>"00035970"</f>
        <v>00035970</v>
      </c>
      <c r="H900">
        <v>990</v>
      </c>
      <c r="I900">
        <v>150</v>
      </c>
      <c r="J900">
        <v>0</v>
      </c>
      <c r="K900">
        <v>0</v>
      </c>
      <c r="L900">
        <v>0</v>
      </c>
      <c r="M900">
        <v>0</v>
      </c>
      <c r="N900">
        <v>0</v>
      </c>
      <c r="O900">
        <v>0</v>
      </c>
      <c r="P900">
        <v>0</v>
      </c>
      <c r="Q900">
        <v>0</v>
      </c>
      <c r="R900">
        <v>6</v>
      </c>
      <c r="S900">
        <v>42</v>
      </c>
      <c r="V900">
        <v>0</v>
      </c>
      <c r="W900">
        <v>1182</v>
      </c>
    </row>
    <row r="901" spans="1:23" x14ac:dyDescent="0.25">
      <c r="H901" t="s">
        <v>1705</v>
      </c>
    </row>
    <row r="902" spans="1:23" x14ac:dyDescent="0.25">
      <c r="A902">
        <v>448</v>
      </c>
      <c r="B902">
        <v>4049</v>
      </c>
      <c r="C902" t="s">
        <v>1706</v>
      </c>
      <c r="D902" t="s">
        <v>1707</v>
      </c>
      <c r="E902" t="s">
        <v>21</v>
      </c>
      <c r="F902" t="s">
        <v>1708</v>
      </c>
      <c r="G902" t="str">
        <f>"201005000004"</f>
        <v>201005000004</v>
      </c>
      <c r="H902">
        <v>880</v>
      </c>
      <c r="I902">
        <v>0</v>
      </c>
      <c r="J902">
        <v>0</v>
      </c>
      <c r="K902">
        <v>0</v>
      </c>
      <c r="L902">
        <v>0</v>
      </c>
      <c r="M902">
        <v>0</v>
      </c>
      <c r="N902">
        <v>0</v>
      </c>
      <c r="O902">
        <v>0</v>
      </c>
      <c r="P902">
        <v>0</v>
      </c>
      <c r="Q902">
        <v>0</v>
      </c>
      <c r="R902">
        <v>43</v>
      </c>
      <c r="S902">
        <v>301</v>
      </c>
      <c r="V902">
        <v>0</v>
      </c>
      <c r="W902">
        <v>1181</v>
      </c>
    </row>
    <row r="903" spans="1:23" x14ac:dyDescent="0.25">
      <c r="H903" t="s">
        <v>1709</v>
      </c>
    </row>
    <row r="904" spans="1:23" x14ac:dyDescent="0.25">
      <c r="A904">
        <v>449</v>
      </c>
      <c r="B904">
        <v>2110</v>
      </c>
      <c r="C904" t="s">
        <v>1710</v>
      </c>
      <c r="D904" t="s">
        <v>272</v>
      </c>
      <c r="E904" t="s">
        <v>53</v>
      </c>
      <c r="F904" t="s">
        <v>1711</v>
      </c>
      <c r="G904" t="str">
        <f>"00044701"</f>
        <v>00044701</v>
      </c>
      <c r="H904">
        <v>1045</v>
      </c>
      <c r="I904">
        <v>0</v>
      </c>
      <c r="J904">
        <v>0</v>
      </c>
      <c r="K904">
        <v>0</v>
      </c>
      <c r="L904">
        <v>0</v>
      </c>
      <c r="M904">
        <v>0</v>
      </c>
      <c r="N904">
        <v>0</v>
      </c>
      <c r="O904">
        <v>0</v>
      </c>
      <c r="P904">
        <v>0</v>
      </c>
      <c r="Q904">
        <v>0</v>
      </c>
      <c r="R904">
        <v>19</v>
      </c>
      <c r="S904">
        <v>133</v>
      </c>
      <c r="T904">
        <v>6</v>
      </c>
      <c r="U904">
        <v>931</v>
      </c>
      <c r="V904">
        <v>0</v>
      </c>
      <c r="W904">
        <v>1178</v>
      </c>
    </row>
    <row r="905" spans="1:23" x14ac:dyDescent="0.25">
      <c r="H905">
        <v>931</v>
      </c>
    </row>
    <row r="906" spans="1:23" x14ac:dyDescent="0.25">
      <c r="A906">
        <v>450</v>
      </c>
      <c r="B906">
        <v>3744</v>
      </c>
      <c r="C906" t="s">
        <v>1712</v>
      </c>
      <c r="D906" t="s">
        <v>617</v>
      </c>
      <c r="E906" t="s">
        <v>767</v>
      </c>
      <c r="F906" t="s">
        <v>1713</v>
      </c>
      <c r="G906" t="str">
        <f>"00030931"</f>
        <v>00030931</v>
      </c>
      <c r="H906">
        <v>1100</v>
      </c>
      <c r="I906">
        <v>0</v>
      </c>
      <c r="J906">
        <v>0</v>
      </c>
      <c r="K906">
        <v>0</v>
      </c>
      <c r="L906">
        <v>0</v>
      </c>
      <c r="M906">
        <v>0</v>
      </c>
      <c r="N906">
        <v>0</v>
      </c>
      <c r="O906">
        <v>0</v>
      </c>
      <c r="P906">
        <v>0</v>
      </c>
      <c r="Q906">
        <v>0</v>
      </c>
      <c r="R906">
        <v>11</v>
      </c>
      <c r="S906">
        <v>77</v>
      </c>
      <c r="V906">
        <v>0</v>
      </c>
      <c r="W906">
        <v>1177</v>
      </c>
    </row>
    <row r="907" spans="1:23" x14ac:dyDescent="0.25">
      <c r="H907" t="s">
        <v>1714</v>
      </c>
    </row>
    <row r="908" spans="1:23" x14ac:dyDescent="0.25">
      <c r="A908">
        <v>451</v>
      </c>
      <c r="B908">
        <v>4526</v>
      </c>
      <c r="C908" t="s">
        <v>1715</v>
      </c>
      <c r="D908" t="s">
        <v>574</v>
      </c>
      <c r="E908" t="s">
        <v>1716</v>
      </c>
      <c r="F908" t="s">
        <v>1717</v>
      </c>
      <c r="G908" t="str">
        <f>"201512001029"</f>
        <v>201512001029</v>
      </c>
      <c r="H908">
        <v>880</v>
      </c>
      <c r="I908">
        <v>0</v>
      </c>
      <c r="J908">
        <v>30</v>
      </c>
      <c r="K908">
        <v>0</v>
      </c>
      <c r="L908">
        <v>0</v>
      </c>
      <c r="M908">
        <v>0</v>
      </c>
      <c r="N908">
        <v>0</v>
      </c>
      <c r="O908">
        <v>0</v>
      </c>
      <c r="P908">
        <v>0</v>
      </c>
      <c r="Q908">
        <v>0</v>
      </c>
      <c r="R908">
        <v>38</v>
      </c>
      <c r="S908">
        <v>266</v>
      </c>
      <c r="V908">
        <v>0</v>
      </c>
      <c r="W908">
        <v>1176</v>
      </c>
    </row>
    <row r="909" spans="1:23" x14ac:dyDescent="0.25">
      <c r="H909" t="s">
        <v>1718</v>
      </c>
    </row>
    <row r="910" spans="1:23" x14ac:dyDescent="0.25">
      <c r="A910">
        <v>452</v>
      </c>
      <c r="B910">
        <v>10202</v>
      </c>
      <c r="C910" t="s">
        <v>1719</v>
      </c>
      <c r="D910" t="s">
        <v>1720</v>
      </c>
      <c r="E910" t="s">
        <v>1721</v>
      </c>
      <c r="F910" t="s">
        <v>1722</v>
      </c>
      <c r="G910" t="str">
        <f>"00086427"</f>
        <v>00086427</v>
      </c>
      <c r="H910">
        <v>550</v>
      </c>
      <c r="I910">
        <v>150</v>
      </c>
      <c r="J910">
        <v>0</v>
      </c>
      <c r="K910">
        <v>0</v>
      </c>
      <c r="L910">
        <v>0</v>
      </c>
      <c r="M910">
        <v>0</v>
      </c>
      <c r="N910">
        <v>0</v>
      </c>
      <c r="O910">
        <v>0</v>
      </c>
      <c r="P910">
        <v>0</v>
      </c>
      <c r="Q910">
        <v>0</v>
      </c>
      <c r="R910">
        <v>68</v>
      </c>
      <c r="S910">
        <v>476</v>
      </c>
      <c r="V910">
        <v>0</v>
      </c>
      <c r="W910">
        <v>1176</v>
      </c>
    </row>
    <row r="911" spans="1:23" x14ac:dyDescent="0.25">
      <c r="H911" t="s">
        <v>1723</v>
      </c>
    </row>
    <row r="912" spans="1:23" x14ac:dyDescent="0.25">
      <c r="A912">
        <v>453</v>
      </c>
      <c r="B912">
        <v>8379</v>
      </c>
      <c r="C912" t="s">
        <v>805</v>
      </c>
      <c r="D912" t="s">
        <v>121</v>
      </c>
      <c r="E912" t="s">
        <v>497</v>
      </c>
      <c r="F912" t="s">
        <v>1724</v>
      </c>
      <c r="G912" t="str">
        <f>"00017329"</f>
        <v>00017329</v>
      </c>
      <c r="H912">
        <v>1100</v>
      </c>
      <c r="I912">
        <v>0</v>
      </c>
      <c r="J912">
        <v>70</v>
      </c>
      <c r="K912">
        <v>0</v>
      </c>
      <c r="L912">
        <v>0</v>
      </c>
      <c r="M912">
        <v>0</v>
      </c>
      <c r="N912">
        <v>0</v>
      </c>
      <c r="O912">
        <v>0</v>
      </c>
      <c r="P912">
        <v>0</v>
      </c>
      <c r="Q912">
        <v>0</v>
      </c>
      <c r="R912">
        <v>0</v>
      </c>
      <c r="S912">
        <v>0</v>
      </c>
      <c r="V912">
        <v>0</v>
      </c>
      <c r="W912">
        <v>1170</v>
      </c>
    </row>
    <row r="913" spans="1:23" x14ac:dyDescent="0.25">
      <c r="H913" t="s">
        <v>1725</v>
      </c>
    </row>
    <row r="914" spans="1:23" x14ac:dyDescent="0.25">
      <c r="A914">
        <v>454</v>
      </c>
      <c r="B914">
        <v>1368</v>
      </c>
      <c r="C914" t="s">
        <v>1726</v>
      </c>
      <c r="D914" t="s">
        <v>223</v>
      </c>
      <c r="E914" t="s">
        <v>218</v>
      </c>
      <c r="F914" t="s">
        <v>1727</v>
      </c>
      <c r="G914" t="str">
        <f>"00046363"</f>
        <v>00046363</v>
      </c>
      <c r="H914">
        <v>550</v>
      </c>
      <c r="I914">
        <v>0</v>
      </c>
      <c r="J914">
        <v>30</v>
      </c>
      <c r="K914">
        <v>0</v>
      </c>
      <c r="L914">
        <v>0</v>
      </c>
      <c r="M914">
        <v>0</v>
      </c>
      <c r="N914">
        <v>0</v>
      </c>
      <c r="O914">
        <v>0</v>
      </c>
      <c r="P914">
        <v>0</v>
      </c>
      <c r="Q914">
        <v>0</v>
      </c>
      <c r="R914">
        <v>189</v>
      </c>
      <c r="S914">
        <v>588</v>
      </c>
      <c r="V914">
        <v>0</v>
      </c>
      <c r="W914">
        <v>1168</v>
      </c>
    </row>
    <row r="915" spans="1:23" x14ac:dyDescent="0.25">
      <c r="H915" t="s">
        <v>1728</v>
      </c>
    </row>
    <row r="916" spans="1:23" x14ac:dyDescent="0.25">
      <c r="A916">
        <v>455</v>
      </c>
      <c r="B916">
        <v>1235</v>
      </c>
      <c r="C916" t="s">
        <v>748</v>
      </c>
      <c r="D916" t="s">
        <v>145</v>
      </c>
      <c r="E916" t="s">
        <v>121</v>
      </c>
      <c r="F916" t="s">
        <v>1729</v>
      </c>
      <c r="G916" t="str">
        <f>"201011000097"</f>
        <v>201011000097</v>
      </c>
      <c r="H916">
        <v>770</v>
      </c>
      <c r="I916">
        <v>0</v>
      </c>
      <c r="J916">
        <v>0</v>
      </c>
      <c r="K916">
        <v>0</v>
      </c>
      <c r="L916">
        <v>0</v>
      </c>
      <c r="M916">
        <v>0</v>
      </c>
      <c r="N916">
        <v>0</v>
      </c>
      <c r="O916">
        <v>0</v>
      </c>
      <c r="P916">
        <v>0</v>
      </c>
      <c r="Q916">
        <v>0</v>
      </c>
      <c r="R916">
        <v>56</v>
      </c>
      <c r="S916">
        <v>392</v>
      </c>
      <c r="V916">
        <v>0</v>
      </c>
      <c r="W916">
        <v>1162</v>
      </c>
    </row>
    <row r="917" spans="1:23" x14ac:dyDescent="0.25">
      <c r="H917" t="s">
        <v>1730</v>
      </c>
    </row>
    <row r="918" spans="1:23" x14ac:dyDescent="0.25">
      <c r="A918">
        <v>456</v>
      </c>
      <c r="B918">
        <v>1235</v>
      </c>
      <c r="C918" t="s">
        <v>748</v>
      </c>
      <c r="D918" t="s">
        <v>145</v>
      </c>
      <c r="E918" t="s">
        <v>121</v>
      </c>
      <c r="F918" t="s">
        <v>1729</v>
      </c>
      <c r="G918" t="str">
        <f>"201011000097"</f>
        <v>201011000097</v>
      </c>
      <c r="H918">
        <v>770</v>
      </c>
      <c r="I918">
        <v>0</v>
      </c>
      <c r="J918">
        <v>0</v>
      </c>
      <c r="K918">
        <v>0</v>
      </c>
      <c r="L918">
        <v>0</v>
      </c>
      <c r="M918">
        <v>0</v>
      </c>
      <c r="N918">
        <v>0</v>
      </c>
      <c r="O918">
        <v>0</v>
      </c>
      <c r="P918">
        <v>0</v>
      </c>
      <c r="Q918">
        <v>0</v>
      </c>
      <c r="R918">
        <v>56</v>
      </c>
      <c r="S918">
        <v>392</v>
      </c>
      <c r="T918">
        <v>6</v>
      </c>
      <c r="U918">
        <v>930</v>
      </c>
      <c r="V918">
        <v>0</v>
      </c>
      <c r="W918">
        <v>1162</v>
      </c>
    </row>
    <row r="919" spans="1:23" x14ac:dyDescent="0.25">
      <c r="H919" t="s">
        <v>1730</v>
      </c>
    </row>
    <row r="920" spans="1:23" x14ac:dyDescent="0.25">
      <c r="A920">
        <v>457</v>
      </c>
      <c r="B920">
        <v>996</v>
      </c>
      <c r="C920" t="s">
        <v>1731</v>
      </c>
      <c r="D920" t="s">
        <v>53</v>
      </c>
      <c r="E920" t="s">
        <v>175</v>
      </c>
      <c r="F920" t="s">
        <v>1732</v>
      </c>
      <c r="G920" t="str">
        <f>"201511006228"</f>
        <v>201511006228</v>
      </c>
      <c r="H920">
        <v>1089</v>
      </c>
      <c r="I920">
        <v>0</v>
      </c>
      <c r="J920">
        <v>70</v>
      </c>
      <c r="K920">
        <v>0</v>
      </c>
      <c r="L920">
        <v>0</v>
      </c>
      <c r="M920">
        <v>0</v>
      </c>
      <c r="N920">
        <v>0</v>
      </c>
      <c r="O920">
        <v>0</v>
      </c>
      <c r="P920">
        <v>0</v>
      </c>
      <c r="Q920">
        <v>0</v>
      </c>
      <c r="R920">
        <v>0</v>
      </c>
      <c r="S920">
        <v>0</v>
      </c>
      <c r="V920">
        <v>0</v>
      </c>
      <c r="W920">
        <v>1159</v>
      </c>
    </row>
    <row r="921" spans="1:23" x14ac:dyDescent="0.25">
      <c r="H921" t="s">
        <v>1733</v>
      </c>
    </row>
    <row r="922" spans="1:23" x14ac:dyDescent="0.25">
      <c r="A922">
        <v>458</v>
      </c>
      <c r="B922">
        <v>4109</v>
      </c>
      <c r="C922" t="s">
        <v>1734</v>
      </c>
      <c r="D922" t="s">
        <v>87</v>
      </c>
      <c r="E922" t="s">
        <v>95</v>
      </c>
      <c r="F922" t="s">
        <v>1735</v>
      </c>
      <c r="G922" t="str">
        <f>"201511015985"</f>
        <v>201511015985</v>
      </c>
      <c r="H922">
        <v>979</v>
      </c>
      <c r="I922">
        <v>150</v>
      </c>
      <c r="J922">
        <v>0</v>
      </c>
      <c r="K922">
        <v>0</v>
      </c>
      <c r="L922">
        <v>0</v>
      </c>
      <c r="M922">
        <v>0</v>
      </c>
      <c r="N922">
        <v>0</v>
      </c>
      <c r="O922">
        <v>0</v>
      </c>
      <c r="P922">
        <v>0</v>
      </c>
      <c r="Q922">
        <v>0</v>
      </c>
      <c r="R922">
        <v>4</v>
      </c>
      <c r="S922">
        <v>28</v>
      </c>
      <c r="V922">
        <v>1</v>
      </c>
      <c r="W922">
        <v>1157</v>
      </c>
    </row>
    <row r="923" spans="1:23" x14ac:dyDescent="0.25">
      <c r="H923" t="s">
        <v>1736</v>
      </c>
    </row>
    <row r="924" spans="1:23" x14ac:dyDescent="0.25">
      <c r="A924">
        <v>459</v>
      </c>
      <c r="B924">
        <v>1369</v>
      </c>
      <c r="C924" t="s">
        <v>1737</v>
      </c>
      <c r="D924" t="s">
        <v>1738</v>
      </c>
      <c r="E924" t="s">
        <v>830</v>
      </c>
      <c r="F924" t="s">
        <v>1739</v>
      </c>
      <c r="G924" t="str">
        <f>"00049692"</f>
        <v>00049692</v>
      </c>
      <c r="H924">
        <v>814</v>
      </c>
      <c r="I924">
        <v>0</v>
      </c>
      <c r="J924">
        <v>0</v>
      </c>
      <c r="K924">
        <v>0</v>
      </c>
      <c r="L924">
        <v>0</v>
      </c>
      <c r="M924">
        <v>0</v>
      </c>
      <c r="N924">
        <v>0</v>
      </c>
      <c r="O924">
        <v>0</v>
      </c>
      <c r="P924">
        <v>0</v>
      </c>
      <c r="Q924">
        <v>0</v>
      </c>
      <c r="R924">
        <v>49</v>
      </c>
      <c r="S924">
        <v>343</v>
      </c>
      <c r="T924">
        <v>6</v>
      </c>
      <c r="U924">
        <v>931</v>
      </c>
      <c r="V924">
        <v>0</v>
      </c>
      <c r="W924">
        <v>1157</v>
      </c>
    </row>
    <row r="925" spans="1:23" x14ac:dyDescent="0.25">
      <c r="H925" t="s">
        <v>1740</v>
      </c>
    </row>
    <row r="926" spans="1:23" x14ac:dyDescent="0.25">
      <c r="A926">
        <v>460</v>
      </c>
      <c r="B926">
        <v>1369</v>
      </c>
      <c r="C926" t="s">
        <v>1737</v>
      </c>
      <c r="D926" t="s">
        <v>1738</v>
      </c>
      <c r="E926" t="s">
        <v>830</v>
      </c>
      <c r="F926" t="s">
        <v>1739</v>
      </c>
      <c r="G926" t="str">
        <f>"00049692"</f>
        <v>00049692</v>
      </c>
      <c r="H926">
        <v>814</v>
      </c>
      <c r="I926">
        <v>0</v>
      </c>
      <c r="J926">
        <v>0</v>
      </c>
      <c r="K926">
        <v>0</v>
      </c>
      <c r="L926">
        <v>0</v>
      </c>
      <c r="M926">
        <v>0</v>
      </c>
      <c r="N926">
        <v>0</v>
      </c>
      <c r="O926">
        <v>0</v>
      </c>
      <c r="P926">
        <v>0</v>
      </c>
      <c r="Q926">
        <v>0</v>
      </c>
      <c r="R926">
        <v>49</v>
      </c>
      <c r="S926">
        <v>343</v>
      </c>
      <c r="V926">
        <v>0</v>
      </c>
      <c r="W926">
        <v>1157</v>
      </c>
    </row>
    <row r="927" spans="1:23" x14ac:dyDescent="0.25">
      <c r="H927" t="s">
        <v>1740</v>
      </c>
    </row>
    <row r="928" spans="1:23" x14ac:dyDescent="0.25">
      <c r="A928">
        <v>461</v>
      </c>
      <c r="B928">
        <v>3728</v>
      </c>
      <c r="C928" t="s">
        <v>1741</v>
      </c>
      <c r="D928" t="s">
        <v>31</v>
      </c>
      <c r="E928" t="s">
        <v>175</v>
      </c>
      <c r="F928" t="s">
        <v>1742</v>
      </c>
      <c r="G928" t="str">
        <f>"201511039382"</f>
        <v>201511039382</v>
      </c>
      <c r="H928" t="s">
        <v>609</v>
      </c>
      <c r="I928">
        <v>0</v>
      </c>
      <c r="J928">
        <v>0</v>
      </c>
      <c r="K928">
        <v>0</v>
      </c>
      <c r="L928">
        <v>0</v>
      </c>
      <c r="M928">
        <v>0</v>
      </c>
      <c r="N928">
        <v>0</v>
      </c>
      <c r="O928">
        <v>0</v>
      </c>
      <c r="P928">
        <v>0</v>
      </c>
      <c r="Q928">
        <v>0</v>
      </c>
      <c r="R928">
        <v>12</v>
      </c>
      <c r="S928">
        <v>84</v>
      </c>
      <c r="V928">
        <v>2</v>
      </c>
      <c r="W928" t="s">
        <v>1743</v>
      </c>
    </row>
    <row r="929" spans="1:23" x14ac:dyDescent="0.25">
      <c r="H929" t="s">
        <v>1744</v>
      </c>
    </row>
    <row r="930" spans="1:23" x14ac:dyDescent="0.25">
      <c r="A930">
        <v>462</v>
      </c>
      <c r="B930">
        <v>6237</v>
      </c>
      <c r="C930" t="s">
        <v>628</v>
      </c>
      <c r="D930" t="s">
        <v>1745</v>
      </c>
      <c r="E930" t="s">
        <v>53</v>
      </c>
      <c r="F930" t="s">
        <v>1746</v>
      </c>
      <c r="G930" t="str">
        <f>"201406005032"</f>
        <v>201406005032</v>
      </c>
      <c r="H930" t="s">
        <v>274</v>
      </c>
      <c r="I930">
        <v>150</v>
      </c>
      <c r="J930">
        <v>0</v>
      </c>
      <c r="K930">
        <v>0</v>
      </c>
      <c r="L930">
        <v>0</v>
      </c>
      <c r="M930">
        <v>0</v>
      </c>
      <c r="N930">
        <v>0</v>
      </c>
      <c r="O930">
        <v>0</v>
      </c>
      <c r="P930">
        <v>0</v>
      </c>
      <c r="Q930">
        <v>0</v>
      </c>
      <c r="R930">
        <v>0</v>
      </c>
      <c r="S930">
        <v>0</v>
      </c>
      <c r="V930">
        <v>0</v>
      </c>
      <c r="W930" t="s">
        <v>1747</v>
      </c>
    </row>
    <row r="931" spans="1:23" x14ac:dyDescent="0.25">
      <c r="H931" t="s">
        <v>1748</v>
      </c>
    </row>
    <row r="932" spans="1:23" x14ac:dyDescent="0.25">
      <c r="A932">
        <v>463</v>
      </c>
      <c r="B932">
        <v>4956</v>
      </c>
      <c r="C932" t="s">
        <v>1749</v>
      </c>
      <c r="D932" t="s">
        <v>269</v>
      </c>
      <c r="E932" t="s">
        <v>380</v>
      </c>
      <c r="F932" t="s">
        <v>1750</v>
      </c>
      <c r="G932" t="str">
        <f>"201511013721"</f>
        <v>201511013721</v>
      </c>
      <c r="H932">
        <v>957</v>
      </c>
      <c r="I932">
        <v>0</v>
      </c>
      <c r="J932">
        <v>0</v>
      </c>
      <c r="K932">
        <v>0</v>
      </c>
      <c r="L932">
        <v>0</v>
      </c>
      <c r="M932">
        <v>0</v>
      </c>
      <c r="N932">
        <v>0</v>
      </c>
      <c r="O932">
        <v>0</v>
      </c>
      <c r="P932">
        <v>0</v>
      </c>
      <c r="Q932">
        <v>0</v>
      </c>
      <c r="R932">
        <v>28</v>
      </c>
      <c r="S932">
        <v>196</v>
      </c>
      <c r="V932">
        <v>0</v>
      </c>
      <c r="W932">
        <v>1153</v>
      </c>
    </row>
    <row r="933" spans="1:23" x14ac:dyDescent="0.25">
      <c r="H933" t="s">
        <v>1751</v>
      </c>
    </row>
    <row r="934" spans="1:23" x14ac:dyDescent="0.25">
      <c r="A934">
        <v>464</v>
      </c>
      <c r="B934">
        <v>6453</v>
      </c>
      <c r="C934" t="s">
        <v>1752</v>
      </c>
      <c r="D934" t="s">
        <v>1753</v>
      </c>
      <c r="E934" t="s">
        <v>218</v>
      </c>
      <c r="F934" t="s">
        <v>1754</v>
      </c>
      <c r="G934" t="str">
        <f>"201511037488"</f>
        <v>201511037488</v>
      </c>
      <c r="H934">
        <v>1045</v>
      </c>
      <c r="I934">
        <v>0</v>
      </c>
      <c r="J934">
        <v>30</v>
      </c>
      <c r="K934">
        <v>0</v>
      </c>
      <c r="L934">
        <v>0</v>
      </c>
      <c r="M934">
        <v>0</v>
      </c>
      <c r="N934">
        <v>0</v>
      </c>
      <c r="O934">
        <v>0</v>
      </c>
      <c r="P934">
        <v>0</v>
      </c>
      <c r="Q934">
        <v>0</v>
      </c>
      <c r="R934">
        <v>11</v>
      </c>
      <c r="S934">
        <v>77</v>
      </c>
      <c r="T934">
        <v>6</v>
      </c>
      <c r="U934" t="s">
        <v>80</v>
      </c>
      <c r="V934">
        <v>0</v>
      </c>
      <c r="W934">
        <v>1152</v>
      </c>
    </row>
    <row r="935" spans="1:23" x14ac:dyDescent="0.25">
      <c r="H935" t="s">
        <v>1755</v>
      </c>
    </row>
    <row r="936" spans="1:23" x14ac:dyDescent="0.25">
      <c r="A936">
        <v>465</v>
      </c>
      <c r="B936">
        <v>6453</v>
      </c>
      <c r="C936" t="s">
        <v>1752</v>
      </c>
      <c r="D936" t="s">
        <v>1753</v>
      </c>
      <c r="E936" t="s">
        <v>218</v>
      </c>
      <c r="F936" t="s">
        <v>1754</v>
      </c>
      <c r="G936" t="str">
        <f>"201511037488"</f>
        <v>201511037488</v>
      </c>
      <c r="H936">
        <v>1045</v>
      </c>
      <c r="I936">
        <v>0</v>
      </c>
      <c r="J936">
        <v>30</v>
      </c>
      <c r="K936">
        <v>0</v>
      </c>
      <c r="L936">
        <v>0</v>
      </c>
      <c r="M936">
        <v>0</v>
      </c>
      <c r="N936">
        <v>0</v>
      </c>
      <c r="O936">
        <v>0</v>
      </c>
      <c r="P936">
        <v>0</v>
      </c>
      <c r="Q936">
        <v>0</v>
      </c>
      <c r="R936">
        <v>11</v>
      </c>
      <c r="S936">
        <v>77</v>
      </c>
      <c r="V936">
        <v>0</v>
      </c>
      <c r="W936">
        <v>1152</v>
      </c>
    </row>
    <row r="937" spans="1:23" x14ac:dyDescent="0.25">
      <c r="H937" t="s">
        <v>1755</v>
      </c>
    </row>
    <row r="938" spans="1:23" x14ac:dyDescent="0.25">
      <c r="A938">
        <v>466</v>
      </c>
      <c r="B938">
        <v>8713</v>
      </c>
      <c r="C938" t="s">
        <v>1756</v>
      </c>
      <c r="D938" t="s">
        <v>141</v>
      </c>
      <c r="E938" t="s">
        <v>1376</v>
      </c>
      <c r="F938" t="s">
        <v>1757</v>
      </c>
      <c r="G938" t="str">
        <f>"201511038978"</f>
        <v>201511038978</v>
      </c>
      <c r="H938">
        <v>990</v>
      </c>
      <c r="I938">
        <v>0</v>
      </c>
      <c r="J938">
        <v>0</v>
      </c>
      <c r="K938">
        <v>0</v>
      </c>
      <c r="L938">
        <v>0</v>
      </c>
      <c r="M938">
        <v>0</v>
      </c>
      <c r="N938">
        <v>0</v>
      </c>
      <c r="O938">
        <v>0</v>
      </c>
      <c r="P938">
        <v>0</v>
      </c>
      <c r="Q938">
        <v>0</v>
      </c>
      <c r="R938">
        <v>23</v>
      </c>
      <c r="S938">
        <v>161</v>
      </c>
      <c r="V938">
        <v>0</v>
      </c>
      <c r="W938">
        <v>1151</v>
      </c>
    </row>
    <row r="939" spans="1:23" x14ac:dyDescent="0.25">
      <c r="H939">
        <v>933</v>
      </c>
    </row>
    <row r="940" spans="1:23" x14ac:dyDescent="0.25">
      <c r="A940">
        <v>467</v>
      </c>
      <c r="B940">
        <v>3686</v>
      </c>
      <c r="C940" t="s">
        <v>1758</v>
      </c>
      <c r="D940" t="s">
        <v>1759</v>
      </c>
      <c r="E940" t="s">
        <v>1641</v>
      </c>
      <c r="F940" t="s">
        <v>1760</v>
      </c>
      <c r="G940" t="str">
        <f>"201511012296"</f>
        <v>201511012296</v>
      </c>
      <c r="H940" t="s">
        <v>77</v>
      </c>
      <c r="I940">
        <v>0</v>
      </c>
      <c r="J940">
        <v>0</v>
      </c>
      <c r="K940">
        <v>0</v>
      </c>
      <c r="L940">
        <v>0</v>
      </c>
      <c r="M940">
        <v>0</v>
      </c>
      <c r="N940">
        <v>0</v>
      </c>
      <c r="O940">
        <v>0</v>
      </c>
      <c r="P940">
        <v>0</v>
      </c>
      <c r="Q940">
        <v>0</v>
      </c>
      <c r="R940">
        <v>8</v>
      </c>
      <c r="S940">
        <v>56</v>
      </c>
      <c r="V940">
        <v>0</v>
      </c>
      <c r="W940" t="s">
        <v>1761</v>
      </c>
    </row>
    <row r="941" spans="1:23" x14ac:dyDescent="0.25">
      <c r="H941" t="s">
        <v>1762</v>
      </c>
    </row>
    <row r="942" spans="1:23" x14ac:dyDescent="0.25">
      <c r="A942">
        <v>468</v>
      </c>
      <c r="B942">
        <v>1161</v>
      </c>
      <c r="C942" t="s">
        <v>1763</v>
      </c>
      <c r="D942" t="s">
        <v>1067</v>
      </c>
      <c r="E942" t="s">
        <v>1391</v>
      </c>
      <c r="F942" t="s">
        <v>1764</v>
      </c>
      <c r="G942" t="str">
        <f>"201511007594"</f>
        <v>201511007594</v>
      </c>
      <c r="H942">
        <v>825</v>
      </c>
      <c r="I942">
        <v>0</v>
      </c>
      <c r="J942">
        <v>0</v>
      </c>
      <c r="K942">
        <v>0</v>
      </c>
      <c r="L942">
        <v>30</v>
      </c>
      <c r="M942">
        <v>0</v>
      </c>
      <c r="N942">
        <v>0</v>
      </c>
      <c r="O942">
        <v>0</v>
      </c>
      <c r="P942">
        <v>0</v>
      </c>
      <c r="Q942">
        <v>0</v>
      </c>
      <c r="R942">
        <v>42</v>
      </c>
      <c r="S942">
        <v>294</v>
      </c>
      <c r="T942">
        <v>6</v>
      </c>
      <c r="U942" t="s">
        <v>731</v>
      </c>
      <c r="V942">
        <v>0</v>
      </c>
      <c r="W942">
        <v>1149</v>
      </c>
    </row>
    <row r="943" spans="1:23" x14ac:dyDescent="0.25">
      <c r="H943" t="s">
        <v>1765</v>
      </c>
    </row>
    <row r="944" spans="1:23" x14ac:dyDescent="0.25">
      <c r="A944">
        <v>469</v>
      </c>
      <c r="B944">
        <v>1161</v>
      </c>
      <c r="C944" t="s">
        <v>1763</v>
      </c>
      <c r="D944" t="s">
        <v>1067</v>
      </c>
      <c r="E944" t="s">
        <v>1391</v>
      </c>
      <c r="F944" t="s">
        <v>1764</v>
      </c>
      <c r="G944" t="str">
        <f>"201511007594"</f>
        <v>201511007594</v>
      </c>
      <c r="H944">
        <v>825</v>
      </c>
      <c r="I944">
        <v>0</v>
      </c>
      <c r="J944">
        <v>0</v>
      </c>
      <c r="K944">
        <v>0</v>
      </c>
      <c r="L944">
        <v>30</v>
      </c>
      <c r="M944">
        <v>0</v>
      </c>
      <c r="N944">
        <v>0</v>
      </c>
      <c r="O944">
        <v>0</v>
      </c>
      <c r="P944">
        <v>0</v>
      </c>
      <c r="Q944">
        <v>0</v>
      </c>
      <c r="R944">
        <v>42</v>
      </c>
      <c r="S944">
        <v>294</v>
      </c>
      <c r="V944">
        <v>0</v>
      </c>
      <c r="W944">
        <v>1149</v>
      </c>
    </row>
    <row r="945" spans="1:23" x14ac:dyDescent="0.25">
      <c r="H945" t="s">
        <v>1765</v>
      </c>
    </row>
    <row r="946" spans="1:23" x14ac:dyDescent="0.25">
      <c r="A946">
        <v>470</v>
      </c>
      <c r="B946">
        <v>3145</v>
      </c>
      <c r="C946" t="s">
        <v>1766</v>
      </c>
      <c r="D946" t="s">
        <v>1767</v>
      </c>
      <c r="E946" t="s">
        <v>218</v>
      </c>
      <c r="F946" t="s">
        <v>1768</v>
      </c>
      <c r="G946" t="str">
        <f>"201512000807"</f>
        <v>201512000807</v>
      </c>
      <c r="H946" t="s">
        <v>382</v>
      </c>
      <c r="I946">
        <v>150</v>
      </c>
      <c r="J946">
        <v>0</v>
      </c>
      <c r="K946">
        <v>0</v>
      </c>
      <c r="L946">
        <v>0</v>
      </c>
      <c r="M946">
        <v>0</v>
      </c>
      <c r="N946">
        <v>0</v>
      </c>
      <c r="O946">
        <v>0</v>
      </c>
      <c r="P946">
        <v>0</v>
      </c>
      <c r="Q946">
        <v>0</v>
      </c>
      <c r="R946">
        <v>0</v>
      </c>
      <c r="S946">
        <v>0</v>
      </c>
      <c r="V946">
        <v>0</v>
      </c>
      <c r="W946" t="s">
        <v>1769</v>
      </c>
    </row>
    <row r="947" spans="1:23" x14ac:dyDescent="0.25">
      <c r="H947" t="s">
        <v>1770</v>
      </c>
    </row>
    <row r="948" spans="1:23" x14ac:dyDescent="0.25">
      <c r="A948">
        <v>471</v>
      </c>
      <c r="B948">
        <v>1113</v>
      </c>
      <c r="C948" t="s">
        <v>1771</v>
      </c>
      <c r="D948" t="s">
        <v>1772</v>
      </c>
      <c r="E948" t="s">
        <v>1773</v>
      </c>
      <c r="F948" t="s">
        <v>1774</v>
      </c>
      <c r="G948" t="str">
        <f>"201511030124"</f>
        <v>201511030124</v>
      </c>
      <c r="H948" t="s">
        <v>730</v>
      </c>
      <c r="I948">
        <v>0</v>
      </c>
      <c r="J948">
        <v>0</v>
      </c>
      <c r="K948">
        <v>0</v>
      </c>
      <c r="L948">
        <v>0</v>
      </c>
      <c r="M948">
        <v>0</v>
      </c>
      <c r="N948">
        <v>0</v>
      </c>
      <c r="O948">
        <v>0</v>
      </c>
      <c r="P948">
        <v>0</v>
      </c>
      <c r="Q948">
        <v>0</v>
      </c>
      <c r="R948">
        <v>34</v>
      </c>
      <c r="S948">
        <v>238</v>
      </c>
      <c r="V948">
        <v>0</v>
      </c>
      <c r="W948" t="s">
        <v>1775</v>
      </c>
    </row>
    <row r="949" spans="1:23" x14ac:dyDescent="0.25">
      <c r="H949" t="s">
        <v>1776</v>
      </c>
    </row>
    <row r="950" spans="1:23" x14ac:dyDescent="0.25">
      <c r="A950">
        <v>472</v>
      </c>
      <c r="B950">
        <v>8138</v>
      </c>
      <c r="C950" t="s">
        <v>1777</v>
      </c>
      <c r="D950" t="s">
        <v>218</v>
      </c>
      <c r="E950" t="s">
        <v>26</v>
      </c>
      <c r="F950" t="s">
        <v>1778</v>
      </c>
      <c r="G950" t="str">
        <f>"00028897"</f>
        <v>00028897</v>
      </c>
      <c r="H950" t="s">
        <v>1779</v>
      </c>
      <c r="I950">
        <v>0</v>
      </c>
      <c r="J950">
        <v>0</v>
      </c>
      <c r="K950">
        <v>0</v>
      </c>
      <c r="L950">
        <v>0</v>
      </c>
      <c r="M950">
        <v>0</v>
      </c>
      <c r="N950">
        <v>0</v>
      </c>
      <c r="O950">
        <v>0</v>
      </c>
      <c r="P950">
        <v>0</v>
      </c>
      <c r="Q950">
        <v>0</v>
      </c>
      <c r="R950">
        <v>32</v>
      </c>
      <c r="S950">
        <v>224</v>
      </c>
      <c r="V950">
        <v>0</v>
      </c>
      <c r="W950" t="s">
        <v>1780</v>
      </c>
    </row>
    <row r="951" spans="1:23" x14ac:dyDescent="0.25">
      <c r="H951" t="s">
        <v>1781</v>
      </c>
    </row>
    <row r="952" spans="1:23" x14ac:dyDescent="0.25">
      <c r="A952">
        <v>473</v>
      </c>
      <c r="B952">
        <v>9430</v>
      </c>
      <c r="C952" t="s">
        <v>1782</v>
      </c>
      <c r="D952" t="s">
        <v>121</v>
      </c>
      <c r="E952" t="s">
        <v>26</v>
      </c>
      <c r="F952" t="s">
        <v>1783</v>
      </c>
      <c r="G952" t="str">
        <f>"201604003197"</f>
        <v>201604003197</v>
      </c>
      <c r="H952">
        <v>935</v>
      </c>
      <c r="I952">
        <v>150</v>
      </c>
      <c r="J952">
        <v>0</v>
      </c>
      <c r="K952">
        <v>0</v>
      </c>
      <c r="L952">
        <v>0</v>
      </c>
      <c r="M952">
        <v>0</v>
      </c>
      <c r="N952">
        <v>0</v>
      </c>
      <c r="O952">
        <v>0</v>
      </c>
      <c r="P952">
        <v>0</v>
      </c>
      <c r="Q952">
        <v>0</v>
      </c>
      <c r="R952">
        <v>8</v>
      </c>
      <c r="S952">
        <v>56</v>
      </c>
      <c r="V952">
        <v>0</v>
      </c>
      <c r="W952">
        <v>1141</v>
      </c>
    </row>
    <row r="953" spans="1:23" x14ac:dyDescent="0.25">
      <c r="H953" t="s">
        <v>1784</v>
      </c>
    </row>
    <row r="954" spans="1:23" x14ac:dyDescent="0.25">
      <c r="A954">
        <v>474</v>
      </c>
      <c r="B954">
        <v>9578</v>
      </c>
      <c r="C954" t="s">
        <v>1785</v>
      </c>
      <c r="D954" t="s">
        <v>269</v>
      </c>
      <c r="E954" t="s">
        <v>42</v>
      </c>
      <c r="F954">
        <v>333082</v>
      </c>
      <c r="G954" t="str">
        <f>"00040758"</f>
        <v>00040758</v>
      </c>
      <c r="H954" t="s">
        <v>471</v>
      </c>
      <c r="I954">
        <v>0</v>
      </c>
      <c r="J954">
        <v>50</v>
      </c>
      <c r="K954">
        <v>0</v>
      </c>
      <c r="L954">
        <v>0</v>
      </c>
      <c r="M954">
        <v>0</v>
      </c>
      <c r="N954">
        <v>0</v>
      </c>
      <c r="O954">
        <v>0</v>
      </c>
      <c r="P954">
        <v>0</v>
      </c>
      <c r="Q954">
        <v>0</v>
      </c>
      <c r="R954">
        <v>0</v>
      </c>
      <c r="S954">
        <v>0</v>
      </c>
      <c r="V954">
        <v>0</v>
      </c>
      <c r="W954" t="s">
        <v>1786</v>
      </c>
    </row>
    <row r="955" spans="1:23" x14ac:dyDescent="0.25">
      <c r="H955" t="s">
        <v>1787</v>
      </c>
    </row>
    <row r="956" spans="1:23" x14ac:dyDescent="0.25">
      <c r="A956">
        <v>475</v>
      </c>
      <c r="B956">
        <v>9578</v>
      </c>
      <c r="C956" t="s">
        <v>1785</v>
      </c>
      <c r="D956" t="s">
        <v>269</v>
      </c>
      <c r="E956" t="s">
        <v>42</v>
      </c>
      <c r="F956">
        <v>333082</v>
      </c>
      <c r="G956" t="str">
        <f>"00040758"</f>
        <v>00040758</v>
      </c>
      <c r="H956" t="s">
        <v>471</v>
      </c>
      <c r="I956">
        <v>0</v>
      </c>
      <c r="J956">
        <v>50</v>
      </c>
      <c r="K956">
        <v>0</v>
      </c>
      <c r="L956">
        <v>0</v>
      </c>
      <c r="M956">
        <v>0</v>
      </c>
      <c r="N956">
        <v>0</v>
      </c>
      <c r="O956">
        <v>0</v>
      </c>
      <c r="P956">
        <v>0</v>
      </c>
      <c r="Q956">
        <v>0</v>
      </c>
      <c r="R956">
        <v>0</v>
      </c>
      <c r="S956">
        <v>0</v>
      </c>
      <c r="T956">
        <v>6</v>
      </c>
      <c r="U956">
        <v>915</v>
      </c>
      <c r="V956">
        <v>0</v>
      </c>
      <c r="W956" t="s">
        <v>1786</v>
      </c>
    </row>
    <row r="957" spans="1:23" x14ac:dyDescent="0.25">
      <c r="H957" t="s">
        <v>1787</v>
      </c>
    </row>
    <row r="958" spans="1:23" x14ac:dyDescent="0.25">
      <c r="A958">
        <v>476</v>
      </c>
      <c r="B958">
        <v>10107</v>
      </c>
      <c r="C958" t="s">
        <v>1788</v>
      </c>
      <c r="D958" t="s">
        <v>1789</v>
      </c>
      <c r="E958" t="s">
        <v>1790</v>
      </c>
      <c r="F958">
        <v>8949247</v>
      </c>
      <c r="G958" t="str">
        <f>"00047421"</f>
        <v>00047421</v>
      </c>
      <c r="H958">
        <v>990</v>
      </c>
      <c r="I958">
        <v>150</v>
      </c>
      <c r="J958">
        <v>0</v>
      </c>
      <c r="K958">
        <v>0</v>
      </c>
      <c r="L958">
        <v>0</v>
      </c>
      <c r="M958">
        <v>0</v>
      </c>
      <c r="N958">
        <v>0</v>
      </c>
      <c r="O958">
        <v>0</v>
      </c>
      <c r="P958">
        <v>0</v>
      </c>
      <c r="Q958">
        <v>0</v>
      </c>
      <c r="R958">
        <v>0</v>
      </c>
      <c r="S958">
        <v>0</v>
      </c>
      <c r="V958">
        <v>0</v>
      </c>
      <c r="W958">
        <v>1140</v>
      </c>
    </row>
    <row r="959" spans="1:23" x14ac:dyDescent="0.25">
      <c r="H959" t="s">
        <v>1791</v>
      </c>
    </row>
    <row r="960" spans="1:23" x14ac:dyDescent="0.25">
      <c r="A960">
        <v>477</v>
      </c>
      <c r="B960">
        <v>4891</v>
      </c>
      <c r="C960" t="s">
        <v>1792</v>
      </c>
      <c r="D960" t="s">
        <v>15</v>
      </c>
      <c r="E960" t="s">
        <v>53</v>
      </c>
      <c r="F960" t="s">
        <v>1793</v>
      </c>
      <c r="G960" t="str">
        <f>"201511032803"</f>
        <v>201511032803</v>
      </c>
      <c r="H960">
        <v>935</v>
      </c>
      <c r="I960">
        <v>0</v>
      </c>
      <c r="J960">
        <v>30</v>
      </c>
      <c r="K960">
        <v>0</v>
      </c>
      <c r="L960">
        <v>0</v>
      </c>
      <c r="M960">
        <v>0</v>
      </c>
      <c r="N960">
        <v>0</v>
      </c>
      <c r="O960">
        <v>0</v>
      </c>
      <c r="P960">
        <v>0</v>
      </c>
      <c r="Q960">
        <v>0</v>
      </c>
      <c r="R960">
        <v>25</v>
      </c>
      <c r="S960">
        <v>175</v>
      </c>
      <c r="V960">
        <v>0</v>
      </c>
      <c r="W960">
        <v>1140</v>
      </c>
    </row>
    <row r="961" spans="1:23" x14ac:dyDescent="0.25">
      <c r="H961" t="s">
        <v>1794</v>
      </c>
    </row>
    <row r="962" spans="1:23" x14ac:dyDescent="0.25">
      <c r="A962">
        <v>478</v>
      </c>
      <c r="B962">
        <v>10540</v>
      </c>
      <c r="C962" t="s">
        <v>1795</v>
      </c>
      <c r="D962" t="s">
        <v>385</v>
      </c>
      <c r="E962" t="s">
        <v>721</v>
      </c>
      <c r="F962" t="s">
        <v>1796</v>
      </c>
      <c r="G962" t="str">
        <f>"00049975"</f>
        <v>00049975</v>
      </c>
      <c r="H962">
        <v>550</v>
      </c>
      <c r="I962">
        <v>0</v>
      </c>
      <c r="J962">
        <v>0</v>
      </c>
      <c r="K962">
        <v>0</v>
      </c>
      <c r="L962">
        <v>0</v>
      </c>
      <c r="M962">
        <v>0</v>
      </c>
      <c r="N962">
        <v>0</v>
      </c>
      <c r="O962">
        <v>0</v>
      </c>
      <c r="P962">
        <v>0</v>
      </c>
      <c r="Q962">
        <v>0</v>
      </c>
      <c r="R962">
        <v>211</v>
      </c>
      <c r="S962">
        <v>588</v>
      </c>
      <c r="V962">
        <v>0</v>
      </c>
      <c r="W962">
        <v>1138</v>
      </c>
    </row>
    <row r="963" spans="1:23" x14ac:dyDescent="0.25">
      <c r="H963" t="s">
        <v>1797</v>
      </c>
    </row>
    <row r="964" spans="1:23" x14ac:dyDescent="0.25">
      <c r="A964">
        <v>479</v>
      </c>
      <c r="B964">
        <v>9176</v>
      </c>
      <c r="C964" t="s">
        <v>1798</v>
      </c>
      <c r="D964" t="s">
        <v>145</v>
      </c>
      <c r="E964" t="s">
        <v>1799</v>
      </c>
      <c r="F964" t="s">
        <v>1800</v>
      </c>
      <c r="G964" t="str">
        <f>"00046846"</f>
        <v>00046846</v>
      </c>
      <c r="H964">
        <v>550</v>
      </c>
      <c r="I964">
        <v>0</v>
      </c>
      <c r="J964">
        <v>0</v>
      </c>
      <c r="K964">
        <v>0</v>
      </c>
      <c r="L964">
        <v>0</v>
      </c>
      <c r="M964">
        <v>0</v>
      </c>
      <c r="N964">
        <v>0</v>
      </c>
      <c r="O964">
        <v>0</v>
      </c>
      <c r="P964">
        <v>0</v>
      </c>
      <c r="Q964">
        <v>0</v>
      </c>
      <c r="R964">
        <v>172</v>
      </c>
      <c r="S964">
        <v>588</v>
      </c>
      <c r="V964">
        <v>1</v>
      </c>
      <c r="W964">
        <v>1138</v>
      </c>
    </row>
    <row r="965" spans="1:23" x14ac:dyDescent="0.25">
      <c r="H965" t="s">
        <v>1801</v>
      </c>
    </row>
    <row r="966" spans="1:23" x14ac:dyDescent="0.25">
      <c r="A966">
        <v>480</v>
      </c>
      <c r="B966">
        <v>5376</v>
      </c>
      <c r="C966" t="s">
        <v>912</v>
      </c>
      <c r="D966" t="s">
        <v>1802</v>
      </c>
      <c r="E966" t="s">
        <v>87</v>
      </c>
      <c r="F966" t="s">
        <v>1803</v>
      </c>
      <c r="G966" t="str">
        <f>"00043101"</f>
        <v>00043101</v>
      </c>
      <c r="H966">
        <v>550</v>
      </c>
      <c r="I966">
        <v>0</v>
      </c>
      <c r="J966">
        <v>0</v>
      </c>
      <c r="K966">
        <v>0</v>
      </c>
      <c r="L966">
        <v>0</v>
      </c>
      <c r="M966">
        <v>0</v>
      </c>
      <c r="N966">
        <v>0</v>
      </c>
      <c r="O966">
        <v>0</v>
      </c>
      <c r="P966">
        <v>0</v>
      </c>
      <c r="Q966">
        <v>0</v>
      </c>
      <c r="R966">
        <v>168</v>
      </c>
      <c r="S966">
        <v>588</v>
      </c>
      <c r="V966">
        <v>2</v>
      </c>
      <c r="W966">
        <v>1138</v>
      </c>
    </row>
    <row r="967" spans="1:23" x14ac:dyDescent="0.25">
      <c r="H967" t="s">
        <v>1804</v>
      </c>
    </row>
    <row r="968" spans="1:23" x14ac:dyDescent="0.25">
      <c r="A968">
        <v>481</v>
      </c>
      <c r="B968">
        <v>4233</v>
      </c>
      <c r="C968" t="s">
        <v>1805</v>
      </c>
      <c r="D968" t="s">
        <v>475</v>
      </c>
      <c r="E968" t="s">
        <v>830</v>
      </c>
      <c r="F968" t="s">
        <v>1806</v>
      </c>
      <c r="G968" t="str">
        <f>"00036464"</f>
        <v>00036464</v>
      </c>
      <c r="H968">
        <v>550</v>
      </c>
      <c r="I968">
        <v>0</v>
      </c>
      <c r="J968">
        <v>0</v>
      </c>
      <c r="K968">
        <v>0</v>
      </c>
      <c r="L968">
        <v>0</v>
      </c>
      <c r="M968">
        <v>0</v>
      </c>
      <c r="N968">
        <v>0</v>
      </c>
      <c r="O968">
        <v>0</v>
      </c>
      <c r="P968">
        <v>0</v>
      </c>
      <c r="Q968">
        <v>0</v>
      </c>
      <c r="R968">
        <v>116</v>
      </c>
      <c r="S968">
        <v>588</v>
      </c>
      <c r="V968">
        <v>0</v>
      </c>
      <c r="W968">
        <v>1138</v>
      </c>
    </row>
    <row r="969" spans="1:23" x14ac:dyDescent="0.25">
      <c r="H969" t="s">
        <v>216</v>
      </c>
    </row>
    <row r="970" spans="1:23" x14ac:dyDescent="0.25">
      <c r="A970">
        <v>482</v>
      </c>
      <c r="B970">
        <v>6401</v>
      </c>
      <c r="C970" t="s">
        <v>1325</v>
      </c>
      <c r="D970" t="s">
        <v>32</v>
      </c>
      <c r="E970" t="s">
        <v>53</v>
      </c>
      <c r="F970" t="s">
        <v>1807</v>
      </c>
      <c r="G970" t="str">
        <f>"00091027"</f>
        <v>00091027</v>
      </c>
      <c r="H970">
        <v>550</v>
      </c>
      <c r="I970">
        <v>0</v>
      </c>
      <c r="J970">
        <v>0</v>
      </c>
      <c r="K970">
        <v>0</v>
      </c>
      <c r="L970">
        <v>0</v>
      </c>
      <c r="M970">
        <v>0</v>
      </c>
      <c r="N970">
        <v>0</v>
      </c>
      <c r="O970">
        <v>0</v>
      </c>
      <c r="P970">
        <v>0</v>
      </c>
      <c r="Q970">
        <v>0</v>
      </c>
      <c r="R970">
        <v>86</v>
      </c>
      <c r="S970">
        <v>588</v>
      </c>
      <c r="V970">
        <v>0</v>
      </c>
      <c r="W970">
        <v>1138</v>
      </c>
    </row>
    <row r="971" spans="1:23" x14ac:dyDescent="0.25">
      <c r="H971" t="s">
        <v>1808</v>
      </c>
    </row>
    <row r="972" spans="1:23" x14ac:dyDescent="0.25">
      <c r="A972">
        <v>483</v>
      </c>
      <c r="B972">
        <v>8682</v>
      </c>
      <c r="C972" t="s">
        <v>976</v>
      </c>
      <c r="D972" t="s">
        <v>1391</v>
      </c>
      <c r="E972" t="s">
        <v>877</v>
      </c>
      <c r="F972" t="s">
        <v>1809</v>
      </c>
      <c r="G972" t="str">
        <f>"00070427"</f>
        <v>00070427</v>
      </c>
      <c r="H972">
        <v>550</v>
      </c>
      <c r="I972">
        <v>0</v>
      </c>
      <c r="J972">
        <v>0</v>
      </c>
      <c r="K972">
        <v>0</v>
      </c>
      <c r="L972">
        <v>0</v>
      </c>
      <c r="M972">
        <v>0</v>
      </c>
      <c r="N972">
        <v>0</v>
      </c>
      <c r="O972">
        <v>0</v>
      </c>
      <c r="P972">
        <v>0</v>
      </c>
      <c r="Q972">
        <v>0</v>
      </c>
      <c r="R972">
        <v>172</v>
      </c>
      <c r="S972">
        <v>588</v>
      </c>
      <c r="V972">
        <v>0</v>
      </c>
      <c r="W972">
        <v>1138</v>
      </c>
    </row>
    <row r="973" spans="1:23" x14ac:dyDescent="0.25">
      <c r="H973" t="s">
        <v>1810</v>
      </c>
    </row>
    <row r="974" spans="1:23" x14ac:dyDescent="0.25">
      <c r="A974">
        <v>484</v>
      </c>
      <c r="B974">
        <v>1964</v>
      </c>
      <c r="C974" t="s">
        <v>1811</v>
      </c>
      <c r="D974" t="s">
        <v>31</v>
      </c>
      <c r="E974" t="s">
        <v>42</v>
      </c>
      <c r="F974" t="s">
        <v>1812</v>
      </c>
      <c r="G974" t="str">
        <f>"201511013561"</f>
        <v>201511013561</v>
      </c>
      <c r="H974" t="s">
        <v>375</v>
      </c>
      <c r="I974">
        <v>0</v>
      </c>
      <c r="J974">
        <v>0</v>
      </c>
      <c r="K974">
        <v>0</v>
      </c>
      <c r="L974">
        <v>0</v>
      </c>
      <c r="M974">
        <v>0</v>
      </c>
      <c r="N974">
        <v>0</v>
      </c>
      <c r="O974">
        <v>0</v>
      </c>
      <c r="P974">
        <v>0</v>
      </c>
      <c r="Q974">
        <v>0</v>
      </c>
      <c r="R974">
        <v>19</v>
      </c>
      <c r="S974">
        <v>133</v>
      </c>
      <c r="V974">
        <v>0</v>
      </c>
      <c r="W974" t="s">
        <v>1813</v>
      </c>
    </row>
    <row r="975" spans="1:23" x14ac:dyDescent="0.25">
      <c r="H975" t="s">
        <v>1814</v>
      </c>
    </row>
    <row r="976" spans="1:23" x14ac:dyDescent="0.25">
      <c r="A976">
        <v>485</v>
      </c>
      <c r="B976">
        <v>2948</v>
      </c>
      <c r="C976" t="s">
        <v>1815</v>
      </c>
      <c r="D976" t="s">
        <v>31</v>
      </c>
      <c r="E976" t="s">
        <v>21</v>
      </c>
      <c r="F976" t="s">
        <v>1816</v>
      </c>
      <c r="G976" t="str">
        <f>"201511007231"</f>
        <v>201511007231</v>
      </c>
      <c r="H976" t="s">
        <v>186</v>
      </c>
      <c r="I976">
        <v>0</v>
      </c>
      <c r="J976">
        <v>0</v>
      </c>
      <c r="K976">
        <v>0</v>
      </c>
      <c r="L976">
        <v>0</v>
      </c>
      <c r="M976">
        <v>0</v>
      </c>
      <c r="N976">
        <v>0</v>
      </c>
      <c r="O976">
        <v>0</v>
      </c>
      <c r="P976">
        <v>0</v>
      </c>
      <c r="Q976">
        <v>0</v>
      </c>
      <c r="R976">
        <v>11</v>
      </c>
      <c r="S976">
        <v>77</v>
      </c>
      <c r="V976">
        <v>0</v>
      </c>
      <c r="W976" t="s">
        <v>1817</v>
      </c>
    </row>
    <row r="977" spans="1:23" x14ac:dyDescent="0.25">
      <c r="H977" t="s">
        <v>1818</v>
      </c>
    </row>
    <row r="978" spans="1:23" x14ac:dyDescent="0.25">
      <c r="A978">
        <v>486</v>
      </c>
      <c r="B978">
        <v>4055</v>
      </c>
      <c r="C978" t="s">
        <v>1819</v>
      </c>
      <c r="D978" t="s">
        <v>1820</v>
      </c>
      <c r="E978" t="s">
        <v>83</v>
      </c>
      <c r="F978" t="s">
        <v>1821</v>
      </c>
      <c r="G978" t="str">
        <f>"00022440"</f>
        <v>00022440</v>
      </c>
      <c r="H978">
        <v>1100</v>
      </c>
      <c r="I978">
        <v>0</v>
      </c>
      <c r="J978">
        <v>30</v>
      </c>
      <c r="K978">
        <v>0</v>
      </c>
      <c r="L978">
        <v>0</v>
      </c>
      <c r="M978">
        <v>0</v>
      </c>
      <c r="N978">
        <v>0</v>
      </c>
      <c r="O978">
        <v>0</v>
      </c>
      <c r="P978">
        <v>0</v>
      </c>
      <c r="Q978">
        <v>0</v>
      </c>
      <c r="R978">
        <v>0</v>
      </c>
      <c r="S978">
        <v>0</v>
      </c>
      <c r="V978">
        <v>2</v>
      </c>
      <c r="W978">
        <v>1130</v>
      </c>
    </row>
    <row r="979" spans="1:23" x14ac:dyDescent="0.25">
      <c r="H979" t="s">
        <v>1822</v>
      </c>
    </row>
    <row r="980" spans="1:23" x14ac:dyDescent="0.25">
      <c r="A980">
        <v>487</v>
      </c>
      <c r="B980">
        <v>5070</v>
      </c>
      <c r="C980" t="s">
        <v>1823</v>
      </c>
      <c r="D980" t="s">
        <v>1824</v>
      </c>
      <c r="E980" t="s">
        <v>53</v>
      </c>
      <c r="F980" t="s">
        <v>1825</v>
      </c>
      <c r="G980" t="str">
        <f>"00023302"</f>
        <v>00023302</v>
      </c>
      <c r="H980">
        <v>770</v>
      </c>
      <c r="I980">
        <v>0</v>
      </c>
      <c r="J980">
        <v>30</v>
      </c>
      <c r="K980">
        <v>0</v>
      </c>
      <c r="L980">
        <v>0</v>
      </c>
      <c r="M980">
        <v>0</v>
      </c>
      <c r="N980">
        <v>0</v>
      </c>
      <c r="O980">
        <v>0</v>
      </c>
      <c r="P980">
        <v>0</v>
      </c>
      <c r="Q980">
        <v>0</v>
      </c>
      <c r="R980">
        <v>47</v>
      </c>
      <c r="S980">
        <v>329</v>
      </c>
      <c r="V980">
        <v>0</v>
      </c>
      <c r="W980">
        <v>1129</v>
      </c>
    </row>
    <row r="981" spans="1:23" x14ac:dyDescent="0.25">
      <c r="H981" t="s">
        <v>1826</v>
      </c>
    </row>
    <row r="982" spans="1:23" x14ac:dyDescent="0.25">
      <c r="A982">
        <v>488</v>
      </c>
      <c r="B982">
        <v>7054</v>
      </c>
      <c r="C982" t="s">
        <v>1827</v>
      </c>
      <c r="D982" t="s">
        <v>140</v>
      </c>
      <c r="E982" t="s">
        <v>87</v>
      </c>
      <c r="F982" t="s">
        <v>1828</v>
      </c>
      <c r="G982" t="str">
        <f>"201402008946"</f>
        <v>201402008946</v>
      </c>
      <c r="H982" t="s">
        <v>77</v>
      </c>
      <c r="I982">
        <v>0</v>
      </c>
      <c r="J982">
        <v>30</v>
      </c>
      <c r="K982">
        <v>0</v>
      </c>
      <c r="L982">
        <v>0</v>
      </c>
      <c r="M982">
        <v>0</v>
      </c>
      <c r="N982">
        <v>0</v>
      </c>
      <c r="O982">
        <v>0</v>
      </c>
      <c r="P982">
        <v>0</v>
      </c>
      <c r="Q982">
        <v>0</v>
      </c>
      <c r="R982">
        <v>0</v>
      </c>
      <c r="S982">
        <v>0</v>
      </c>
      <c r="V982">
        <v>0</v>
      </c>
      <c r="W982" t="s">
        <v>1829</v>
      </c>
    </row>
    <row r="983" spans="1:23" x14ac:dyDescent="0.25">
      <c r="H983" t="s">
        <v>1830</v>
      </c>
    </row>
    <row r="984" spans="1:23" x14ac:dyDescent="0.25">
      <c r="A984">
        <v>489</v>
      </c>
      <c r="B984">
        <v>4263</v>
      </c>
      <c r="C984" t="s">
        <v>1831</v>
      </c>
      <c r="D984" t="s">
        <v>1832</v>
      </c>
      <c r="E984" t="s">
        <v>1833</v>
      </c>
      <c r="F984" t="s">
        <v>1834</v>
      </c>
      <c r="G984" t="str">
        <f>"00080482"</f>
        <v>00080482</v>
      </c>
      <c r="H984" t="s">
        <v>1835</v>
      </c>
      <c r="I984">
        <v>150</v>
      </c>
      <c r="J984">
        <v>0</v>
      </c>
      <c r="K984">
        <v>0</v>
      </c>
      <c r="L984">
        <v>0</v>
      </c>
      <c r="M984">
        <v>0</v>
      </c>
      <c r="N984">
        <v>0</v>
      </c>
      <c r="O984">
        <v>0</v>
      </c>
      <c r="P984">
        <v>0</v>
      </c>
      <c r="Q984">
        <v>0</v>
      </c>
      <c r="R984">
        <v>0</v>
      </c>
      <c r="S984">
        <v>0</v>
      </c>
      <c r="V984">
        <v>0</v>
      </c>
      <c r="W984" t="s">
        <v>1836</v>
      </c>
    </row>
    <row r="985" spans="1:23" x14ac:dyDescent="0.25">
      <c r="H985" t="s">
        <v>1837</v>
      </c>
    </row>
    <row r="986" spans="1:23" x14ac:dyDescent="0.25">
      <c r="A986">
        <v>490</v>
      </c>
      <c r="B986">
        <v>9241</v>
      </c>
      <c r="C986" t="s">
        <v>1838</v>
      </c>
      <c r="D986" t="s">
        <v>75</v>
      </c>
      <c r="E986" t="s">
        <v>42</v>
      </c>
      <c r="F986" t="s">
        <v>1839</v>
      </c>
      <c r="G986" t="str">
        <f>"00047451"</f>
        <v>00047451</v>
      </c>
      <c r="H986">
        <v>880</v>
      </c>
      <c r="I986">
        <v>150</v>
      </c>
      <c r="J986">
        <v>0</v>
      </c>
      <c r="K986">
        <v>0</v>
      </c>
      <c r="L986">
        <v>0</v>
      </c>
      <c r="M986">
        <v>0</v>
      </c>
      <c r="N986">
        <v>0</v>
      </c>
      <c r="O986">
        <v>0</v>
      </c>
      <c r="P986">
        <v>0</v>
      </c>
      <c r="Q986">
        <v>0</v>
      </c>
      <c r="R986">
        <v>13</v>
      </c>
      <c r="S986">
        <v>91</v>
      </c>
      <c r="V986">
        <v>0</v>
      </c>
      <c r="W986">
        <v>1121</v>
      </c>
    </row>
    <row r="987" spans="1:23" x14ac:dyDescent="0.25">
      <c r="H987" t="s">
        <v>1840</v>
      </c>
    </row>
    <row r="988" spans="1:23" x14ac:dyDescent="0.25">
      <c r="A988">
        <v>491</v>
      </c>
      <c r="B988">
        <v>4689</v>
      </c>
      <c r="C988" t="s">
        <v>1841</v>
      </c>
      <c r="D988" t="s">
        <v>53</v>
      </c>
      <c r="E988" t="s">
        <v>830</v>
      </c>
      <c r="F988" t="s">
        <v>1842</v>
      </c>
      <c r="G988" t="str">
        <f>"00004230"</f>
        <v>00004230</v>
      </c>
      <c r="H988" t="s">
        <v>1843</v>
      </c>
      <c r="I988">
        <v>0</v>
      </c>
      <c r="J988">
        <v>70</v>
      </c>
      <c r="K988">
        <v>0</v>
      </c>
      <c r="L988">
        <v>0</v>
      </c>
      <c r="M988">
        <v>0</v>
      </c>
      <c r="N988">
        <v>0</v>
      </c>
      <c r="O988">
        <v>0</v>
      </c>
      <c r="P988">
        <v>0</v>
      </c>
      <c r="Q988">
        <v>0</v>
      </c>
      <c r="R988">
        <v>0</v>
      </c>
      <c r="S988">
        <v>0</v>
      </c>
      <c r="V988">
        <v>0</v>
      </c>
      <c r="W988" t="s">
        <v>1844</v>
      </c>
    </row>
    <row r="989" spans="1:23" x14ac:dyDescent="0.25">
      <c r="H989" t="s">
        <v>1845</v>
      </c>
    </row>
    <row r="990" spans="1:23" x14ac:dyDescent="0.25">
      <c r="A990">
        <v>492</v>
      </c>
      <c r="B990">
        <v>7319</v>
      </c>
      <c r="C990" t="s">
        <v>1846</v>
      </c>
      <c r="D990" t="s">
        <v>31</v>
      </c>
      <c r="E990" t="s">
        <v>26</v>
      </c>
      <c r="F990" t="s">
        <v>1847</v>
      </c>
      <c r="G990" t="str">
        <f>"00069705"</f>
        <v>00069705</v>
      </c>
      <c r="H990">
        <v>1056</v>
      </c>
      <c r="I990">
        <v>0</v>
      </c>
      <c r="J990">
        <v>0</v>
      </c>
      <c r="K990">
        <v>0</v>
      </c>
      <c r="L990">
        <v>0</v>
      </c>
      <c r="M990">
        <v>0</v>
      </c>
      <c r="N990">
        <v>0</v>
      </c>
      <c r="O990">
        <v>0</v>
      </c>
      <c r="P990">
        <v>0</v>
      </c>
      <c r="Q990">
        <v>0</v>
      </c>
      <c r="R990">
        <v>9</v>
      </c>
      <c r="S990">
        <v>63</v>
      </c>
      <c r="T990">
        <v>6</v>
      </c>
      <c r="U990">
        <v>931</v>
      </c>
      <c r="V990">
        <v>0</v>
      </c>
      <c r="W990">
        <v>1119</v>
      </c>
    </row>
    <row r="991" spans="1:23" x14ac:dyDescent="0.25">
      <c r="H991">
        <v>931</v>
      </c>
    </row>
    <row r="992" spans="1:23" x14ac:dyDescent="0.25">
      <c r="A992">
        <v>493</v>
      </c>
      <c r="B992">
        <v>5176</v>
      </c>
      <c r="C992" t="s">
        <v>1848</v>
      </c>
      <c r="D992" t="s">
        <v>269</v>
      </c>
      <c r="E992" t="s">
        <v>389</v>
      </c>
      <c r="F992" t="s">
        <v>1849</v>
      </c>
      <c r="G992" t="str">
        <f>"00046533"</f>
        <v>00046533</v>
      </c>
      <c r="H992">
        <v>605</v>
      </c>
      <c r="I992">
        <v>0</v>
      </c>
      <c r="J992">
        <v>0</v>
      </c>
      <c r="K992">
        <v>0</v>
      </c>
      <c r="L992">
        <v>0</v>
      </c>
      <c r="M992">
        <v>0</v>
      </c>
      <c r="N992">
        <v>0</v>
      </c>
      <c r="O992">
        <v>0</v>
      </c>
      <c r="P992">
        <v>0</v>
      </c>
      <c r="Q992">
        <v>0</v>
      </c>
      <c r="R992">
        <v>73</v>
      </c>
      <c r="S992">
        <v>511</v>
      </c>
      <c r="V992">
        <v>0</v>
      </c>
      <c r="W992">
        <v>1116</v>
      </c>
    </row>
    <row r="993" spans="1:23" x14ac:dyDescent="0.25">
      <c r="H993" t="s">
        <v>216</v>
      </c>
    </row>
    <row r="994" spans="1:23" x14ac:dyDescent="0.25">
      <c r="A994">
        <v>494</v>
      </c>
      <c r="B994">
        <v>4728</v>
      </c>
      <c r="C994" t="s">
        <v>1850</v>
      </c>
      <c r="D994" t="s">
        <v>1851</v>
      </c>
      <c r="E994" t="s">
        <v>53</v>
      </c>
      <c r="F994" t="s">
        <v>1852</v>
      </c>
      <c r="G994" t="str">
        <f>"201511027470"</f>
        <v>201511027470</v>
      </c>
      <c r="H994">
        <v>891</v>
      </c>
      <c r="I994">
        <v>0</v>
      </c>
      <c r="J994">
        <v>0</v>
      </c>
      <c r="K994">
        <v>0</v>
      </c>
      <c r="L994">
        <v>0</v>
      </c>
      <c r="M994">
        <v>0</v>
      </c>
      <c r="N994">
        <v>0</v>
      </c>
      <c r="O994">
        <v>0</v>
      </c>
      <c r="P994">
        <v>0</v>
      </c>
      <c r="Q994">
        <v>0</v>
      </c>
      <c r="R994">
        <v>32</v>
      </c>
      <c r="S994">
        <v>224</v>
      </c>
      <c r="V994">
        <v>0</v>
      </c>
      <c r="W994">
        <v>1115</v>
      </c>
    </row>
    <row r="995" spans="1:23" x14ac:dyDescent="0.25">
      <c r="H995" t="s">
        <v>1853</v>
      </c>
    </row>
    <row r="996" spans="1:23" x14ac:dyDescent="0.25">
      <c r="A996">
        <v>495</v>
      </c>
      <c r="B996">
        <v>4728</v>
      </c>
      <c r="C996" t="s">
        <v>1850</v>
      </c>
      <c r="D996" t="s">
        <v>1851</v>
      </c>
      <c r="E996" t="s">
        <v>53</v>
      </c>
      <c r="F996" t="s">
        <v>1852</v>
      </c>
      <c r="G996" t="str">
        <f>"201511027470"</f>
        <v>201511027470</v>
      </c>
      <c r="H996">
        <v>891</v>
      </c>
      <c r="I996">
        <v>0</v>
      </c>
      <c r="J996">
        <v>0</v>
      </c>
      <c r="K996">
        <v>0</v>
      </c>
      <c r="L996">
        <v>0</v>
      </c>
      <c r="M996">
        <v>0</v>
      </c>
      <c r="N996">
        <v>0</v>
      </c>
      <c r="O996">
        <v>0</v>
      </c>
      <c r="P996">
        <v>0</v>
      </c>
      <c r="Q996">
        <v>0</v>
      </c>
      <c r="R996">
        <v>32</v>
      </c>
      <c r="S996">
        <v>224</v>
      </c>
      <c r="T996">
        <v>6</v>
      </c>
      <c r="U996">
        <v>932</v>
      </c>
      <c r="V996">
        <v>0</v>
      </c>
      <c r="W996">
        <v>1115</v>
      </c>
    </row>
    <row r="997" spans="1:23" x14ac:dyDescent="0.25">
      <c r="H997" t="s">
        <v>1853</v>
      </c>
    </row>
    <row r="998" spans="1:23" x14ac:dyDescent="0.25">
      <c r="A998">
        <v>496</v>
      </c>
      <c r="B998">
        <v>2974</v>
      </c>
      <c r="C998" t="s">
        <v>1854</v>
      </c>
      <c r="D998" t="s">
        <v>132</v>
      </c>
      <c r="E998" t="s">
        <v>53</v>
      </c>
      <c r="F998" t="s">
        <v>1855</v>
      </c>
      <c r="G998" t="str">
        <f>"201511026571"</f>
        <v>201511026571</v>
      </c>
      <c r="H998">
        <v>550</v>
      </c>
      <c r="I998">
        <v>150</v>
      </c>
      <c r="J998">
        <v>0</v>
      </c>
      <c r="K998">
        <v>0</v>
      </c>
      <c r="L998">
        <v>0</v>
      </c>
      <c r="M998">
        <v>0</v>
      </c>
      <c r="N998">
        <v>0</v>
      </c>
      <c r="O998">
        <v>0</v>
      </c>
      <c r="P998">
        <v>0</v>
      </c>
      <c r="Q998">
        <v>0</v>
      </c>
      <c r="R998">
        <v>59</v>
      </c>
      <c r="S998">
        <v>413</v>
      </c>
      <c r="V998">
        <v>0</v>
      </c>
      <c r="W998">
        <v>1113</v>
      </c>
    </row>
    <row r="999" spans="1:23" x14ac:dyDescent="0.25">
      <c r="H999" t="s">
        <v>1856</v>
      </c>
    </row>
    <row r="1000" spans="1:23" x14ac:dyDescent="0.25">
      <c r="A1000">
        <v>497</v>
      </c>
      <c r="B1000">
        <v>9208</v>
      </c>
      <c r="C1000" t="s">
        <v>1857</v>
      </c>
      <c r="D1000" t="s">
        <v>14</v>
      </c>
      <c r="E1000" t="s">
        <v>32</v>
      </c>
      <c r="F1000" t="s">
        <v>1858</v>
      </c>
      <c r="G1000" t="str">
        <f>"00098479"</f>
        <v>00098479</v>
      </c>
      <c r="H1000" t="s">
        <v>1453</v>
      </c>
      <c r="I1000">
        <v>0</v>
      </c>
      <c r="J1000">
        <v>0</v>
      </c>
      <c r="K1000">
        <v>0</v>
      </c>
      <c r="L1000">
        <v>0</v>
      </c>
      <c r="M1000">
        <v>0</v>
      </c>
      <c r="N1000">
        <v>0</v>
      </c>
      <c r="O1000">
        <v>0</v>
      </c>
      <c r="P1000">
        <v>0</v>
      </c>
      <c r="Q1000">
        <v>0</v>
      </c>
      <c r="R1000">
        <v>14</v>
      </c>
      <c r="S1000">
        <v>98</v>
      </c>
      <c r="T1000">
        <v>6</v>
      </c>
      <c r="U1000">
        <v>906</v>
      </c>
      <c r="V1000">
        <v>0</v>
      </c>
      <c r="W1000" t="s">
        <v>1859</v>
      </c>
    </row>
    <row r="1001" spans="1:23" x14ac:dyDescent="0.25">
      <c r="H1001">
        <v>906</v>
      </c>
    </row>
    <row r="1002" spans="1:23" x14ac:dyDescent="0.25">
      <c r="A1002">
        <v>498</v>
      </c>
      <c r="B1002">
        <v>2498</v>
      </c>
      <c r="C1002" t="s">
        <v>1860</v>
      </c>
      <c r="D1002" t="s">
        <v>352</v>
      </c>
      <c r="E1002" t="s">
        <v>95</v>
      </c>
      <c r="F1002" t="s">
        <v>1861</v>
      </c>
      <c r="G1002" t="str">
        <f>"00020711"</f>
        <v>00020711</v>
      </c>
      <c r="H1002">
        <v>1045</v>
      </c>
      <c r="I1002">
        <v>0</v>
      </c>
      <c r="J1002">
        <v>30</v>
      </c>
      <c r="K1002">
        <v>0</v>
      </c>
      <c r="L1002">
        <v>0</v>
      </c>
      <c r="M1002">
        <v>30</v>
      </c>
      <c r="N1002">
        <v>0</v>
      </c>
      <c r="O1002">
        <v>0</v>
      </c>
      <c r="P1002">
        <v>0</v>
      </c>
      <c r="Q1002">
        <v>0</v>
      </c>
      <c r="R1002">
        <v>1</v>
      </c>
      <c r="S1002">
        <v>7</v>
      </c>
      <c r="V1002">
        <v>2</v>
      </c>
      <c r="W1002">
        <v>1112</v>
      </c>
    </row>
    <row r="1003" spans="1:23" x14ac:dyDescent="0.25">
      <c r="H1003" t="s">
        <v>1862</v>
      </c>
    </row>
    <row r="1004" spans="1:23" x14ac:dyDescent="0.25">
      <c r="A1004">
        <v>499</v>
      </c>
      <c r="B1004">
        <v>4579</v>
      </c>
      <c r="C1004" t="s">
        <v>1863</v>
      </c>
      <c r="D1004" t="s">
        <v>721</v>
      </c>
      <c r="E1004" t="s">
        <v>42</v>
      </c>
      <c r="F1004" t="s">
        <v>1864</v>
      </c>
      <c r="G1004" t="str">
        <f>"201511029520"</f>
        <v>201511029520</v>
      </c>
      <c r="H1004" t="s">
        <v>1468</v>
      </c>
      <c r="I1004">
        <v>0</v>
      </c>
      <c r="J1004">
        <v>0</v>
      </c>
      <c r="K1004">
        <v>0</v>
      </c>
      <c r="L1004">
        <v>0</v>
      </c>
      <c r="M1004">
        <v>0</v>
      </c>
      <c r="N1004">
        <v>0</v>
      </c>
      <c r="O1004">
        <v>0</v>
      </c>
      <c r="P1004">
        <v>0</v>
      </c>
      <c r="Q1004">
        <v>0</v>
      </c>
      <c r="R1004">
        <v>18</v>
      </c>
      <c r="S1004">
        <v>126</v>
      </c>
      <c r="T1004">
        <v>6</v>
      </c>
      <c r="U1004">
        <v>931</v>
      </c>
      <c r="V1004">
        <v>2</v>
      </c>
      <c r="W1004" t="s">
        <v>1865</v>
      </c>
    </row>
    <row r="1005" spans="1:23" x14ac:dyDescent="0.25">
      <c r="H1005" t="s">
        <v>1866</v>
      </c>
    </row>
    <row r="1006" spans="1:23" x14ac:dyDescent="0.25">
      <c r="A1006">
        <v>500</v>
      </c>
      <c r="B1006">
        <v>4579</v>
      </c>
      <c r="C1006" t="s">
        <v>1863</v>
      </c>
      <c r="D1006" t="s">
        <v>721</v>
      </c>
      <c r="E1006" t="s">
        <v>42</v>
      </c>
      <c r="F1006" t="s">
        <v>1864</v>
      </c>
      <c r="G1006" t="str">
        <f>"201511029520"</f>
        <v>201511029520</v>
      </c>
      <c r="H1006" t="s">
        <v>1468</v>
      </c>
      <c r="I1006">
        <v>0</v>
      </c>
      <c r="J1006">
        <v>0</v>
      </c>
      <c r="K1006">
        <v>0</v>
      </c>
      <c r="L1006">
        <v>0</v>
      </c>
      <c r="M1006">
        <v>0</v>
      </c>
      <c r="N1006">
        <v>0</v>
      </c>
      <c r="O1006">
        <v>0</v>
      </c>
      <c r="P1006">
        <v>0</v>
      </c>
      <c r="Q1006">
        <v>0</v>
      </c>
      <c r="R1006">
        <v>18</v>
      </c>
      <c r="S1006">
        <v>126</v>
      </c>
      <c r="V1006">
        <v>2</v>
      </c>
      <c r="W1006" t="s">
        <v>1865</v>
      </c>
    </row>
    <row r="1007" spans="1:23" x14ac:dyDescent="0.25">
      <c r="H1007" t="s">
        <v>1866</v>
      </c>
    </row>
    <row r="1008" spans="1:23" x14ac:dyDescent="0.25">
      <c r="A1008">
        <v>501</v>
      </c>
      <c r="B1008">
        <v>7288</v>
      </c>
      <c r="C1008" t="s">
        <v>1867</v>
      </c>
      <c r="D1008" t="s">
        <v>156</v>
      </c>
      <c r="E1008" t="s">
        <v>218</v>
      </c>
      <c r="F1008" t="s">
        <v>1868</v>
      </c>
      <c r="G1008" t="str">
        <f>"201511025473"</f>
        <v>201511025473</v>
      </c>
      <c r="H1008" t="s">
        <v>615</v>
      </c>
      <c r="I1008">
        <v>150</v>
      </c>
      <c r="J1008">
        <v>30</v>
      </c>
      <c r="K1008">
        <v>0</v>
      </c>
      <c r="L1008">
        <v>0</v>
      </c>
      <c r="M1008">
        <v>0</v>
      </c>
      <c r="N1008">
        <v>0</v>
      </c>
      <c r="O1008">
        <v>0</v>
      </c>
      <c r="P1008">
        <v>0</v>
      </c>
      <c r="Q1008">
        <v>0</v>
      </c>
      <c r="R1008">
        <v>0</v>
      </c>
      <c r="S1008">
        <v>0</v>
      </c>
      <c r="V1008">
        <v>0</v>
      </c>
      <c r="W1008" t="s">
        <v>1869</v>
      </c>
    </row>
    <row r="1009" spans="1:23" x14ac:dyDescent="0.25">
      <c r="H1009" t="s">
        <v>1870</v>
      </c>
    </row>
    <row r="1010" spans="1:23" x14ac:dyDescent="0.25">
      <c r="A1010">
        <v>502</v>
      </c>
      <c r="B1010">
        <v>6488</v>
      </c>
      <c r="C1010" t="s">
        <v>1871</v>
      </c>
      <c r="D1010" t="s">
        <v>1872</v>
      </c>
      <c r="E1010" t="s">
        <v>1873</v>
      </c>
      <c r="F1010" t="s">
        <v>1874</v>
      </c>
      <c r="G1010" t="str">
        <f>"00045922"</f>
        <v>00045922</v>
      </c>
      <c r="H1010">
        <v>946</v>
      </c>
      <c r="I1010">
        <v>0</v>
      </c>
      <c r="J1010">
        <v>0</v>
      </c>
      <c r="K1010">
        <v>0</v>
      </c>
      <c r="L1010">
        <v>0</v>
      </c>
      <c r="M1010">
        <v>0</v>
      </c>
      <c r="N1010">
        <v>0</v>
      </c>
      <c r="O1010">
        <v>0</v>
      </c>
      <c r="P1010">
        <v>0</v>
      </c>
      <c r="Q1010">
        <v>0</v>
      </c>
      <c r="R1010">
        <v>23</v>
      </c>
      <c r="S1010">
        <v>161</v>
      </c>
      <c r="V1010">
        <v>0</v>
      </c>
      <c r="W1010">
        <v>1107</v>
      </c>
    </row>
    <row r="1011" spans="1:23" x14ac:dyDescent="0.25">
      <c r="H1011" t="s">
        <v>1875</v>
      </c>
    </row>
    <row r="1012" spans="1:23" x14ac:dyDescent="0.25">
      <c r="A1012">
        <v>503</v>
      </c>
      <c r="B1012">
        <v>9652</v>
      </c>
      <c r="C1012" t="s">
        <v>912</v>
      </c>
      <c r="D1012" t="s">
        <v>132</v>
      </c>
      <c r="E1012" t="s">
        <v>1876</v>
      </c>
      <c r="F1012" t="s">
        <v>1877</v>
      </c>
      <c r="G1012" t="str">
        <f>"00035105"</f>
        <v>00035105</v>
      </c>
      <c r="H1012" t="s">
        <v>615</v>
      </c>
      <c r="I1012">
        <v>0</v>
      </c>
      <c r="J1012">
        <v>50</v>
      </c>
      <c r="K1012">
        <v>0</v>
      </c>
      <c r="L1012">
        <v>0</v>
      </c>
      <c r="M1012">
        <v>0</v>
      </c>
      <c r="N1012">
        <v>0</v>
      </c>
      <c r="O1012">
        <v>0</v>
      </c>
      <c r="P1012">
        <v>0</v>
      </c>
      <c r="Q1012">
        <v>0</v>
      </c>
      <c r="R1012">
        <v>18</v>
      </c>
      <c r="S1012">
        <v>126</v>
      </c>
      <c r="V1012">
        <v>2</v>
      </c>
      <c r="W1012" t="s">
        <v>1878</v>
      </c>
    </row>
    <row r="1013" spans="1:23" x14ac:dyDescent="0.25">
      <c r="H1013" t="s">
        <v>1879</v>
      </c>
    </row>
    <row r="1014" spans="1:23" x14ac:dyDescent="0.25">
      <c r="A1014">
        <v>504</v>
      </c>
      <c r="B1014">
        <v>6280</v>
      </c>
      <c r="C1014" t="s">
        <v>1880</v>
      </c>
      <c r="D1014" t="s">
        <v>1881</v>
      </c>
      <c r="E1014" t="s">
        <v>713</v>
      </c>
      <c r="F1014" t="s">
        <v>1882</v>
      </c>
      <c r="G1014" t="str">
        <f>"201511040321"</f>
        <v>201511040321</v>
      </c>
      <c r="H1014" t="s">
        <v>609</v>
      </c>
      <c r="I1014">
        <v>0</v>
      </c>
      <c r="J1014">
        <v>30</v>
      </c>
      <c r="K1014">
        <v>0</v>
      </c>
      <c r="L1014">
        <v>0</v>
      </c>
      <c r="M1014">
        <v>0</v>
      </c>
      <c r="N1014">
        <v>0</v>
      </c>
      <c r="O1014">
        <v>0</v>
      </c>
      <c r="P1014">
        <v>0</v>
      </c>
      <c r="Q1014">
        <v>0</v>
      </c>
      <c r="R1014">
        <v>0</v>
      </c>
      <c r="S1014">
        <v>0</v>
      </c>
      <c r="V1014">
        <v>0</v>
      </c>
      <c r="W1014" t="s">
        <v>1883</v>
      </c>
    </row>
    <row r="1015" spans="1:23" x14ac:dyDescent="0.25">
      <c r="H1015" t="s">
        <v>1884</v>
      </c>
    </row>
    <row r="1016" spans="1:23" x14ac:dyDescent="0.25">
      <c r="A1016">
        <v>505</v>
      </c>
      <c r="B1016">
        <v>943</v>
      </c>
      <c r="C1016" t="s">
        <v>1885</v>
      </c>
      <c r="D1016" t="s">
        <v>365</v>
      </c>
      <c r="E1016" t="s">
        <v>42</v>
      </c>
      <c r="F1016" t="s">
        <v>1886</v>
      </c>
      <c r="G1016" t="str">
        <f>"00072250"</f>
        <v>00072250</v>
      </c>
      <c r="H1016">
        <v>1100</v>
      </c>
      <c r="I1016">
        <v>0</v>
      </c>
      <c r="J1016">
        <v>0</v>
      </c>
      <c r="K1016">
        <v>0</v>
      </c>
      <c r="L1016">
        <v>0</v>
      </c>
      <c r="M1016">
        <v>0</v>
      </c>
      <c r="N1016">
        <v>0</v>
      </c>
      <c r="O1016">
        <v>0</v>
      </c>
      <c r="P1016">
        <v>0</v>
      </c>
      <c r="Q1016">
        <v>0</v>
      </c>
      <c r="R1016">
        <v>0</v>
      </c>
      <c r="S1016">
        <v>0</v>
      </c>
      <c r="V1016">
        <v>0</v>
      </c>
      <c r="W1016">
        <v>1100</v>
      </c>
    </row>
    <row r="1017" spans="1:23" x14ac:dyDescent="0.25">
      <c r="H1017" t="s">
        <v>295</v>
      </c>
    </row>
    <row r="1018" spans="1:23" x14ac:dyDescent="0.25">
      <c r="A1018">
        <v>506</v>
      </c>
      <c r="B1018">
        <v>1426</v>
      </c>
      <c r="C1018" t="s">
        <v>1887</v>
      </c>
      <c r="D1018" t="s">
        <v>465</v>
      </c>
      <c r="E1018" t="s">
        <v>218</v>
      </c>
      <c r="F1018" t="s">
        <v>1888</v>
      </c>
      <c r="G1018" t="str">
        <f>"00037719"</f>
        <v>00037719</v>
      </c>
      <c r="H1018">
        <v>1100</v>
      </c>
      <c r="I1018">
        <v>0</v>
      </c>
      <c r="J1018">
        <v>0</v>
      </c>
      <c r="K1018">
        <v>0</v>
      </c>
      <c r="L1018">
        <v>0</v>
      </c>
      <c r="M1018">
        <v>0</v>
      </c>
      <c r="N1018">
        <v>0</v>
      </c>
      <c r="O1018">
        <v>0</v>
      </c>
      <c r="P1018">
        <v>0</v>
      </c>
      <c r="Q1018">
        <v>0</v>
      </c>
      <c r="R1018">
        <v>0</v>
      </c>
      <c r="S1018">
        <v>0</v>
      </c>
      <c r="V1018">
        <v>2</v>
      </c>
      <c r="W1018">
        <v>1100</v>
      </c>
    </row>
    <row r="1019" spans="1:23" x14ac:dyDescent="0.25">
      <c r="H1019" t="s">
        <v>1889</v>
      </c>
    </row>
    <row r="1020" spans="1:23" x14ac:dyDescent="0.25">
      <c r="A1020">
        <v>507</v>
      </c>
      <c r="B1020">
        <v>10117</v>
      </c>
      <c r="C1020" t="s">
        <v>1890</v>
      </c>
      <c r="D1020" t="s">
        <v>190</v>
      </c>
      <c r="E1020" t="s">
        <v>53</v>
      </c>
      <c r="F1020" t="s">
        <v>1891</v>
      </c>
      <c r="G1020" t="str">
        <f>"201511030532"</f>
        <v>201511030532</v>
      </c>
      <c r="H1020">
        <v>1100</v>
      </c>
      <c r="I1020">
        <v>0</v>
      </c>
      <c r="J1020">
        <v>0</v>
      </c>
      <c r="K1020">
        <v>0</v>
      </c>
      <c r="L1020">
        <v>0</v>
      </c>
      <c r="M1020">
        <v>0</v>
      </c>
      <c r="N1020">
        <v>0</v>
      </c>
      <c r="O1020">
        <v>0</v>
      </c>
      <c r="P1020">
        <v>0</v>
      </c>
      <c r="Q1020">
        <v>0</v>
      </c>
      <c r="R1020">
        <v>0</v>
      </c>
      <c r="S1020">
        <v>0</v>
      </c>
      <c r="V1020">
        <v>0</v>
      </c>
      <c r="W1020">
        <v>1100</v>
      </c>
    </row>
    <row r="1021" spans="1:23" x14ac:dyDescent="0.25">
      <c r="H1021" t="s">
        <v>1892</v>
      </c>
    </row>
    <row r="1022" spans="1:23" x14ac:dyDescent="0.25">
      <c r="A1022">
        <v>508</v>
      </c>
      <c r="B1022">
        <v>1937</v>
      </c>
      <c r="C1022" t="s">
        <v>1893</v>
      </c>
      <c r="D1022" t="s">
        <v>26</v>
      </c>
      <c r="E1022" t="s">
        <v>304</v>
      </c>
      <c r="F1022" t="s">
        <v>1894</v>
      </c>
      <c r="G1022" t="str">
        <f>"00037821"</f>
        <v>00037821</v>
      </c>
      <c r="H1022" t="s">
        <v>354</v>
      </c>
      <c r="I1022">
        <v>0</v>
      </c>
      <c r="J1022">
        <v>0</v>
      </c>
      <c r="K1022">
        <v>0</v>
      </c>
      <c r="L1022">
        <v>0</v>
      </c>
      <c r="M1022">
        <v>0</v>
      </c>
      <c r="N1022">
        <v>0</v>
      </c>
      <c r="O1022">
        <v>0</v>
      </c>
      <c r="P1022">
        <v>0</v>
      </c>
      <c r="Q1022">
        <v>0</v>
      </c>
      <c r="R1022">
        <v>13</v>
      </c>
      <c r="S1022">
        <v>91</v>
      </c>
      <c r="V1022">
        <v>0</v>
      </c>
      <c r="W1022" t="s">
        <v>1895</v>
      </c>
    </row>
    <row r="1023" spans="1:23" x14ac:dyDescent="0.25">
      <c r="H1023" t="s">
        <v>295</v>
      </c>
    </row>
    <row r="1024" spans="1:23" x14ac:dyDescent="0.25">
      <c r="A1024">
        <v>509</v>
      </c>
      <c r="B1024">
        <v>10305</v>
      </c>
      <c r="C1024" t="s">
        <v>1896</v>
      </c>
      <c r="D1024" t="s">
        <v>218</v>
      </c>
      <c r="E1024" t="s">
        <v>26</v>
      </c>
      <c r="F1024" t="s">
        <v>1897</v>
      </c>
      <c r="G1024" t="str">
        <f>"00096400"</f>
        <v>00096400</v>
      </c>
      <c r="H1024" t="s">
        <v>1898</v>
      </c>
      <c r="I1024">
        <v>0</v>
      </c>
      <c r="J1024">
        <v>0</v>
      </c>
      <c r="K1024">
        <v>0</v>
      </c>
      <c r="L1024">
        <v>0</v>
      </c>
      <c r="M1024">
        <v>0</v>
      </c>
      <c r="N1024">
        <v>0</v>
      </c>
      <c r="O1024">
        <v>0</v>
      </c>
      <c r="P1024">
        <v>0</v>
      </c>
      <c r="Q1024">
        <v>0</v>
      </c>
      <c r="R1024">
        <v>46</v>
      </c>
      <c r="S1024">
        <v>322</v>
      </c>
      <c r="V1024">
        <v>0</v>
      </c>
      <c r="W1024" t="s">
        <v>1899</v>
      </c>
    </row>
    <row r="1025" spans="1:23" x14ac:dyDescent="0.25">
      <c r="H1025" t="s">
        <v>1900</v>
      </c>
    </row>
    <row r="1026" spans="1:23" x14ac:dyDescent="0.25">
      <c r="A1026">
        <v>510</v>
      </c>
      <c r="B1026">
        <v>5460</v>
      </c>
      <c r="C1026" t="s">
        <v>1901</v>
      </c>
      <c r="D1026" t="s">
        <v>111</v>
      </c>
      <c r="E1026" t="s">
        <v>218</v>
      </c>
      <c r="F1026" t="s">
        <v>1902</v>
      </c>
      <c r="G1026" t="str">
        <f>"201511026428"</f>
        <v>201511026428</v>
      </c>
      <c r="H1026">
        <v>935</v>
      </c>
      <c r="I1026">
        <v>0</v>
      </c>
      <c r="J1026">
        <v>0</v>
      </c>
      <c r="K1026">
        <v>0</v>
      </c>
      <c r="L1026">
        <v>0</v>
      </c>
      <c r="M1026">
        <v>0</v>
      </c>
      <c r="N1026">
        <v>0</v>
      </c>
      <c r="O1026">
        <v>0</v>
      </c>
      <c r="P1026">
        <v>0</v>
      </c>
      <c r="Q1026">
        <v>0</v>
      </c>
      <c r="R1026">
        <v>23</v>
      </c>
      <c r="S1026">
        <v>161</v>
      </c>
      <c r="V1026">
        <v>0</v>
      </c>
      <c r="W1026">
        <v>1096</v>
      </c>
    </row>
    <row r="1027" spans="1:23" x14ac:dyDescent="0.25">
      <c r="H1027" t="s">
        <v>1903</v>
      </c>
    </row>
    <row r="1028" spans="1:23" x14ac:dyDescent="0.25">
      <c r="A1028">
        <v>511</v>
      </c>
      <c r="B1028">
        <v>3461</v>
      </c>
      <c r="C1028" t="s">
        <v>469</v>
      </c>
      <c r="D1028" t="s">
        <v>156</v>
      </c>
      <c r="E1028" t="s">
        <v>1904</v>
      </c>
      <c r="F1028" t="s">
        <v>1905</v>
      </c>
      <c r="G1028" t="str">
        <f>"201512002330"</f>
        <v>201512002330</v>
      </c>
      <c r="H1028" t="s">
        <v>1906</v>
      </c>
      <c r="I1028">
        <v>0</v>
      </c>
      <c r="J1028">
        <v>0</v>
      </c>
      <c r="K1028">
        <v>0</v>
      </c>
      <c r="L1028">
        <v>0</v>
      </c>
      <c r="M1028">
        <v>0</v>
      </c>
      <c r="N1028">
        <v>0</v>
      </c>
      <c r="O1028">
        <v>0</v>
      </c>
      <c r="P1028">
        <v>0</v>
      </c>
      <c r="Q1028">
        <v>0</v>
      </c>
      <c r="R1028">
        <v>0</v>
      </c>
      <c r="S1028">
        <v>0</v>
      </c>
      <c r="V1028">
        <v>0</v>
      </c>
      <c r="W1028" t="s">
        <v>1906</v>
      </c>
    </row>
    <row r="1029" spans="1:23" x14ac:dyDescent="0.25">
      <c r="H1029" t="s">
        <v>1907</v>
      </c>
    </row>
    <row r="1030" spans="1:23" x14ac:dyDescent="0.25">
      <c r="A1030">
        <v>512</v>
      </c>
      <c r="B1030">
        <v>7293</v>
      </c>
      <c r="C1030" t="s">
        <v>1908</v>
      </c>
      <c r="D1030" t="s">
        <v>111</v>
      </c>
      <c r="E1030" t="s">
        <v>400</v>
      </c>
      <c r="F1030" t="s">
        <v>1909</v>
      </c>
      <c r="G1030" t="str">
        <f>"201405002252"</f>
        <v>201405002252</v>
      </c>
      <c r="H1030">
        <v>924</v>
      </c>
      <c r="I1030">
        <v>0</v>
      </c>
      <c r="J1030">
        <v>70</v>
      </c>
      <c r="K1030">
        <v>50</v>
      </c>
      <c r="L1030">
        <v>0</v>
      </c>
      <c r="M1030">
        <v>50</v>
      </c>
      <c r="N1030">
        <v>0</v>
      </c>
      <c r="O1030">
        <v>0</v>
      </c>
      <c r="P1030">
        <v>0</v>
      </c>
      <c r="Q1030">
        <v>0</v>
      </c>
      <c r="R1030">
        <v>0</v>
      </c>
      <c r="S1030">
        <v>0</v>
      </c>
      <c r="V1030">
        <v>0</v>
      </c>
      <c r="W1030">
        <v>1094</v>
      </c>
    </row>
    <row r="1031" spans="1:23" x14ac:dyDescent="0.25">
      <c r="H1031" t="s">
        <v>1910</v>
      </c>
    </row>
    <row r="1032" spans="1:23" x14ac:dyDescent="0.25">
      <c r="A1032">
        <v>513</v>
      </c>
      <c r="B1032">
        <v>1903</v>
      </c>
      <c r="C1032" t="s">
        <v>1911</v>
      </c>
      <c r="D1032" t="s">
        <v>417</v>
      </c>
      <c r="E1032" t="s">
        <v>830</v>
      </c>
      <c r="F1032" t="s">
        <v>1912</v>
      </c>
      <c r="G1032" t="str">
        <f>"00015931"</f>
        <v>00015931</v>
      </c>
      <c r="H1032" t="s">
        <v>1688</v>
      </c>
      <c r="I1032">
        <v>0</v>
      </c>
      <c r="J1032">
        <v>0</v>
      </c>
      <c r="K1032">
        <v>0</v>
      </c>
      <c r="L1032">
        <v>0</v>
      </c>
      <c r="M1032">
        <v>0</v>
      </c>
      <c r="N1032">
        <v>0</v>
      </c>
      <c r="O1032">
        <v>0</v>
      </c>
      <c r="P1032">
        <v>0</v>
      </c>
      <c r="Q1032">
        <v>0</v>
      </c>
      <c r="R1032">
        <v>12</v>
      </c>
      <c r="S1032">
        <v>84</v>
      </c>
      <c r="V1032">
        <v>0</v>
      </c>
      <c r="W1032" t="s">
        <v>1913</v>
      </c>
    </row>
    <row r="1033" spans="1:23" x14ac:dyDescent="0.25">
      <c r="H1033" t="s">
        <v>1914</v>
      </c>
    </row>
    <row r="1034" spans="1:23" x14ac:dyDescent="0.25">
      <c r="A1034">
        <v>514</v>
      </c>
      <c r="B1034">
        <v>815</v>
      </c>
      <c r="C1034" t="s">
        <v>829</v>
      </c>
      <c r="D1034" t="s">
        <v>475</v>
      </c>
      <c r="E1034" t="s">
        <v>71</v>
      </c>
      <c r="F1034" t="s">
        <v>1915</v>
      </c>
      <c r="G1034" t="str">
        <f>"201303000024"</f>
        <v>201303000024</v>
      </c>
      <c r="H1034" t="s">
        <v>471</v>
      </c>
      <c r="I1034">
        <v>0</v>
      </c>
      <c r="J1034">
        <v>0</v>
      </c>
      <c r="K1034">
        <v>0</v>
      </c>
      <c r="L1034">
        <v>0</v>
      </c>
      <c r="M1034">
        <v>0</v>
      </c>
      <c r="N1034">
        <v>0</v>
      </c>
      <c r="O1034">
        <v>0</v>
      </c>
      <c r="P1034">
        <v>0</v>
      </c>
      <c r="Q1034">
        <v>0</v>
      </c>
      <c r="R1034">
        <v>0</v>
      </c>
      <c r="S1034">
        <v>0</v>
      </c>
      <c r="V1034">
        <v>0</v>
      </c>
      <c r="W1034" t="s">
        <v>471</v>
      </c>
    </row>
    <row r="1035" spans="1:23" x14ac:dyDescent="0.25">
      <c r="H1035">
        <v>929</v>
      </c>
    </row>
    <row r="1036" spans="1:23" x14ac:dyDescent="0.25">
      <c r="A1036">
        <v>515</v>
      </c>
      <c r="B1036">
        <v>4913</v>
      </c>
      <c r="C1036" t="s">
        <v>1916</v>
      </c>
      <c r="D1036" t="s">
        <v>600</v>
      </c>
      <c r="E1036" t="s">
        <v>42</v>
      </c>
      <c r="F1036" t="s">
        <v>1917</v>
      </c>
      <c r="G1036" t="str">
        <f>"00095832"</f>
        <v>00095832</v>
      </c>
      <c r="H1036" t="s">
        <v>471</v>
      </c>
      <c r="I1036">
        <v>0</v>
      </c>
      <c r="J1036">
        <v>0</v>
      </c>
      <c r="K1036">
        <v>0</v>
      </c>
      <c r="L1036">
        <v>0</v>
      </c>
      <c r="M1036">
        <v>0</v>
      </c>
      <c r="N1036">
        <v>0</v>
      </c>
      <c r="O1036">
        <v>0</v>
      </c>
      <c r="P1036">
        <v>0</v>
      </c>
      <c r="Q1036">
        <v>0</v>
      </c>
      <c r="R1036">
        <v>0</v>
      </c>
      <c r="S1036">
        <v>0</v>
      </c>
      <c r="V1036">
        <v>0</v>
      </c>
      <c r="W1036" t="s">
        <v>471</v>
      </c>
    </row>
    <row r="1037" spans="1:23" x14ac:dyDescent="0.25">
      <c r="H1037" t="s">
        <v>1918</v>
      </c>
    </row>
    <row r="1038" spans="1:23" x14ac:dyDescent="0.25">
      <c r="A1038">
        <v>516</v>
      </c>
      <c r="B1038">
        <v>3572</v>
      </c>
      <c r="C1038" t="s">
        <v>1919</v>
      </c>
      <c r="D1038" t="s">
        <v>465</v>
      </c>
      <c r="E1038" t="s">
        <v>95</v>
      </c>
      <c r="F1038" t="s">
        <v>1920</v>
      </c>
      <c r="G1038" t="str">
        <f>"201511043065"</f>
        <v>201511043065</v>
      </c>
      <c r="H1038" t="s">
        <v>868</v>
      </c>
      <c r="I1038">
        <v>0</v>
      </c>
      <c r="J1038">
        <v>0</v>
      </c>
      <c r="K1038">
        <v>0</v>
      </c>
      <c r="L1038">
        <v>0</v>
      </c>
      <c r="M1038">
        <v>0</v>
      </c>
      <c r="N1038">
        <v>0</v>
      </c>
      <c r="O1038">
        <v>0</v>
      </c>
      <c r="P1038">
        <v>0</v>
      </c>
      <c r="Q1038">
        <v>0</v>
      </c>
      <c r="R1038">
        <v>33</v>
      </c>
      <c r="S1038">
        <v>231</v>
      </c>
      <c r="T1038">
        <v>6</v>
      </c>
      <c r="U1038">
        <v>906</v>
      </c>
      <c r="V1038">
        <v>0</v>
      </c>
      <c r="W1038" t="s">
        <v>471</v>
      </c>
    </row>
    <row r="1039" spans="1:23" x14ac:dyDescent="0.25">
      <c r="H1039">
        <v>906</v>
      </c>
    </row>
    <row r="1040" spans="1:23" x14ac:dyDescent="0.25">
      <c r="A1040">
        <v>517</v>
      </c>
      <c r="B1040">
        <v>8144</v>
      </c>
      <c r="C1040" t="s">
        <v>1921</v>
      </c>
      <c r="D1040" t="s">
        <v>1922</v>
      </c>
      <c r="E1040" t="s">
        <v>150</v>
      </c>
      <c r="F1040" t="s">
        <v>1923</v>
      </c>
      <c r="G1040" t="str">
        <f>"00036866"</f>
        <v>00036866</v>
      </c>
      <c r="H1040" t="s">
        <v>1924</v>
      </c>
      <c r="I1040">
        <v>0</v>
      </c>
      <c r="J1040">
        <v>0</v>
      </c>
      <c r="K1040">
        <v>0</v>
      </c>
      <c r="L1040">
        <v>0</v>
      </c>
      <c r="M1040">
        <v>0</v>
      </c>
      <c r="N1040">
        <v>0</v>
      </c>
      <c r="O1040">
        <v>0</v>
      </c>
      <c r="P1040">
        <v>0</v>
      </c>
      <c r="Q1040">
        <v>0</v>
      </c>
      <c r="R1040">
        <v>40</v>
      </c>
      <c r="S1040">
        <v>280</v>
      </c>
      <c r="V1040">
        <v>2</v>
      </c>
      <c r="W1040" t="s">
        <v>1925</v>
      </c>
    </row>
    <row r="1041" spans="1:23" x14ac:dyDescent="0.25">
      <c r="H1041" t="s">
        <v>1926</v>
      </c>
    </row>
    <row r="1042" spans="1:23" x14ac:dyDescent="0.25">
      <c r="A1042">
        <v>518</v>
      </c>
      <c r="B1042">
        <v>10320</v>
      </c>
      <c r="C1042" t="s">
        <v>1927</v>
      </c>
      <c r="D1042" t="s">
        <v>36</v>
      </c>
      <c r="E1042" t="s">
        <v>87</v>
      </c>
      <c r="F1042" t="s">
        <v>1928</v>
      </c>
      <c r="G1042" t="str">
        <f>"00040586"</f>
        <v>00040586</v>
      </c>
      <c r="H1042">
        <v>1089</v>
      </c>
      <c r="I1042">
        <v>0</v>
      </c>
      <c r="J1042">
        <v>0</v>
      </c>
      <c r="K1042">
        <v>0</v>
      </c>
      <c r="L1042">
        <v>0</v>
      </c>
      <c r="M1042">
        <v>0</v>
      </c>
      <c r="N1042">
        <v>0</v>
      </c>
      <c r="O1042">
        <v>0</v>
      </c>
      <c r="P1042">
        <v>0</v>
      </c>
      <c r="Q1042">
        <v>0</v>
      </c>
      <c r="R1042">
        <v>0</v>
      </c>
      <c r="S1042">
        <v>0</v>
      </c>
      <c r="V1042">
        <v>2</v>
      </c>
      <c r="W1042">
        <v>1089</v>
      </c>
    </row>
    <row r="1043" spans="1:23" x14ac:dyDescent="0.25">
      <c r="H1043" t="s">
        <v>1929</v>
      </c>
    </row>
    <row r="1044" spans="1:23" x14ac:dyDescent="0.25">
      <c r="A1044">
        <v>519</v>
      </c>
      <c r="B1044">
        <v>7346</v>
      </c>
      <c r="C1044" t="s">
        <v>1930</v>
      </c>
      <c r="D1044" t="s">
        <v>67</v>
      </c>
      <c r="E1044" t="s">
        <v>218</v>
      </c>
      <c r="F1044" t="s">
        <v>1931</v>
      </c>
      <c r="G1044" t="str">
        <f>"00070246"</f>
        <v>00070246</v>
      </c>
      <c r="H1044" t="s">
        <v>201</v>
      </c>
      <c r="I1044">
        <v>0</v>
      </c>
      <c r="J1044">
        <v>70</v>
      </c>
      <c r="K1044">
        <v>0</v>
      </c>
      <c r="L1044">
        <v>0</v>
      </c>
      <c r="M1044">
        <v>0</v>
      </c>
      <c r="N1044">
        <v>0</v>
      </c>
      <c r="O1044">
        <v>0</v>
      </c>
      <c r="P1044">
        <v>0</v>
      </c>
      <c r="Q1044">
        <v>0</v>
      </c>
      <c r="R1044">
        <v>0</v>
      </c>
      <c r="S1044">
        <v>0</v>
      </c>
      <c r="V1044">
        <v>0</v>
      </c>
      <c r="W1044" t="s">
        <v>1932</v>
      </c>
    </row>
    <row r="1045" spans="1:23" x14ac:dyDescent="0.25">
      <c r="H1045" t="s">
        <v>1933</v>
      </c>
    </row>
    <row r="1046" spans="1:23" x14ac:dyDescent="0.25">
      <c r="A1046">
        <v>520</v>
      </c>
      <c r="B1046">
        <v>6732</v>
      </c>
      <c r="C1046" t="s">
        <v>1934</v>
      </c>
      <c r="D1046" t="s">
        <v>42</v>
      </c>
      <c r="E1046" t="s">
        <v>21</v>
      </c>
      <c r="F1046" t="s">
        <v>1935</v>
      </c>
      <c r="G1046" t="str">
        <f>"201511013090"</f>
        <v>201511013090</v>
      </c>
      <c r="H1046">
        <v>825</v>
      </c>
      <c r="I1046">
        <v>0</v>
      </c>
      <c r="J1046">
        <v>30</v>
      </c>
      <c r="K1046">
        <v>0</v>
      </c>
      <c r="L1046">
        <v>0</v>
      </c>
      <c r="M1046">
        <v>0</v>
      </c>
      <c r="N1046">
        <v>0</v>
      </c>
      <c r="O1046">
        <v>0</v>
      </c>
      <c r="P1046">
        <v>0</v>
      </c>
      <c r="Q1046">
        <v>0</v>
      </c>
      <c r="R1046">
        <v>33</v>
      </c>
      <c r="S1046">
        <v>231</v>
      </c>
      <c r="V1046">
        <v>0</v>
      </c>
      <c r="W1046">
        <v>1086</v>
      </c>
    </row>
    <row r="1047" spans="1:23" x14ac:dyDescent="0.25">
      <c r="H1047" t="s">
        <v>1936</v>
      </c>
    </row>
    <row r="1048" spans="1:23" x14ac:dyDescent="0.25">
      <c r="A1048">
        <v>521</v>
      </c>
      <c r="B1048">
        <v>169</v>
      </c>
      <c r="C1048" t="s">
        <v>1937</v>
      </c>
      <c r="D1048" t="s">
        <v>87</v>
      </c>
      <c r="E1048" t="s">
        <v>1938</v>
      </c>
      <c r="F1048" t="s">
        <v>1939</v>
      </c>
      <c r="G1048" t="str">
        <f>"00030703"</f>
        <v>00030703</v>
      </c>
      <c r="H1048" t="s">
        <v>107</v>
      </c>
      <c r="I1048">
        <v>0</v>
      </c>
      <c r="J1048">
        <v>0</v>
      </c>
      <c r="K1048">
        <v>0</v>
      </c>
      <c r="L1048">
        <v>0</v>
      </c>
      <c r="M1048">
        <v>0</v>
      </c>
      <c r="N1048">
        <v>0</v>
      </c>
      <c r="O1048">
        <v>0</v>
      </c>
      <c r="P1048">
        <v>0</v>
      </c>
      <c r="Q1048">
        <v>0</v>
      </c>
      <c r="R1048">
        <v>0</v>
      </c>
      <c r="S1048">
        <v>0</v>
      </c>
      <c r="V1048">
        <v>0</v>
      </c>
      <c r="W1048" t="s">
        <v>107</v>
      </c>
    </row>
    <row r="1049" spans="1:23" x14ac:dyDescent="0.25">
      <c r="H1049" t="s">
        <v>1940</v>
      </c>
    </row>
    <row r="1050" spans="1:23" x14ac:dyDescent="0.25">
      <c r="A1050">
        <v>522</v>
      </c>
      <c r="B1050">
        <v>8285</v>
      </c>
      <c r="C1050" t="s">
        <v>1941</v>
      </c>
      <c r="D1050" t="s">
        <v>1942</v>
      </c>
      <c r="E1050" t="s">
        <v>71</v>
      </c>
      <c r="F1050" t="s">
        <v>1943</v>
      </c>
      <c r="G1050" t="str">
        <f>"00002744"</f>
        <v>00002744</v>
      </c>
      <c r="H1050">
        <v>935</v>
      </c>
      <c r="I1050">
        <v>150</v>
      </c>
      <c r="J1050">
        <v>0</v>
      </c>
      <c r="K1050">
        <v>0</v>
      </c>
      <c r="L1050">
        <v>0</v>
      </c>
      <c r="M1050">
        <v>0</v>
      </c>
      <c r="N1050">
        <v>0</v>
      </c>
      <c r="O1050">
        <v>0</v>
      </c>
      <c r="P1050">
        <v>0</v>
      </c>
      <c r="Q1050">
        <v>0</v>
      </c>
      <c r="R1050">
        <v>0</v>
      </c>
      <c r="S1050">
        <v>0</v>
      </c>
      <c r="V1050">
        <v>0</v>
      </c>
      <c r="W1050">
        <v>1085</v>
      </c>
    </row>
    <row r="1051" spans="1:23" x14ac:dyDescent="0.25">
      <c r="H1051" t="s">
        <v>823</v>
      </c>
    </row>
    <row r="1052" spans="1:23" x14ac:dyDescent="0.25">
      <c r="A1052">
        <v>523</v>
      </c>
      <c r="B1052">
        <v>5758</v>
      </c>
      <c r="C1052" t="s">
        <v>1944</v>
      </c>
      <c r="D1052" t="s">
        <v>269</v>
      </c>
      <c r="E1052" t="s">
        <v>42</v>
      </c>
      <c r="F1052" t="s">
        <v>1945</v>
      </c>
      <c r="G1052" t="str">
        <f>"00097417"</f>
        <v>00097417</v>
      </c>
      <c r="H1052" t="s">
        <v>367</v>
      </c>
      <c r="I1052">
        <v>0</v>
      </c>
      <c r="J1052">
        <v>0</v>
      </c>
      <c r="K1052">
        <v>0</v>
      </c>
      <c r="L1052">
        <v>0</v>
      </c>
      <c r="M1052">
        <v>0</v>
      </c>
      <c r="N1052">
        <v>0</v>
      </c>
      <c r="O1052">
        <v>0</v>
      </c>
      <c r="P1052">
        <v>0</v>
      </c>
      <c r="Q1052">
        <v>0</v>
      </c>
      <c r="R1052">
        <v>0</v>
      </c>
      <c r="S1052">
        <v>0</v>
      </c>
      <c r="V1052">
        <v>0</v>
      </c>
      <c r="W1052" t="s">
        <v>367</v>
      </c>
    </row>
    <row r="1053" spans="1:23" x14ac:dyDescent="0.25">
      <c r="H1053" t="s">
        <v>978</v>
      </c>
    </row>
    <row r="1054" spans="1:23" x14ac:dyDescent="0.25">
      <c r="A1054">
        <v>524</v>
      </c>
      <c r="B1054">
        <v>410</v>
      </c>
      <c r="C1054" t="s">
        <v>1946</v>
      </c>
      <c r="D1054" t="s">
        <v>1947</v>
      </c>
      <c r="E1054" t="s">
        <v>95</v>
      </c>
      <c r="F1054" t="s">
        <v>1948</v>
      </c>
      <c r="G1054" t="str">
        <f>"00025969"</f>
        <v>00025969</v>
      </c>
      <c r="H1054" t="s">
        <v>128</v>
      </c>
      <c r="I1054">
        <v>0</v>
      </c>
      <c r="J1054">
        <v>0</v>
      </c>
      <c r="K1054">
        <v>0</v>
      </c>
      <c r="L1054">
        <v>0</v>
      </c>
      <c r="M1054">
        <v>0</v>
      </c>
      <c r="N1054">
        <v>0</v>
      </c>
      <c r="O1054">
        <v>0</v>
      </c>
      <c r="P1054">
        <v>0</v>
      </c>
      <c r="Q1054">
        <v>0</v>
      </c>
      <c r="R1054">
        <v>0</v>
      </c>
      <c r="S1054">
        <v>0</v>
      </c>
      <c r="V1054">
        <v>0</v>
      </c>
      <c r="W1054" t="s">
        <v>128</v>
      </c>
    </row>
    <row r="1055" spans="1:23" x14ac:dyDescent="0.25">
      <c r="H1055" t="s">
        <v>1949</v>
      </c>
    </row>
    <row r="1056" spans="1:23" x14ac:dyDescent="0.25">
      <c r="A1056">
        <v>525</v>
      </c>
      <c r="B1056">
        <v>5816</v>
      </c>
      <c r="C1056" t="s">
        <v>1950</v>
      </c>
      <c r="D1056" t="s">
        <v>14</v>
      </c>
      <c r="E1056" t="s">
        <v>71</v>
      </c>
      <c r="F1056" t="s">
        <v>1951</v>
      </c>
      <c r="G1056" t="str">
        <f>"00028454"</f>
        <v>00028454</v>
      </c>
      <c r="H1056" t="s">
        <v>274</v>
      </c>
      <c r="I1056">
        <v>0</v>
      </c>
      <c r="J1056">
        <v>0</v>
      </c>
      <c r="K1056">
        <v>0</v>
      </c>
      <c r="L1056">
        <v>0</v>
      </c>
      <c r="M1056">
        <v>0</v>
      </c>
      <c r="N1056">
        <v>0</v>
      </c>
      <c r="O1056">
        <v>0</v>
      </c>
      <c r="P1056">
        <v>0</v>
      </c>
      <c r="Q1056">
        <v>0</v>
      </c>
      <c r="R1056">
        <v>11</v>
      </c>
      <c r="S1056">
        <v>77</v>
      </c>
      <c r="V1056">
        <v>0</v>
      </c>
      <c r="W1056" t="s">
        <v>128</v>
      </c>
    </row>
    <row r="1057" spans="1:23" x14ac:dyDescent="0.25">
      <c r="H1057" t="s">
        <v>1952</v>
      </c>
    </row>
    <row r="1058" spans="1:23" x14ac:dyDescent="0.25">
      <c r="A1058">
        <v>526</v>
      </c>
      <c r="B1058">
        <v>6811</v>
      </c>
      <c r="C1058" t="s">
        <v>1953</v>
      </c>
      <c r="D1058" t="s">
        <v>272</v>
      </c>
      <c r="E1058" t="s">
        <v>136</v>
      </c>
      <c r="F1058" t="s">
        <v>1954</v>
      </c>
      <c r="G1058" t="str">
        <f>"201511010096"</f>
        <v>201511010096</v>
      </c>
      <c r="H1058" t="s">
        <v>1843</v>
      </c>
      <c r="I1058">
        <v>0</v>
      </c>
      <c r="J1058">
        <v>30</v>
      </c>
      <c r="K1058">
        <v>0</v>
      </c>
      <c r="L1058">
        <v>0</v>
      </c>
      <c r="M1058">
        <v>0</v>
      </c>
      <c r="N1058">
        <v>0</v>
      </c>
      <c r="O1058">
        <v>0</v>
      </c>
      <c r="P1058">
        <v>0</v>
      </c>
      <c r="Q1058">
        <v>0</v>
      </c>
      <c r="R1058">
        <v>0</v>
      </c>
      <c r="S1058">
        <v>0</v>
      </c>
      <c r="V1058">
        <v>0</v>
      </c>
      <c r="W1058" t="s">
        <v>1955</v>
      </c>
    </row>
    <row r="1059" spans="1:23" x14ac:dyDescent="0.25">
      <c r="H1059" t="s">
        <v>1956</v>
      </c>
    </row>
    <row r="1060" spans="1:23" x14ac:dyDescent="0.25">
      <c r="A1060">
        <v>527</v>
      </c>
      <c r="B1060">
        <v>107</v>
      </c>
      <c r="C1060" t="s">
        <v>1957</v>
      </c>
      <c r="D1060" t="s">
        <v>14</v>
      </c>
      <c r="E1060" t="s">
        <v>466</v>
      </c>
      <c r="F1060" t="s">
        <v>1958</v>
      </c>
      <c r="G1060" t="str">
        <f>"00016979"</f>
        <v>00016979</v>
      </c>
      <c r="H1060">
        <v>979</v>
      </c>
      <c r="I1060">
        <v>0</v>
      </c>
      <c r="J1060">
        <v>30</v>
      </c>
      <c r="K1060">
        <v>0</v>
      </c>
      <c r="L1060">
        <v>0</v>
      </c>
      <c r="M1060">
        <v>0</v>
      </c>
      <c r="N1060">
        <v>0</v>
      </c>
      <c r="O1060">
        <v>0</v>
      </c>
      <c r="P1060">
        <v>0</v>
      </c>
      <c r="Q1060">
        <v>0</v>
      </c>
      <c r="R1060">
        <v>10</v>
      </c>
      <c r="S1060">
        <v>70</v>
      </c>
      <c r="V1060">
        <v>0</v>
      </c>
      <c r="W1060">
        <v>1079</v>
      </c>
    </row>
    <row r="1061" spans="1:23" x14ac:dyDescent="0.25">
      <c r="H1061" t="s">
        <v>823</v>
      </c>
    </row>
    <row r="1062" spans="1:23" x14ac:dyDescent="0.25">
      <c r="A1062">
        <v>528</v>
      </c>
      <c r="B1062">
        <v>1864</v>
      </c>
      <c r="C1062" t="s">
        <v>1959</v>
      </c>
      <c r="D1062" t="s">
        <v>190</v>
      </c>
      <c r="E1062" t="s">
        <v>21</v>
      </c>
      <c r="F1062" t="s">
        <v>1960</v>
      </c>
      <c r="G1062" t="str">
        <f>"201511023149"</f>
        <v>201511023149</v>
      </c>
      <c r="H1062" t="s">
        <v>1282</v>
      </c>
      <c r="I1062">
        <v>0</v>
      </c>
      <c r="J1062">
        <v>0</v>
      </c>
      <c r="K1062">
        <v>0</v>
      </c>
      <c r="L1062">
        <v>0</v>
      </c>
      <c r="M1062">
        <v>0</v>
      </c>
      <c r="N1062">
        <v>0</v>
      </c>
      <c r="O1062">
        <v>0</v>
      </c>
      <c r="P1062">
        <v>0</v>
      </c>
      <c r="Q1062">
        <v>0</v>
      </c>
      <c r="R1062">
        <v>12</v>
      </c>
      <c r="S1062">
        <v>84</v>
      </c>
      <c r="V1062">
        <v>0</v>
      </c>
      <c r="W1062" t="s">
        <v>1961</v>
      </c>
    </row>
    <row r="1063" spans="1:23" x14ac:dyDescent="0.25">
      <c r="H1063" t="s">
        <v>1962</v>
      </c>
    </row>
    <row r="1064" spans="1:23" x14ac:dyDescent="0.25">
      <c r="A1064">
        <v>529</v>
      </c>
      <c r="B1064">
        <v>5827</v>
      </c>
      <c r="C1064" t="s">
        <v>1963</v>
      </c>
      <c r="D1064" t="s">
        <v>1964</v>
      </c>
      <c r="E1064" t="s">
        <v>141</v>
      </c>
      <c r="F1064" t="s">
        <v>1965</v>
      </c>
      <c r="G1064" t="str">
        <f>"00079296"</f>
        <v>00079296</v>
      </c>
      <c r="H1064">
        <v>1078</v>
      </c>
      <c r="I1064">
        <v>0</v>
      </c>
      <c r="J1064">
        <v>0</v>
      </c>
      <c r="K1064">
        <v>0</v>
      </c>
      <c r="L1064">
        <v>0</v>
      </c>
      <c r="M1064">
        <v>0</v>
      </c>
      <c r="N1064">
        <v>0</v>
      </c>
      <c r="O1064">
        <v>0</v>
      </c>
      <c r="P1064">
        <v>0</v>
      </c>
      <c r="Q1064">
        <v>0</v>
      </c>
      <c r="R1064">
        <v>0</v>
      </c>
      <c r="S1064">
        <v>0</v>
      </c>
      <c r="V1064">
        <v>0</v>
      </c>
      <c r="W1064">
        <v>1078</v>
      </c>
    </row>
    <row r="1065" spans="1:23" x14ac:dyDescent="0.25">
      <c r="H1065" t="s">
        <v>1966</v>
      </c>
    </row>
    <row r="1066" spans="1:23" x14ac:dyDescent="0.25">
      <c r="A1066">
        <v>530</v>
      </c>
      <c r="B1066">
        <v>6691</v>
      </c>
      <c r="C1066" t="s">
        <v>1967</v>
      </c>
      <c r="D1066" t="s">
        <v>247</v>
      </c>
      <c r="E1066" t="s">
        <v>21</v>
      </c>
      <c r="F1066" t="s">
        <v>1968</v>
      </c>
      <c r="G1066" t="str">
        <f>"201511040536"</f>
        <v>201511040536</v>
      </c>
      <c r="H1066">
        <v>880</v>
      </c>
      <c r="I1066">
        <v>0</v>
      </c>
      <c r="J1066">
        <v>30</v>
      </c>
      <c r="K1066">
        <v>0</v>
      </c>
      <c r="L1066">
        <v>0</v>
      </c>
      <c r="M1066">
        <v>0</v>
      </c>
      <c r="N1066">
        <v>0</v>
      </c>
      <c r="O1066">
        <v>0</v>
      </c>
      <c r="P1066">
        <v>0</v>
      </c>
      <c r="Q1066">
        <v>0</v>
      </c>
      <c r="R1066">
        <v>24</v>
      </c>
      <c r="S1066">
        <v>168</v>
      </c>
      <c r="V1066">
        <v>0</v>
      </c>
      <c r="W1066">
        <v>1078</v>
      </c>
    </row>
    <row r="1067" spans="1:23" x14ac:dyDescent="0.25">
      <c r="H1067" t="s">
        <v>1969</v>
      </c>
    </row>
    <row r="1068" spans="1:23" x14ac:dyDescent="0.25">
      <c r="A1068">
        <v>531</v>
      </c>
      <c r="B1068">
        <v>690</v>
      </c>
      <c r="C1068" t="s">
        <v>1701</v>
      </c>
      <c r="D1068" t="s">
        <v>600</v>
      </c>
      <c r="E1068" t="s">
        <v>1970</v>
      </c>
      <c r="F1068" t="s">
        <v>1971</v>
      </c>
      <c r="G1068" t="str">
        <f>"201502002082"</f>
        <v>201502002082</v>
      </c>
      <c r="H1068">
        <v>770</v>
      </c>
      <c r="I1068">
        <v>0</v>
      </c>
      <c r="J1068">
        <v>0</v>
      </c>
      <c r="K1068">
        <v>0</v>
      </c>
      <c r="L1068">
        <v>0</v>
      </c>
      <c r="M1068">
        <v>0</v>
      </c>
      <c r="N1068">
        <v>0</v>
      </c>
      <c r="O1068">
        <v>0</v>
      </c>
      <c r="P1068">
        <v>0</v>
      </c>
      <c r="Q1068">
        <v>0</v>
      </c>
      <c r="R1068">
        <v>44</v>
      </c>
      <c r="S1068">
        <v>308</v>
      </c>
      <c r="V1068">
        <v>0</v>
      </c>
      <c r="W1068">
        <v>1078</v>
      </c>
    </row>
    <row r="1069" spans="1:23" x14ac:dyDescent="0.25">
      <c r="H1069" t="s">
        <v>1972</v>
      </c>
    </row>
    <row r="1070" spans="1:23" x14ac:dyDescent="0.25">
      <c r="A1070">
        <v>532</v>
      </c>
      <c r="B1070">
        <v>3943</v>
      </c>
      <c r="C1070" t="s">
        <v>1973</v>
      </c>
      <c r="D1070" t="s">
        <v>400</v>
      </c>
      <c r="E1070" t="s">
        <v>1500</v>
      </c>
      <c r="F1070" t="s">
        <v>1974</v>
      </c>
      <c r="G1070" t="str">
        <f>"00046909"</f>
        <v>00046909</v>
      </c>
      <c r="H1070" t="s">
        <v>730</v>
      </c>
      <c r="I1070">
        <v>0</v>
      </c>
      <c r="J1070">
        <v>0</v>
      </c>
      <c r="K1070">
        <v>0</v>
      </c>
      <c r="L1070">
        <v>0</v>
      </c>
      <c r="M1070">
        <v>0</v>
      </c>
      <c r="N1070">
        <v>0</v>
      </c>
      <c r="O1070">
        <v>0</v>
      </c>
      <c r="P1070">
        <v>0</v>
      </c>
      <c r="Q1070">
        <v>0</v>
      </c>
      <c r="R1070">
        <v>24</v>
      </c>
      <c r="S1070">
        <v>168</v>
      </c>
      <c r="V1070">
        <v>0</v>
      </c>
      <c r="W1070" t="s">
        <v>1975</v>
      </c>
    </row>
    <row r="1071" spans="1:23" x14ac:dyDescent="0.25">
      <c r="H1071">
        <v>932</v>
      </c>
    </row>
    <row r="1072" spans="1:23" x14ac:dyDescent="0.25">
      <c r="A1072">
        <v>533</v>
      </c>
      <c r="B1072">
        <v>10165</v>
      </c>
      <c r="C1072" t="s">
        <v>1976</v>
      </c>
      <c r="D1072" t="s">
        <v>126</v>
      </c>
      <c r="E1072" t="s">
        <v>42</v>
      </c>
      <c r="F1072" t="s">
        <v>1977</v>
      </c>
      <c r="G1072" t="str">
        <f>"00096410"</f>
        <v>00096410</v>
      </c>
      <c r="H1072">
        <v>825</v>
      </c>
      <c r="I1072">
        <v>0</v>
      </c>
      <c r="J1072">
        <v>0</v>
      </c>
      <c r="K1072">
        <v>0</v>
      </c>
      <c r="L1072">
        <v>0</v>
      </c>
      <c r="M1072">
        <v>0</v>
      </c>
      <c r="N1072">
        <v>0</v>
      </c>
      <c r="O1072">
        <v>0</v>
      </c>
      <c r="P1072">
        <v>0</v>
      </c>
      <c r="Q1072">
        <v>0</v>
      </c>
      <c r="R1072">
        <v>36</v>
      </c>
      <c r="S1072">
        <v>252</v>
      </c>
      <c r="V1072">
        <v>2</v>
      </c>
      <c r="W1072">
        <v>1077</v>
      </c>
    </row>
    <row r="1073" spans="1:23" x14ac:dyDescent="0.25">
      <c r="H1073" t="s">
        <v>1978</v>
      </c>
    </row>
    <row r="1074" spans="1:23" x14ac:dyDescent="0.25">
      <c r="A1074">
        <v>534</v>
      </c>
      <c r="B1074">
        <v>5075</v>
      </c>
      <c r="C1074" t="s">
        <v>1979</v>
      </c>
      <c r="D1074" t="s">
        <v>1067</v>
      </c>
      <c r="E1074" t="s">
        <v>849</v>
      </c>
      <c r="F1074" t="s">
        <v>1980</v>
      </c>
      <c r="G1074" t="str">
        <f>"00090002"</f>
        <v>00090002</v>
      </c>
      <c r="H1074" t="s">
        <v>1463</v>
      </c>
      <c r="I1074">
        <v>0</v>
      </c>
      <c r="J1074">
        <v>70</v>
      </c>
      <c r="K1074">
        <v>0</v>
      </c>
      <c r="L1074">
        <v>0</v>
      </c>
      <c r="M1074">
        <v>0</v>
      </c>
      <c r="N1074">
        <v>0</v>
      </c>
      <c r="O1074">
        <v>0</v>
      </c>
      <c r="P1074">
        <v>0</v>
      </c>
      <c r="Q1074">
        <v>0</v>
      </c>
      <c r="R1074">
        <v>0</v>
      </c>
      <c r="S1074">
        <v>0</v>
      </c>
      <c r="V1074">
        <v>0</v>
      </c>
      <c r="W1074" t="s">
        <v>1981</v>
      </c>
    </row>
    <row r="1075" spans="1:23" x14ac:dyDescent="0.25">
      <c r="H1075" t="s">
        <v>1982</v>
      </c>
    </row>
    <row r="1076" spans="1:23" x14ac:dyDescent="0.25">
      <c r="A1076">
        <v>535</v>
      </c>
      <c r="B1076">
        <v>8970</v>
      </c>
      <c r="C1076" t="s">
        <v>1983</v>
      </c>
      <c r="D1076" t="s">
        <v>31</v>
      </c>
      <c r="E1076" t="s">
        <v>1984</v>
      </c>
      <c r="F1076" t="s">
        <v>1985</v>
      </c>
      <c r="G1076" t="str">
        <f>"201511038767"</f>
        <v>201511038767</v>
      </c>
      <c r="H1076">
        <v>1045</v>
      </c>
      <c r="I1076">
        <v>0</v>
      </c>
      <c r="J1076">
        <v>30</v>
      </c>
      <c r="K1076">
        <v>0</v>
      </c>
      <c r="L1076">
        <v>0</v>
      </c>
      <c r="M1076">
        <v>0</v>
      </c>
      <c r="N1076">
        <v>0</v>
      </c>
      <c r="O1076">
        <v>0</v>
      </c>
      <c r="P1076">
        <v>0</v>
      </c>
      <c r="Q1076">
        <v>0</v>
      </c>
      <c r="R1076">
        <v>0</v>
      </c>
      <c r="S1076">
        <v>0</v>
      </c>
      <c r="V1076">
        <v>0</v>
      </c>
      <c r="W1076">
        <v>1075</v>
      </c>
    </row>
    <row r="1077" spans="1:23" x14ac:dyDescent="0.25">
      <c r="H1077" t="s">
        <v>1986</v>
      </c>
    </row>
    <row r="1078" spans="1:23" x14ac:dyDescent="0.25">
      <c r="A1078">
        <v>536</v>
      </c>
      <c r="B1078">
        <v>10369</v>
      </c>
      <c r="C1078" t="s">
        <v>1987</v>
      </c>
      <c r="D1078" t="s">
        <v>156</v>
      </c>
      <c r="E1078" t="s">
        <v>150</v>
      </c>
      <c r="F1078" t="s">
        <v>1988</v>
      </c>
      <c r="G1078" t="str">
        <f>"00076348"</f>
        <v>00076348</v>
      </c>
      <c r="H1078">
        <v>1045</v>
      </c>
      <c r="I1078">
        <v>0</v>
      </c>
      <c r="J1078">
        <v>30</v>
      </c>
      <c r="K1078">
        <v>0</v>
      </c>
      <c r="L1078">
        <v>0</v>
      </c>
      <c r="M1078">
        <v>0</v>
      </c>
      <c r="N1078">
        <v>0</v>
      </c>
      <c r="O1078">
        <v>0</v>
      </c>
      <c r="P1078">
        <v>0</v>
      </c>
      <c r="Q1078">
        <v>0</v>
      </c>
      <c r="R1078">
        <v>0</v>
      </c>
      <c r="S1078">
        <v>0</v>
      </c>
      <c r="V1078">
        <v>0</v>
      </c>
      <c r="W1078">
        <v>1075</v>
      </c>
    </row>
    <row r="1079" spans="1:23" x14ac:dyDescent="0.25">
      <c r="H1079" t="s">
        <v>1989</v>
      </c>
    </row>
    <row r="1080" spans="1:23" x14ac:dyDescent="0.25">
      <c r="A1080">
        <v>537</v>
      </c>
      <c r="B1080">
        <v>9173</v>
      </c>
      <c r="C1080" t="s">
        <v>1990</v>
      </c>
      <c r="D1080" t="s">
        <v>1991</v>
      </c>
      <c r="E1080" t="s">
        <v>47</v>
      </c>
      <c r="F1080" t="s">
        <v>1992</v>
      </c>
      <c r="G1080" t="str">
        <f>"00087716"</f>
        <v>00087716</v>
      </c>
      <c r="H1080">
        <v>1045</v>
      </c>
      <c r="I1080">
        <v>0</v>
      </c>
      <c r="J1080">
        <v>30</v>
      </c>
      <c r="K1080">
        <v>0</v>
      </c>
      <c r="L1080">
        <v>0</v>
      </c>
      <c r="M1080">
        <v>0</v>
      </c>
      <c r="N1080">
        <v>0</v>
      </c>
      <c r="O1080">
        <v>0</v>
      </c>
      <c r="P1080">
        <v>0</v>
      </c>
      <c r="Q1080">
        <v>0</v>
      </c>
      <c r="R1080">
        <v>0</v>
      </c>
      <c r="S1080">
        <v>0</v>
      </c>
      <c r="V1080">
        <v>0</v>
      </c>
      <c r="W1080">
        <v>1075</v>
      </c>
    </row>
    <row r="1081" spans="1:23" x14ac:dyDescent="0.25">
      <c r="H1081" t="s">
        <v>1993</v>
      </c>
    </row>
    <row r="1082" spans="1:23" x14ac:dyDescent="0.25">
      <c r="A1082">
        <v>538</v>
      </c>
      <c r="B1082">
        <v>7405</v>
      </c>
      <c r="C1082" t="s">
        <v>1994</v>
      </c>
      <c r="D1082" t="s">
        <v>1391</v>
      </c>
      <c r="E1082" t="s">
        <v>87</v>
      </c>
      <c r="F1082" t="s">
        <v>1995</v>
      </c>
      <c r="G1082" t="str">
        <f>"00095571"</f>
        <v>00095571</v>
      </c>
      <c r="H1082" t="s">
        <v>1996</v>
      </c>
      <c r="I1082">
        <v>0</v>
      </c>
      <c r="J1082">
        <v>0</v>
      </c>
      <c r="K1082">
        <v>0</v>
      </c>
      <c r="L1082">
        <v>0</v>
      </c>
      <c r="M1082">
        <v>0</v>
      </c>
      <c r="N1082">
        <v>0</v>
      </c>
      <c r="O1082">
        <v>0</v>
      </c>
      <c r="P1082">
        <v>0</v>
      </c>
      <c r="Q1082">
        <v>0</v>
      </c>
      <c r="R1082">
        <v>0</v>
      </c>
      <c r="S1082">
        <v>0</v>
      </c>
      <c r="T1082">
        <v>6</v>
      </c>
      <c r="U1082" t="s">
        <v>731</v>
      </c>
      <c r="V1082">
        <v>0</v>
      </c>
      <c r="W1082" t="s">
        <v>1996</v>
      </c>
    </row>
    <row r="1083" spans="1:23" x14ac:dyDescent="0.25">
      <c r="H1083" t="s">
        <v>1473</v>
      </c>
    </row>
    <row r="1084" spans="1:23" x14ac:dyDescent="0.25">
      <c r="A1084">
        <v>539</v>
      </c>
      <c r="B1084">
        <v>9549</v>
      </c>
      <c r="C1084" t="s">
        <v>1997</v>
      </c>
      <c r="D1084" t="s">
        <v>1998</v>
      </c>
      <c r="E1084" t="s">
        <v>1999</v>
      </c>
      <c r="F1084" t="s">
        <v>2000</v>
      </c>
      <c r="G1084" t="str">
        <f>"00049768"</f>
        <v>00049768</v>
      </c>
      <c r="H1084" t="s">
        <v>1996</v>
      </c>
      <c r="I1084">
        <v>0</v>
      </c>
      <c r="J1084">
        <v>0</v>
      </c>
      <c r="K1084">
        <v>0</v>
      </c>
      <c r="L1084">
        <v>0</v>
      </c>
      <c r="M1084">
        <v>0</v>
      </c>
      <c r="N1084">
        <v>0</v>
      </c>
      <c r="O1084">
        <v>0</v>
      </c>
      <c r="P1084">
        <v>0</v>
      </c>
      <c r="Q1084">
        <v>0</v>
      </c>
      <c r="R1084">
        <v>0</v>
      </c>
      <c r="S1084">
        <v>0</v>
      </c>
      <c r="V1084">
        <v>0</v>
      </c>
      <c r="W1084" t="s">
        <v>1996</v>
      </c>
    </row>
    <row r="1085" spans="1:23" x14ac:dyDescent="0.25">
      <c r="H1085" t="s">
        <v>2001</v>
      </c>
    </row>
    <row r="1086" spans="1:23" x14ac:dyDescent="0.25">
      <c r="A1086">
        <v>540</v>
      </c>
      <c r="B1086">
        <v>3111</v>
      </c>
      <c r="C1086" t="s">
        <v>2002</v>
      </c>
      <c r="D1086" t="s">
        <v>31</v>
      </c>
      <c r="E1086" t="s">
        <v>42</v>
      </c>
      <c r="F1086" t="s">
        <v>2003</v>
      </c>
      <c r="G1086" t="str">
        <f>"201511039649"</f>
        <v>201511039649</v>
      </c>
      <c r="H1086" t="s">
        <v>274</v>
      </c>
      <c r="I1086">
        <v>0</v>
      </c>
      <c r="J1086">
        <v>70</v>
      </c>
      <c r="K1086">
        <v>0</v>
      </c>
      <c r="L1086">
        <v>0</v>
      </c>
      <c r="M1086">
        <v>0</v>
      </c>
      <c r="N1086">
        <v>0</v>
      </c>
      <c r="O1086">
        <v>0</v>
      </c>
      <c r="P1086">
        <v>0</v>
      </c>
      <c r="Q1086">
        <v>0</v>
      </c>
      <c r="R1086">
        <v>0</v>
      </c>
      <c r="S1086">
        <v>0</v>
      </c>
      <c r="V1086">
        <v>0</v>
      </c>
      <c r="W1086" t="s">
        <v>2004</v>
      </c>
    </row>
    <row r="1087" spans="1:23" x14ac:dyDescent="0.25">
      <c r="H1087" t="s">
        <v>2005</v>
      </c>
    </row>
    <row r="1088" spans="1:23" x14ac:dyDescent="0.25">
      <c r="A1088">
        <v>541</v>
      </c>
      <c r="B1088">
        <v>4798</v>
      </c>
      <c r="C1088" t="s">
        <v>2006</v>
      </c>
      <c r="D1088" t="s">
        <v>1947</v>
      </c>
      <c r="E1088" t="s">
        <v>42</v>
      </c>
      <c r="F1088" t="s">
        <v>2007</v>
      </c>
      <c r="G1088" t="str">
        <f>"201511011703"</f>
        <v>201511011703</v>
      </c>
      <c r="H1088">
        <v>990</v>
      </c>
      <c r="I1088">
        <v>0</v>
      </c>
      <c r="J1088">
        <v>0</v>
      </c>
      <c r="K1088">
        <v>0</v>
      </c>
      <c r="L1088">
        <v>0</v>
      </c>
      <c r="M1088">
        <v>0</v>
      </c>
      <c r="N1088">
        <v>0</v>
      </c>
      <c r="O1088">
        <v>0</v>
      </c>
      <c r="P1088">
        <v>0</v>
      </c>
      <c r="Q1088">
        <v>0</v>
      </c>
      <c r="R1088">
        <v>12</v>
      </c>
      <c r="S1088">
        <v>84</v>
      </c>
      <c r="V1088">
        <v>0</v>
      </c>
      <c r="W1088">
        <v>1074</v>
      </c>
    </row>
    <row r="1089" spans="1:23" x14ac:dyDescent="0.25">
      <c r="H1089" t="s">
        <v>2008</v>
      </c>
    </row>
    <row r="1090" spans="1:23" x14ac:dyDescent="0.25">
      <c r="A1090">
        <v>542</v>
      </c>
      <c r="B1090">
        <v>3527</v>
      </c>
      <c r="C1090" t="s">
        <v>2009</v>
      </c>
      <c r="D1090" t="s">
        <v>156</v>
      </c>
      <c r="E1090" t="s">
        <v>42</v>
      </c>
      <c r="F1090" t="s">
        <v>2010</v>
      </c>
      <c r="G1090" t="str">
        <f>"00092885"</f>
        <v>00092885</v>
      </c>
      <c r="H1090">
        <v>825</v>
      </c>
      <c r="I1090">
        <v>150</v>
      </c>
      <c r="J1090">
        <v>0</v>
      </c>
      <c r="K1090">
        <v>0</v>
      </c>
      <c r="L1090">
        <v>0</v>
      </c>
      <c r="M1090">
        <v>0</v>
      </c>
      <c r="N1090">
        <v>0</v>
      </c>
      <c r="O1090">
        <v>0</v>
      </c>
      <c r="P1090">
        <v>0</v>
      </c>
      <c r="Q1090">
        <v>0</v>
      </c>
      <c r="R1090">
        <v>14</v>
      </c>
      <c r="S1090">
        <v>98</v>
      </c>
      <c r="V1090">
        <v>0</v>
      </c>
      <c r="W1090">
        <v>1073</v>
      </c>
    </row>
    <row r="1091" spans="1:23" x14ac:dyDescent="0.25">
      <c r="H1091" t="s">
        <v>2011</v>
      </c>
    </row>
    <row r="1092" spans="1:23" x14ac:dyDescent="0.25">
      <c r="A1092">
        <v>543</v>
      </c>
      <c r="B1092">
        <v>514</v>
      </c>
      <c r="C1092" t="s">
        <v>2012</v>
      </c>
      <c r="D1092" t="s">
        <v>140</v>
      </c>
      <c r="E1092" t="s">
        <v>95</v>
      </c>
      <c r="F1092" t="s">
        <v>2013</v>
      </c>
      <c r="G1092" t="str">
        <f>"201511039994"</f>
        <v>201511039994</v>
      </c>
      <c r="H1092">
        <v>660</v>
      </c>
      <c r="I1092">
        <v>0</v>
      </c>
      <c r="J1092">
        <v>0</v>
      </c>
      <c r="K1092">
        <v>0</v>
      </c>
      <c r="L1092">
        <v>0</v>
      </c>
      <c r="M1092">
        <v>0</v>
      </c>
      <c r="N1092">
        <v>0</v>
      </c>
      <c r="O1092">
        <v>0</v>
      </c>
      <c r="P1092">
        <v>0</v>
      </c>
      <c r="Q1092">
        <v>0</v>
      </c>
      <c r="R1092">
        <v>59</v>
      </c>
      <c r="S1092">
        <v>413</v>
      </c>
      <c r="V1092">
        <v>1</v>
      </c>
      <c r="W1092">
        <v>1073</v>
      </c>
    </row>
    <row r="1093" spans="1:23" x14ac:dyDescent="0.25">
      <c r="H1093" t="s">
        <v>2014</v>
      </c>
    </row>
    <row r="1094" spans="1:23" x14ac:dyDescent="0.25">
      <c r="A1094">
        <v>544</v>
      </c>
      <c r="B1094">
        <v>9803</v>
      </c>
      <c r="C1094" t="s">
        <v>2015</v>
      </c>
      <c r="D1094" t="s">
        <v>31</v>
      </c>
      <c r="E1094" t="s">
        <v>218</v>
      </c>
      <c r="F1094" t="s">
        <v>2016</v>
      </c>
      <c r="G1094" t="str">
        <f>"201511010336"</f>
        <v>201511010336</v>
      </c>
      <c r="H1094" t="s">
        <v>609</v>
      </c>
      <c r="I1094">
        <v>0</v>
      </c>
      <c r="J1094">
        <v>0</v>
      </c>
      <c r="K1094">
        <v>0</v>
      </c>
      <c r="L1094">
        <v>0</v>
      </c>
      <c r="M1094">
        <v>0</v>
      </c>
      <c r="N1094">
        <v>0</v>
      </c>
      <c r="O1094">
        <v>0</v>
      </c>
      <c r="P1094">
        <v>0</v>
      </c>
      <c r="Q1094">
        <v>0</v>
      </c>
      <c r="R1094">
        <v>0</v>
      </c>
      <c r="S1094">
        <v>0</v>
      </c>
      <c r="V1094">
        <v>0</v>
      </c>
      <c r="W1094" t="s">
        <v>609</v>
      </c>
    </row>
    <row r="1095" spans="1:23" x14ac:dyDescent="0.25">
      <c r="H1095" t="s">
        <v>2017</v>
      </c>
    </row>
    <row r="1096" spans="1:23" x14ac:dyDescent="0.25">
      <c r="A1096">
        <v>545</v>
      </c>
      <c r="B1096">
        <v>6840</v>
      </c>
      <c r="C1096" t="s">
        <v>2018</v>
      </c>
      <c r="D1096" t="s">
        <v>121</v>
      </c>
      <c r="E1096" t="s">
        <v>877</v>
      </c>
      <c r="F1096" t="s">
        <v>2019</v>
      </c>
      <c r="G1096" t="str">
        <f>"201511028998"</f>
        <v>201511028998</v>
      </c>
      <c r="H1096" t="s">
        <v>609</v>
      </c>
      <c r="I1096">
        <v>0</v>
      </c>
      <c r="J1096">
        <v>0</v>
      </c>
      <c r="K1096">
        <v>0</v>
      </c>
      <c r="L1096">
        <v>0</v>
      </c>
      <c r="M1096">
        <v>0</v>
      </c>
      <c r="N1096">
        <v>0</v>
      </c>
      <c r="O1096">
        <v>0</v>
      </c>
      <c r="P1096">
        <v>0</v>
      </c>
      <c r="Q1096">
        <v>0</v>
      </c>
      <c r="R1096">
        <v>0</v>
      </c>
      <c r="S1096">
        <v>0</v>
      </c>
      <c r="V1096">
        <v>0</v>
      </c>
      <c r="W1096" t="s">
        <v>609</v>
      </c>
    </row>
    <row r="1097" spans="1:23" x14ac:dyDescent="0.25">
      <c r="H1097">
        <v>918</v>
      </c>
    </row>
    <row r="1098" spans="1:23" x14ac:dyDescent="0.25">
      <c r="A1098">
        <v>546</v>
      </c>
      <c r="B1098">
        <v>10215</v>
      </c>
      <c r="C1098" t="s">
        <v>2020</v>
      </c>
      <c r="D1098" t="s">
        <v>2021</v>
      </c>
      <c r="E1098" t="s">
        <v>2022</v>
      </c>
      <c r="F1098" t="s">
        <v>2023</v>
      </c>
      <c r="G1098" t="str">
        <f>"201512002909"</f>
        <v>201512002909</v>
      </c>
      <c r="H1098">
        <v>1001</v>
      </c>
      <c r="I1098">
        <v>0</v>
      </c>
      <c r="J1098">
        <v>0</v>
      </c>
      <c r="K1098">
        <v>0</v>
      </c>
      <c r="L1098">
        <v>0</v>
      </c>
      <c r="M1098">
        <v>0</v>
      </c>
      <c r="N1098">
        <v>0</v>
      </c>
      <c r="O1098">
        <v>0</v>
      </c>
      <c r="P1098">
        <v>0</v>
      </c>
      <c r="Q1098">
        <v>70</v>
      </c>
      <c r="R1098">
        <v>0</v>
      </c>
      <c r="S1098">
        <v>0</v>
      </c>
      <c r="V1098">
        <v>0</v>
      </c>
      <c r="W1098">
        <v>1071</v>
      </c>
    </row>
    <row r="1099" spans="1:23" x14ac:dyDescent="0.25">
      <c r="H1099" t="s">
        <v>2024</v>
      </c>
    </row>
    <row r="1100" spans="1:23" x14ac:dyDescent="0.25">
      <c r="A1100">
        <v>547</v>
      </c>
      <c r="B1100">
        <v>960</v>
      </c>
      <c r="C1100" t="s">
        <v>2025</v>
      </c>
      <c r="D1100" t="s">
        <v>465</v>
      </c>
      <c r="E1100" t="s">
        <v>26</v>
      </c>
      <c r="F1100" t="s">
        <v>2026</v>
      </c>
      <c r="G1100" t="str">
        <f>"201511037791"</f>
        <v>201511037791</v>
      </c>
      <c r="H1100">
        <v>770</v>
      </c>
      <c r="I1100">
        <v>0</v>
      </c>
      <c r="J1100">
        <v>0</v>
      </c>
      <c r="K1100">
        <v>0</v>
      </c>
      <c r="L1100">
        <v>0</v>
      </c>
      <c r="M1100">
        <v>0</v>
      </c>
      <c r="N1100">
        <v>0</v>
      </c>
      <c r="O1100">
        <v>0</v>
      </c>
      <c r="P1100">
        <v>0</v>
      </c>
      <c r="Q1100">
        <v>0</v>
      </c>
      <c r="R1100">
        <v>43</v>
      </c>
      <c r="S1100">
        <v>301</v>
      </c>
      <c r="V1100">
        <v>0</v>
      </c>
      <c r="W1100">
        <v>1071</v>
      </c>
    </row>
    <row r="1101" spans="1:23" x14ac:dyDescent="0.25">
      <c r="H1101" t="s">
        <v>2027</v>
      </c>
    </row>
    <row r="1102" spans="1:23" x14ac:dyDescent="0.25">
      <c r="A1102">
        <v>548</v>
      </c>
      <c r="B1102">
        <v>960</v>
      </c>
      <c r="C1102" t="s">
        <v>2025</v>
      </c>
      <c r="D1102" t="s">
        <v>465</v>
      </c>
      <c r="E1102" t="s">
        <v>26</v>
      </c>
      <c r="F1102" t="s">
        <v>2026</v>
      </c>
      <c r="G1102" t="str">
        <f>"201511037791"</f>
        <v>201511037791</v>
      </c>
      <c r="H1102">
        <v>770</v>
      </c>
      <c r="I1102">
        <v>0</v>
      </c>
      <c r="J1102">
        <v>0</v>
      </c>
      <c r="K1102">
        <v>0</v>
      </c>
      <c r="L1102">
        <v>0</v>
      </c>
      <c r="M1102">
        <v>0</v>
      </c>
      <c r="N1102">
        <v>0</v>
      </c>
      <c r="O1102">
        <v>0</v>
      </c>
      <c r="P1102">
        <v>0</v>
      </c>
      <c r="Q1102">
        <v>0</v>
      </c>
      <c r="R1102">
        <v>43</v>
      </c>
      <c r="S1102">
        <v>301</v>
      </c>
      <c r="T1102">
        <v>6</v>
      </c>
      <c r="U1102">
        <v>935</v>
      </c>
      <c r="V1102">
        <v>0</v>
      </c>
      <c r="W1102">
        <v>1071</v>
      </c>
    </row>
    <row r="1103" spans="1:23" x14ac:dyDescent="0.25">
      <c r="H1103" t="s">
        <v>2027</v>
      </c>
    </row>
    <row r="1104" spans="1:23" x14ac:dyDescent="0.25">
      <c r="A1104">
        <v>549</v>
      </c>
      <c r="B1104">
        <v>4204</v>
      </c>
      <c r="C1104" t="s">
        <v>2028</v>
      </c>
      <c r="D1104" t="s">
        <v>218</v>
      </c>
      <c r="E1104" t="s">
        <v>2029</v>
      </c>
      <c r="F1104" t="s">
        <v>2030</v>
      </c>
      <c r="G1104" t="str">
        <f>"201511035329"</f>
        <v>201511035329</v>
      </c>
      <c r="H1104" t="s">
        <v>2031</v>
      </c>
      <c r="I1104">
        <v>150</v>
      </c>
      <c r="J1104">
        <v>30</v>
      </c>
      <c r="K1104">
        <v>0</v>
      </c>
      <c r="L1104">
        <v>0</v>
      </c>
      <c r="M1104">
        <v>0</v>
      </c>
      <c r="N1104">
        <v>0</v>
      </c>
      <c r="O1104">
        <v>0</v>
      </c>
      <c r="P1104">
        <v>0</v>
      </c>
      <c r="Q1104">
        <v>0</v>
      </c>
      <c r="R1104">
        <v>16</v>
      </c>
      <c r="S1104">
        <v>112</v>
      </c>
      <c r="V1104">
        <v>0</v>
      </c>
      <c r="W1104" t="s">
        <v>2032</v>
      </c>
    </row>
    <row r="1105" spans="1:23" x14ac:dyDescent="0.25">
      <c r="H1105" t="s">
        <v>2033</v>
      </c>
    </row>
    <row r="1106" spans="1:23" x14ac:dyDescent="0.25">
      <c r="A1106">
        <v>550</v>
      </c>
      <c r="B1106">
        <v>3191</v>
      </c>
      <c r="C1106" t="s">
        <v>2034</v>
      </c>
      <c r="D1106" t="s">
        <v>352</v>
      </c>
      <c r="E1106" t="s">
        <v>533</v>
      </c>
      <c r="F1106" t="s">
        <v>2035</v>
      </c>
      <c r="G1106" t="str">
        <f>"201406008289"</f>
        <v>201406008289</v>
      </c>
      <c r="H1106" t="s">
        <v>334</v>
      </c>
      <c r="I1106">
        <v>0</v>
      </c>
      <c r="J1106">
        <v>30</v>
      </c>
      <c r="K1106">
        <v>0</v>
      </c>
      <c r="L1106">
        <v>0</v>
      </c>
      <c r="M1106">
        <v>0</v>
      </c>
      <c r="N1106">
        <v>0</v>
      </c>
      <c r="O1106">
        <v>0</v>
      </c>
      <c r="P1106">
        <v>0</v>
      </c>
      <c r="Q1106">
        <v>0</v>
      </c>
      <c r="R1106">
        <v>0</v>
      </c>
      <c r="S1106">
        <v>0</v>
      </c>
      <c r="V1106">
        <v>0</v>
      </c>
      <c r="W1106" t="s">
        <v>2036</v>
      </c>
    </row>
    <row r="1107" spans="1:23" x14ac:dyDescent="0.25">
      <c r="H1107" t="s">
        <v>1041</v>
      </c>
    </row>
    <row r="1108" spans="1:23" x14ac:dyDescent="0.25">
      <c r="A1108">
        <v>551</v>
      </c>
      <c r="B1108">
        <v>9703</v>
      </c>
      <c r="C1108" t="s">
        <v>2037</v>
      </c>
      <c r="D1108" t="s">
        <v>71</v>
      </c>
      <c r="E1108" t="s">
        <v>83</v>
      </c>
      <c r="F1108" t="s">
        <v>2038</v>
      </c>
      <c r="G1108" t="str">
        <f>"201511031755"</f>
        <v>201511031755</v>
      </c>
      <c r="H1108" t="s">
        <v>334</v>
      </c>
      <c r="I1108">
        <v>0</v>
      </c>
      <c r="J1108">
        <v>30</v>
      </c>
      <c r="K1108">
        <v>0</v>
      </c>
      <c r="L1108">
        <v>0</v>
      </c>
      <c r="M1108">
        <v>0</v>
      </c>
      <c r="N1108">
        <v>0</v>
      </c>
      <c r="O1108">
        <v>0</v>
      </c>
      <c r="P1108">
        <v>0</v>
      </c>
      <c r="Q1108">
        <v>0</v>
      </c>
      <c r="R1108">
        <v>0</v>
      </c>
      <c r="S1108">
        <v>0</v>
      </c>
      <c r="V1108">
        <v>0</v>
      </c>
      <c r="W1108" t="s">
        <v>2036</v>
      </c>
    </row>
    <row r="1109" spans="1:23" x14ac:dyDescent="0.25">
      <c r="H1109" t="s">
        <v>2039</v>
      </c>
    </row>
    <row r="1110" spans="1:23" x14ac:dyDescent="0.25">
      <c r="A1110">
        <v>552</v>
      </c>
      <c r="B1110">
        <v>9192</v>
      </c>
      <c r="C1110" t="s">
        <v>197</v>
      </c>
      <c r="D1110" t="s">
        <v>2040</v>
      </c>
      <c r="E1110" t="s">
        <v>370</v>
      </c>
      <c r="F1110" t="s">
        <v>2041</v>
      </c>
      <c r="G1110" t="str">
        <f>"201511040898"</f>
        <v>201511040898</v>
      </c>
      <c r="H1110" t="s">
        <v>152</v>
      </c>
      <c r="I1110">
        <v>0</v>
      </c>
      <c r="J1110">
        <v>0</v>
      </c>
      <c r="K1110">
        <v>0</v>
      </c>
      <c r="L1110">
        <v>0</v>
      </c>
      <c r="M1110">
        <v>0</v>
      </c>
      <c r="N1110">
        <v>0</v>
      </c>
      <c r="O1110">
        <v>0</v>
      </c>
      <c r="P1110">
        <v>0</v>
      </c>
      <c r="Q1110">
        <v>0</v>
      </c>
      <c r="R1110">
        <v>0</v>
      </c>
      <c r="S1110">
        <v>0</v>
      </c>
      <c r="V1110">
        <v>1</v>
      </c>
      <c r="W1110" t="s">
        <v>152</v>
      </c>
    </row>
    <row r="1111" spans="1:23" x14ac:dyDescent="0.25">
      <c r="H1111" t="s">
        <v>2042</v>
      </c>
    </row>
    <row r="1112" spans="1:23" x14ac:dyDescent="0.25">
      <c r="A1112">
        <v>553</v>
      </c>
      <c r="B1112">
        <v>8935</v>
      </c>
      <c r="C1112" t="s">
        <v>2043</v>
      </c>
      <c r="D1112" t="s">
        <v>352</v>
      </c>
      <c r="E1112" t="s">
        <v>87</v>
      </c>
      <c r="F1112" t="s">
        <v>2044</v>
      </c>
      <c r="G1112" t="str">
        <f>"200802003129"</f>
        <v>200802003129</v>
      </c>
      <c r="H1112" t="s">
        <v>162</v>
      </c>
      <c r="I1112">
        <v>0</v>
      </c>
      <c r="J1112">
        <v>0</v>
      </c>
      <c r="K1112">
        <v>0</v>
      </c>
      <c r="L1112">
        <v>0</v>
      </c>
      <c r="M1112">
        <v>0</v>
      </c>
      <c r="N1112">
        <v>0</v>
      </c>
      <c r="O1112">
        <v>0</v>
      </c>
      <c r="P1112">
        <v>0</v>
      </c>
      <c r="Q1112">
        <v>0</v>
      </c>
      <c r="R1112">
        <v>0</v>
      </c>
      <c r="S1112">
        <v>0</v>
      </c>
      <c r="T1112">
        <v>6</v>
      </c>
      <c r="U1112">
        <v>915</v>
      </c>
      <c r="V1112">
        <v>0</v>
      </c>
      <c r="W1112" t="s">
        <v>162</v>
      </c>
    </row>
    <row r="1113" spans="1:23" x14ac:dyDescent="0.25">
      <c r="H1113">
        <v>915</v>
      </c>
    </row>
    <row r="1114" spans="1:23" x14ac:dyDescent="0.25">
      <c r="A1114">
        <v>554</v>
      </c>
      <c r="B1114">
        <v>824</v>
      </c>
      <c r="C1114" t="s">
        <v>2045</v>
      </c>
      <c r="D1114" t="s">
        <v>14</v>
      </c>
      <c r="E1114" t="s">
        <v>95</v>
      </c>
      <c r="F1114" t="s">
        <v>2046</v>
      </c>
      <c r="G1114" t="str">
        <f>"00049375"</f>
        <v>00049375</v>
      </c>
      <c r="H1114">
        <v>660</v>
      </c>
      <c r="I1114">
        <v>0</v>
      </c>
      <c r="J1114">
        <v>30</v>
      </c>
      <c r="K1114">
        <v>0</v>
      </c>
      <c r="L1114">
        <v>0</v>
      </c>
      <c r="M1114">
        <v>0</v>
      </c>
      <c r="N1114">
        <v>0</v>
      </c>
      <c r="O1114">
        <v>0</v>
      </c>
      <c r="P1114">
        <v>0</v>
      </c>
      <c r="Q1114">
        <v>0</v>
      </c>
      <c r="R1114">
        <v>53</v>
      </c>
      <c r="S1114">
        <v>371</v>
      </c>
      <c r="V1114">
        <v>0</v>
      </c>
      <c r="W1114">
        <v>1061</v>
      </c>
    </row>
    <row r="1115" spans="1:23" x14ac:dyDescent="0.25">
      <c r="H1115" t="s">
        <v>2047</v>
      </c>
    </row>
    <row r="1116" spans="1:23" x14ac:dyDescent="0.25">
      <c r="A1116">
        <v>555</v>
      </c>
      <c r="B1116">
        <v>7272</v>
      </c>
      <c r="C1116" t="s">
        <v>2048</v>
      </c>
      <c r="D1116" t="s">
        <v>31</v>
      </c>
      <c r="E1116" t="s">
        <v>71</v>
      </c>
      <c r="F1116" t="s">
        <v>2049</v>
      </c>
      <c r="G1116" t="str">
        <f>"201102000466"</f>
        <v>201102000466</v>
      </c>
      <c r="H1116">
        <v>990</v>
      </c>
      <c r="I1116">
        <v>0</v>
      </c>
      <c r="J1116">
        <v>70</v>
      </c>
      <c r="K1116">
        <v>0</v>
      </c>
      <c r="L1116">
        <v>0</v>
      </c>
      <c r="M1116">
        <v>0</v>
      </c>
      <c r="N1116">
        <v>0</v>
      </c>
      <c r="O1116">
        <v>0</v>
      </c>
      <c r="P1116">
        <v>0</v>
      </c>
      <c r="Q1116">
        <v>0</v>
      </c>
      <c r="R1116">
        <v>0</v>
      </c>
      <c r="S1116">
        <v>0</v>
      </c>
      <c r="V1116">
        <v>0</v>
      </c>
      <c r="W1116">
        <v>1060</v>
      </c>
    </row>
    <row r="1117" spans="1:23" x14ac:dyDescent="0.25">
      <c r="H1117" t="s">
        <v>2050</v>
      </c>
    </row>
    <row r="1118" spans="1:23" x14ac:dyDescent="0.25">
      <c r="A1118">
        <v>556</v>
      </c>
      <c r="B1118">
        <v>8909</v>
      </c>
      <c r="C1118" t="s">
        <v>2051</v>
      </c>
      <c r="D1118" t="s">
        <v>247</v>
      </c>
      <c r="E1118" t="s">
        <v>2052</v>
      </c>
      <c r="F1118" t="s">
        <v>2053</v>
      </c>
      <c r="G1118" t="str">
        <f>"201511027396"</f>
        <v>201511027396</v>
      </c>
      <c r="H1118">
        <v>990</v>
      </c>
      <c r="I1118">
        <v>0</v>
      </c>
      <c r="J1118">
        <v>70</v>
      </c>
      <c r="K1118">
        <v>0</v>
      </c>
      <c r="L1118">
        <v>0</v>
      </c>
      <c r="M1118">
        <v>0</v>
      </c>
      <c r="N1118">
        <v>0</v>
      </c>
      <c r="O1118">
        <v>0</v>
      </c>
      <c r="P1118">
        <v>0</v>
      </c>
      <c r="Q1118">
        <v>0</v>
      </c>
      <c r="R1118">
        <v>0</v>
      </c>
      <c r="S1118">
        <v>0</v>
      </c>
      <c r="V1118">
        <v>0</v>
      </c>
      <c r="W1118">
        <v>1060</v>
      </c>
    </row>
    <row r="1119" spans="1:23" x14ac:dyDescent="0.25">
      <c r="H1119" t="s">
        <v>2054</v>
      </c>
    </row>
    <row r="1120" spans="1:23" x14ac:dyDescent="0.25">
      <c r="A1120">
        <v>557</v>
      </c>
      <c r="B1120">
        <v>5149</v>
      </c>
      <c r="C1120" t="s">
        <v>1721</v>
      </c>
      <c r="D1120" t="s">
        <v>1970</v>
      </c>
      <c r="E1120" t="s">
        <v>21</v>
      </c>
      <c r="F1120" t="s">
        <v>2055</v>
      </c>
      <c r="G1120" t="str">
        <f>"201511027692"</f>
        <v>201511027692</v>
      </c>
      <c r="H1120">
        <v>880</v>
      </c>
      <c r="I1120">
        <v>150</v>
      </c>
      <c r="J1120">
        <v>30</v>
      </c>
      <c r="K1120">
        <v>0</v>
      </c>
      <c r="L1120">
        <v>0</v>
      </c>
      <c r="M1120">
        <v>0</v>
      </c>
      <c r="N1120">
        <v>0</v>
      </c>
      <c r="O1120">
        <v>0</v>
      </c>
      <c r="P1120">
        <v>0</v>
      </c>
      <c r="Q1120">
        <v>0</v>
      </c>
      <c r="R1120">
        <v>0</v>
      </c>
      <c r="S1120">
        <v>0</v>
      </c>
      <c r="V1120">
        <v>0</v>
      </c>
      <c r="W1120">
        <v>1060</v>
      </c>
    </row>
    <row r="1121" spans="1:23" x14ac:dyDescent="0.25">
      <c r="H1121" t="s">
        <v>2056</v>
      </c>
    </row>
    <row r="1122" spans="1:23" x14ac:dyDescent="0.25">
      <c r="A1122">
        <v>558</v>
      </c>
      <c r="B1122">
        <v>8609</v>
      </c>
      <c r="C1122" t="s">
        <v>2057</v>
      </c>
      <c r="D1122" t="s">
        <v>126</v>
      </c>
      <c r="E1122" t="s">
        <v>21</v>
      </c>
      <c r="F1122" t="s">
        <v>2058</v>
      </c>
      <c r="G1122" t="str">
        <f>"201511010155"</f>
        <v>201511010155</v>
      </c>
      <c r="H1122">
        <v>880</v>
      </c>
      <c r="I1122">
        <v>150</v>
      </c>
      <c r="J1122">
        <v>30</v>
      </c>
      <c r="K1122">
        <v>0</v>
      </c>
      <c r="L1122">
        <v>0</v>
      </c>
      <c r="M1122">
        <v>0</v>
      </c>
      <c r="N1122">
        <v>0</v>
      </c>
      <c r="O1122">
        <v>0</v>
      </c>
      <c r="P1122">
        <v>0</v>
      </c>
      <c r="Q1122">
        <v>0</v>
      </c>
      <c r="R1122">
        <v>0</v>
      </c>
      <c r="S1122">
        <v>0</v>
      </c>
      <c r="V1122">
        <v>2</v>
      </c>
      <c r="W1122">
        <v>1060</v>
      </c>
    </row>
    <row r="1123" spans="1:23" x14ac:dyDescent="0.25">
      <c r="H1123" t="s">
        <v>2059</v>
      </c>
    </row>
    <row r="1124" spans="1:23" x14ac:dyDescent="0.25">
      <c r="A1124">
        <v>559</v>
      </c>
      <c r="B1124">
        <v>1340</v>
      </c>
      <c r="C1124" t="s">
        <v>1583</v>
      </c>
      <c r="D1124" t="s">
        <v>1584</v>
      </c>
      <c r="E1124" t="s">
        <v>1585</v>
      </c>
      <c r="F1124" t="s">
        <v>1586</v>
      </c>
      <c r="G1124" t="str">
        <f>"00075032"</f>
        <v>00075032</v>
      </c>
      <c r="H1124" t="s">
        <v>90</v>
      </c>
      <c r="I1124">
        <v>0</v>
      </c>
      <c r="J1124">
        <v>0</v>
      </c>
      <c r="K1124">
        <v>0</v>
      </c>
      <c r="L1124">
        <v>0</v>
      </c>
      <c r="M1124">
        <v>0</v>
      </c>
      <c r="N1124">
        <v>0</v>
      </c>
      <c r="O1124">
        <v>0</v>
      </c>
      <c r="P1124">
        <v>0</v>
      </c>
      <c r="Q1124">
        <v>0</v>
      </c>
      <c r="R1124">
        <v>0</v>
      </c>
      <c r="S1124">
        <v>0</v>
      </c>
      <c r="V1124">
        <v>0</v>
      </c>
      <c r="W1124" t="s">
        <v>90</v>
      </c>
    </row>
    <row r="1125" spans="1:23" x14ac:dyDescent="0.25">
      <c r="H1125" t="s">
        <v>1588</v>
      </c>
    </row>
    <row r="1126" spans="1:23" x14ac:dyDescent="0.25">
      <c r="A1126">
        <v>560</v>
      </c>
      <c r="B1126">
        <v>6558</v>
      </c>
      <c r="C1126" t="s">
        <v>2060</v>
      </c>
      <c r="D1126" t="s">
        <v>2061</v>
      </c>
      <c r="E1126" t="s">
        <v>218</v>
      </c>
      <c r="F1126" t="s">
        <v>2062</v>
      </c>
      <c r="G1126" t="str">
        <f>"201511032391"</f>
        <v>201511032391</v>
      </c>
      <c r="H1126" t="s">
        <v>1060</v>
      </c>
      <c r="I1126">
        <v>150</v>
      </c>
      <c r="J1126">
        <v>0</v>
      </c>
      <c r="K1126">
        <v>0</v>
      </c>
      <c r="L1126">
        <v>0</v>
      </c>
      <c r="M1126">
        <v>0</v>
      </c>
      <c r="N1126">
        <v>0</v>
      </c>
      <c r="O1126">
        <v>0</v>
      </c>
      <c r="P1126">
        <v>0</v>
      </c>
      <c r="Q1126">
        <v>0</v>
      </c>
      <c r="R1126">
        <v>17</v>
      </c>
      <c r="S1126">
        <v>119</v>
      </c>
      <c r="V1126">
        <v>0</v>
      </c>
      <c r="W1126" t="s">
        <v>2063</v>
      </c>
    </row>
    <row r="1127" spans="1:23" x14ac:dyDescent="0.25">
      <c r="H1127" t="s">
        <v>2064</v>
      </c>
    </row>
    <row r="1128" spans="1:23" x14ac:dyDescent="0.25">
      <c r="A1128">
        <v>561</v>
      </c>
      <c r="B1128">
        <v>7320</v>
      </c>
      <c r="C1128" t="s">
        <v>2065</v>
      </c>
      <c r="D1128" t="s">
        <v>629</v>
      </c>
      <c r="E1128" t="s">
        <v>42</v>
      </c>
      <c r="F1128" t="s">
        <v>2066</v>
      </c>
      <c r="G1128" t="str">
        <f>"201406007466"</f>
        <v>201406007466</v>
      </c>
      <c r="H1128" t="s">
        <v>287</v>
      </c>
      <c r="I1128">
        <v>0</v>
      </c>
      <c r="J1128">
        <v>30</v>
      </c>
      <c r="K1128">
        <v>0</v>
      </c>
      <c r="L1128">
        <v>0</v>
      </c>
      <c r="M1128">
        <v>0</v>
      </c>
      <c r="N1128">
        <v>0</v>
      </c>
      <c r="O1128">
        <v>0</v>
      </c>
      <c r="P1128">
        <v>0</v>
      </c>
      <c r="Q1128">
        <v>0</v>
      </c>
      <c r="R1128">
        <v>0</v>
      </c>
      <c r="S1128">
        <v>0</v>
      </c>
      <c r="T1128">
        <v>6</v>
      </c>
      <c r="U1128">
        <v>906</v>
      </c>
      <c r="V1128">
        <v>0</v>
      </c>
      <c r="W1128" t="s">
        <v>2067</v>
      </c>
    </row>
    <row r="1129" spans="1:23" x14ac:dyDescent="0.25">
      <c r="H1129">
        <v>906</v>
      </c>
    </row>
    <row r="1130" spans="1:23" x14ac:dyDescent="0.25">
      <c r="A1130">
        <v>562</v>
      </c>
      <c r="B1130">
        <v>7354</v>
      </c>
      <c r="C1130" t="s">
        <v>2068</v>
      </c>
      <c r="D1130" t="s">
        <v>31</v>
      </c>
      <c r="E1130" t="s">
        <v>42</v>
      </c>
      <c r="F1130" t="s">
        <v>2069</v>
      </c>
      <c r="G1130" t="str">
        <f>"00075384"</f>
        <v>00075384</v>
      </c>
      <c r="H1130" t="s">
        <v>492</v>
      </c>
      <c r="I1130">
        <v>0</v>
      </c>
      <c r="J1130">
        <v>0</v>
      </c>
      <c r="K1130">
        <v>0</v>
      </c>
      <c r="L1130">
        <v>0</v>
      </c>
      <c r="M1130">
        <v>0</v>
      </c>
      <c r="N1130">
        <v>0</v>
      </c>
      <c r="O1130">
        <v>0</v>
      </c>
      <c r="P1130">
        <v>0</v>
      </c>
      <c r="Q1130">
        <v>0</v>
      </c>
      <c r="R1130">
        <v>19</v>
      </c>
      <c r="S1130">
        <v>133</v>
      </c>
      <c r="V1130">
        <v>0</v>
      </c>
      <c r="W1130" t="s">
        <v>2070</v>
      </c>
    </row>
    <row r="1131" spans="1:23" x14ac:dyDescent="0.25">
      <c r="H1131" t="s">
        <v>2071</v>
      </c>
    </row>
    <row r="1132" spans="1:23" x14ac:dyDescent="0.25">
      <c r="A1132">
        <v>563</v>
      </c>
      <c r="B1132">
        <v>7451</v>
      </c>
      <c r="C1132" t="s">
        <v>2072</v>
      </c>
      <c r="D1132" t="s">
        <v>717</v>
      </c>
      <c r="E1132" t="s">
        <v>1034</v>
      </c>
      <c r="F1132" t="s">
        <v>2073</v>
      </c>
      <c r="G1132" t="str">
        <f>"00024456"</f>
        <v>00024456</v>
      </c>
      <c r="H1132">
        <v>1056</v>
      </c>
      <c r="I1132">
        <v>0</v>
      </c>
      <c r="J1132">
        <v>0</v>
      </c>
      <c r="K1132">
        <v>0</v>
      </c>
      <c r="L1132">
        <v>0</v>
      </c>
      <c r="M1132">
        <v>0</v>
      </c>
      <c r="N1132">
        <v>0</v>
      </c>
      <c r="O1132">
        <v>0</v>
      </c>
      <c r="P1132">
        <v>0</v>
      </c>
      <c r="Q1132">
        <v>0</v>
      </c>
      <c r="R1132">
        <v>0</v>
      </c>
      <c r="S1132">
        <v>0</v>
      </c>
      <c r="V1132">
        <v>0</v>
      </c>
      <c r="W1132">
        <v>1056</v>
      </c>
    </row>
    <row r="1133" spans="1:23" x14ac:dyDescent="0.25">
      <c r="H1133" t="s">
        <v>2074</v>
      </c>
    </row>
    <row r="1134" spans="1:23" x14ac:dyDescent="0.25">
      <c r="A1134">
        <v>564</v>
      </c>
      <c r="B1134">
        <v>3599</v>
      </c>
      <c r="C1134" t="s">
        <v>2075</v>
      </c>
      <c r="D1134" t="s">
        <v>26</v>
      </c>
      <c r="E1134" t="s">
        <v>121</v>
      </c>
      <c r="F1134" t="s">
        <v>2076</v>
      </c>
      <c r="G1134" t="str">
        <f>"00024496"</f>
        <v>00024496</v>
      </c>
      <c r="H1134">
        <v>1056</v>
      </c>
      <c r="I1134">
        <v>0</v>
      </c>
      <c r="J1134">
        <v>0</v>
      </c>
      <c r="K1134">
        <v>0</v>
      </c>
      <c r="L1134">
        <v>0</v>
      </c>
      <c r="M1134">
        <v>0</v>
      </c>
      <c r="N1134">
        <v>0</v>
      </c>
      <c r="O1134">
        <v>0</v>
      </c>
      <c r="P1134">
        <v>0</v>
      </c>
      <c r="Q1134">
        <v>0</v>
      </c>
      <c r="R1134">
        <v>0</v>
      </c>
      <c r="S1134">
        <v>0</v>
      </c>
      <c r="V1134">
        <v>0</v>
      </c>
      <c r="W1134">
        <v>1056</v>
      </c>
    </row>
    <row r="1135" spans="1:23" x14ac:dyDescent="0.25">
      <c r="H1135" t="s">
        <v>1562</v>
      </c>
    </row>
    <row r="1136" spans="1:23" x14ac:dyDescent="0.25">
      <c r="A1136">
        <v>565</v>
      </c>
      <c r="B1136">
        <v>3599</v>
      </c>
      <c r="C1136" t="s">
        <v>2075</v>
      </c>
      <c r="D1136" t="s">
        <v>26</v>
      </c>
      <c r="E1136" t="s">
        <v>121</v>
      </c>
      <c r="F1136" t="s">
        <v>2076</v>
      </c>
      <c r="G1136" t="str">
        <f>"00024496"</f>
        <v>00024496</v>
      </c>
      <c r="H1136">
        <v>1056</v>
      </c>
      <c r="I1136">
        <v>0</v>
      </c>
      <c r="J1136">
        <v>0</v>
      </c>
      <c r="K1136">
        <v>0</v>
      </c>
      <c r="L1136">
        <v>0</v>
      </c>
      <c r="M1136">
        <v>0</v>
      </c>
      <c r="N1136">
        <v>0</v>
      </c>
      <c r="O1136">
        <v>0</v>
      </c>
      <c r="P1136">
        <v>0</v>
      </c>
      <c r="Q1136">
        <v>0</v>
      </c>
      <c r="R1136">
        <v>0</v>
      </c>
      <c r="S1136">
        <v>0</v>
      </c>
      <c r="T1136">
        <v>6</v>
      </c>
      <c r="U1136">
        <v>905</v>
      </c>
      <c r="V1136">
        <v>0</v>
      </c>
      <c r="W1136">
        <v>1056</v>
      </c>
    </row>
    <row r="1137" spans="1:23" x14ac:dyDescent="0.25">
      <c r="H1137" t="s">
        <v>1562</v>
      </c>
    </row>
    <row r="1138" spans="1:23" x14ac:dyDescent="0.25">
      <c r="A1138">
        <v>566</v>
      </c>
      <c r="B1138">
        <v>8617</v>
      </c>
      <c r="C1138" t="s">
        <v>2077</v>
      </c>
      <c r="D1138" t="s">
        <v>365</v>
      </c>
      <c r="E1138" t="s">
        <v>2078</v>
      </c>
      <c r="F1138" t="s">
        <v>2079</v>
      </c>
      <c r="G1138" t="str">
        <f>"00016795"</f>
        <v>00016795</v>
      </c>
      <c r="H1138">
        <v>1056</v>
      </c>
      <c r="I1138">
        <v>0</v>
      </c>
      <c r="J1138">
        <v>0</v>
      </c>
      <c r="K1138">
        <v>0</v>
      </c>
      <c r="L1138">
        <v>0</v>
      </c>
      <c r="M1138">
        <v>0</v>
      </c>
      <c r="N1138">
        <v>0</v>
      </c>
      <c r="O1138">
        <v>0</v>
      </c>
      <c r="P1138">
        <v>0</v>
      </c>
      <c r="Q1138">
        <v>0</v>
      </c>
      <c r="R1138">
        <v>0</v>
      </c>
      <c r="S1138">
        <v>0</v>
      </c>
      <c r="V1138">
        <v>0</v>
      </c>
      <c r="W1138">
        <v>1056</v>
      </c>
    </row>
    <row r="1139" spans="1:23" x14ac:dyDescent="0.25">
      <c r="H1139" t="s">
        <v>2080</v>
      </c>
    </row>
    <row r="1140" spans="1:23" x14ac:dyDescent="0.25">
      <c r="A1140">
        <v>567</v>
      </c>
      <c r="B1140">
        <v>1276</v>
      </c>
      <c r="C1140" t="s">
        <v>2081</v>
      </c>
      <c r="D1140" t="s">
        <v>140</v>
      </c>
      <c r="E1140" t="s">
        <v>21</v>
      </c>
      <c r="F1140" t="s">
        <v>2082</v>
      </c>
      <c r="G1140" t="str">
        <f>"201511035999"</f>
        <v>201511035999</v>
      </c>
      <c r="H1140">
        <v>1056</v>
      </c>
      <c r="I1140">
        <v>0</v>
      </c>
      <c r="J1140">
        <v>0</v>
      </c>
      <c r="K1140">
        <v>0</v>
      </c>
      <c r="L1140">
        <v>0</v>
      </c>
      <c r="M1140">
        <v>0</v>
      </c>
      <c r="N1140">
        <v>0</v>
      </c>
      <c r="O1140">
        <v>0</v>
      </c>
      <c r="P1140">
        <v>0</v>
      </c>
      <c r="Q1140">
        <v>0</v>
      </c>
      <c r="R1140">
        <v>0</v>
      </c>
      <c r="S1140">
        <v>0</v>
      </c>
      <c r="T1140">
        <v>6</v>
      </c>
      <c r="U1140" t="s">
        <v>731</v>
      </c>
      <c r="V1140">
        <v>2</v>
      </c>
      <c r="W1140">
        <v>1056</v>
      </c>
    </row>
    <row r="1141" spans="1:23" x14ac:dyDescent="0.25">
      <c r="H1141" t="s">
        <v>1473</v>
      </c>
    </row>
    <row r="1142" spans="1:23" x14ac:dyDescent="0.25">
      <c r="A1142">
        <v>568</v>
      </c>
      <c r="B1142">
        <v>2948</v>
      </c>
      <c r="C1142" t="s">
        <v>1815</v>
      </c>
      <c r="D1142" t="s">
        <v>31</v>
      </c>
      <c r="E1142" t="s">
        <v>21</v>
      </c>
      <c r="F1142" t="s">
        <v>1816</v>
      </c>
      <c r="G1142" t="str">
        <f>"201511007231"</f>
        <v>201511007231</v>
      </c>
      <c r="H1142" t="s">
        <v>186</v>
      </c>
      <c r="I1142">
        <v>0</v>
      </c>
      <c r="J1142">
        <v>0</v>
      </c>
      <c r="K1142">
        <v>0</v>
      </c>
      <c r="L1142">
        <v>0</v>
      </c>
      <c r="M1142">
        <v>0</v>
      </c>
      <c r="N1142">
        <v>0</v>
      </c>
      <c r="O1142">
        <v>0</v>
      </c>
      <c r="P1142">
        <v>0</v>
      </c>
      <c r="Q1142">
        <v>0</v>
      </c>
      <c r="R1142">
        <v>0</v>
      </c>
      <c r="S1142">
        <v>0</v>
      </c>
      <c r="V1142">
        <v>0</v>
      </c>
      <c r="W1142" t="s">
        <v>186</v>
      </c>
    </row>
    <row r="1143" spans="1:23" x14ac:dyDescent="0.25">
      <c r="H1143" t="s">
        <v>1818</v>
      </c>
    </row>
    <row r="1144" spans="1:23" x14ac:dyDescent="0.25">
      <c r="A1144">
        <v>569</v>
      </c>
      <c r="B1144">
        <v>3780</v>
      </c>
      <c r="C1144" t="s">
        <v>1480</v>
      </c>
      <c r="D1144" t="s">
        <v>31</v>
      </c>
      <c r="E1144" t="s">
        <v>121</v>
      </c>
      <c r="F1144" t="s">
        <v>2083</v>
      </c>
      <c r="G1144" t="str">
        <f>"201511004997"</f>
        <v>201511004997</v>
      </c>
      <c r="H1144">
        <v>770</v>
      </c>
      <c r="I1144">
        <v>0</v>
      </c>
      <c r="J1144">
        <v>30</v>
      </c>
      <c r="K1144">
        <v>0</v>
      </c>
      <c r="L1144">
        <v>0</v>
      </c>
      <c r="M1144">
        <v>0</v>
      </c>
      <c r="N1144">
        <v>0</v>
      </c>
      <c r="O1144">
        <v>0</v>
      </c>
      <c r="P1144">
        <v>0</v>
      </c>
      <c r="Q1144">
        <v>0</v>
      </c>
      <c r="R1144">
        <v>36</v>
      </c>
      <c r="S1144">
        <v>252</v>
      </c>
      <c r="V1144">
        <v>0</v>
      </c>
      <c r="W1144">
        <v>1052</v>
      </c>
    </row>
    <row r="1145" spans="1:23" x14ac:dyDescent="0.25">
      <c r="H1145">
        <v>912</v>
      </c>
    </row>
    <row r="1146" spans="1:23" x14ac:dyDescent="0.25">
      <c r="A1146">
        <v>570</v>
      </c>
      <c r="B1146">
        <v>9887</v>
      </c>
      <c r="C1146" t="s">
        <v>2084</v>
      </c>
      <c r="D1146" t="s">
        <v>190</v>
      </c>
      <c r="E1146" t="s">
        <v>71</v>
      </c>
      <c r="F1146" t="s">
        <v>2085</v>
      </c>
      <c r="G1146" t="str">
        <f>"00076753"</f>
        <v>00076753</v>
      </c>
      <c r="H1146" t="s">
        <v>1843</v>
      </c>
      <c r="I1146">
        <v>0</v>
      </c>
      <c r="J1146">
        <v>0</v>
      </c>
      <c r="K1146">
        <v>0</v>
      </c>
      <c r="L1146">
        <v>0</v>
      </c>
      <c r="M1146">
        <v>0</v>
      </c>
      <c r="N1146">
        <v>0</v>
      </c>
      <c r="O1146">
        <v>0</v>
      </c>
      <c r="P1146">
        <v>0</v>
      </c>
      <c r="Q1146">
        <v>0</v>
      </c>
      <c r="R1146">
        <v>0</v>
      </c>
      <c r="S1146">
        <v>0</v>
      </c>
      <c r="V1146">
        <v>0</v>
      </c>
      <c r="W1146" t="s">
        <v>1843</v>
      </c>
    </row>
    <row r="1147" spans="1:23" x14ac:dyDescent="0.25">
      <c r="H1147" t="s">
        <v>2086</v>
      </c>
    </row>
    <row r="1148" spans="1:23" x14ac:dyDescent="0.25">
      <c r="A1148">
        <v>571</v>
      </c>
      <c r="B1148">
        <v>6671</v>
      </c>
      <c r="C1148" t="s">
        <v>2087</v>
      </c>
      <c r="D1148" t="s">
        <v>145</v>
      </c>
      <c r="E1148" t="s">
        <v>71</v>
      </c>
      <c r="F1148" t="s">
        <v>2088</v>
      </c>
      <c r="G1148" t="str">
        <f>"00024497"</f>
        <v>00024497</v>
      </c>
      <c r="H1148" t="s">
        <v>38</v>
      </c>
      <c r="I1148">
        <v>0</v>
      </c>
      <c r="J1148">
        <v>0</v>
      </c>
      <c r="K1148">
        <v>0</v>
      </c>
      <c r="L1148">
        <v>0</v>
      </c>
      <c r="M1148">
        <v>0</v>
      </c>
      <c r="N1148">
        <v>0</v>
      </c>
      <c r="O1148">
        <v>0</v>
      </c>
      <c r="P1148">
        <v>0</v>
      </c>
      <c r="Q1148">
        <v>0</v>
      </c>
      <c r="R1148">
        <v>0</v>
      </c>
      <c r="S1148">
        <v>0</v>
      </c>
      <c r="T1148">
        <v>6</v>
      </c>
      <c r="U1148" t="s">
        <v>80</v>
      </c>
      <c r="V1148">
        <v>0</v>
      </c>
      <c r="W1148" t="s">
        <v>38</v>
      </c>
    </row>
    <row r="1149" spans="1:23" x14ac:dyDescent="0.25">
      <c r="H1149" t="s">
        <v>2089</v>
      </c>
    </row>
    <row r="1150" spans="1:23" x14ac:dyDescent="0.25">
      <c r="A1150">
        <v>572</v>
      </c>
      <c r="B1150">
        <v>6671</v>
      </c>
      <c r="C1150" t="s">
        <v>2087</v>
      </c>
      <c r="D1150" t="s">
        <v>145</v>
      </c>
      <c r="E1150" t="s">
        <v>71</v>
      </c>
      <c r="F1150" t="s">
        <v>2088</v>
      </c>
      <c r="G1150" t="str">
        <f>"00024497"</f>
        <v>00024497</v>
      </c>
      <c r="H1150" t="s">
        <v>38</v>
      </c>
      <c r="I1150">
        <v>0</v>
      </c>
      <c r="J1150">
        <v>0</v>
      </c>
      <c r="K1150">
        <v>0</v>
      </c>
      <c r="L1150">
        <v>0</v>
      </c>
      <c r="M1150">
        <v>0</v>
      </c>
      <c r="N1150">
        <v>0</v>
      </c>
      <c r="O1150">
        <v>0</v>
      </c>
      <c r="P1150">
        <v>0</v>
      </c>
      <c r="Q1150">
        <v>0</v>
      </c>
      <c r="R1150">
        <v>0</v>
      </c>
      <c r="S1150">
        <v>0</v>
      </c>
      <c r="V1150">
        <v>0</v>
      </c>
      <c r="W1150" t="s">
        <v>38</v>
      </c>
    </row>
    <row r="1151" spans="1:23" x14ac:dyDescent="0.25">
      <c r="H1151" t="s">
        <v>2089</v>
      </c>
    </row>
    <row r="1152" spans="1:23" x14ac:dyDescent="0.25">
      <c r="A1152">
        <v>573</v>
      </c>
      <c r="B1152">
        <v>8102</v>
      </c>
      <c r="C1152" t="s">
        <v>2090</v>
      </c>
      <c r="D1152" t="s">
        <v>31</v>
      </c>
      <c r="E1152" t="s">
        <v>42</v>
      </c>
      <c r="F1152" t="s">
        <v>2091</v>
      </c>
      <c r="G1152" t="str">
        <f>"00077664"</f>
        <v>00077664</v>
      </c>
      <c r="H1152" t="s">
        <v>38</v>
      </c>
      <c r="I1152">
        <v>0</v>
      </c>
      <c r="J1152">
        <v>0</v>
      </c>
      <c r="K1152">
        <v>0</v>
      </c>
      <c r="L1152">
        <v>0</v>
      </c>
      <c r="M1152">
        <v>0</v>
      </c>
      <c r="N1152">
        <v>0</v>
      </c>
      <c r="O1152">
        <v>0</v>
      </c>
      <c r="P1152">
        <v>0</v>
      </c>
      <c r="Q1152">
        <v>0</v>
      </c>
      <c r="R1152">
        <v>0</v>
      </c>
      <c r="S1152">
        <v>0</v>
      </c>
      <c r="T1152">
        <v>6</v>
      </c>
      <c r="U1152">
        <v>906</v>
      </c>
      <c r="V1152">
        <v>0</v>
      </c>
      <c r="W1152" t="s">
        <v>38</v>
      </c>
    </row>
    <row r="1153" spans="1:23" x14ac:dyDescent="0.25">
      <c r="H1153">
        <v>906</v>
      </c>
    </row>
    <row r="1154" spans="1:23" x14ac:dyDescent="0.25">
      <c r="A1154">
        <v>574</v>
      </c>
      <c r="B1154">
        <v>7873</v>
      </c>
      <c r="C1154" t="s">
        <v>2092</v>
      </c>
      <c r="D1154" t="s">
        <v>140</v>
      </c>
      <c r="E1154" t="s">
        <v>2093</v>
      </c>
      <c r="F1154" t="s">
        <v>2094</v>
      </c>
      <c r="G1154" t="str">
        <f>"00030273"</f>
        <v>00030273</v>
      </c>
      <c r="H1154" t="s">
        <v>486</v>
      </c>
      <c r="I1154">
        <v>0</v>
      </c>
      <c r="J1154">
        <v>0</v>
      </c>
      <c r="K1154">
        <v>0</v>
      </c>
      <c r="L1154">
        <v>0</v>
      </c>
      <c r="M1154">
        <v>0</v>
      </c>
      <c r="N1154">
        <v>0</v>
      </c>
      <c r="O1154">
        <v>0</v>
      </c>
      <c r="P1154">
        <v>0</v>
      </c>
      <c r="Q1154">
        <v>0</v>
      </c>
      <c r="R1154">
        <v>11</v>
      </c>
      <c r="S1154">
        <v>77</v>
      </c>
      <c r="V1154">
        <v>0</v>
      </c>
      <c r="W1154" t="s">
        <v>2095</v>
      </c>
    </row>
    <row r="1155" spans="1:23" x14ac:dyDescent="0.25">
      <c r="H1155" t="s">
        <v>2096</v>
      </c>
    </row>
    <row r="1156" spans="1:23" x14ac:dyDescent="0.25">
      <c r="A1156">
        <v>575</v>
      </c>
      <c r="B1156">
        <v>10372</v>
      </c>
      <c r="C1156" t="s">
        <v>2097</v>
      </c>
      <c r="D1156" t="s">
        <v>83</v>
      </c>
      <c r="E1156" t="s">
        <v>32</v>
      </c>
      <c r="F1156" t="s">
        <v>2098</v>
      </c>
      <c r="G1156" t="str">
        <f>"201510000871"</f>
        <v>201510000871</v>
      </c>
      <c r="H1156">
        <v>990</v>
      </c>
      <c r="I1156">
        <v>0</v>
      </c>
      <c r="J1156">
        <v>30</v>
      </c>
      <c r="K1156">
        <v>0</v>
      </c>
      <c r="L1156">
        <v>0</v>
      </c>
      <c r="M1156">
        <v>0</v>
      </c>
      <c r="N1156">
        <v>0</v>
      </c>
      <c r="O1156">
        <v>0</v>
      </c>
      <c r="P1156">
        <v>0</v>
      </c>
      <c r="Q1156">
        <v>0</v>
      </c>
      <c r="R1156">
        <v>4</v>
      </c>
      <c r="S1156">
        <v>28</v>
      </c>
      <c r="V1156">
        <v>0</v>
      </c>
      <c r="W1156">
        <v>1048</v>
      </c>
    </row>
    <row r="1157" spans="1:23" x14ac:dyDescent="0.25">
      <c r="H1157" t="s">
        <v>2099</v>
      </c>
    </row>
    <row r="1158" spans="1:23" x14ac:dyDescent="0.25">
      <c r="A1158">
        <v>576</v>
      </c>
      <c r="B1158">
        <v>6270</v>
      </c>
      <c r="C1158" t="s">
        <v>2100</v>
      </c>
      <c r="D1158" t="s">
        <v>57</v>
      </c>
      <c r="E1158" t="s">
        <v>53</v>
      </c>
      <c r="F1158" t="s">
        <v>2101</v>
      </c>
      <c r="G1158" t="str">
        <f>"00033020"</f>
        <v>00033020</v>
      </c>
      <c r="H1158">
        <v>1045</v>
      </c>
      <c r="I1158">
        <v>0</v>
      </c>
      <c r="J1158">
        <v>0</v>
      </c>
      <c r="K1158">
        <v>0</v>
      </c>
      <c r="L1158">
        <v>0</v>
      </c>
      <c r="M1158">
        <v>0</v>
      </c>
      <c r="N1158">
        <v>0</v>
      </c>
      <c r="O1158">
        <v>0</v>
      </c>
      <c r="P1158">
        <v>0</v>
      </c>
      <c r="Q1158">
        <v>0</v>
      </c>
      <c r="R1158">
        <v>0</v>
      </c>
      <c r="S1158">
        <v>0</v>
      </c>
      <c r="T1158">
        <v>6</v>
      </c>
      <c r="U1158">
        <v>931</v>
      </c>
      <c r="V1158">
        <v>1</v>
      </c>
      <c r="W1158">
        <v>1045</v>
      </c>
    </row>
    <row r="1159" spans="1:23" x14ac:dyDescent="0.25">
      <c r="H1159" t="s">
        <v>2102</v>
      </c>
    </row>
    <row r="1160" spans="1:23" x14ac:dyDescent="0.25">
      <c r="A1160">
        <v>577</v>
      </c>
      <c r="B1160">
        <v>6270</v>
      </c>
      <c r="C1160" t="s">
        <v>2100</v>
      </c>
      <c r="D1160" t="s">
        <v>57</v>
      </c>
      <c r="E1160" t="s">
        <v>53</v>
      </c>
      <c r="F1160" t="s">
        <v>2101</v>
      </c>
      <c r="G1160" t="str">
        <f>"00033020"</f>
        <v>00033020</v>
      </c>
      <c r="H1160">
        <v>1045</v>
      </c>
      <c r="I1160">
        <v>0</v>
      </c>
      <c r="J1160">
        <v>0</v>
      </c>
      <c r="K1160">
        <v>0</v>
      </c>
      <c r="L1160">
        <v>0</v>
      </c>
      <c r="M1160">
        <v>0</v>
      </c>
      <c r="N1160">
        <v>0</v>
      </c>
      <c r="O1160">
        <v>0</v>
      </c>
      <c r="P1160">
        <v>0</v>
      </c>
      <c r="Q1160">
        <v>0</v>
      </c>
      <c r="R1160">
        <v>0</v>
      </c>
      <c r="S1160">
        <v>0</v>
      </c>
      <c r="V1160">
        <v>1</v>
      </c>
      <c r="W1160">
        <v>1045</v>
      </c>
    </row>
    <row r="1161" spans="1:23" x14ac:dyDescent="0.25">
      <c r="H1161" t="s">
        <v>2102</v>
      </c>
    </row>
    <row r="1162" spans="1:23" x14ac:dyDescent="0.25">
      <c r="A1162">
        <v>578</v>
      </c>
      <c r="B1162">
        <v>3901</v>
      </c>
      <c r="C1162" t="s">
        <v>2103</v>
      </c>
      <c r="D1162" t="s">
        <v>1391</v>
      </c>
      <c r="E1162" t="s">
        <v>407</v>
      </c>
      <c r="F1162" t="s">
        <v>2104</v>
      </c>
      <c r="G1162" t="str">
        <f>"201511027761"</f>
        <v>201511027761</v>
      </c>
      <c r="H1162">
        <v>1045</v>
      </c>
      <c r="I1162">
        <v>0</v>
      </c>
      <c r="J1162">
        <v>0</v>
      </c>
      <c r="K1162">
        <v>0</v>
      </c>
      <c r="L1162">
        <v>0</v>
      </c>
      <c r="M1162">
        <v>0</v>
      </c>
      <c r="N1162">
        <v>0</v>
      </c>
      <c r="O1162">
        <v>0</v>
      </c>
      <c r="P1162">
        <v>0</v>
      </c>
      <c r="Q1162">
        <v>0</v>
      </c>
      <c r="R1162">
        <v>0</v>
      </c>
      <c r="S1162">
        <v>0</v>
      </c>
      <c r="V1162">
        <v>0</v>
      </c>
      <c r="W1162">
        <v>1045</v>
      </c>
    </row>
    <row r="1163" spans="1:23" x14ac:dyDescent="0.25">
      <c r="H1163" t="s">
        <v>2105</v>
      </c>
    </row>
    <row r="1164" spans="1:23" x14ac:dyDescent="0.25">
      <c r="A1164">
        <v>579</v>
      </c>
      <c r="B1164">
        <v>7980</v>
      </c>
      <c r="C1164" t="s">
        <v>2106</v>
      </c>
      <c r="D1164" t="s">
        <v>2107</v>
      </c>
      <c r="E1164" t="s">
        <v>26</v>
      </c>
      <c r="F1164" t="s">
        <v>2108</v>
      </c>
      <c r="G1164" t="str">
        <f>"201511026309"</f>
        <v>201511026309</v>
      </c>
      <c r="H1164">
        <v>1045</v>
      </c>
      <c r="I1164">
        <v>0</v>
      </c>
      <c r="J1164">
        <v>0</v>
      </c>
      <c r="K1164">
        <v>0</v>
      </c>
      <c r="L1164">
        <v>0</v>
      </c>
      <c r="M1164">
        <v>0</v>
      </c>
      <c r="N1164">
        <v>0</v>
      </c>
      <c r="O1164">
        <v>0</v>
      </c>
      <c r="P1164">
        <v>0</v>
      </c>
      <c r="Q1164">
        <v>0</v>
      </c>
      <c r="R1164">
        <v>0</v>
      </c>
      <c r="S1164">
        <v>0</v>
      </c>
      <c r="V1164">
        <v>0</v>
      </c>
      <c r="W1164">
        <v>1045</v>
      </c>
    </row>
    <row r="1165" spans="1:23" x14ac:dyDescent="0.25">
      <c r="H1165" t="s">
        <v>2109</v>
      </c>
    </row>
    <row r="1166" spans="1:23" x14ac:dyDescent="0.25">
      <c r="A1166">
        <v>580</v>
      </c>
      <c r="B1166">
        <v>1020</v>
      </c>
      <c r="C1166" t="s">
        <v>2110</v>
      </c>
      <c r="D1166" t="s">
        <v>1218</v>
      </c>
      <c r="E1166" t="s">
        <v>1391</v>
      </c>
      <c r="F1166" t="s">
        <v>2111</v>
      </c>
      <c r="G1166" t="str">
        <f>"201511032573"</f>
        <v>201511032573</v>
      </c>
      <c r="H1166">
        <v>1045</v>
      </c>
      <c r="I1166">
        <v>0</v>
      </c>
      <c r="J1166">
        <v>0</v>
      </c>
      <c r="K1166">
        <v>0</v>
      </c>
      <c r="L1166">
        <v>0</v>
      </c>
      <c r="M1166">
        <v>0</v>
      </c>
      <c r="N1166">
        <v>0</v>
      </c>
      <c r="O1166">
        <v>0</v>
      </c>
      <c r="P1166">
        <v>0</v>
      </c>
      <c r="Q1166">
        <v>0</v>
      </c>
      <c r="R1166">
        <v>0</v>
      </c>
      <c r="S1166">
        <v>0</v>
      </c>
      <c r="V1166">
        <v>0</v>
      </c>
      <c r="W1166">
        <v>1045</v>
      </c>
    </row>
    <row r="1167" spans="1:23" x14ac:dyDescent="0.25">
      <c r="H1167" t="s">
        <v>2112</v>
      </c>
    </row>
    <row r="1168" spans="1:23" x14ac:dyDescent="0.25">
      <c r="A1168">
        <v>581</v>
      </c>
      <c r="B1168">
        <v>3807</v>
      </c>
      <c r="C1168" t="s">
        <v>2113</v>
      </c>
      <c r="D1168" t="s">
        <v>1187</v>
      </c>
      <c r="E1168" t="s">
        <v>53</v>
      </c>
      <c r="F1168" t="s">
        <v>2114</v>
      </c>
      <c r="G1168" t="str">
        <f>"00019467"</f>
        <v>00019467</v>
      </c>
      <c r="H1168">
        <v>715</v>
      </c>
      <c r="I1168">
        <v>0</v>
      </c>
      <c r="J1168">
        <v>0</v>
      </c>
      <c r="K1168">
        <v>0</v>
      </c>
      <c r="L1168">
        <v>0</v>
      </c>
      <c r="M1168">
        <v>0</v>
      </c>
      <c r="N1168">
        <v>0</v>
      </c>
      <c r="O1168">
        <v>0</v>
      </c>
      <c r="P1168">
        <v>0</v>
      </c>
      <c r="Q1168">
        <v>0</v>
      </c>
      <c r="R1168">
        <v>47</v>
      </c>
      <c r="S1168">
        <v>329</v>
      </c>
      <c r="V1168">
        <v>0</v>
      </c>
      <c r="W1168">
        <v>1044</v>
      </c>
    </row>
    <row r="1169" spans="1:23" x14ac:dyDescent="0.25">
      <c r="H1169" t="s">
        <v>2115</v>
      </c>
    </row>
    <row r="1170" spans="1:23" x14ac:dyDescent="0.25">
      <c r="A1170">
        <v>582</v>
      </c>
      <c r="B1170">
        <v>4134</v>
      </c>
      <c r="C1170" t="s">
        <v>2116</v>
      </c>
      <c r="D1170" t="s">
        <v>2117</v>
      </c>
      <c r="E1170" t="s">
        <v>42</v>
      </c>
      <c r="F1170" t="s">
        <v>2118</v>
      </c>
      <c r="G1170" t="str">
        <f>"00053090"</f>
        <v>00053090</v>
      </c>
      <c r="H1170" t="s">
        <v>461</v>
      </c>
      <c r="I1170">
        <v>0</v>
      </c>
      <c r="J1170">
        <v>0</v>
      </c>
      <c r="K1170">
        <v>0</v>
      </c>
      <c r="L1170">
        <v>0</v>
      </c>
      <c r="M1170">
        <v>0</v>
      </c>
      <c r="N1170">
        <v>0</v>
      </c>
      <c r="O1170">
        <v>0</v>
      </c>
      <c r="P1170">
        <v>0</v>
      </c>
      <c r="Q1170">
        <v>0</v>
      </c>
      <c r="R1170">
        <v>9</v>
      </c>
      <c r="S1170">
        <v>63</v>
      </c>
      <c r="V1170">
        <v>0</v>
      </c>
      <c r="W1170" t="s">
        <v>2119</v>
      </c>
    </row>
    <row r="1171" spans="1:23" x14ac:dyDescent="0.25">
      <c r="H1171" t="s">
        <v>2120</v>
      </c>
    </row>
    <row r="1172" spans="1:23" x14ac:dyDescent="0.25">
      <c r="A1172">
        <v>583</v>
      </c>
      <c r="B1172">
        <v>9714</v>
      </c>
      <c r="C1172" t="s">
        <v>2121</v>
      </c>
      <c r="D1172" t="s">
        <v>1745</v>
      </c>
      <c r="E1172" t="s">
        <v>87</v>
      </c>
      <c r="F1172" t="s">
        <v>2122</v>
      </c>
      <c r="G1172" t="str">
        <f>"00041613"</f>
        <v>00041613</v>
      </c>
      <c r="H1172">
        <v>550</v>
      </c>
      <c r="I1172">
        <v>0</v>
      </c>
      <c r="J1172">
        <v>0</v>
      </c>
      <c r="K1172">
        <v>0</v>
      </c>
      <c r="L1172">
        <v>0</v>
      </c>
      <c r="M1172">
        <v>0</v>
      </c>
      <c r="N1172">
        <v>0</v>
      </c>
      <c r="O1172">
        <v>0</v>
      </c>
      <c r="P1172">
        <v>0</v>
      </c>
      <c r="Q1172">
        <v>0</v>
      </c>
      <c r="R1172">
        <v>70</v>
      </c>
      <c r="S1172">
        <v>490</v>
      </c>
      <c r="V1172">
        <v>0</v>
      </c>
      <c r="W1172">
        <v>1040</v>
      </c>
    </row>
    <row r="1173" spans="1:23" x14ac:dyDescent="0.25">
      <c r="H1173" t="s">
        <v>2123</v>
      </c>
    </row>
    <row r="1174" spans="1:23" x14ac:dyDescent="0.25">
      <c r="A1174">
        <v>584</v>
      </c>
      <c r="B1174">
        <v>2516</v>
      </c>
      <c r="C1174" t="s">
        <v>2124</v>
      </c>
      <c r="D1174" t="s">
        <v>2125</v>
      </c>
      <c r="E1174" t="s">
        <v>83</v>
      </c>
      <c r="F1174" t="s">
        <v>2126</v>
      </c>
      <c r="G1174" t="str">
        <f>"00071638"</f>
        <v>00071638</v>
      </c>
      <c r="H1174" t="s">
        <v>334</v>
      </c>
      <c r="I1174">
        <v>0</v>
      </c>
      <c r="J1174">
        <v>0</v>
      </c>
      <c r="K1174">
        <v>0</v>
      </c>
      <c r="L1174">
        <v>0</v>
      </c>
      <c r="M1174">
        <v>0</v>
      </c>
      <c r="N1174">
        <v>0</v>
      </c>
      <c r="O1174">
        <v>0</v>
      </c>
      <c r="P1174">
        <v>0</v>
      </c>
      <c r="Q1174">
        <v>0</v>
      </c>
      <c r="R1174">
        <v>0</v>
      </c>
      <c r="S1174">
        <v>0</v>
      </c>
      <c r="V1174">
        <v>0</v>
      </c>
      <c r="W1174" t="s">
        <v>334</v>
      </c>
    </row>
    <row r="1175" spans="1:23" x14ac:dyDescent="0.25">
      <c r="H1175" t="s">
        <v>216</v>
      </c>
    </row>
    <row r="1176" spans="1:23" x14ac:dyDescent="0.25">
      <c r="A1176">
        <v>585</v>
      </c>
      <c r="B1176">
        <v>10429</v>
      </c>
      <c r="C1176" t="s">
        <v>2127</v>
      </c>
      <c r="D1176" t="s">
        <v>2128</v>
      </c>
      <c r="E1176" t="s">
        <v>2129</v>
      </c>
      <c r="F1176" t="s">
        <v>2130</v>
      </c>
      <c r="G1176" t="str">
        <f>"00093416"</f>
        <v>00093416</v>
      </c>
      <c r="H1176" t="s">
        <v>334</v>
      </c>
      <c r="I1176">
        <v>0</v>
      </c>
      <c r="J1176">
        <v>0</v>
      </c>
      <c r="K1176">
        <v>0</v>
      </c>
      <c r="L1176">
        <v>0</v>
      </c>
      <c r="M1176">
        <v>0</v>
      </c>
      <c r="N1176">
        <v>0</v>
      </c>
      <c r="O1176">
        <v>0</v>
      </c>
      <c r="P1176">
        <v>0</v>
      </c>
      <c r="Q1176">
        <v>0</v>
      </c>
      <c r="R1176">
        <v>0</v>
      </c>
      <c r="S1176">
        <v>0</v>
      </c>
      <c r="T1176">
        <v>6</v>
      </c>
      <c r="U1176" t="s">
        <v>80</v>
      </c>
      <c r="V1176">
        <v>0</v>
      </c>
      <c r="W1176" t="s">
        <v>334</v>
      </c>
    </row>
    <row r="1177" spans="1:23" x14ac:dyDescent="0.25">
      <c r="H1177" t="s">
        <v>2131</v>
      </c>
    </row>
    <row r="1178" spans="1:23" x14ac:dyDescent="0.25">
      <c r="A1178">
        <v>586</v>
      </c>
      <c r="B1178">
        <v>7618</v>
      </c>
      <c r="C1178" t="s">
        <v>2132</v>
      </c>
      <c r="D1178" t="s">
        <v>1602</v>
      </c>
      <c r="E1178" t="s">
        <v>21</v>
      </c>
      <c r="F1178" t="s">
        <v>2133</v>
      </c>
      <c r="G1178" t="str">
        <f>"201511043482"</f>
        <v>201511043482</v>
      </c>
      <c r="H1178" t="s">
        <v>2134</v>
      </c>
      <c r="I1178">
        <v>0</v>
      </c>
      <c r="J1178">
        <v>0</v>
      </c>
      <c r="K1178">
        <v>0</v>
      </c>
      <c r="L1178">
        <v>0</v>
      </c>
      <c r="M1178">
        <v>0</v>
      </c>
      <c r="N1178">
        <v>0</v>
      </c>
      <c r="O1178">
        <v>0</v>
      </c>
      <c r="P1178">
        <v>0</v>
      </c>
      <c r="Q1178">
        <v>0</v>
      </c>
      <c r="R1178">
        <v>35</v>
      </c>
      <c r="S1178">
        <v>245</v>
      </c>
      <c r="V1178">
        <v>0</v>
      </c>
      <c r="W1178" t="s">
        <v>2135</v>
      </c>
    </row>
    <row r="1179" spans="1:23" x14ac:dyDescent="0.25">
      <c r="H1179" t="s">
        <v>2136</v>
      </c>
    </row>
    <row r="1180" spans="1:23" x14ac:dyDescent="0.25">
      <c r="A1180">
        <v>587</v>
      </c>
      <c r="B1180">
        <v>4527</v>
      </c>
      <c r="C1180" t="s">
        <v>2137</v>
      </c>
      <c r="D1180" t="s">
        <v>94</v>
      </c>
      <c r="E1180" t="s">
        <v>71</v>
      </c>
      <c r="F1180" t="s">
        <v>2138</v>
      </c>
      <c r="G1180" t="str">
        <f>"201511025365"</f>
        <v>201511025365</v>
      </c>
      <c r="H1180">
        <v>770</v>
      </c>
      <c r="I1180">
        <v>0</v>
      </c>
      <c r="J1180">
        <v>30</v>
      </c>
      <c r="K1180">
        <v>0</v>
      </c>
      <c r="L1180">
        <v>0</v>
      </c>
      <c r="M1180">
        <v>0</v>
      </c>
      <c r="N1180">
        <v>0</v>
      </c>
      <c r="O1180">
        <v>0</v>
      </c>
      <c r="P1180">
        <v>0</v>
      </c>
      <c r="Q1180">
        <v>0</v>
      </c>
      <c r="R1180">
        <v>34</v>
      </c>
      <c r="S1180">
        <v>238</v>
      </c>
      <c r="V1180">
        <v>0</v>
      </c>
      <c r="W1180">
        <v>1038</v>
      </c>
    </row>
    <row r="1181" spans="1:23" x14ac:dyDescent="0.25">
      <c r="H1181" t="s">
        <v>2139</v>
      </c>
    </row>
    <row r="1182" spans="1:23" x14ac:dyDescent="0.25">
      <c r="A1182">
        <v>588</v>
      </c>
      <c r="B1182">
        <v>28</v>
      </c>
      <c r="C1182" t="s">
        <v>2140</v>
      </c>
      <c r="D1182" t="s">
        <v>2141</v>
      </c>
      <c r="E1182" t="s">
        <v>523</v>
      </c>
      <c r="F1182">
        <v>13637908</v>
      </c>
      <c r="G1182" t="str">
        <f>"201502004171"</f>
        <v>201502004171</v>
      </c>
      <c r="H1182">
        <v>682</v>
      </c>
      <c r="I1182">
        <v>150</v>
      </c>
      <c r="J1182">
        <v>0</v>
      </c>
      <c r="K1182">
        <v>0</v>
      </c>
      <c r="L1182">
        <v>0</v>
      </c>
      <c r="M1182">
        <v>0</v>
      </c>
      <c r="N1182">
        <v>0</v>
      </c>
      <c r="O1182">
        <v>0</v>
      </c>
      <c r="P1182">
        <v>70</v>
      </c>
      <c r="Q1182">
        <v>30</v>
      </c>
      <c r="R1182">
        <v>15</v>
      </c>
      <c r="S1182">
        <v>105</v>
      </c>
      <c r="V1182">
        <v>0</v>
      </c>
      <c r="W1182">
        <v>1037</v>
      </c>
    </row>
    <row r="1183" spans="1:23" x14ac:dyDescent="0.25">
      <c r="H1183" t="s">
        <v>2142</v>
      </c>
    </row>
    <row r="1184" spans="1:23" x14ac:dyDescent="0.25">
      <c r="A1184">
        <v>589</v>
      </c>
      <c r="B1184">
        <v>242</v>
      </c>
      <c r="C1184" t="s">
        <v>2143</v>
      </c>
      <c r="D1184" t="s">
        <v>105</v>
      </c>
      <c r="E1184" t="s">
        <v>2144</v>
      </c>
      <c r="F1184" t="s">
        <v>2145</v>
      </c>
      <c r="G1184" t="str">
        <f>"201504001047"</f>
        <v>201504001047</v>
      </c>
      <c r="H1184" t="s">
        <v>1463</v>
      </c>
      <c r="I1184">
        <v>0</v>
      </c>
      <c r="J1184">
        <v>30</v>
      </c>
      <c r="K1184">
        <v>0</v>
      </c>
      <c r="L1184">
        <v>0</v>
      </c>
      <c r="M1184">
        <v>0</v>
      </c>
      <c r="N1184">
        <v>0</v>
      </c>
      <c r="O1184">
        <v>0</v>
      </c>
      <c r="P1184">
        <v>0</v>
      </c>
      <c r="Q1184">
        <v>0</v>
      </c>
      <c r="R1184">
        <v>0</v>
      </c>
      <c r="S1184">
        <v>0</v>
      </c>
      <c r="V1184">
        <v>3</v>
      </c>
      <c r="W1184" t="s">
        <v>2146</v>
      </c>
    </row>
    <row r="1185" spans="1:23" x14ac:dyDescent="0.25">
      <c r="H1185" t="s">
        <v>2147</v>
      </c>
    </row>
    <row r="1186" spans="1:23" x14ac:dyDescent="0.25">
      <c r="A1186">
        <v>590</v>
      </c>
      <c r="B1186">
        <v>7340</v>
      </c>
      <c r="C1186" t="s">
        <v>2148</v>
      </c>
      <c r="D1186" t="s">
        <v>272</v>
      </c>
      <c r="E1186" t="s">
        <v>71</v>
      </c>
      <c r="F1186" t="s">
        <v>2149</v>
      </c>
      <c r="G1186" t="str">
        <f>"00093343"</f>
        <v>00093343</v>
      </c>
      <c r="H1186" t="s">
        <v>354</v>
      </c>
      <c r="I1186">
        <v>0</v>
      </c>
      <c r="J1186">
        <v>0</v>
      </c>
      <c r="K1186">
        <v>0</v>
      </c>
      <c r="L1186">
        <v>0</v>
      </c>
      <c r="M1186">
        <v>0</v>
      </c>
      <c r="N1186">
        <v>0</v>
      </c>
      <c r="O1186">
        <v>0</v>
      </c>
      <c r="P1186">
        <v>0</v>
      </c>
      <c r="Q1186">
        <v>0</v>
      </c>
      <c r="R1186">
        <v>4</v>
      </c>
      <c r="S1186">
        <v>28</v>
      </c>
      <c r="V1186">
        <v>0</v>
      </c>
      <c r="W1186" t="s">
        <v>2150</v>
      </c>
    </row>
    <row r="1187" spans="1:23" x14ac:dyDescent="0.25">
      <c r="H1187" t="s">
        <v>673</v>
      </c>
    </row>
    <row r="1188" spans="1:23" x14ac:dyDescent="0.25">
      <c r="A1188">
        <v>591</v>
      </c>
      <c r="B1188">
        <v>593</v>
      </c>
      <c r="C1188" t="s">
        <v>2151</v>
      </c>
      <c r="D1188" t="s">
        <v>132</v>
      </c>
      <c r="E1188" t="s">
        <v>2152</v>
      </c>
      <c r="F1188" t="s">
        <v>2153</v>
      </c>
      <c r="G1188" t="str">
        <f>"201511014817"</f>
        <v>201511014817</v>
      </c>
      <c r="H1188" t="s">
        <v>1468</v>
      </c>
      <c r="I1188">
        <v>0</v>
      </c>
      <c r="J1188">
        <v>50</v>
      </c>
      <c r="K1188">
        <v>0</v>
      </c>
      <c r="L1188">
        <v>0</v>
      </c>
      <c r="M1188">
        <v>0</v>
      </c>
      <c r="N1188">
        <v>0</v>
      </c>
      <c r="O1188">
        <v>0</v>
      </c>
      <c r="P1188">
        <v>0</v>
      </c>
      <c r="Q1188">
        <v>0</v>
      </c>
      <c r="R1188">
        <v>0</v>
      </c>
      <c r="S1188">
        <v>0</v>
      </c>
      <c r="V1188">
        <v>2</v>
      </c>
      <c r="W1188" t="s">
        <v>2154</v>
      </c>
    </row>
    <row r="1189" spans="1:23" x14ac:dyDescent="0.25">
      <c r="H1189" t="s">
        <v>2155</v>
      </c>
    </row>
    <row r="1190" spans="1:23" x14ac:dyDescent="0.25">
      <c r="A1190">
        <v>592</v>
      </c>
      <c r="B1190">
        <v>7811</v>
      </c>
      <c r="C1190" t="s">
        <v>2156</v>
      </c>
      <c r="D1190" t="s">
        <v>1124</v>
      </c>
      <c r="E1190" t="s">
        <v>830</v>
      </c>
      <c r="F1190" t="s">
        <v>2157</v>
      </c>
      <c r="G1190" t="str">
        <f>"00024699"</f>
        <v>00024699</v>
      </c>
      <c r="H1190" t="s">
        <v>603</v>
      </c>
      <c r="I1190">
        <v>0</v>
      </c>
      <c r="J1190">
        <v>50</v>
      </c>
      <c r="K1190">
        <v>0</v>
      </c>
      <c r="L1190">
        <v>0</v>
      </c>
      <c r="M1190">
        <v>0</v>
      </c>
      <c r="N1190">
        <v>0</v>
      </c>
      <c r="O1190">
        <v>0</v>
      </c>
      <c r="P1190">
        <v>0</v>
      </c>
      <c r="Q1190">
        <v>0</v>
      </c>
      <c r="R1190">
        <v>6</v>
      </c>
      <c r="S1190">
        <v>42</v>
      </c>
      <c r="V1190">
        <v>0</v>
      </c>
      <c r="W1190" t="s">
        <v>2158</v>
      </c>
    </row>
    <row r="1191" spans="1:23" x14ac:dyDescent="0.25">
      <c r="H1191" t="s">
        <v>2159</v>
      </c>
    </row>
    <row r="1192" spans="1:23" x14ac:dyDescent="0.25">
      <c r="A1192">
        <v>593</v>
      </c>
      <c r="B1192">
        <v>2684</v>
      </c>
      <c r="C1192" t="s">
        <v>2160</v>
      </c>
      <c r="D1192" t="s">
        <v>31</v>
      </c>
      <c r="E1192" t="s">
        <v>53</v>
      </c>
      <c r="F1192" t="s">
        <v>2161</v>
      </c>
      <c r="G1192" t="str">
        <f>"00068498"</f>
        <v>00068498</v>
      </c>
      <c r="H1192" t="s">
        <v>2162</v>
      </c>
      <c r="I1192">
        <v>0</v>
      </c>
      <c r="J1192">
        <v>0</v>
      </c>
      <c r="K1192">
        <v>0</v>
      </c>
      <c r="L1192">
        <v>0</v>
      </c>
      <c r="M1192">
        <v>0</v>
      </c>
      <c r="N1192">
        <v>0</v>
      </c>
      <c r="O1192">
        <v>0</v>
      </c>
      <c r="P1192">
        <v>0</v>
      </c>
      <c r="Q1192">
        <v>0</v>
      </c>
      <c r="R1192">
        <v>32</v>
      </c>
      <c r="S1192">
        <v>224</v>
      </c>
      <c r="V1192">
        <v>0</v>
      </c>
      <c r="W1192" t="s">
        <v>2158</v>
      </c>
    </row>
    <row r="1193" spans="1:23" x14ac:dyDescent="0.25">
      <c r="H1193" t="s">
        <v>2163</v>
      </c>
    </row>
    <row r="1194" spans="1:23" x14ac:dyDescent="0.25">
      <c r="A1194">
        <v>594</v>
      </c>
      <c r="B1194">
        <v>1653</v>
      </c>
      <c r="C1194" t="s">
        <v>2164</v>
      </c>
      <c r="D1194" t="s">
        <v>2165</v>
      </c>
      <c r="E1194" t="s">
        <v>2166</v>
      </c>
      <c r="F1194" t="s">
        <v>2167</v>
      </c>
      <c r="G1194" t="str">
        <f>"00016742"</f>
        <v>00016742</v>
      </c>
      <c r="H1194">
        <v>990</v>
      </c>
      <c r="I1194">
        <v>0</v>
      </c>
      <c r="J1194">
        <v>0</v>
      </c>
      <c r="K1194">
        <v>0</v>
      </c>
      <c r="L1194">
        <v>0</v>
      </c>
      <c r="M1194">
        <v>0</v>
      </c>
      <c r="N1194">
        <v>0</v>
      </c>
      <c r="O1194">
        <v>0</v>
      </c>
      <c r="P1194">
        <v>0</v>
      </c>
      <c r="Q1194">
        <v>0</v>
      </c>
      <c r="R1194">
        <v>6</v>
      </c>
      <c r="S1194">
        <v>42</v>
      </c>
      <c r="V1194">
        <v>0</v>
      </c>
      <c r="W1194">
        <v>1032</v>
      </c>
    </row>
    <row r="1195" spans="1:23" x14ac:dyDescent="0.25">
      <c r="H1195" t="s">
        <v>2168</v>
      </c>
    </row>
    <row r="1196" spans="1:23" x14ac:dyDescent="0.25">
      <c r="A1196">
        <v>595</v>
      </c>
      <c r="B1196">
        <v>1696</v>
      </c>
      <c r="C1196" t="s">
        <v>2169</v>
      </c>
      <c r="D1196" t="s">
        <v>2170</v>
      </c>
      <c r="E1196" t="s">
        <v>42</v>
      </c>
      <c r="F1196" t="s">
        <v>2171</v>
      </c>
      <c r="G1196" t="str">
        <f>"201511040970"</f>
        <v>201511040970</v>
      </c>
      <c r="H1196" t="s">
        <v>1233</v>
      </c>
      <c r="I1196">
        <v>0</v>
      </c>
      <c r="J1196">
        <v>0</v>
      </c>
      <c r="K1196">
        <v>0</v>
      </c>
      <c r="L1196">
        <v>0</v>
      </c>
      <c r="M1196">
        <v>0</v>
      </c>
      <c r="N1196">
        <v>0</v>
      </c>
      <c r="O1196">
        <v>0</v>
      </c>
      <c r="P1196">
        <v>0</v>
      </c>
      <c r="Q1196">
        <v>0</v>
      </c>
      <c r="R1196">
        <v>0</v>
      </c>
      <c r="S1196">
        <v>0</v>
      </c>
      <c r="V1196">
        <v>2</v>
      </c>
      <c r="W1196" t="s">
        <v>1233</v>
      </c>
    </row>
    <row r="1197" spans="1:23" x14ac:dyDescent="0.25">
      <c r="H1197" t="s">
        <v>2172</v>
      </c>
    </row>
    <row r="1198" spans="1:23" x14ac:dyDescent="0.25">
      <c r="A1198">
        <v>596</v>
      </c>
      <c r="B1198">
        <v>5559</v>
      </c>
      <c r="C1198" t="s">
        <v>2173</v>
      </c>
      <c r="D1198" t="s">
        <v>53</v>
      </c>
      <c r="E1198" t="s">
        <v>141</v>
      </c>
      <c r="F1198" t="s">
        <v>2174</v>
      </c>
      <c r="G1198" t="str">
        <f>"00016290"</f>
        <v>00016290</v>
      </c>
      <c r="H1198" t="s">
        <v>2175</v>
      </c>
      <c r="I1198">
        <v>0</v>
      </c>
      <c r="J1198">
        <v>0</v>
      </c>
      <c r="K1198">
        <v>0</v>
      </c>
      <c r="L1198">
        <v>0</v>
      </c>
      <c r="M1198">
        <v>0</v>
      </c>
      <c r="N1198">
        <v>0</v>
      </c>
      <c r="O1198">
        <v>0</v>
      </c>
      <c r="P1198">
        <v>0</v>
      </c>
      <c r="Q1198">
        <v>0</v>
      </c>
      <c r="R1198">
        <v>5</v>
      </c>
      <c r="S1198">
        <v>35</v>
      </c>
      <c r="V1198">
        <v>0</v>
      </c>
      <c r="W1198" t="s">
        <v>2176</v>
      </c>
    </row>
    <row r="1199" spans="1:23" x14ac:dyDescent="0.25">
      <c r="H1199" t="s">
        <v>2177</v>
      </c>
    </row>
    <row r="1200" spans="1:23" x14ac:dyDescent="0.25">
      <c r="A1200">
        <v>597</v>
      </c>
      <c r="B1200">
        <v>7682</v>
      </c>
      <c r="C1200" t="s">
        <v>2178</v>
      </c>
      <c r="D1200" t="s">
        <v>1998</v>
      </c>
      <c r="E1200" t="s">
        <v>42</v>
      </c>
      <c r="F1200" t="s">
        <v>2179</v>
      </c>
      <c r="G1200" t="str">
        <f>"00036188"</f>
        <v>00036188</v>
      </c>
      <c r="H1200" t="s">
        <v>287</v>
      </c>
      <c r="I1200">
        <v>0</v>
      </c>
      <c r="J1200">
        <v>0</v>
      </c>
      <c r="K1200">
        <v>0</v>
      </c>
      <c r="L1200">
        <v>0</v>
      </c>
      <c r="M1200">
        <v>0</v>
      </c>
      <c r="N1200">
        <v>0</v>
      </c>
      <c r="O1200">
        <v>0</v>
      </c>
      <c r="P1200">
        <v>0</v>
      </c>
      <c r="Q1200">
        <v>0</v>
      </c>
      <c r="R1200">
        <v>0</v>
      </c>
      <c r="S1200">
        <v>0</v>
      </c>
      <c r="V1200">
        <v>0</v>
      </c>
      <c r="W1200" t="s">
        <v>287</v>
      </c>
    </row>
    <row r="1201" spans="1:23" x14ac:dyDescent="0.25">
      <c r="H1201" t="s">
        <v>2180</v>
      </c>
    </row>
    <row r="1202" spans="1:23" x14ac:dyDescent="0.25">
      <c r="A1202">
        <v>598</v>
      </c>
      <c r="B1202">
        <v>6592</v>
      </c>
      <c r="C1202" t="s">
        <v>2181</v>
      </c>
      <c r="D1202" t="s">
        <v>2182</v>
      </c>
      <c r="E1202" t="s">
        <v>95</v>
      </c>
      <c r="F1202" t="s">
        <v>2183</v>
      </c>
      <c r="G1202" t="str">
        <f>"00028308"</f>
        <v>00028308</v>
      </c>
      <c r="H1202">
        <v>660</v>
      </c>
      <c r="I1202">
        <v>150</v>
      </c>
      <c r="J1202">
        <v>0</v>
      </c>
      <c r="K1202">
        <v>0</v>
      </c>
      <c r="L1202">
        <v>0</v>
      </c>
      <c r="M1202">
        <v>0</v>
      </c>
      <c r="N1202">
        <v>0</v>
      </c>
      <c r="O1202">
        <v>0</v>
      </c>
      <c r="P1202">
        <v>0</v>
      </c>
      <c r="Q1202">
        <v>0</v>
      </c>
      <c r="R1202">
        <v>31</v>
      </c>
      <c r="S1202">
        <v>217</v>
      </c>
      <c r="V1202">
        <v>0</v>
      </c>
      <c r="W1202">
        <v>1027</v>
      </c>
    </row>
    <row r="1203" spans="1:23" x14ac:dyDescent="0.25">
      <c r="H1203" t="s">
        <v>2184</v>
      </c>
    </row>
    <row r="1204" spans="1:23" x14ac:dyDescent="0.25">
      <c r="A1204">
        <v>599</v>
      </c>
      <c r="B1204">
        <v>9065</v>
      </c>
      <c r="C1204" t="s">
        <v>2185</v>
      </c>
      <c r="D1204" t="s">
        <v>57</v>
      </c>
      <c r="E1204" t="s">
        <v>1577</v>
      </c>
      <c r="F1204" t="s">
        <v>2186</v>
      </c>
      <c r="G1204" t="str">
        <f>"00091012"</f>
        <v>00091012</v>
      </c>
      <c r="H1204">
        <v>605</v>
      </c>
      <c r="I1204">
        <v>0</v>
      </c>
      <c r="J1204">
        <v>30</v>
      </c>
      <c r="K1204">
        <v>0</v>
      </c>
      <c r="L1204">
        <v>0</v>
      </c>
      <c r="M1204">
        <v>0</v>
      </c>
      <c r="N1204">
        <v>0</v>
      </c>
      <c r="O1204">
        <v>0</v>
      </c>
      <c r="P1204">
        <v>0</v>
      </c>
      <c r="Q1204">
        <v>0</v>
      </c>
      <c r="R1204">
        <v>56</v>
      </c>
      <c r="S1204">
        <v>392</v>
      </c>
      <c r="V1204">
        <v>0</v>
      </c>
      <c r="W1204">
        <v>1027</v>
      </c>
    </row>
    <row r="1205" spans="1:23" x14ac:dyDescent="0.25">
      <c r="H1205" t="s">
        <v>2187</v>
      </c>
    </row>
    <row r="1206" spans="1:23" x14ac:dyDescent="0.25">
      <c r="A1206">
        <v>600</v>
      </c>
      <c r="B1206">
        <v>9547</v>
      </c>
      <c r="C1206" t="s">
        <v>2188</v>
      </c>
      <c r="D1206" t="s">
        <v>352</v>
      </c>
      <c r="E1206" t="s">
        <v>441</v>
      </c>
      <c r="F1206" t="s">
        <v>2189</v>
      </c>
      <c r="G1206" t="str">
        <f>"201111000101"</f>
        <v>201111000101</v>
      </c>
      <c r="H1206" t="s">
        <v>2190</v>
      </c>
      <c r="I1206">
        <v>0</v>
      </c>
      <c r="J1206">
        <v>0</v>
      </c>
      <c r="K1206">
        <v>0</v>
      </c>
      <c r="L1206">
        <v>0</v>
      </c>
      <c r="M1206">
        <v>0</v>
      </c>
      <c r="N1206">
        <v>0</v>
      </c>
      <c r="O1206">
        <v>0</v>
      </c>
      <c r="P1206">
        <v>0</v>
      </c>
      <c r="Q1206">
        <v>0</v>
      </c>
      <c r="R1206">
        <v>19</v>
      </c>
      <c r="S1206">
        <v>133</v>
      </c>
      <c r="V1206">
        <v>0</v>
      </c>
      <c r="W1206" t="s">
        <v>2191</v>
      </c>
    </row>
    <row r="1207" spans="1:23" x14ac:dyDescent="0.25">
      <c r="H1207" t="s">
        <v>2192</v>
      </c>
    </row>
    <row r="1208" spans="1:23" x14ac:dyDescent="0.25">
      <c r="A1208">
        <v>601</v>
      </c>
      <c r="B1208">
        <v>6319</v>
      </c>
      <c r="C1208" t="s">
        <v>2193</v>
      </c>
      <c r="D1208" t="s">
        <v>417</v>
      </c>
      <c r="E1208" t="s">
        <v>175</v>
      </c>
      <c r="F1208" t="s">
        <v>2194</v>
      </c>
      <c r="G1208" t="str">
        <f>"201511042851"</f>
        <v>201511042851</v>
      </c>
      <c r="H1208">
        <v>550</v>
      </c>
      <c r="I1208">
        <v>0</v>
      </c>
      <c r="J1208">
        <v>0</v>
      </c>
      <c r="K1208">
        <v>0</v>
      </c>
      <c r="L1208">
        <v>0</v>
      </c>
      <c r="M1208">
        <v>0</v>
      </c>
      <c r="N1208">
        <v>0</v>
      </c>
      <c r="O1208">
        <v>0</v>
      </c>
      <c r="P1208">
        <v>0</v>
      </c>
      <c r="Q1208">
        <v>0</v>
      </c>
      <c r="R1208">
        <v>68</v>
      </c>
      <c r="S1208">
        <v>476</v>
      </c>
      <c r="V1208">
        <v>0</v>
      </c>
      <c r="W1208">
        <v>1026</v>
      </c>
    </row>
    <row r="1209" spans="1:23" x14ac:dyDescent="0.25">
      <c r="H1209" t="s">
        <v>2195</v>
      </c>
    </row>
    <row r="1210" spans="1:23" x14ac:dyDescent="0.25">
      <c r="A1210">
        <v>602</v>
      </c>
      <c r="B1210">
        <v>2673</v>
      </c>
      <c r="C1210" t="s">
        <v>2196</v>
      </c>
      <c r="D1210" t="s">
        <v>663</v>
      </c>
      <c r="E1210" t="s">
        <v>218</v>
      </c>
      <c r="F1210" t="s">
        <v>2197</v>
      </c>
      <c r="G1210" t="str">
        <f>"200802005180"</f>
        <v>200802005180</v>
      </c>
      <c r="H1210" t="s">
        <v>2198</v>
      </c>
      <c r="I1210">
        <v>0</v>
      </c>
      <c r="J1210">
        <v>30</v>
      </c>
      <c r="K1210">
        <v>0</v>
      </c>
      <c r="L1210">
        <v>0</v>
      </c>
      <c r="M1210">
        <v>0</v>
      </c>
      <c r="N1210">
        <v>0</v>
      </c>
      <c r="O1210">
        <v>0</v>
      </c>
      <c r="P1210">
        <v>0</v>
      </c>
      <c r="Q1210">
        <v>0</v>
      </c>
      <c r="R1210">
        <v>0</v>
      </c>
      <c r="S1210">
        <v>0</v>
      </c>
      <c r="V1210">
        <v>0</v>
      </c>
      <c r="W1210" t="s">
        <v>2199</v>
      </c>
    </row>
    <row r="1211" spans="1:23" x14ac:dyDescent="0.25">
      <c r="H1211" t="s">
        <v>2200</v>
      </c>
    </row>
    <row r="1212" spans="1:23" x14ac:dyDescent="0.25">
      <c r="A1212">
        <v>603</v>
      </c>
      <c r="B1212">
        <v>10035</v>
      </c>
      <c r="C1212" t="s">
        <v>2201</v>
      </c>
      <c r="D1212" t="s">
        <v>156</v>
      </c>
      <c r="E1212" t="s">
        <v>533</v>
      </c>
      <c r="F1212" t="s">
        <v>2202</v>
      </c>
      <c r="G1212" t="str">
        <f>"00083500"</f>
        <v>00083500</v>
      </c>
      <c r="H1212">
        <v>1023</v>
      </c>
      <c r="I1212">
        <v>0</v>
      </c>
      <c r="J1212">
        <v>0</v>
      </c>
      <c r="K1212">
        <v>0</v>
      </c>
      <c r="L1212">
        <v>0</v>
      </c>
      <c r="M1212">
        <v>0</v>
      </c>
      <c r="N1212">
        <v>0</v>
      </c>
      <c r="O1212">
        <v>0</v>
      </c>
      <c r="P1212">
        <v>0</v>
      </c>
      <c r="Q1212">
        <v>0</v>
      </c>
      <c r="R1212">
        <v>0</v>
      </c>
      <c r="S1212">
        <v>0</v>
      </c>
      <c r="V1212">
        <v>0</v>
      </c>
      <c r="W1212">
        <v>1023</v>
      </c>
    </row>
    <row r="1213" spans="1:23" x14ac:dyDescent="0.25">
      <c r="H1213" t="s">
        <v>2203</v>
      </c>
    </row>
    <row r="1214" spans="1:23" x14ac:dyDescent="0.25">
      <c r="A1214">
        <v>604</v>
      </c>
      <c r="B1214">
        <v>10035</v>
      </c>
      <c r="C1214" t="s">
        <v>2201</v>
      </c>
      <c r="D1214" t="s">
        <v>156</v>
      </c>
      <c r="E1214" t="s">
        <v>533</v>
      </c>
      <c r="F1214" t="s">
        <v>2202</v>
      </c>
      <c r="G1214" t="str">
        <f>"00083500"</f>
        <v>00083500</v>
      </c>
      <c r="H1214">
        <v>1023</v>
      </c>
      <c r="I1214">
        <v>0</v>
      </c>
      <c r="J1214">
        <v>0</v>
      </c>
      <c r="K1214">
        <v>0</v>
      </c>
      <c r="L1214">
        <v>0</v>
      </c>
      <c r="M1214">
        <v>0</v>
      </c>
      <c r="N1214">
        <v>0</v>
      </c>
      <c r="O1214">
        <v>0</v>
      </c>
      <c r="P1214">
        <v>0</v>
      </c>
      <c r="Q1214">
        <v>0</v>
      </c>
      <c r="R1214">
        <v>0</v>
      </c>
      <c r="S1214">
        <v>0</v>
      </c>
      <c r="T1214">
        <v>6</v>
      </c>
      <c r="U1214" t="s">
        <v>2204</v>
      </c>
      <c r="V1214">
        <v>0</v>
      </c>
      <c r="W1214">
        <v>1023</v>
      </c>
    </row>
    <row r="1215" spans="1:23" x14ac:dyDescent="0.25">
      <c r="H1215" t="s">
        <v>2203</v>
      </c>
    </row>
    <row r="1216" spans="1:23" x14ac:dyDescent="0.25">
      <c r="A1216">
        <v>605</v>
      </c>
      <c r="B1216">
        <v>2067</v>
      </c>
      <c r="C1216" t="s">
        <v>2205</v>
      </c>
      <c r="D1216" t="s">
        <v>272</v>
      </c>
      <c r="E1216" t="s">
        <v>71</v>
      </c>
      <c r="F1216" t="s">
        <v>2206</v>
      </c>
      <c r="G1216" t="str">
        <f>"00080526"</f>
        <v>00080526</v>
      </c>
      <c r="H1216">
        <v>1023</v>
      </c>
      <c r="I1216">
        <v>0</v>
      </c>
      <c r="J1216">
        <v>0</v>
      </c>
      <c r="K1216">
        <v>0</v>
      </c>
      <c r="L1216">
        <v>0</v>
      </c>
      <c r="M1216">
        <v>0</v>
      </c>
      <c r="N1216">
        <v>0</v>
      </c>
      <c r="O1216">
        <v>0</v>
      </c>
      <c r="P1216">
        <v>0</v>
      </c>
      <c r="Q1216">
        <v>0</v>
      </c>
      <c r="R1216">
        <v>0</v>
      </c>
      <c r="S1216">
        <v>0</v>
      </c>
      <c r="V1216">
        <v>0</v>
      </c>
      <c r="W1216">
        <v>1023</v>
      </c>
    </row>
    <row r="1217" spans="1:23" x14ac:dyDescent="0.25">
      <c r="H1217" t="s">
        <v>2207</v>
      </c>
    </row>
    <row r="1218" spans="1:23" x14ac:dyDescent="0.25">
      <c r="A1218">
        <v>606</v>
      </c>
      <c r="B1218">
        <v>2067</v>
      </c>
      <c r="C1218" t="s">
        <v>2205</v>
      </c>
      <c r="D1218" t="s">
        <v>272</v>
      </c>
      <c r="E1218" t="s">
        <v>71</v>
      </c>
      <c r="F1218" t="s">
        <v>2206</v>
      </c>
      <c r="G1218" t="str">
        <f>"00080526"</f>
        <v>00080526</v>
      </c>
      <c r="H1218">
        <v>1023</v>
      </c>
      <c r="I1218">
        <v>0</v>
      </c>
      <c r="J1218">
        <v>0</v>
      </c>
      <c r="K1218">
        <v>0</v>
      </c>
      <c r="L1218">
        <v>0</v>
      </c>
      <c r="M1218">
        <v>0</v>
      </c>
      <c r="N1218">
        <v>0</v>
      </c>
      <c r="O1218">
        <v>0</v>
      </c>
      <c r="P1218">
        <v>0</v>
      </c>
      <c r="Q1218">
        <v>0</v>
      </c>
      <c r="R1218">
        <v>0</v>
      </c>
      <c r="S1218">
        <v>0</v>
      </c>
      <c r="T1218">
        <v>6</v>
      </c>
      <c r="U1218" t="s">
        <v>80</v>
      </c>
      <c r="V1218">
        <v>0</v>
      </c>
      <c r="W1218">
        <v>1023</v>
      </c>
    </row>
    <row r="1219" spans="1:23" x14ac:dyDescent="0.25">
      <c r="H1219" t="s">
        <v>2207</v>
      </c>
    </row>
    <row r="1220" spans="1:23" x14ac:dyDescent="0.25">
      <c r="A1220">
        <v>607</v>
      </c>
      <c r="B1220">
        <v>165</v>
      </c>
      <c r="C1220" t="s">
        <v>2208</v>
      </c>
      <c r="D1220" t="s">
        <v>83</v>
      </c>
      <c r="E1220" t="s">
        <v>218</v>
      </c>
      <c r="F1220" t="s">
        <v>2209</v>
      </c>
      <c r="G1220" t="str">
        <f>"00036738"</f>
        <v>00036738</v>
      </c>
      <c r="H1220">
        <v>1023</v>
      </c>
      <c r="I1220">
        <v>0</v>
      </c>
      <c r="J1220">
        <v>0</v>
      </c>
      <c r="K1220">
        <v>0</v>
      </c>
      <c r="L1220">
        <v>0</v>
      </c>
      <c r="M1220">
        <v>0</v>
      </c>
      <c r="N1220">
        <v>0</v>
      </c>
      <c r="O1220">
        <v>0</v>
      </c>
      <c r="P1220">
        <v>0</v>
      </c>
      <c r="Q1220">
        <v>0</v>
      </c>
      <c r="R1220">
        <v>0</v>
      </c>
      <c r="S1220">
        <v>0</v>
      </c>
      <c r="V1220">
        <v>0</v>
      </c>
      <c r="W1220">
        <v>1023</v>
      </c>
    </row>
    <row r="1221" spans="1:23" x14ac:dyDescent="0.25">
      <c r="H1221" t="s">
        <v>2210</v>
      </c>
    </row>
    <row r="1222" spans="1:23" x14ac:dyDescent="0.25">
      <c r="A1222">
        <v>608</v>
      </c>
      <c r="B1222">
        <v>841</v>
      </c>
      <c r="C1222" t="s">
        <v>2211</v>
      </c>
      <c r="D1222" t="s">
        <v>71</v>
      </c>
      <c r="E1222" t="s">
        <v>121</v>
      </c>
      <c r="F1222" t="s">
        <v>2212</v>
      </c>
      <c r="G1222" t="str">
        <f>"201511012518"</f>
        <v>201511012518</v>
      </c>
      <c r="H1222">
        <v>1023</v>
      </c>
      <c r="I1222">
        <v>0</v>
      </c>
      <c r="J1222">
        <v>0</v>
      </c>
      <c r="K1222">
        <v>0</v>
      </c>
      <c r="L1222">
        <v>0</v>
      </c>
      <c r="M1222">
        <v>0</v>
      </c>
      <c r="N1222">
        <v>0</v>
      </c>
      <c r="O1222">
        <v>0</v>
      </c>
      <c r="P1222">
        <v>0</v>
      </c>
      <c r="Q1222">
        <v>0</v>
      </c>
      <c r="R1222">
        <v>0</v>
      </c>
      <c r="S1222">
        <v>0</v>
      </c>
      <c r="V1222">
        <v>0</v>
      </c>
      <c r="W1222">
        <v>1023</v>
      </c>
    </row>
    <row r="1223" spans="1:23" x14ac:dyDescent="0.25">
      <c r="H1223" t="s">
        <v>2213</v>
      </c>
    </row>
    <row r="1224" spans="1:23" x14ac:dyDescent="0.25">
      <c r="A1224">
        <v>609</v>
      </c>
      <c r="B1224">
        <v>8496</v>
      </c>
      <c r="C1224" t="s">
        <v>2214</v>
      </c>
      <c r="D1224" t="s">
        <v>26</v>
      </c>
      <c r="E1224" t="s">
        <v>830</v>
      </c>
      <c r="F1224" t="s">
        <v>2215</v>
      </c>
      <c r="G1224" t="str">
        <f>"201105000072"</f>
        <v>201105000072</v>
      </c>
      <c r="H1224" t="s">
        <v>561</v>
      </c>
      <c r="I1224">
        <v>0</v>
      </c>
      <c r="J1224">
        <v>70</v>
      </c>
      <c r="K1224">
        <v>0</v>
      </c>
      <c r="L1224">
        <v>0</v>
      </c>
      <c r="M1224">
        <v>0</v>
      </c>
      <c r="N1224">
        <v>0</v>
      </c>
      <c r="O1224">
        <v>0</v>
      </c>
      <c r="P1224">
        <v>0</v>
      </c>
      <c r="Q1224">
        <v>0</v>
      </c>
      <c r="R1224">
        <v>0</v>
      </c>
      <c r="S1224">
        <v>0</v>
      </c>
      <c r="V1224">
        <v>0</v>
      </c>
      <c r="W1224" t="s">
        <v>2216</v>
      </c>
    </row>
    <row r="1225" spans="1:23" x14ac:dyDescent="0.25">
      <c r="H1225" t="s">
        <v>2217</v>
      </c>
    </row>
    <row r="1226" spans="1:23" x14ac:dyDescent="0.25">
      <c r="A1226">
        <v>610</v>
      </c>
      <c r="B1226">
        <v>8496</v>
      </c>
      <c r="C1226" t="s">
        <v>2214</v>
      </c>
      <c r="D1226" t="s">
        <v>26</v>
      </c>
      <c r="E1226" t="s">
        <v>830</v>
      </c>
      <c r="F1226" t="s">
        <v>2215</v>
      </c>
      <c r="G1226" t="str">
        <f>"201105000072"</f>
        <v>201105000072</v>
      </c>
      <c r="H1226" t="s">
        <v>561</v>
      </c>
      <c r="I1226">
        <v>0</v>
      </c>
      <c r="J1226">
        <v>70</v>
      </c>
      <c r="K1226">
        <v>0</v>
      </c>
      <c r="L1226">
        <v>0</v>
      </c>
      <c r="M1226">
        <v>0</v>
      </c>
      <c r="N1226">
        <v>0</v>
      </c>
      <c r="O1226">
        <v>0</v>
      </c>
      <c r="P1226">
        <v>0</v>
      </c>
      <c r="Q1226">
        <v>0</v>
      </c>
      <c r="R1226">
        <v>0</v>
      </c>
      <c r="S1226">
        <v>0</v>
      </c>
      <c r="T1226">
        <v>6</v>
      </c>
      <c r="U1226">
        <v>938</v>
      </c>
      <c r="V1226">
        <v>0</v>
      </c>
      <c r="W1226" t="s">
        <v>2216</v>
      </c>
    </row>
    <row r="1227" spans="1:23" x14ac:dyDescent="0.25">
      <c r="H1227" t="s">
        <v>2217</v>
      </c>
    </row>
    <row r="1228" spans="1:23" x14ac:dyDescent="0.25">
      <c r="A1228">
        <v>611</v>
      </c>
      <c r="B1228">
        <v>4920</v>
      </c>
      <c r="C1228" t="s">
        <v>2218</v>
      </c>
      <c r="D1228" t="s">
        <v>2219</v>
      </c>
      <c r="E1228" t="s">
        <v>53</v>
      </c>
      <c r="F1228" t="s">
        <v>2220</v>
      </c>
      <c r="G1228" t="str">
        <f>"201412000232"</f>
        <v>201412000232</v>
      </c>
      <c r="H1228">
        <v>990</v>
      </c>
      <c r="I1228">
        <v>0</v>
      </c>
      <c r="J1228">
        <v>30</v>
      </c>
      <c r="K1228">
        <v>0</v>
      </c>
      <c r="L1228">
        <v>0</v>
      </c>
      <c r="M1228">
        <v>0</v>
      </c>
      <c r="N1228">
        <v>0</v>
      </c>
      <c r="O1228">
        <v>0</v>
      </c>
      <c r="P1228">
        <v>0</v>
      </c>
      <c r="Q1228">
        <v>0</v>
      </c>
      <c r="R1228">
        <v>0</v>
      </c>
      <c r="S1228">
        <v>0</v>
      </c>
      <c r="V1228">
        <v>0</v>
      </c>
      <c r="W1228">
        <v>1020</v>
      </c>
    </row>
    <row r="1229" spans="1:23" x14ac:dyDescent="0.25">
      <c r="H1229" t="s">
        <v>2221</v>
      </c>
    </row>
    <row r="1230" spans="1:23" x14ac:dyDescent="0.25">
      <c r="A1230">
        <v>612</v>
      </c>
      <c r="B1230">
        <v>145</v>
      </c>
      <c r="C1230" t="s">
        <v>1186</v>
      </c>
      <c r="D1230" t="s">
        <v>1187</v>
      </c>
      <c r="E1230" t="s">
        <v>87</v>
      </c>
      <c r="F1230" t="s">
        <v>1188</v>
      </c>
      <c r="G1230" t="str">
        <f>"201511015683"</f>
        <v>201511015683</v>
      </c>
      <c r="H1230">
        <v>990</v>
      </c>
      <c r="I1230">
        <v>0</v>
      </c>
      <c r="J1230">
        <v>30</v>
      </c>
      <c r="K1230">
        <v>0</v>
      </c>
      <c r="L1230">
        <v>0</v>
      </c>
      <c r="M1230">
        <v>0</v>
      </c>
      <c r="N1230">
        <v>0</v>
      </c>
      <c r="O1230">
        <v>0</v>
      </c>
      <c r="P1230">
        <v>0</v>
      </c>
      <c r="Q1230">
        <v>0</v>
      </c>
      <c r="R1230">
        <v>0</v>
      </c>
      <c r="S1230">
        <v>0</v>
      </c>
      <c r="V1230">
        <v>2</v>
      </c>
      <c r="W1230">
        <v>1020</v>
      </c>
    </row>
    <row r="1231" spans="1:23" x14ac:dyDescent="0.25">
      <c r="H1231" t="s">
        <v>1189</v>
      </c>
    </row>
    <row r="1232" spans="1:23" x14ac:dyDescent="0.25">
      <c r="A1232">
        <v>613</v>
      </c>
      <c r="B1232">
        <v>5254</v>
      </c>
      <c r="C1232" t="s">
        <v>2222</v>
      </c>
      <c r="D1232" t="s">
        <v>1602</v>
      </c>
      <c r="E1232" t="s">
        <v>175</v>
      </c>
      <c r="F1232" t="s">
        <v>2223</v>
      </c>
      <c r="G1232" t="str">
        <f>"201511015868"</f>
        <v>201511015868</v>
      </c>
      <c r="H1232">
        <v>990</v>
      </c>
      <c r="I1232">
        <v>0</v>
      </c>
      <c r="J1232">
        <v>30</v>
      </c>
      <c r="K1232">
        <v>0</v>
      </c>
      <c r="L1232">
        <v>0</v>
      </c>
      <c r="M1232">
        <v>0</v>
      </c>
      <c r="N1232">
        <v>0</v>
      </c>
      <c r="O1232">
        <v>0</v>
      </c>
      <c r="P1232">
        <v>0</v>
      </c>
      <c r="Q1232">
        <v>0</v>
      </c>
      <c r="R1232">
        <v>0</v>
      </c>
      <c r="S1232">
        <v>0</v>
      </c>
      <c r="V1232">
        <v>0</v>
      </c>
      <c r="W1232">
        <v>1020</v>
      </c>
    </row>
    <row r="1233" spans="1:23" x14ac:dyDescent="0.25">
      <c r="H1233" t="s">
        <v>2224</v>
      </c>
    </row>
    <row r="1234" spans="1:23" x14ac:dyDescent="0.25">
      <c r="A1234">
        <v>614</v>
      </c>
      <c r="B1234">
        <v>6338</v>
      </c>
      <c r="C1234" t="s">
        <v>2225</v>
      </c>
      <c r="D1234" t="s">
        <v>223</v>
      </c>
      <c r="E1234" t="s">
        <v>116</v>
      </c>
      <c r="F1234" t="s">
        <v>2226</v>
      </c>
      <c r="G1234" t="str">
        <f>"201602000396"</f>
        <v>201602000396</v>
      </c>
      <c r="H1234">
        <v>990</v>
      </c>
      <c r="I1234">
        <v>0</v>
      </c>
      <c r="J1234">
        <v>30</v>
      </c>
      <c r="K1234">
        <v>0</v>
      </c>
      <c r="L1234">
        <v>0</v>
      </c>
      <c r="M1234">
        <v>0</v>
      </c>
      <c r="N1234">
        <v>0</v>
      </c>
      <c r="O1234">
        <v>0</v>
      </c>
      <c r="P1234">
        <v>0</v>
      </c>
      <c r="Q1234">
        <v>0</v>
      </c>
      <c r="R1234">
        <v>0</v>
      </c>
      <c r="S1234">
        <v>0</v>
      </c>
      <c r="V1234">
        <v>0</v>
      </c>
      <c r="W1234">
        <v>1020</v>
      </c>
    </row>
    <row r="1235" spans="1:23" x14ac:dyDescent="0.25">
      <c r="H1235" t="s">
        <v>295</v>
      </c>
    </row>
    <row r="1236" spans="1:23" x14ac:dyDescent="0.25">
      <c r="A1236">
        <v>615</v>
      </c>
      <c r="B1236">
        <v>3443</v>
      </c>
      <c r="C1236" t="s">
        <v>2188</v>
      </c>
      <c r="D1236" t="s">
        <v>14</v>
      </c>
      <c r="E1236" t="s">
        <v>1376</v>
      </c>
      <c r="F1236" t="s">
        <v>2227</v>
      </c>
      <c r="G1236" t="str">
        <f>"00091778"</f>
        <v>00091778</v>
      </c>
      <c r="H1236" t="s">
        <v>316</v>
      </c>
      <c r="I1236">
        <v>0</v>
      </c>
      <c r="J1236">
        <v>0</v>
      </c>
      <c r="K1236">
        <v>0</v>
      </c>
      <c r="L1236">
        <v>0</v>
      </c>
      <c r="M1236">
        <v>0</v>
      </c>
      <c r="N1236">
        <v>0</v>
      </c>
      <c r="O1236">
        <v>0</v>
      </c>
      <c r="P1236">
        <v>0</v>
      </c>
      <c r="Q1236">
        <v>0</v>
      </c>
      <c r="R1236">
        <v>0</v>
      </c>
      <c r="S1236">
        <v>0</v>
      </c>
      <c r="V1236">
        <v>0</v>
      </c>
      <c r="W1236" t="s">
        <v>316</v>
      </c>
    </row>
    <row r="1237" spans="1:23" x14ac:dyDescent="0.25">
      <c r="H1237" t="s">
        <v>2228</v>
      </c>
    </row>
    <row r="1238" spans="1:23" x14ac:dyDescent="0.25">
      <c r="A1238">
        <v>616</v>
      </c>
      <c r="B1238">
        <v>8826</v>
      </c>
      <c r="C1238" t="s">
        <v>432</v>
      </c>
      <c r="D1238" t="s">
        <v>31</v>
      </c>
      <c r="E1238" t="s">
        <v>141</v>
      </c>
      <c r="F1238" t="s">
        <v>2229</v>
      </c>
      <c r="G1238" t="str">
        <f>"201511024008"</f>
        <v>201511024008</v>
      </c>
      <c r="H1238">
        <v>869</v>
      </c>
      <c r="I1238">
        <v>150</v>
      </c>
      <c r="J1238">
        <v>0</v>
      </c>
      <c r="K1238">
        <v>0</v>
      </c>
      <c r="L1238">
        <v>0</v>
      </c>
      <c r="M1238">
        <v>0</v>
      </c>
      <c r="N1238">
        <v>0</v>
      </c>
      <c r="O1238">
        <v>0</v>
      </c>
      <c r="P1238">
        <v>0</v>
      </c>
      <c r="Q1238">
        <v>0</v>
      </c>
      <c r="R1238">
        <v>0</v>
      </c>
      <c r="S1238">
        <v>0</v>
      </c>
      <c r="V1238">
        <v>2</v>
      </c>
      <c r="W1238">
        <v>1019</v>
      </c>
    </row>
    <row r="1239" spans="1:23" x14ac:dyDescent="0.25">
      <c r="H1239" t="s">
        <v>2230</v>
      </c>
    </row>
    <row r="1240" spans="1:23" x14ac:dyDescent="0.25">
      <c r="A1240">
        <v>617</v>
      </c>
      <c r="B1240">
        <v>8473</v>
      </c>
      <c r="C1240" t="s">
        <v>2231</v>
      </c>
      <c r="D1240" t="s">
        <v>21</v>
      </c>
      <c r="E1240" t="s">
        <v>385</v>
      </c>
      <c r="F1240" t="s">
        <v>2232</v>
      </c>
      <c r="G1240" t="str">
        <f>"200801003081"</f>
        <v>200801003081</v>
      </c>
      <c r="H1240">
        <v>869</v>
      </c>
      <c r="I1240">
        <v>150</v>
      </c>
      <c r="J1240">
        <v>0</v>
      </c>
      <c r="K1240">
        <v>0</v>
      </c>
      <c r="L1240">
        <v>0</v>
      </c>
      <c r="M1240">
        <v>0</v>
      </c>
      <c r="N1240">
        <v>0</v>
      </c>
      <c r="O1240">
        <v>0</v>
      </c>
      <c r="P1240">
        <v>0</v>
      </c>
      <c r="Q1240">
        <v>0</v>
      </c>
      <c r="R1240">
        <v>0</v>
      </c>
      <c r="S1240">
        <v>0</v>
      </c>
      <c r="V1240">
        <v>0</v>
      </c>
      <c r="W1240">
        <v>1019</v>
      </c>
    </row>
    <row r="1241" spans="1:23" x14ac:dyDescent="0.25">
      <c r="H1241">
        <v>928</v>
      </c>
    </row>
    <row r="1242" spans="1:23" x14ac:dyDescent="0.25">
      <c r="A1242">
        <v>618</v>
      </c>
      <c r="B1242">
        <v>5274</v>
      </c>
      <c r="C1242" t="s">
        <v>2233</v>
      </c>
      <c r="D1242" t="s">
        <v>2234</v>
      </c>
      <c r="E1242" t="s">
        <v>71</v>
      </c>
      <c r="F1242" t="s">
        <v>2235</v>
      </c>
      <c r="G1242" t="str">
        <f>"201310000159"</f>
        <v>201310000159</v>
      </c>
      <c r="H1242">
        <v>1012</v>
      </c>
      <c r="I1242">
        <v>0</v>
      </c>
      <c r="J1242">
        <v>0</v>
      </c>
      <c r="K1242">
        <v>0</v>
      </c>
      <c r="L1242">
        <v>0</v>
      </c>
      <c r="M1242">
        <v>0</v>
      </c>
      <c r="N1242">
        <v>0</v>
      </c>
      <c r="O1242">
        <v>0</v>
      </c>
      <c r="P1242">
        <v>0</v>
      </c>
      <c r="Q1242">
        <v>0</v>
      </c>
      <c r="R1242">
        <v>0</v>
      </c>
      <c r="S1242">
        <v>0</v>
      </c>
      <c r="V1242">
        <v>2</v>
      </c>
      <c r="W1242">
        <v>1012</v>
      </c>
    </row>
    <row r="1243" spans="1:23" x14ac:dyDescent="0.25">
      <c r="H1243" t="s">
        <v>2236</v>
      </c>
    </row>
    <row r="1244" spans="1:23" x14ac:dyDescent="0.25">
      <c r="A1244">
        <v>619</v>
      </c>
      <c r="B1244">
        <v>5353</v>
      </c>
      <c r="C1244" t="s">
        <v>2237</v>
      </c>
      <c r="D1244" t="s">
        <v>272</v>
      </c>
      <c r="E1244" t="s">
        <v>26</v>
      </c>
      <c r="F1244" t="s">
        <v>2238</v>
      </c>
      <c r="G1244" t="str">
        <f>"00048122"</f>
        <v>00048122</v>
      </c>
      <c r="H1244" t="s">
        <v>348</v>
      </c>
      <c r="I1244">
        <v>0</v>
      </c>
      <c r="J1244">
        <v>30</v>
      </c>
      <c r="K1244">
        <v>0</v>
      </c>
      <c r="L1244">
        <v>0</v>
      </c>
      <c r="M1244">
        <v>0</v>
      </c>
      <c r="N1244">
        <v>0</v>
      </c>
      <c r="O1244">
        <v>0</v>
      </c>
      <c r="P1244">
        <v>0</v>
      </c>
      <c r="Q1244">
        <v>0</v>
      </c>
      <c r="R1244">
        <v>0</v>
      </c>
      <c r="S1244">
        <v>0</v>
      </c>
      <c r="V1244">
        <v>0</v>
      </c>
      <c r="W1244" t="s">
        <v>2239</v>
      </c>
    </row>
    <row r="1245" spans="1:23" x14ac:dyDescent="0.25">
      <c r="H1245" t="s">
        <v>2240</v>
      </c>
    </row>
    <row r="1246" spans="1:23" x14ac:dyDescent="0.25">
      <c r="A1246">
        <v>620</v>
      </c>
      <c r="B1246">
        <v>9232</v>
      </c>
      <c r="C1246" t="s">
        <v>2241</v>
      </c>
      <c r="D1246" t="s">
        <v>132</v>
      </c>
      <c r="E1246" t="s">
        <v>218</v>
      </c>
      <c r="F1246" t="s">
        <v>2242</v>
      </c>
      <c r="G1246" t="str">
        <f>"201511040173"</f>
        <v>201511040173</v>
      </c>
      <c r="H1246" t="s">
        <v>322</v>
      </c>
      <c r="I1246">
        <v>0</v>
      </c>
      <c r="J1246">
        <v>0</v>
      </c>
      <c r="K1246">
        <v>0</v>
      </c>
      <c r="L1246">
        <v>0</v>
      </c>
      <c r="M1246">
        <v>0</v>
      </c>
      <c r="N1246">
        <v>0</v>
      </c>
      <c r="O1246">
        <v>0</v>
      </c>
      <c r="P1246">
        <v>0</v>
      </c>
      <c r="Q1246">
        <v>0</v>
      </c>
      <c r="R1246">
        <v>30</v>
      </c>
      <c r="S1246">
        <v>210</v>
      </c>
      <c r="V1246">
        <v>0</v>
      </c>
      <c r="W1246" t="s">
        <v>2243</v>
      </c>
    </row>
    <row r="1247" spans="1:23" x14ac:dyDescent="0.25">
      <c r="H1247" t="s">
        <v>2244</v>
      </c>
    </row>
    <row r="1248" spans="1:23" x14ac:dyDescent="0.25">
      <c r="A1248">
        <v>621</v>
      </c>
      <c r="B1248">
        <v>1159</v>
      </c>
      <c r="C1248" t="s">
        <v>2245</v>
      </c>
      <c r="D1248" t="s">
        <v>36</v>
      </c>
      <c r="E1248" t="s">
        <v>1391</v>
      </c>
      <c r="F1248" t="s">
        <v>2246</v>
      </c>
      <c r="G1248" t="str">
        <f>"201511037859"</f>
        <v>201511037859</v>
      </c>
      <c r="H1248">
        <v>770</v>
      </c>
      <c r="I1248">
        <v>0</v>
      </c>
      <c r="J1248">
        <v>70</v>
      </c>
      <c r="K1248">
        <v>0</v>
      </c>
      <c r="L1248">
        <v>0</v>
      </c>
      <c r="M1248">
        <v>0</v>
      </c>
      <c r="N1248">
        <v>0</v>
      </c>
      <c r="O1248">
        <v>0</v>
      </c>
      <c r="P1248">
        <v>0</v>
      </c>
      <c r="Q1248">
        <v>0</v>
      </c>
      <c r="R1248">
        <v>24</v>
      </c>
      <c r="S1248">
        <v>168</v>
      </c>
      <c r="V1248">
        <v>0</v>
      </c>
      <c r="W1248">
        <v>1008</v>
      </c>
    </row>
    <row r="1249" spans="1:23" x14ac:dyDescent="0.25">
      <c r="H1249" t="s">
        <v>216</v>
      </c>
    </row>
    <row r="1250" spans="1:23" x14ac:dyDescent="0.25">
      <c r="A1250">
        <v>622</v>
      </c>
      <c r="B1250">
        <v>8598</v>
      </c>
      <c r="C1250" t="s">
        <v>2247</v>
      </c>
      <c r="D1250" t="s">
        <v>269</v>
      </c>
      <c r="E1250" t="s">
        <v>223</v>
      </c>
      <c r="F1250" t="s">
        <v>2248</v>
      </c>
      <c r="G1250" t="str">
        <f>"00086965"</f>
        <v>00086965</v>
      </c>
      <c r="H1250" t="s">
        <v>354</v>
      </c>
      <c r="I1250">
        <v>0</v>
      </c>
      <c r="J1250">
        <v>0</v>
      </c>
      <c r="K1250">
        <v>0</v>
      </c>
      <c r="L1250">
        <v>0</v>
      </c>
      <c r="M1250">
        <v>0</v>
      </c>
      <c r="N1250">
        <v>0</v>
      </c>
      <c r="O1250">
        <v>0</v>
      </c>
      <c r="P1250">
        <v>0</v>
      </c>
      <c r="Q1250">
        <v>0</v>
      </c>
      <c r="R1250">
        <v>0</v>
      </c>
      <c r="S1250">
        <v>0</v>
      </c>
      <c r="V1250">
        <v>2</v>
      </c>
      <c r="W1250" t="s">
        <v>354</v>
      </c>
    </row>
    <row r="1251" spans="1:23" x14ac:dyDescent="0.25">
      <c r="H1251" t="s">
        <v>708</v>
      </c>
    </row>
    <row r="1252" spans="1:23" x14ac:dyDescent="0.25">
      <c r="A1252">
        <v>623</v>
      </c>
      <c r="B1252">
        <v>6959</v>
      </c>
      <c r="C1252" t="s">
        <v>2249</v>
      </c>
      <c r="D1252" t="s">
        <v>105</v>
      </c>
      <c r="E1252" t="s">
        <v>2250</v>
      </c>
      <c r="F1252" t="s">
        <v>2251</v>
      </c>
      <c r="G1252" t="str">
        <f>"201209000128"</f>
        <v>201209000128</v>
      </c>
      <c r="H1252" t="s">
        <v>354</v>
      </c>
      <c r="I1252">
        <v>0</v>
      </c>
      <c r="J1252">
        <v>0</v>
      </c>
      <c r="K1252">
        <v>0</v>
      </c>
      <c r="L1252">
        <v>0</v>
      </c>
      <c r="M1252">
        <v>0</v>
      </c>
      <c r="N1252">
        <v>0</v>
      </c>
      <c r="O1252">
        <v>0</v>
      </c>
      <c r="P1252">
        <v>0</v>
      </c>
      <c r="Q1252">
        <v>0</v>
      </c>
      <c r="R1252">
        <v>0</v>
      </c>
      <c r="S1252">
        <v>0</v>
      </c>
      <c r="V1252">
        <v>0</v>
      </c>
      <c r="W1252" t="s">
        <v>354</v>
      </c>
    </row>
    <row r="1253" spans="1:23" x14ac:dyDescent="0.25">
      <c r="H1253" t="s">
        <v>2252</v>
      </c>
    </row>
    <row r="1254" spans="1:23" x14ac:dyDescent="0.25">
      <c r="A1254">
        <v>624</v>
      </c>
      <c r="B1254">
        <v>3137</v>
      </c>
      <c r="C1254" t="s">
        <v>2253</v>
      </c>
      <c r="D1254" t="s">
        <v>2022</v>
      </c>
      <c r="E1254" t="s">
        <v>53</v>
      </c>
      <c r="F1254" t="s">
        <v>2254</v>
      </c>
      <c r="G1254" t="str">
        <f>"00020330"</f>
        <v>00020330</v>
      </c>
      <c r="H1254">
        <v>605</v>
      </c>
      <c r="I1254">
        <v>150</v>
      </c>
      <c r="J1254">
        <v>0</v>
      </c>
      <c r="K1254">
        <v>0</v>
      </c>
      <c r="L1254">
        <v>0</v>
      </c>
      <c r="M1254">
        <v>0</v>
      </c>
      <c r="N1254">
        <v>0</v>
      </c>
      <c r="O1254">
        <v>0</v>
      </c>
      <c r="P1254">
        <v>0</v>
      </c>
      <c r="Q1254">
        <v>0</v>
      </c>
      <c r="R1254">
        <v>36</v>
      </c>
      <c r="S1254">
        <v>252</v>
      </c>
      <c r="V1254">
        <v>0</v>
      </c>
      <c r="W1254">
        <v>1007</v>
      </c>
    </row>
    <row r="1255" spans="1:23" x14ac:dyDescent="0.25">
      <c r="H1255" t="s">
        <v>2255</v>
      </c>
    </row>
    <row r="1256" spans="1:23" x14ac:dyDescent="0.25">
      <c r="A1256">
        <v>625</v>
      </c>
      <c r="B1256">
        <v>10346</v>
      </c>
      <c r="C1256" t="s">
        <v>1461</v>
      </c>
      <c r="D1256" t="s">
        <v>71</v>
      </c>
      <c r="E1256" t="s">
        <v>42</v>
      </c>
      <c r="F1256" t="s">
        <v>1462</v>
      </c>
      <c r="G1256" t="str">
        <f>"00073578"</f>
        <v>00073578</v>
      </c>
      <c r="H1256" t="s">
        <v>1463</v>
      </c>
      <c r="I1256">
        <v>0</v>
      </c>
      <c r="J1256">
        <v>0</v>
      </c>
      <c r="K1256">
        <v>0</v>
      </c>
      <c r="L1256">
        <v>0</v>
      </c>
      <c r="M1256">
        <v>0</v>
      </c>
      <c r="N1256">
        <v>0</v>
      </c>
      <c r="O1256">
        <v>0</v>
      </c>
      <c r="P1256">
        <v>0</v>
      </c>
      <c r="Q1256">
        <v>0</v>
      </c>
      <c r="R1256">
        <v>0</v>
      </c>
      <c r="S1256">
        <v>0</v>
      </c>
      <c r="V1256">
        <v>0</v>
      </c>
      <c r="W1256" t="s">
        <v>1463</v>
      </c>
    </row>
    <row r="1257" spans="1:23" x14ac:dyDescent="0.25">
      <c r="H1257" t="s">
        <v>1465</v>
      </c>
    </row>
    <row r="1258" spans="1:23" x14ac:dyDescent="0.25">
      <c r="A1258">
        <v>626</v>
      </c>
      <c r="B1258">
        <v>15</v>
      </c>
      <c r="C1258" t="s">
        <v>2256</v>
      </c>
      <c r="D1258" t="s">
        <v>2257</v>
      </c>
      <c r="E1258" t="s">
        <v>87</v>
      </c>
      <c r="F1258" t="s">
        <v>2258</v>
      </c>
      <c r="G1258" t="str">
        <f>"201511013266"</f>
        <v>201511013266</v>
      </c>
      <c r="H1258">
        <v>935</v>
      </c>
      <c r="I1258">
        <v>0</v>
      </c>
      <c r="J1258">
        <v>0</v>
      </c>
      <c r="K1258">
        <v>0</v>
      </c>
      <c r="L1258">
        <v>0</v>
      </c>
      <c r="M1258">
        <v>0</v>
      </c>
      <c r="N1258">
        <v>0</v>
      </c>
      <c r="O1258">
        <v>0</v>
      </c>
      <c r="P1258">
        <v>0</v>
      </c>
      <c r="Q1258">
        <v>0</v>
      </c>
      <c r="R1258">
        <v>10</v>
      </c>
      <c r="S1258">
        <v>70</v>
      </c>
      <c r="V1258">
        <v>0</v>
      </c>
      <c r="W1258">
        <v>1005</v>
      </c>
    </row>
    <row r="1259" spans="1:23" x14ac:dyDescent="0.25">
      <c r="H1259" t="s">
        <v>2259</v>
      </c>
    </row>
    <row r="1260" spans="1:23" x14ac:dyDescent="0.25">
      <c r="A1260">
        <v>627</v>
      </c>
      <c r="B1260">
        <v>10143</v>
      </c>
      <c r="C1260" t="s">
        <v>2260</v>
      </c>
      <c r="D1260" t="s">
        <v>42</v>
      </c>
      <c r="E1260" t="s">
        <v>218</v>
      </c>
      <c r="F1260" t="s">
        <v>2261</v>
      </c>
      <c r="G1260" t="str">
        <f>"201511027157"</f>
        <v>201511027157</v>
      </c>
      <c r="H1260">
        <v>935</v>
      </c>
      <c r="I1260">
        <v>0</v>
      </c>
      <c r="J1260">
        <v>70</v>
      </c>
      <c r="K1260">
        <v>0</v>
      </c>
      <c r="L1260">
        <v>0</v>
      </c>
      <c r="M1260">
        <v>0</v>
      </c>
      <c r="N1260">
        <v>0</v>
      </c>
      <c r="O1260">
        <v>0</v>
      </c>
      <c r="P1260">
        <v>0</v>
      </c>
      <c r="Q1260">
        <v>0</v>
      </c>
      <c r="R1260">
        <v>0</v>
      </c>
      <c r="S1260">
        <v>0</v>
      </c>
      <c r="V1260">
        <v>0</v>
      </c>
      <c r="W1260">
        <v>1005</v>
      </c>
    </row>
    <row r="1261" spans="1:23" x14ac:dyDescent="0.25">
      <c r="H1261" t="s">
        <v>2262</v>
      </c>
    </row>
    <row r="1262" spans="1:23" x14ac:dyDescent="0.25">
      <c r="A1262">
        <v>628</v>
      </c>
      <c r="B1262">
        <v>1234</v>
      </c>
      <c r="C1262" t="s">
        <v>2263</v>
      </c>
      <c r="D1262" t="s">
        <v>105</v>
      </c>
      <c r="E1262" t="s">
        <v>1034</v>
      </c>
      <c r="F1262" t="s">
        <v>2264</v>
      </c>
      <c r="G1262" t="str">
        <f>"00075098"</f>
        <v>00075098</v>
      </c>
      <c r="H1262" t="s">
        <v>274</v>
      </c>
      <c r="I1262">
        <v>0</v>
      </c>
      <c r="J1262">
        <v>0</v>
      </c>
      <c r="K1262">
        <v>0</v>
      </c>
      <c r="L1262">
        <v>0</v>
      </c>
      <c r="M1262">
        <v>0</v>
      </c>
      <c r="N1262">
        <v>0</v>
      </c>
      <c r="O1262">
        <v>0</v>
      </c>
      <c r="P1262">
        <v>0</v>
      </c>
      <c r="Q1262">
        <v>0</v>
      </c>
      <c r="R1262">
        <v>0</v>
      </c>
      <c r="S1262">
        <v>0</v>
      </c>
      <c r="T1262">
        <v>6</v>
      </c>
      <c r="U1262">
        <v>906</v>
      </c>
      <c r="V1262">
        <v>0</v>
      </c>
      <c r="W1262" t="s">
        <v>274</v>
      </c>
    </row>
    <row r="1263" spans="1:23" x14ac:dyDescent="0.25">
      <c r="H1263">
        <v>906</v>
      </c>
    </row>
    <row r="1264" spans="1:23" x14ac:dyDescent="0.25">
      <c r="A1264">
        <v>629</v>
      </c>
      <c r="B1264">
        <v>9125</v>
      </c>
      <c r="C1264" t="s">
        <v>2265</v>
      </c>
      <c r="D1264" t="s">
        <v>223</v>
      </c>
      <c r="E1264" t="s">
        <v>95</v>
      </c>
      <c r="F1264" t="s">
        <v>2266</v>
      </c>
      <c r="G1264" t="str">
        <f>"201102000318"</f>
        <v>201102000318</v>
      </c>
      <c r="H1264">
        <v>605</v>
      </c>
      <c r="I1264">
        <v>0</v>
      </c>
      <c r="J1264">
        <v>0</v>
      </c>
      <c r="K1264">
        <v>0</v>
      </c>
      <c r="L1264">
        <v>0</v>
      </c>
      <c r="M1264">
        <v>0</v>
      </c>
      <c r="N1264">
        <v>0</v>
      </c>
      <c r="O1264">
        <v>0</v>
      </c>
      <c r="P1264">
        <v>0</v>
      </c>
      <c r="Q1264">
        <v>0</v>
      </c>
      <c r="R1264">
        <v>57</v>
      </c>
      <c r="S1264">
        <v>399</v>
      </c>
      <c r="V1264">
        <v>0</v>
      </c>
      <c r="W1264">
        <v>1004</v>
      </c>
    </row>
    <row r="1265" spans="1:23" x14ac:dyDescent="0.25">
      <c r="H1265" t="s">
        <v>2267</v>
      </c>
    </row>
    <row r="1266" spans="1:23" x14ac:dyDescent="0.25">
      <c r="A1266">
        <v>630</v>
      </c>
      <c r="B1266">
        <v>9051</v>
      </c>
      <c r="C1266" t="s">
        <v>2268</v>
      </c>
      <c r="D1266" t="s">
        <v>1002</v>
      </c>
      <c r="E1266" t="s">
        <v>95</v>
      </c>
      <c r="F1266" t="s">
        <v>2269</v>
      </c>
      <c r="G1266" t="str">
        <f>"201402009009"</f>
        <v>201402009009</v>
      </c>
      <c r="H1266">
        <v>1001</v>
      </c>
      <c r="I1266">
        <v>0</v>
      </c>
      <c r="J1266">
        <v>0</v>
      </c>
      <c r="K1266">
        <v>0</v>
      </c>
      <c r="L1266">
        <v>0</v>
      </c>
      <c r="M1266">
        <v>0</v>
      </c>
      <c r="N1266">
        <v>0</v>
      </c>
      <c r="O1266">
        <v>0</v>
      </c>
      <c r="P1266">
        <v>0</v>
      </c>
      <c r="Q1266">
        <v>0</v>
      </c>
      <c r="R1266">
        <v>0</v>
      </c>
      <c r="S1266">
        <v>0</v>
      </c>
      <c r="V1266">
        <v>0</v>
      </c>
      <c r="W1266">
        <v>1001</v>
      </c>
    </row>
    <row r="1267" spans="1:23" x14ac:dyDescent="0.25">
      <c r="H1267" t="s">
        <v>2270</v>
      </c>
    </row>
    <row r="1268" spans="1:23" x14ac:dyDescent="0.25">
      <c r="A1268">
        <v>631</v>
      </c>
      <c r="B1268">
        <v>7997</v>
      </c>
      <c r="C1268" t="s">
        <v>2271</v>
      </c>
      <c r="D1268" t="s">
        <v>67</v>
      </c>
      <c r="E1268" t="s">
        <v>877</v>
      </c>
      <c r="F1268" t="s">
        <v>2272</v>
      </c>
      <c r="G1268" t="str">
        <f>"00074020"</f>
        <v>00074020</v>
      </c>
      <c r="H1268">
        <v>605</v>
      </c>
      <c r="I1268">
        <v>0</v>
      </c>
      <c r="J1268">
        <v>30</v>
      </c>
      <c r="K1268">
        <v>0</v>
      </c>
      <c r="L1268">
        <v>30</v>
      </c>
      <c r="M1268">
        <v>0</v>
      </c>
      <c r="N1268">
        <v>0</v>
      </c>
      <c r="O1268">
        <v>0</v>
      </c>
      <c r="P1268">
        <v>0</v>
      </c>
      <c r="Q1268">
        <v>0</v>
      </c>
      <c r="R1268">
        <v>48</v>
      </c>
      <c r="S1268">
        <v>336</v>
      </c>
      <c r="V1268">
        <v>2</v>
      </c>
      <c r="W1268">
        <v>1001</v>
      </c>
    </row>
    <row r="1269" spans="1:23" x14ac:dyDescent="0.25">
      <c r="H1269" t="s">
        <v>2273</v>
      </c>
    </row>
    <row r="1270" spans="1:23" x14ac:dyDescent="0.25">
      <c r="A1270">
        <v>632</v>
      </c>
      <c r="B1270">
        <v>5058</v>
      </c>
      <c r="C1270" t="s">
        <v>2274</v>
      </c>
      <c r="D1270" t="s">
        <v>2275</v>
      </c>
      <c r="E1270" t="s">
        <v>87</v>
      </c>
      <c r="F1270" t="s">
        <v>2276</v>
      </c>
      <c r="G1270" t="str">
        <f>"201511033296"</f>
        <v>201511033296</v>
      </c>
      <c r="H1270">
        <v>550</v>
      </c>
      <c r="I1270">
        <v>0</v>
      </c>
      <c r="J1270">
        <v>30</v>
      </c>
      <c r="K1270">
        <v>0</v>
      </c>
      <c r="L1270">
        <v>0</v>
      </c>
      <c r="M1270">
        <v>0</v>
      </c>
      <c r="N1270">
        <v>0</v>
      </c>
      <c r="O1270">
        <v>0</v>
      </c>
      <c r="P1270">
        <v>0</v>
      </c>
      <c r="Q1270">
        <v>0</v>
      </c>
      <c r="R1270">
        <v>60</v>
      </c>
      <c r="S1270">
        <v>420</v>
      </c>
      <c r="V1270">
        <v>0</v>
      </c>
      <c r="W1270">
        <v>1000</v>
      </c>
    </row>
    <row r="1271" spans="1:23" x14ac:dyDescent="0.25">
      <c r="H1271" t="s">
        <v>2277</v>
      </c>
    </row>
    <row r="1272" spans="1:23" x14ac:dyDescent="0.25">
      <c r="A1272">
        <v>633</v>
      </c>
      <c r="B1272">
        <v>7155</v>
      </c>
      <c r="C1272" t="s">
        <v>2278</v>
      </c>
      <c r="D1272" t="s">
        <v>2279</v>
      </c>
      <c r="E1272" t="s">
        <v>346</v>
      </c>
      <c r="F1272" t="s">
        <v>2280</v>
      </c>
      <c r="G1272" t="str">
        <f>"00098767"</f>
        <v>00098767</v>
      </c>
      <c r="H1272" t="s">
        <v>375</v>
      </c>
      <c r="I1272">
        <v>0</v>
      </c>
      <c r="J1272">
        <v>0</v>
      </c>
      <c r="K1272">
        <v>0</v>
      </c>
      <c r="L1272">
        <v>0</v>
      </c>
      <c r="M1272">
        <v>0</v>
      </c>
      <c r="N1272">
        <v>0</v>
      </c>
      <c r="O1272">
        <v>0</v>
      </c>
      <c r="P1272">
        <v>0</v>
      </c>
      <c r="Q1272">
        <v>0</v>
      </c>
      <c r="R1272">
        <v>0</v>
      </c>
      <c r="S1272">
        <v>0</v>
      </c>
      <c r="V1272">
        <v>0</v>
      </c>
      <c r="W1272" t="s">
        <v>375</v>
      </c>
    </row>
    <row r="1273" spans="1:23" x14ac:dyDescent="0.25">
      <c r="H1273" t="s">
        <v>2281</v>
      </c>
    </row>
    <row r="1274" spans="1:23" x14ac:dyDescent="0.25">
      <c r="A1274">
        <v>634</v>
      </c>
      <c r="B1274">
        <v>10010</v>
      </c>
      <c r="C1274" t="s">
        <v>2282</v>
      </c>
      <c r="D1274" t="s">
        <v>22</v>
      </c>
      <c r="E1274" t="s">
        <v>497</v>
      </c>
      <c r="F1274" t="s">
        <v>2283</v>
      </c>
      <c r="G1274" t="str">
        <f>"00103761"</f>
        <v>00103761</v>
      </c>
      <c r="H1274" t="s">
        <v>375</v>
      </c>
      <c r="I1274">
        <v>0</v>
      </c>
      <c r="J1274">
        <v>0</v>
      </c>
      <c r="K1274">
        <v>0</v>
      </c>
      <c r="L1274">
        <v>0</v>
      </c>
      <c r="M1274">
        <v>0</v>
      </c>
      <c r="N1274">
        <v>0</v>
      </c>
      <c r="O1274">
        <v>0</v>
      </c>
      <c r="P1274">
        <v>0</v>
      </c>
      <c r="Q1274">
        <v>0</v>
      </c>
      <c r="R1274">
        <v>0</v>
      </c>
      <c r="S1274">
        <v>0</v>
      </c>
      <c r="V1274">
        <v>0</v>
      </c>
      <c r="W1274" t="s">
        <v>375</v>
      </c>
    </row>
    <row r="1275" spans="1:23" x14ac:dyDescent="0.25">
      <c r="H1275" t="s">
        <v>2284</v>
      </c>
    </row>
    <row r="1276" spans="1:23" x14ac:dyDescent="0.25">
      <c r="A1276">
        <v>635</v>
      </c>
      <c r="B1276">
        <v>7072</v>
      </c>
      <c r="C1276" t="s">
        <v>2285</v>
      </c>
      <c r="D1276" t="s">
        <v>156</v>
      </c>
      <c r="E1276" t="s">
        <v>218</v>
      </c>
      <c r="F1276" t="s">
        <v>2286</v>
      </c>
      <c r="G1276" t="str">
        <f>"00073619"</f>
        <v>00073619</v>
      </c>
      <c r="H1276" t="s">
        <v>375</v>
      </c>
      <c r="I1276">
        <v>0</v>
      </c>
      <c r="J1276">
        <v>0</v>
      </c>
      <c r="K1276">
        <v>0</v>
      </c>
      <c r="L1276">
        <v>0</v>
      </c>
      <c r="M1276">
        <v>0</v>
      </c>
      <c r="N1276">
        <v>0</v>
      </c>
      <c r="O1276">
        <v>0</v>
      </c>
      <c r="P1276">
        <v>0</v>
      </c>
      <c r="Q1276">
        <v>0</v>
      </c>
      <c r="R1276">
        <v>0</v>
      </c>
      <c r="S1276">
        <v>0</v>
      </c>
      <c r="V1276">
        <v>2</v>
      </c>
      <c r="W1276" t="s">
        <v>375</v>
      </c>
    </row>
    <row r="1277" spans="1:23" x14ac:dyDescent="0.25">
      <c r="H1277">
        <v>929</v>
      </c>
    </row>
    <row r="1278" spans="1:23" x14ac:dyDescent="0.25">
      <c r="A1278">
        <v>636</v>
      </c>
      <c r="B1278">
        <v>10226</v>
      </c>
      <c r="C1278" t="s">
        <v>2287</v>
      </c>
      <c r="D1278" t="s">
        <v>629</v>
      </c>
      <c r="E1278" t="s">
        <v>2288</v>
      </c>
      <c r="F1278" t="s">
        <v>2289</v>
      </c>
      <c r="G1278" t="str">
        <f>"00084676"</f>
        <v>00084676</v>
      </c>
      <c r="H1278" t="s">
        <v>375</v>
      </c>
      <c r="I1278">
        <v>0</v>
      </c>
      <c r="J1278">
        <v>0</v>
      </c>
      <c r="K1278">
        <v>0</v>
      </c>
      <c r="L1278">
        <v>0</v>
      </c>
      <c r="M1278">
        <v>0</v>
      </c>
      <c r="N1278">
        <v>0</v>
      </c>
      <c r="O1278">
        <v>0</v>
      </c>
      <c r="P1278">
        <v>0</v>
      </c>
      <c r="Q1278">
        <v>0</v>
      </c>
      <c r="R1278">
        <v>0</v>
      </c>
      <c r="S1278">
        <v>0</v>
      </c>
      <c r="V1278">
        <v>0</v>
      </c>
      <c r="W1278" t="s">
        <v>375</v>
      </c>
    </row>
    <row r="1279" spans="1:23" x14ac:dyDescent="0.25">
      <c r="H1279" t="s">
        <v>2290</v>
      </c>
    </row>
    <row r="1280" spans="1:23" x14ac:dyDescent="0.25">
      <c r="A1280">
        <v>637</v>
      </c>
      <c r="B1280">
        <v>6761</v>
      </c>
      <c r="C1280" t="s">
        <v>2291</v>
      </c>
      <c r="D1280" t="s">
        <v>31</v>
      </c>
      <c r="E1280" t="s">
        <v>141</v>
      </c>
      <c r="F1280" t="s">
        <v>2292</v>
      </c>
      <c r="G1280" t="str">
        <f>"00085243"</f>
        <v>00085243</v>
      </c>
      <c r="H1280" t="s">
        <v>382</v>
      </c>
      <c r="I1280">
        <v>0</v>
      </c>
      <c r="J1280">
        <v>0</v>
      </c>
      <c r="K1280">
        <v>0</v>
      </c>
      <c r="L1280">
        <v>0</v>
      </c>
      <c r="M1280">
        <v>0</v>
      </c>
      <c r="N1280">
        <v>0</v>
      </c>
      <c r="O1280">
        <v>0</v>
      </c>
      <c r="P1280">
        <v>0</v>
      </c>
      <c r="Q1280">
        <v>0</v>
      </c>
      <c r="R1280">
        <v>0</v>
      </c>
      <c r="S1280">
        <v>0</v>
      </c>
      <c r="V1280">
        <v>0</v>
      </c>
      <c r="W1280" t="s">
        <v>382</v>
      </c>
    </row>
    <row r="1281" spans="1:23" x14ac:dyDescent="0.25">
      <c r="H1281" t="s">
        <v>2293</v>
      </c>
    </row>
    <row r="1282" spans="1:23" x14ac:dyDescent="0.25">
      <c r="A1282">
        <v>638</v>
      </c>
      <c r="B1282">
        <v>4331</v>
      </c>
      <c r="C1282" t="s">
        <v>2294</v>
      </c>
      <c r="D1282" t="s">
        <v>42</v>
      </c>
      <c r="E1282" t="s">
        <v>47</v>
      </c>
      <c r="F1282" t="s">
        <v>2295</v>
      </c>
      <c r="G1282" t="str">
        <f>"00048205"</f>
        <v>00048205</v>
      </c>
      <c r="H1282" t="s">
        <v>382</v>
      </c>
      <c r="I1282">
        <v>0</v>
      </c>
      <c r="J1282">
        <v>0</v>
      </c>
      <c r="K1282">
        <v>0</v>
      </c>
      <c r="L1282">
        <v>0</v>
      </c>
      <c r="M1282">
        <v>0</v>
      </c>
      <c r="N1282">
        <v>0</v>
      </c>
      <c r="O1282">
        <v>0</v>
      </c>
      <c r="P1282">
        <v>0</v>
      </c>
      <c r="Q1282">
        <v>0</v>
      </c>
      <c r="R1282">
        <v>0</v>
      </c>
      <c r="S1282">
        <v>0</v>
      </c>
      <c r="V1282">
        <v>0</v>
      </c>
      <c r="W1282" t="s">
        <v>382</v>
      </c>
    </row>
    <row r="1283" spans="1:23" x14ac:dyDescent="0.25">
      <c r="H1283" t="s">
        <v>216</v>
      </c>
    </row>
    <row r="1284" spans="1:23" x14ac:dyDescent="0.25">
      <c r="A1284">
        <v>639</v>
      </c>
      <c r="B1284">
        <v>1282</v>
      </c>
      <c r="C1284" t="s">
        <v>2296</v>
      </c>
      <c r="D1284" t="s">
        <v>31</v>
      </c>
      <c r="E1284" t="s">
        <v>121</v>
      </c>
      <c r="F1284" t="s">
        <v>2297</v>
      </c>
      <c r="G1284" t="str">
        <f>"201510001927"</f>
        <v>201510001927</v>
      </c>
      <c r="H1284">
        <v>825</v>
      </c>
      <c r="I1284">
        <v>150</v>
      </c>
      <c r="J1284">
        <v>0</v>
      </c>
      <c r="K1284">
        <v>0</v>
      </c>
      <c r="L1284">
        <v>0</v>
      </c>
      <c r="M1284">
        <v>0</v>
      </c>
      <c r="N1284">
        <v>0</v>
      </c>
      <c r="O1284">
        <v>0</v>
      </c>
      <c r="P1284">
        <v>0</v>
      </c>
      <c r="Q1284">
        <v>0</v>
      </c>
      <c r="R1284">
        <v>3</v>
      </c>
      <c r="S1284">
        <v>21</v>
      </c>
      <c r="V1284">
        <v>2</v>
      </c>
      <c r="W1284">
        <v>996</v>
      </c>
    </row>
    <row r="1285" spans="1:23" x14ac:dyDescent="0.25">
      <c r="H1285" t="s">
        <v>2298</v>
      </c>
    </row>
    <row r="1286" spans="1:23" x14ac:dyDescent="0.25">
      <c r="A1286">
        <v>640</v>
      </c>
      <c r="B1286">
        <v>9820</v>
      </c>
      <c r="C1286" t="s">
        <v>2299</v>
      </c>
      <c r="D1286" t="s">
        <v>121</v>
      </c>
      <c r="E1286" t="s">
        <v>53</v>
      </c>
      <c r="F1286" t="s">
        <v>2300</v>
      </c>
      <c r="G1286" t="str">
        <f>"201511043399"</f>
        <v>201511043399</v>
      </c>
      <c r="H1286" t="s">
        <v>2175</v>
      </c>
      <c r="I1286">
        <v>0</v>
      </c>
      <c r="J1286">
        <v>0</v>
      </c>
      <c r="K1286">
        <v>0</v>
      </c>
      <c r="L1286">
        <v>0</v>
      </c>
      <c r="M1286">
        <v>0</v>
      </c>
      <c r="N1286">
        <v>0</v>
      </c>
      <c r="O1286">
        <v>0</v>
      </c>
      <c r="P1286">
        <v>0</v>
      </c>
      <c r="Q1286">
        <v>0</v>
      </c>
      <c r="R1286">
        <v>0</v>
      </c>
      <c r="S1286">
        <v>0</v>
      </c>
      <c r="V1286">
        <v>2</v>
      </c>
      <c r="W1286" t="s">
        <v>2175</v>
      </c>
    </row>
    <row r="1287" spans="1:23" x14ac:dyDescent="0.25">
      <c r="H1287" t="s">
        <v>216</v>
      </c>
    </row>
    <row r="1288" spans="1:23" x14ac:dyDescent="0.25">
      <c r="A1288">
        <v>641</v>
      </c>
      <c r="B1288">
        <v>4772</v>
      </c>
      <c r="C1288" t="s">
        <v>2301</v>
      </c>
      <c r="D1288" t="s">
        <v>31</v>
      </c>
      <c r="E1288" t="s">
        <v>26</v>
      </c>
      <c r="F1288" t="s">
        <v>2302</v>
      </c>
      <c r="G1288" t="str">
        <f>"201511005190"</f>
        <v>201511005190</v>
      </c>
      <c r="H1288" t="s">
        <v>1282</v>
      </c>
      <c r="I1288">
        <v>0</v>
      </c>
      <c r="J1288">
        <v>0</v>
      </c>
      <c r="K1288">
        <v>0</v>
      </c>
      <c r="L1288">
        <v>0</v>
      </c>
      <c r="M1288">
        <v>0</v>
      </c>
      <c r="N1288">
        <v>0</v>
      </c>
      <c r="O1288">
        <v>0</v>
      </c>
      <c r="P1288">
        <v>0</v>
      </c>
      <c r="Q1288">
        <v>0</v>
      </c>
      <c r="R1288">
        <v>0</v>
      </c>
      <c r="S1288">
        <v>0</v>
      </c>
      <c r="V1288">
        <v>0</v>
      </c>
      <c r="W1288" t="s">
        <v>1282</v>
      </c>
    </row>
    <row r="1289" spans="1:23" x14ac:dyDescent="0.25">
      <c r="H1289" t="s">
        <v>2303</v>
      </c>
    </row>
    <row r="1290" spans="1:23" x14ac:dyDescent="0.25">
      <c r="A1290">
        <v>642</v>
      </c>
      <c r="B1290">
        <v>5281</v>
      </c>
      <c r="C1290" t="s">
        <v>2304</v>
      </c>
      <c r="D1290" t="s">
        <v>94</v>
      </c>
      <c r="E1290" t="s">
        <v>42</v>
      </c>
      <c r="F1290" t="s">
        <v>2305</v>
      </c>
      <c r="G1290" t="str">
        <f>"00029612"</f>
        <v>00029612</v>
      </c>
      <c r="H1290">
        <v>880</v>
      </c>
      <c r="I1290">
        <v>0</v>
      </c>
      <c r="J1290">
        <v>30</v>
      </c>
      <c r="K1290">
        <v>0</v>
      </c>
      <c r="L1290">
        <v>0</v>
      </c>
      <c r="M1290">
        <v>0</v>
      </c>
      <c r="N1290">
        <v>0</v>
      </c>
      <c r="O1290">
        <v>0</v>
      </c>
      <c r="P1290">
        <v>0</v>
      </c>
      <c r="Q1290">
        <v>0</v>
      </c>
      <c r="R1290">
        <v>12</v>
      </c>
      <c r="S1290">
        <v>84</v>
      </c>
      <c r="V1290">
        <v>0</v>
      </c>
      <c r="W1290">
        <v>994</v>
      </c>
    </row>
    <row r="1291" spans="1:23" x14ac:dyDescent="0.25">
      <c r="H1291" t="s">
        <v>2306</v>
      </c>
    </row>
    <row r="1292" spans="1:23" x14ac:dyDescent="0.25">
      <c r="A1292">
        <v>643</v>
      </c>
      <c r="B1292">
        <v>2538</v>
      </c>
      <c r="C1292" t="s">
        <v>345</v>
      </c>
      <c r="D1292" t="s">
        <v>272</v>
      </c>
      <c r="E1292" t="s">
        <v>141</v>
      </c>
      <c r="F1292" t="s">
        <v>2307</v>
      </c>
      <c r="G1292" t="str">
        <f>"201511007019"</f>
        <v>201511007019</v>
      </c>
      <c r="H1292">
        <v>770</v>
      </c>
      <c r="I1292">
        <v>0</v>
      </c>
      <c r="J1292">
        <v>0</v>
      </c>
      <c r="K1292">
        <v>0</v>
      </c>
      <c r="L1292">
        <v>0</v>
      </c>
      <c r="M1292">
        <v>0</v>
      </c>
      <c r="N1292">
        <v>0</v>
      </c>
      <c r="O1292">
        <v>0</v>
      </c>
      <c r="P1292">
        <v>0</v>
      </c>
      <c r="Q1292">
        <v>0</v>
      </c>
      <c r="R1292">
        <v>32</v>
      </c>
      <c r="S1292">
        <v>224</v>
      </c>
      <c r="V1292">
        <v>0</v>
      </c>
      <c r="W1292">
        <v>994</v>
      </c>
    </row>
    <row r="1293" spans="1:23" x14ac:dyDescent="0.25">
      <c r="H1293" t="s">
        <v>2308</v>
      </c>
    </row>
    <row r="1294" spans="1:23" x14ac:dyDescent="0.25">
      <c r="A1294">
        <v>644</v>
      </c>
      <c r="B1294">
        <v>5270</v>
      </c>
      <c r="C1294" t="s">
        <v>2309</v>
      </c>
      <c r="D1294" t="s">
        <v>877</v>
      </c>
      <c r="E1294" t="s">
        <v>53</v>
      </c>
      <c r="F1294" t="s">
        <v>2310</v>
      </c>
      <c r="G1294" t="str">
        <f>"00046822"</f>
        <v>00046822</v>
      </c>
      <c r="H1294" t="s">
        <v>393</v>
      </c>
      <c r="I1294">
        <v>150</v>
      </c>
      <c r="J1294">
        <v>0</v>
      </c>
      <c r="K1294">
        <v>0</v>
      </c>
      <c r="L1294">
        <v>0</v>
      </c>
      <c r="M1294">
        <v>0</v>
      </c>
      <c r="N1294">
        <v>0</v>
      </c>
      <c r="O1294">
        <v>0</v>
      </c>
      <c r="P1294">
        <v>0</v>
      </c>
      <c r="Q1294">
        <v>0</v>
      </c>
      <c r="R1294">
        <v>0</v>
      </c>
      <c r="S1294">
        <v>0</v>
      </c>
      <c r="V1294">
        <v>0</v>
      </c>
      <c r="W1294" t="s">
        <v>2311</v>
      </c>
    </row>
    <row r="1295" spans="1:23" x14ac:dyDescent="0.25">
      <c r="H1295" t="s">
        <v>1986</v>
      </c>
    </row>
    <row r="1296" spans="1:23" x14ac:dyDescent="0.25">
      <c r="A1296">
        <v>645</v>
      </c>
      <c r="B1296">
        <v>9993</v>
      </c>
      <c r="C1296" t="s">
        <v>1726</v>
      </c>
      <c r="D1296" t="s">
        <v>1391</v>
      </c>
      <c r="E1296" t="s">
        <v>47</v>
      </c>
      <c r="F1296" t="s">
        <v>2312</v>
      </c>
      <c r="G1296" t="str">
        <f>"00102021"</f>
        <v>00102021</v>
      </c>
      <c r="H1296">
        <v>891</v>
      </c>
      <c r="I1296">
        <v>0</v>
      </c>
      <c r="J1296">
        <v>70</v>
      </c>
      <c r="K1296">
        <v>0</v>
      </c>
      <c r="L1296">
        <v>30</v>
      </c>
      <c r="M1296">
        <v>0</v>
      </c>
      <c r="N1296">
        <v>0</v>
      </c>
      <c r="O1296">
        <v>0</v>
      </c>
      <c r="P1296">
        <v>0</v>
      </c>
      <c r="Q1296">
        <v>0</v>
      </c>
      <c r="R1296">
        <v>0</v>
      </c>
      <c r="S1296">
        <v>0</v>
      </c>
      <c r="V1296">
        <v>0</v>
      </c>
      <c r="W1296">
        <v>991</v>
      </c>
    </row>
    <row r="1297" spans="1:23" x14ac:dyDescent="0.25">
      <c r="H1297" t="s">
        <v>2313</v>
      </c>
    </row>
    <row r="1298" spans="1:23" x14ac:dyDescent="0.25">
      <c r="A1298">
        <v>646</v>
      </c>
      <c r="B1298">
        <v>9650</v>
      </c>
      <c r="C1298" t="s">
        <v>2314</v>
      </c>
      <c r="D1298" t="s">
        <v>223</v>
      </c>
      <c r="E1298" t="s">
        <v>2315</v>
      </c>
      <c r="F1298" t="s">
        <v>2316</v>
      </c>
      <c r="G1298" t="str">
        <f>"00019234"</f>
        <v>00019234</v>
      </c>
      <c r="H1298">
        <v>990</v>
      </c>
      <c r="I1298">
        <v>0</v>
      </c>
      <c r="J1298">
        <v>0</v>
      </c>
      <c r="K1298">
        <v>0</v>
      </c>
      <c r="L1298">
        <v>0</v>
      </c>
      <c r="M1298">
        <v>0</v>
      </c>
      <c r="N1298">
        <v>0</v>
      </c>
      <c r="O1298">
        <v>0</v>
      </c>
      <c r="P1298">
        <v>0</v>
      </c>
      <c r="Q1298">
        <v>0</v>
      </c>
      <c r="R1298">
        <v>0</v>
      </c>
      <c r="S1298">
        <v>0</v>
      </c>
      <c r="V1298">
        <v>2</v>
      </c>
      <c r="W1298">
        <v>990</v>
      </c>
    </row>
    <row r="1299" spans="1:23" x14ac:dyDescent="0.25">
      <c r="H1299" t="s">
        <v>2317</v>
      </c>
    </row>
    <row r="1300" spans="1:23" x14ac:dyDescent="0.25">
      <c r="A1300">
        <v>647</v>
      </c>
      <c r="B1300">
        <v>2502</v>
      </c>
      <c r="C1300" t="s">
        <v>2318</v>
      </c>
      <c r="D1300" t="s">
        <v>272</v>
      </c>
      <c r="E1300" t="s">
        <v>26</v>
      </c>
      <c r="F1300" t="s">
        <v>2319</v>
      </c>
      <c r="G1300" t="str">
        <f>"201511008603"</f>
        <v>201511008603</v>
      </c>
      <c r="H1300">
        <v>990</v>
      </c>
      <c r="I1300">
        <v>0</v>
      </c>
      <c r="J1300">
        <v>0</v>
      </c>
      <c r="K1300">
        <v>0</v>
      </c>
      <c r="L1300">
        <v>0</v>
      </c>
      <c r="M1300">
        <v>0</v>
      </c>
      <c r="N1300">
        <v>0</v>
      </c>
      <c r="O1300">
        <v>0</v>
      </c>
      <c r="P1300">
        <v>0</v>
      </c>
      <c r="Q1300">
        <v>0</v>
      </c>
      <c r="R1300">
        <v>0</v>
      </c>
      <c r="S1300">
        <v>0</v>
      </c>
      <c r="V1300">
        <v>2</v>
      </c>
      <c r="W1300">
        <v>990</v>
      </c>
    </row>
    <row r="1301" spans="1:23" x14ac:dyDescent="0.25">
      <c r="H1301" t="s">
        <v>2320</v>
      </c>
    </row>
    <row r="1302" spans="1:23" x14ac:dyDescent="0.25">
      <c r="A1302">
        <v>648</v>
      </c>
      <c r="B1302">
        <v>3309</v>
      </c>
      <c r="C1302" t="s">
        <v>2321</v>
      </c>
      <c r="D1302" t="s">
        <v>1033</v>
      </c>
      <c r="E1302" t="s">
        <v>149</v>
      </c>
      <c r="F1302" t="s">
        <v>2322</v>
      </c>
      <c r="G1302" t="str">
        <f>"201510002532"</f>
        <v>201510002532</v>
      </c>
      <c r="H1302">
        <v>990</v>
      </c>
      <c r="I1302">
        <v>0</v>
      </c>
      <c r="J1302">
        <v>0</v>
      </c>
      <c r="K1302">
        <v>0</v>
      </c>
      <c r="L1302">
        <v>0</v>
      </c>
      <c r="M1302">
        <v>0</v>
      </c>
      <c r="N1302">
        <v>0</v>
      </c>
      <c r="O1302">
        <v>0</v>
      </c>
      <c r="P1302">
        <v>0</v>
      </c>
      <c r="Q1302">
        <v>0</v>
      </c>
      <c r="R1302">
        <v>0</v>
      </c>
      <c r="S1302">
        <v>0</v>
      </c>
      <c r="V1302">
        <v>0</v>
      </c>
      <c r="W1302">
        <v>990</v>
      </c>
    </row>
    <row r="1303" spans="1:23" x14ac:dyDescent="0.25">
      <c r="H1303" t="s">
        <v>2323</v>
      </c>
    </row>
    <row r="1304" spans="1:23" x14ac:dyDescent="0.25">
      <c r="A1304">
        <v>649</v>
      </c>
      <c r="B1304">
        <v>9006</v>
      </c>
      <c r="C1304" t="s">
        <v>2324</v>
      </c>
      <c r="D1304" t="s">
        <v>71</v>
      </c>
      <c r="E1304" t="s">
        <v>42</v>
      </c>
      <c r="F1304" t="s">
        <v>2325</v>
      </c>
      <c r="G1304" t="str">
        <f>"201511031403"</f>
        <v>201511031403</v>
      </c>
      <c r="H1304">
        <v>990</v>
      </c>
      <c r="I1304">
        <v>0</v>
      </c>
      <c r="J1304">
        <v>0</v>
      </c>
      <c r="K1304">
        <v>0</v>
      </c>
      <c r="L1304">
        <v>0</v>
      </c>
      <c r="M1304">
        <v>0</v>
      </c>
      <c r="N1304">
        <v>0</v>
      </c>
      <c r="O1304">
        <v>0</v>
      </c>
      <c r="P1304">
        <v>0</v>
      </c>
      <c r="Q1304">
        <v>0</v>
      </c>
      <c r="R1304">
        <v>0</v>
      </c>
      <c r="S1304">
        <v>0</v>
      </c>
      <c r="V1304">
        <v>0</v>
      </c>
      <c r="W1304">
        <v>990</v>
      </c>
    </row>
    <row r="1305" spans="1:23" x14ac:dyDescent="0.25">
      <c r="H1305" t="s">
        <v>2326</v>
      </c>
    </row>
    <row r="1306" spans="1:23" x14ac:dyDescent="0.25">
      <c r="A1306">
        <v>650</v>
      </c>
      <c r="B1306">
        <v>1354</v>
      </c>
      <c r="C1306" t="s">
        <v>2327</v>
      </c>
      <c r="D1306" t="s">
        <v>31</v>
      </c>
      <c r="E1306" t="s">
        <v>21</v>
      </c>
      <c r="F1306" t="s">
        <v>2328</v>
      </c>
      <c r="G1306" t="str">
        <f>"201511004838"</f>
        <v>201511004838</v>
      </c>
      <c r="H1306" t="s">
        <v>181</v>
      </c>
      <c r="I1306">
        <v>0</v>
      </c>
      <c r="J1306">
        <v>0</v>
      </c>
      <c r="K1306">
        <v>0</v>
      </c>
      <c r="L1306">
        <v>0</v>
      </c>
      <c r="M1306">
        <v>0</v>
      </c>
      <c r="N1306">
        <v>0</v>
      </c>
      <c r="O1306">
        <v>0</v>
      </c>
      <c r="P1306">
        <v>0</v>
      </c>
      <c r="Q1306">
        <v>0</v>
      </c>
      <c r="R1306">
        <v>12</v>
      </c>
      <c r="S1306">
        <v>84</v>
      </c>
      <c r="V1306">
        <v>1</v>
      </c>
      <c r="W1306" t="s">
        <v>2329</v>
      </c>
    </row>
    <row r="1307" spans="1:23" x14ac:dyDescent="0.25">
      <c r="H1307" t="s">
        <v>1588</v>
      </c>
    </row>
    <row r="1308" spans="1:23" x14ac:dyDescent="0.25">
      <c r="A1308">
        <v>651</v>
      </c>
      <c r="B1308">
        <v>828</v>
      </c>
      <c r="C1308" t="s">
        <v>2330</v>
      </c>
      <c r="D1308" t="s">
        <v>14</v>
      </c>
      <c r="E1308" t="s">
        <v>830</v>
      </c>
      <c r="F1308" t="s">
        <v>2331</v>
      </c>
      <c r="G1308" t="str">
        <f>"201511016368"</f>
        <v>201511016368</v>
      </c>
      <c r="H1308" t="s">
        <v>914</v>
      </c>
      <c r="I1308">
        <v>0</v>
      </c>
      <c r="J1308">
        <v>0</v>
      </c>
      <c r="K1308">
        <v>0</v>
      </c>
      <c r="L1308">
        <v>0</v>
      </c>
      <c r="M1308">
        <v>0</v>
      </c>
      <c r="N1308">
        <v>0</v>
      </c>
      <c r="O1308">
        <v>0</v>
      </c>
      <c r="P1308">
        <v>0</v>
      </c>
      <c r="Q1308">
        <v>0</v>
      </c>
      <c r="R1308">
        <v>20</v>
      </c>
      <c r="S1308">
        <v>140</v>
      </c>
      <c r="V1308">
        <v>2</v>
      </c>
      <c r="W1308" t="s">
        <v>2332</v>
      </c>
    </row>
    <row r="1309" spans="1:23" x14ac:dyDescent="0.25">
      <c r="H1309" t="s">
        <v>2333</v>
      </c>
    </row>
    <row r="1310" spans="1:23" x14ac:dyDescent="0.25">
      <c r="A1310">
        <v>652</v>
      </c>
      <c r="B1310">
        <v>5156</v>
      </c>
      <c r="C1310" t="s">
        <v>2334</v>
      </c>
      <c r="D1310" t="s">
        <v>31</v>
      </c>
      <c r="E1310" t="s">
        <v>42</v>
      </c>
      <c r="F1310" t="s">
        <v>2335</v>
      </c>
      <c r="G1310" t="str">
        <f>"201511015371"</f>
        <v>201511015371</v>
      </c>
      <c r="H1310" t="s">
        <v>1468</v>
      </c>
      <c r="I1310">
        <v>0</v>
      </c>
      <c r="J1310">
        <v>0</v>
      </c>
      <c r="K1310">
        <v>0</v>
      </c>
      <c r="L1310">
        <v>0</v>
      </c>
      <c r="M1310">
        <v>0</v>
      </c>
      <c r="N1310">
        <v>0</v>
      </c>
      <c r="O1310">
        <v>0</v>
      </c>
      <c r="P1310">
        <v>0</v>
      </c>
      <c r="Q1310">
        <v>0</v>
      </c>
      <c r="R1310">
        <v>0</v>
      </c>
      <c r="S1310">
        <v>0</v>
      </c>
      <c r="V1310">
        <v>1</v>
      </c>
      <c r="W1310" t="s">
        <v>1468</v>
      </c>
    </row>
    <row r="1311" spans="1:23" x14ac:dyDescent="0.25">
      <c r="H1311" t="s">
        <v>2336</v>
      </c>
    </row>
    <row r="1312" spans="1:23" x14ac:dyDescent="0.25">
      <c r="A1312">
        <v>653</v>
      </c>
      <c r="B1312">
        <v>4721</v>
      </c>
      <c r="C1312" t="s">
        <v>1466</v>
      </c>
      <c r="D1312" t="s">
        <v>663</v>
      </c>
      <c r="E1312" t="s">
        <v>71</v>
      </c>
      <c r="F1312" t="s">
        <v>1467</v>
      </c>
      <c r="G1312" t="str">
        <f>"00023642"</f>
        <v>00023642</v>
      </c>
      <c r="H1312" t="s">
        <v>1468</v>
      </c>
      <c r="I1312">
        <v>0</v>
      </c>
      <c r="J1312">
        <v>0</v>
      </c>
      <c r="K1312">
        <v>0</v>
      </c>
      <c r="L1312">
        <v>0</v>
      </c>
      <c r="M1312">
        <v>0</v>
      </c>
      <c r="N1312">
        <v>0</v>
      </c>
      <c r="O1312">
        <v>0</v>
      </c>
      <c r="P1312">
        <v>0</v>
      </c>
      <c r="Q1312">
        <v>0</v>
      </c>
      <c r="R1312">
        <v>0</v>
      </c>
      <c r="S1312">
        <v>0</v>
      </c>
      <c r="V1312">
        <v>0</v>
      </c>
      <c r="W1312" t="s">
        <v>1468</v>
      </c>
    </row>
    <row r="1313" spans="1:23" x14ac:dyDescent="0.25">
      <c r="H1313" t="s">
        <v>1470</v>
      </c>
    </row>
    <row r="1314" spans="1:23" x14ac:dyDescent="0.25">
      <c r="A1314">
        <v>654</v>
      </c>
      <c r="B1314">
        <v>7883</v>
      </c>
      <c r="C1314" t="s">
        <v>2337</v>
      </c>
      <c r="D1314" t="s">
        <v>352</v>
      </c>
      <c r="E1314" t="s">
        <v>26</v>
      </c>
      <c r="F1314" t="s">
        <v>2338</v>
      </c>
      <c r="G1314" t="str">
        <f>"201511022895"</f>
        <v>201511022895</v>
      </c>
      <c r="H1314" t="s">
        <v>1468</v>
      </c>
      <c r="I1314">
        <v>0</v>
      </c>
      <c r="J1314">
        <v>0</v>
      </c>
      <c r="K1314">
        <v>0</v>
      </c>
      <c r="L1314">
        <v>0</v>
      </c>
      <c r="M1314">
        <v>0</v>
      </c>
      <c r="N1314">
        <v>0</v>
      </c>
      <c r="O1314">
        <v>0</v>
      </c>
      <c r="P1314">
        <v>0</v>
      </c>
      <c r="Q1314">
        <v>0</v>
      </c>
      <c r="R1314">
        <v>0</v>
      </c>
      <c r="S1314">
        <v>0</v>
      </c>
      <c r="V1314">
        <v>0</v>
      </c>
      <c r="W1314" t="s">
        <v>1468</v>
      </c>
    </row>
    <row r="1315" spans="1:23" x14ac:dyDescent="0.25">
      <c r="H1315" t="s">
        <v>2339</v>
      </c>
    </row>
    <row r="1316" spans="1:23" x14ac:dyDescent="0.25">
      <c r="A1316">
        <v>655</v>
      </c>
      <c r="B1316">
        <v>2752</v>
      </c>
      <c r="C1316" t="s">
        <v>2340</v>
      </c>
      <c r="D1316" t="s">
        <v>269</v>
      </c>
      <c r="E1316" t="s">
        <v>42</v>
      </c>
      <c r="F1316" t="s">
        <v>2341</v>
      </c>
      <c r="G1316" t="str">
        <f>"00019953"</f>
        <v>00019953</v>
      </c>
      <c r="H1316" t="s">
        <v>461</v>
      </c>
      <c r="I1316">
        <v>0</v>
      </c>
      <c r="J1316">
        <v>0</v>
      </c>
      <c r="K1316">
        <v>0</v>
      </c>
      <c r="L1316">
        <v>0</v>
      </c>
      <c r="M1316">
        <v>0</v>
      </c>
      <c r="N1316">
        <v>0</v>
      </c>
      <c r="O1316">
        <v>0</v>
      </c>
      <c r="P1316">
        <v>0</v>
      </c>
      <c r="Q1316">
        <v>0</v>
      </c>
      <c r="R1316">
        <v>0</v>
      </c>
      <c r="S1316">
        <v>0</v>
      </c>
      <c r="V1316">
        <v>1</v>
      </c>
      <c r="W1316" t="s">
        <v>461</v>
      </c>
    </row>
    <row r="1317" spans="1:23" x14ac:dyDescent="0.25">
      <c r="H1317" t="s">
        <v>2342</v>
      </c>
    </row>
    <row r="1318" spans="1:23" x14ac:dyDescent="0.25">
      <c r="A1318">
        <v>656</v>
      </c>
      <c r="B1318">
        <v>8233</v>
      </c>
      <c r="C1318" t="s">
        <v>2343</v>
      </c>
      <c r="D1318" t="s">
        <v>115</v>
      </c>
      <c r="E1318" t="s">
        <v>95</v>
      </c>
      <c r="F1318" t="s">
        <v>2344</v>
      </c>
      <c r="G1318" t="str">
        <f>"00021315"</f>
        <v>00021315</v>
      </c>
      <c r="H1318" t="s">
        <v>461</v>
      </c>
      <c r="I1318">
        <v>0</v>
      </c>
      <c r="J1318">
        <v>0</v>
      </c>
      <c r="K1318">
        <v>0</v>
      </c>
      <c r="L1318">
        <v>0</v>
      </c>
      <c r="M1318">
        <v>0</v>
      </c>
      <c r="N1318">
        <v>0</v>
      </c>
      <c r="O1318">
        <v>0</v>
      </c>
      <c r="P1318">
        <v>0</v>
      </c>
      <c r="Q1318">
        <v>0</v>
      </c>
      <c r="R1318">
        <v>0</v>
      </c>
      <c r="S1318">
        <v>0</v>
      </c>
      <c r="V1318">
        <v>0</v>
      </c>
      <c r="W1318" t="s">
        <v>461</v>
      </c>
    </row>
    <row r="1319" spans="1:23" x14ac:dyDescent="0.25">
      <c r="H1319" t="s">
        <v>2345</v>
      </c>
    </row>
    <row r="1320" spans="1:23" x14ac:dyDescent="0.25">
      <c r="A1320">
        <v>657</v>
      </c>
      <c r="B1320">
        <v>3397</v>
      </c>
      <c r="C1320" t="s">
        <v>2346</v>
      </c>
      <c r="D1320" t="s">
        <v>116</v>
      </c>
      <c r="E1320" t="s">
        <v>26</v>
      </c>
      <c r="F1320" t="s">
        <v>2347</v>
      </c>
      <c r="G1320" t="str">
        <f>"00049500"</f>
        <v>00049500</v>
      </c>
      <c r="H1320">
        <v>979</v>
      </c>
      <c r="I1320">
        <v>0</v>
      </c>
      <c r="J1320">
        <v>0</v>
      </c>
      <c r="K1320">
        <v>0</v>
      </c>
      <c r="L1320">
        <v>0</v>
      </c>
      <c r="M1320">
        <v>0</v>
      </c>
      <c r="N1320">
        <v>0</v>
      </c>
      <c r="O1320">
        <v>0</v>
      </c>
      <c r="P1320">
        <v>0</v>
      </c>
      <c r="Q1320">
        <v>0</v>
      </c>
      <c r="R1320">
        <v>0</v>
      </c>
      <c r="S1320">
        <v>0</v>
      </c>
      <c r="V1320">
        <v>0</v>
      </c>
      <c r="W1320">
        <v>979</v>
      </c>
    </row>
    <row r="1321" spans="1:23" x14ac:dyDescent="0.25">
      <c r="H1321" t="s">
        <v>2348</v>
      </c>
    </row>
    <row r="1322" spans="1:23" x14ac:dyDescent="0.25">
      <c r="A1322">
        <v>658</v>
      </c>
      <c r="B1322">
        <v>860</v>
      </c>
      <c r="C1322" t="s">
        <v>2349</v>
      </c>
      <c r="D1322" t="s">
        <v>53</v>
      </c>
      <c r="E1322" t="s">
        <v>26</v>
      </c>
      <c r="F1322" t="s">
        <v>2350</v>
      </c>
      <c r="G1322" t="str">
        <f>"00029554"</f>
        <v>00029554</v>
      </c>
      <c r="H1322">
        <v>979</v>
      </c>
      <c r="I1322">
        <v>0</v>
      </c>
      <c r="J1322">
        <v>0</v>
      </c>
      <c r="K1322">
        <v>0</v>
      </c>
      <c r="L1322">
        <v>0</v>
      </c>
      <c r="M1322">
        <v>0</v>
      </c>
      <c r="N1322">
        <v>0</v>
      </c>
      <c r="O1322">
        <v>0</v>
      </c>
      <c r="P1322">
        <v>0</v>
      </c>
      <c r="Q1322">
        <v>0</v>
      </c>
      <c r="R1322">
        <v>0</v>
      </c>
      <c r="S1322">
        <v>0</v>
      </c>
      <c r="V1322">
        <v>0</v>
      </c>
      <c r="W1322">
        <v>979</v>
      </c>
    </row>
    <row r="1323" spans="1:23" x14ac:dyDescent="0.25">
      <c r="H1323" t="s">
        <v>2351</v>
      </c>
    </row>
    <row r="1324" spans="1:23" x14ac:dyDescent="0.25">
      <c r="A1324">
        <v>659</v>
      </c>
      <c r="B1324">
        <v>3945</v>
      </c>
      <c r="C1324" t="s">
        <v>2352</v>
      </c>
      <c r="D1324" t="s">
        <v>26</v>
      </c>
      <c r="E1324" t="s">
        <v>175</v>
      </c>
      <c r="F1324" t="s">
        <v>2353</v>
      </c>
      <c r="G1324" t="str">
        <f>"201412003190"</f>
        <v>201412003190</v>
      </c>
      <c r="H1324" t="s">
        <v>2354</v>
      </c>
      <c r="I1324">
        <v>0</v>
      </c>
      <c r="J1324">
        <v>30</v>
      </c>
      <c r="K1324">
        <v>0</v>
      </c>
      <c r="L1324">
        <v>0</v>
      </c>
      <c r="M1324">
        <v>0</v>
      </c>
      <c r="N1324">
        <v>0</v>
      </c>
      <c r="O1324">
        <v>0</v>
      </c>
      <c r="P1324">
        <v>0</v>
      </c>
      <c r="Q1324">
        <v>0</v>
      </c>
      <c r="R1324">
        <v>0</v>
      </c>
      <c r="S1324">
        <v>0</v>
      </c>
      <c r="V1324">
        <v>0</v>
      </c>
      <c r="W1324" t="s">
        <v>2355</v>
      </c>
    </row>
    <row r="1325" spans="1:23" x14ac:dyDescent="0.25">
      <c r="H1325" t="s">
        <v>2356</v>
      </c>
    </row>
    <row r="1326" spans="1:23" x14ac:dyDescent="0.25">
      <c r="A1326">
        <v>660</v>
      </c>
      <c r="B1326">
        <v>7196</v>
      </c>
      <c r="C1326" t="s">
        <v>2357</v>
      </c>
      <c r="D1326" t="s">
        <v>31</v>
      </c>
      <c r="E1326" t="s">
        <v>2358</v>
      </c>
      <c r="F1326" t="s">
        <v>2359</v>
      </c>
      <c r="G1326" t="str">
        <f>"201103000332"</f>
        <v>201103000332</v>
      </c>
      <c r="H1326" t="s">
        <v>706</v>
      </c>
      <c r="I1326">
        <v>0</v>
      </c>
      <c r="J1326">
        <v>30</v>
      </c>
      <c r="K1326">
        <v>0</v>
      </c>
      <c r="L1326">
        <v>0</v>
      </c>
      <c r="M1326">
        <v>0</v>
      </c>
      <c r="N1326">
        <v>0</v>
      </c>
      <c r="O1326">
        <v>0</v>
      </c>
      <c r="P1326">
        <v>0</v>
      </c>
      <c r="Q1326">
        <v>0</v>
      </c>
      <c r="R1326">
        <v>9</v>
      </c>
      <c r="S1326">
        <v>63</v>
      </c>
      <c r="V1326">
        <v>1</v>
      </c>
      <c r="W1326" t="s">
        <v>2360</v>
      </c>
    </row>
    <row r="1327" spans="1:23" x14ac:dyDescent="0.25">
      <c r="H1327" t="s">
        <v>2361</v>
      </c>
    </row>
    <row r="1328" spans="1:23" x14ac:dyDescent="0.25">
      <c r="A1328">
        <v>661</v>
      </c>
      <c r="B1328">
        <v>7196</v>
      </c>
      <c r="C1328" t="s">
        <v>2357</v>
      </c>
      <c r="D1328" t="s">
        <v>31</v>
      </c>
      <c r="E1328" t="s">
        <v>2358</v>
      </c>
      <c r="F1328" t="s">
        <v>2359</v>
      </c>
      <c r="G1328" t="str">
        <f>"201103000332"</f>
        <v>201103000332</v>
      </c>
      <c r="H1328" t="s">
        <v>706</v>
      </c>
      <c r="I1328">
        <v>0</v>
      </c>
      <c r="J1328">
        <v>30</v>
      </c>
      <c r="K1328">
        <v>0</v>
      </c>
      <c r="L1328">
        <v>0</v>
      </c>
      <c r="M1328">
        <v>0</v>
      </c>
      <c r="N1328">
        <v>0</v>
      </c>
      <c r="O1328">
        <v>0</v>
      </c>
      <c r="P1328">
        <v>0</v>
      </c>
      <c r="Q1328">
        <v>0</v>
      </c>
      <c r="R1328">
        <v>9</v>
      </c>
      <c r="S1328">
        <v>63</v>
      </c>
      <c r="T1328">
        <v>6</v>
      </c>
      <c r="U1328">
        <v>935</v>
      </c>
      <c r="V1328">
        <v>1</v>
      </c>
      <c r="W1328" t="s">
        <v>2360</v>
      </c>
    </row>
    <row r="1329" spans="1:23" x14ac:dyDescent="0.25">
      <c r="H1329" t="s">
        <v>2361</v>
      </c>
    </row>
    <row r="1330" spans="1:23" x14ac:dyDescent="0.25">
      <c r="A1330">
        <v>662</v>
      </c>
      <c r="B1330">
        <v>9702</v>
      </c>
      <c r="C1330" t="s">
        <v>2362</v>
      </c>
      <c r="D1330" t="s">
        <v>1218</v>
      </c>
      <c r="E1330" t="s">
        <v>71</v>
      </c>
      <c r="F1330" t="s">
        <v>2363</v>
      </c>
      <c r="G1330" t="str">
        <f>"00016565"</f>
        <v>00016565</v>
      </c>
      <c r="H1330">
        <v>770</v>
      </c>
      <c r="I1330">
        <v>150</v>
      </c>
      <c r="J1330">
        <v>0</v>
      </c>
      <c r="K1330">
        <v>0</v>
      </c>
      <c r="L1330">
        <v>0</v>
      </c>
      <c r="M1330">
        <v>0</v>
      </c>
      <c r="N1330">
        <v>0</v>
      </c>
      <c r="O1330">
        <v>0</v>
      </c>
      <c r="P1330">
        <v>0</v>
      </c>
      <c r="Q1330">
        <v>0</v>
      </c>
      <c r="R1330">
        <v>8</v>
      </c>
      <c r="S1330">
        <v>56</v>
      </c>
      <c r="V1330">
        <v>0</v>
      </c>
      <c r="W1330">
        <v>976</v>
      </c>
    </row>
    <row r="1331" spans="1:23" x14ac:dyDescent="0.25">
      <c r="H1331" t="s">
        <v>2364</v>
      </c>
    </row>
    <row r="1332" spans="1:23" x14ac:dyDescent="0.25">
      <c r="A1332">
        <v>663</v>
      </c>
      <c r="B1332">
        <v>6951</v>
      </c>
      <c r="C1332" t="s">
        <v>2365</v>
      </c>
      <c r="D1332" t="s">
        <v>132</v>
      </c>
      <c r="E1332" t="s">
        <v>42</v>
      </c>
      <c r="F1332" t="s">
        <v>2366</v>
      </c>
      <c r="G1332" t="str">
        <f>"201402000264"</f>
        <v>201402000264</v>
      </c>
      <c r="H1332" t="s">
        <v>2367</v>
      </c>
      <c r="I1332">
        <v>0</v>
      </c>
      <c r="J1332">
        <v>0</v>
      </c>
      <c r="K1332">
        <v>0</v>
      </c>
      <c r="L1332">
        <v>0</v>
      </c>
      <c r="M1332">
        <v>0</v>
      </c>
      <c r="N1332">
        <v>0</v>
      </c>
      <c r="O1332">
        <v>0</v>
      </c>
      <c r="P1332">
        <v>0</v>
      </c>
      <c r="Q1332">
        <v>0</v>
      </c>
      <c r="R1332">
        <v>0</v>
      </c>
      <c r="S1332">
        <v>0</v>
      </c>
      <c r="V1332">
        <v>1</v>
      </c>
      <c r="W1332" t="s">
        <v>2367</v>
      </c>
    </row>
    <row r="1333" spans="1:23" x14ac:dyDescent="0.25">
      <c r="H1333" t="s">
        <v>2368</v>
      </c>
    </row>
    <row r="1334" spans="1:23" x14ac:dyDescent="0.25">
      <c r="A1334">
        <v>664</v>
      </c>
      <c r="B1334">
        <v>5494</v>
      </c>
      <c r="C1334" t="s">
        <v>2369</v>
      </c>
      <c r="D1334" t="s">
        <v>717</v>
      </c>
      <c r="E1334" t="s">
        <v>622</v>
      </c>
      <c r="F1334" t="s">
        <v>2370</v>
      </c>
      <c r="G1334" t="str">
        <f>"200811000202"</f>
        <v>200811000202</v>
      </c>
      <c r="H1334" t="s">
        <v>2367</v>
      </c>
      <c r="I1334">
        <v>0</v>
      </c>
      <c r="J1334">
        <v>0</v>
      </c>
      <c r="K1334">
        <v>0</v>
      </c>
      <c r="L1334">
        <v>0</v>
      </c>
      <c r="M1334">
        <v>0</v>
      </c>
      <c r="N1334">
        <v>0</v>
      </c>
      <c r="O1334">
        <v>0</v>
      </c>
      <c r="P1334">
        <v>0</v>
      </c>
      <c r="Q1334">
        <v>0</v>
      </c>
      <c r="R1334">
        <v>0</v>
      </c>
      <c r="S1334">
        <v>0</v>
      </c>
      <c r="V1334">
        <v>0</v>
      </c>
      <c r="W1334" t="s">
        <v>2367</v>
      </c>
    </row>
    <row r="1335" spans="1:23" x14ac:dyDescent="0.25">
      <c r="H1335" t="s">
        <v>2371</v>
      </c>
    </row>
    <row r="1336" spans="1:23" x14ac:dyDescent="0.25">
      <c r="A1336">
        <v>665</v>
      </c>
      <c r="B1336">
        <v>1131</v>
      </c>
      <c r="C1336" t="s">
        <v>2372</v>
      </c>
      <c r="D1336" t="s">
        <v>126</v>
      </c>
      <c r="E1336" t="s">
        <v>53</v>
      </c>
      <c r="F1336" t="s">
        <v>2373</v>
      </c>
      <c r="G1336" t="str">
        <f>"00042641"</f>
        <v>00042641</v>
      </c>
      <c r="H1336" t="s">
        <v>1835</v>
      </c>
      <c r="I1336">
        <v>0</v>
      </c>
      <c r="J1336">
        <v>0</v>
      </c>
      <c r="K1336">
        <v>0</v>
      </c>
      <c r="L1336">
        <v>0</v>
      </c>
      <c r="M1336">
        <v>0</v>
      </c>
      <c r="N1336">
        <v>0</v>
      </c>
      <c r="O1336">
        <v>0</v>
      </c>
      <c r="P1336">
        <v>0</v>
      </c>
      <c r="Q1336">
        <v>0</v>
      </c>
      <c r="R1336">
        <v>0</v>
      </c>
      <c r="S1336">
        <v>0</v>
      </c>
      <c r="V1336">
        <v>1</v>
      </c>
      <c r="W1336" t="s">
        <v>1835</v>
      </c>
    </row>
    <row r="1337" spans="1:23" x14ac:dyDescent="0.25">
      <c r="H1337" t="s">
        <v>2374</v>
      </c>
    </row>
    <row r="1338" spans="1:23" x14ac:dyDescent="0.25">
      <c r="A1338">
        <v>666</v>
      </c>
      <c r="B1338">
        <v>6225</v>
      </c>
      <c r="C1338" t="s">
        <v>2375</v>
      </c>
      <c r="D1338" t="s">
        <v>2376</v>
      </c>
      <c r="E1338" t="s">
        <v>42</v>
      </c>
      <c r="F1338" t="s">
        <v>2377</v>
      </c>
      <c r="G1338" t="str">
        <f>"201510001976"</f>
        <v>201510001976</v>
      </c>
      <c r="H1338" t="s">
        <v>2378</v>
      </c>
      <c r="I1338">
        <v>0</v>
      </c>
      <c r="J1338">
        <v>0</v>
      </c>
      <c r="K1338">
        <v>0</v>
      </c>
      <c r="L1338">
        <v>0</v>
      </c>
      <c r="M1338">
        <v>0</v>
      </c>
      <c r="N1338">
        <v>0</v>
      </c>
      <c r="O1338">
        <v>0</v>
      </c>
      <c r="P1338">
        <v>0</v>
      </c>
      <c r="Q1338">
        <v>0</v>
      </c>
      <c r="R1338">
        <v>0</v>
      </c>
      <c r="S1338">
        <v>0</v>
      </c>
      <c r="V1338">
        <v>0</v>
      </c>
      <c r="W1338" t="s">
        <v>2378</v>
      </c>
    </row>
    <row r="1339" spans="1:23" x14ac:dyDescent="0.25">
      <c r="H1339" t="s">
        <v>2379</v>
      </c>
    </row>
    <row r="1340" spans="1:23" x14ac:dyDescent="0.25">
      <c r="A1340">
        <v>667</v>
      </c>
      <c r="B1340">
        <v>3030</v>
      </c>
      <c r="C1340" t="s">
        <v>2380</v>
      </c>
      <c r="D1340" t="s">
        <v>285</v>
      </c>
      <c r="E1340" t="s">
        <v>116</v>
      </c>
      <c r="F1340" t="s">
        <v>2381</v>
      </c>
      <c r="G1340" t="str">
        <f>"00053267"</f>
        <v>00053267</v>
      </c>
      <c r="H1340">
        <v>902</v>
      </c>
      <c r="I1340">
        <v>0</v>
      </c>
      <c r="J1340">
        <v>70</v>
      </c>
      <c r="K1340">
        <v>0</v>
      </c>
      <c r="L1340">
        <v>0</v>
      </c>
      <c r="M1340">
        <v>0</v>
      </c>
      <c r="N1340">
        <v>0</v>
      </c>
      <c r="O1340">
        <v>0</v>
      </c>
      <c r="P1340">
        <v>0</v>
      </c>
      <c r="Q1340">
        <v>0</v>
      </c>
      <c r="R1340">
        <v>0</v>
      </c>
      <c r="S1340">
        <v>0</v>
      </c>
      <c r="V1340">
        <v>0</v>
      </c>
      <c r="W1340">
        <v>972</v>
      </c>
    </row>
    <row r="1341" spans="1:23" x14ac:dyDescent="0.25">
      <c r="H1341" t="s">
        <v>2382</v>
      </c>
    </row>
    <row r="1342" spans="1:23" x14ac:dyDescent="0.25">
      <c r="A1342">
        <v>668</v>
      </c>
      <c r="B1342">
        <v>3995</v>
      </c>
      <c r="C1342" t="s">
        <v>2383</v>
      </c>
      <c r="D1342" t="s">
        <v>2384</v>
      </c>
      <c r="E1342" t="s">
        <v>42</v>
      </c>
      <c r="F1342" t="s">
        <v>2385</v>
      </c>
      <c r="G1342" t="str">
        <f>"00046791"</f>
        <v>00046791</v>
      </c>
      <c r="H1342">
        <v>968</v>
      </c>
      <c r="I1342">
        <v>0</v>
      </c>
      <c r="J1342">
        <v>0</v>
      </c>
      <c r="K1342">
        <v>0</v>
      </c>
      <c r="L1342">
        <v>0</v>
      </c>
      <c r="M1342">
        <v>0</v>
      </c>
      <c r="N1342">
        <v>0</v>
      </c>
      <c r="O1342">
        <v>0</v>
      </c>
      <c r="P1342">
        <v>0</v>
      </c>
      <c r="Q1342">
        <v>0</v>
      </c>
      <c r="R1342">
        <v>0</v>
      </c>
      <c r="S1342">
        <v>0</v>
      </c>
      <c r="V1342">
        <v>0</v>
      </c>
      <c r="W1342">
        <v>968</v>
      </c>
    </row>
    <row r="1343" spans="1:23" x14ac:dyDescent="0.25">
      <c r="H1343" t="s">
        <v>2386</v>
      </c>
    </row>
    <row r="1344" spans="1:23" x14ac:dyDescent="0.25">
      <c r="A1344">
        <v>669</v>
      </c>
      <c r="B1344">
        <v>3995</v>
      </c>
      <c r="C1344" t="s">
        <v>2383</v>
      </c>
      <c r="D1344" t="s">
        <v>2384</v>
      </c>
      <c r="E1344" t="s">
        <v>42</v>
      </c>
      <c r="F1344" t="s">
        <v>2385</v>
      </c>
      <c r="G1344" t="str">
        <f>"00046791"</f>
        <v>00046791</v>
      </c>
      <c r="H1344">
        <v>968</v>
      </c>
      <c r="I1344">
        <v>0</v>
      </c>
      <c r="J1344">
        <v>0</v>
      </c>
      <c r="K1344">
        <v>0</v>
      </c>
      <c r="L1344">
        <v>0</v>
      </c>
      <c r="M1344">
        <v>0</v>
      </c>
      <c r="N1344">
        <v>0</v>
      </c>
      <c r="O1344">
        <v>0</v>
      </c>
      <c r="P1344">
        <v>0</v>
      </c>
      <c r="Q1344">
        <v>0</v>
      </c>
      <c r="R1344">
        <v>0</v>
      </c>
      <c r="S1344">
        <v>0</v>
      </c>
      <c r="T1344">
        <v>6</v>
      </c>
      <c r="U1344">
        <v>906</v>
      </c>
      <c r="V1344">
        <v>0</v>
      </c>
      <c r="W1344">
        <v>968</v>
      </c>
    </row>
    <row r="1345" spans="1:23" x14ac:dyDescent="0.25">
      <c r="H1345" t="s">
        <v>2386</v>
      </c>
    </row>
    <row r="1346" spans="1:23" x14ac:dyDescent="0.25">
      <c r="A1346">
        <v>670</v>
      </c>
      <c r="B1346">
        <v>6013</v>
      </c>
      <c r="C1346" t="s">
        <v>2387</v>
      </c>
      <c r="D1346" t="s">
        <v>247</v>
      </c>
      <c r="E1346" t="s">
        <v>21</v>
      </c>
      <c r="F1346" t="s">
        <v>2388</v>
      </c>
      <c r="G1346" t="str">
        <f>"201510002273"</f>
        <v>201510002273</v>
      </c>
      <c r="H1346">
        <v>660</v>
      </c>
      <c r="I1346">
        <v>0</v>
      </c>
      <c r="J1346">
        <v>0</v>
      </c>
      <c r="K1346">
        <v>0</v>
      </c>
      <c r="L1346">
        <v>0</v>
      </c>
      <c r="M1346">
        <v>0</v>
      </c>
      <c r="N1346">
        <v>0</v>
      </c>
      <c r="O1346">
        <v>0</v>
      </c>
      <c r="P1346">
        <v>0</v>
      </c>
      <c r="Q1346">
        <v>0</v>
      </c>
      <c r="R1346">
        <v>44</v>
      </c>
      <c r="S1346">
        <v>308</v>
      </c>
      <c r="V1346">
        <v>1</v>
      </c>
      <c r="W1346">
        <v>968</v>
      </c>
    </row>
    <row r="1347" spans="1:23" x14ac:dyDescent="0.25">
      <c r="H1347" t="s">
        <v>2389</v>
      </c>
    </row>
    <row r="1348" spans="1:23" x14ac:dyDescent="0.25">
      <c r="A1348">
        <v>671</v>
      </c>
      <c r="B1348">
        <v>8336</v>
      </c>
      <c r="C1348" t="s">
        <v>2390</v>
      </c>
      <c r="D1348" t="s">
        <v>67</v>
      </c>
      <c r="E1348" t="s">
        <v>42</v>
      </c>
      <c r="F1348" t="s">
        <v>2391</v>
      </c>
      <c r="G1348" t="str">
        <f>"201511012015"</f>
        <v>201511012015</v>
      </c>
      <c r="H1348" t="s">
        <v>2392</v>
      </c>
      <c r="I1348">
        <v>0</v>
      </c>
      <c r="J1348">
        <v>0</v>
      </c>
      <c r="K1348">
        <v>0</v>
      </c>
      <c r="L1348">
        <v>0</v>
      </c>
      <c r="M1348">
        <v>0</v>
      </c>
      <c r="N1348">
        <v>0</v>
      </c>
      <c r="O1348">
        <v>0</v>
      </c>
      <c r="P1348">
        <v>0</v>
      </c>
      <c r="Q1348">
        <v>0</v>
      </c>
      <c r="R1348">
        <v>10</v>
      </c>
      <c r="S1348">
        <v>70</v>
      </c>
      <c r="V1348">
        <v>2</v>
      </c>
      <c r="W1348" t="s">
        <v>2393</v>
      </c>
    </row>
    <row r="1349" spans="1:23" x14ac:dyDescent="0.25">
      <c r="H1349" t="s">
        <v>2394</v>
      </c>
    </row>
    <row r="1350" spans="1:23" x14ac:dyDescent="0.25">
      <c r="A1350">
        <v>672</v>
      </c>
      <c r="B1350">
        <v>5183</v>
      </c>
      <c r="C1350" t="s">
        <v>2395</v>
      </c>
      <c r="D1350" t="s">
        <v>2234</v>
      </c>
      <c r="E1350" t="s">
        <v>199</v>
      </c>
      <c r="F1350" t="s">
        <v>2396</v>
      </c>
      <c r="G1350" t="str">
        <f>"201511026008"</f>
        <v>201511026008</v>
      </c>
      <c r="H1350">
        <v>880</v>
      </c>
      <c r="I1350">
        <v>0</v>
      </c>
      <c r="J1350">
        <v>30</v>
      </c>
      <c r="K1350">
        <v>0</v>
      </c>
      <c r="L1350">
        <v>0</v>
      </c>
      <c r="M1350">
        <v>0</v>
      </c>
      <c r="N1350">
        <v>0</v>
      </c>
      <c r="O1350">
        <v>0</v>
      </c>
      <c r="P1350">
        <v>0</v>
      </c>
      <c r="Q1350">
        <v>0</v>
      </c>
      <c r="R1350">
        <v>8</v>
      </c>
      <c r="S1350">
        <v>56</v>
      </c>
      <c r="V1350">
        <v>0</v>
      </c>
      <c r="W1350">
        <v>966</v>
      </c>
    </row>
    <row r="1351" spans="1:23" x14ac:dyDescent="0.25">
      <c r="H1351" t="s">
        <v>2397</v>
      </c>
    </row>
    <row r="1352" spans="1:23" x14ac:dyDescent="0.25">
      <c r="A1352">
        <v>673</v>
      </c>
      <c r="B1352">
        <v>10124</v>
      </c>
      <c r="C1352" t="s">
        <v>2398</v>
      </c>
      <c r="D1352" t="s">
        <v>2399</v>
      </c>
      <c r="E1352" t="s">
        <v>497</v>
      </c>
      <c r="F1352" t="s">
        <v>2400</v>
      </c>
      <c r="G1352" t="str">
        <f>"201510003757"</f>
        <v>201510003757</v>
      </c>
      <c r="H1352">
        <v>935</v>
      </c>
      <c r="I1352">
        <v>0</v>
      </c>
      <c r="J1352">
        <v>30</v>
      </c>
      <c r="K1352">
        <v>0</v>
      </c>
      <c r="L1352">
        <v>0</v>
      </c>
      <c r="M1352">
        <v>0</v>
      </c>
      <c r="N1352">
        <v>0</v>
      </c>
      <c r="O1352">
        <v>0</v>
      </c>
      <c r="P1352">
        <v>0</v>
      </c>
      <c r="Q1352">
        <v>0</v>
      </c>
      <c r="R1352">
        <v>0</v>
      </c>
      <c r="S1352">
        <v>0</v>
      </c>
      <c r="V1352">
        <v>0</v>
      </c>
      <c r="W1352">
        <v>965</v>
      </c>
    </row>
    <row r="1353" spans="1:23" x14ac:dyDescent="0.25">
      <c r="H1353" t="s">
        <v>2401</v>
      </c>
    </row>
    <row r="1354" spans="1:23" x14ac:dyDescent="0.25">
      <c r="A1354">
        <v>674</v>
      </c>
      <c r="B1354">
        <v>3765</v>
      </c>
      <c r="C1354" t="s">
        <v>2402</v>
      </c>
      <c r="D1354" t="s">
        <v>2403</v>
      </c>
      <c r="E1354" t="s">
        <v>21</v>
      </c>
      <c r="F1354" t="s">
        <v>2404</v>
      </c>
      <c r="G1354" t="str">
        <f>"00040017"</f>
        <v>00040017</v>
      </c>
      <c r="H1354" t="s">
        <v>2190</v>
      </c>
      <c r="I1354">
        <v>0</v>
      </c>
      <c r="J1354">
        <v>70</v>
      </c>
      <c r="K1354">
        <v>0</v>
      </c>
      <c r="L1354">
        <v>0</v>
      </c>
      <c r="M1354">
        <v>0</v>
      </c>
      <c r="N1354">
        <v>0</v>
      </c>
      <c r="O1354">
        <v>0</v>
      </c>
      <c r="P1354">
        <v>0</v>
      </c>
      <c r="Q1354">
        <v>0</v>
      </c>
      <c r="R1354">
        <v>0</v>
      </c>
      <c r="S1354">
        <v>0</v>
      </c>
      <c r="V1354">
        <v>2</v>
      </c>
      <c r="W1354" t="s">
        <v>2405</v>
      </c>
    </row>
    <row r="1355" spans="1:23" x14ac:dyDescent="0.25">
      <c r="H1355" t="s">
        <v>2406</v>
      </c>
    </row>
    <row r="1356" spans="1:23" x14ac:dyDescent="0.25">
      <c r="A1356">
        <v>675</v>
      </c>
      <c r="B1356">
        <v>1242</v>
      </c>
      <c r="C1356" t="s">
        <v>2407</v>
      </c>
      <c r="D1356" t="s">
        <v>830</v>
      </c>
      <c r="E1356" t="s">
        <v>223</v>
      </c>
      <c r="F1356" t="s">
        <v>2408</v>
      </c>
      <c r="G1356" t="str">
        <f>"201407000010"</f>
        <v>201407000010</v>
      </c>
      <c r="H1356">
        <v>891</v>
      </c>
      <c r="I1356">
        <v>0</v>
      </c>
      <c r="J1356">
        <v>30</v>
      </c>
      <c r="K1356">
        <v>0</v>
      </c>
      <c r="L1356">
        <v>0</v>
      </c>
      <c r="M1356">
        <v>0</v>
      </c>
      <c r="N1356">
        <v>0</v>
      </c>
      <c r="O1356">
        <v>0</v>
      </c>
      <c r="P1356">
        <v>0</v>
      </c>
      <c r="Q1356">
        <v>0</v>
      </c>
      <c r="R1356">
        <v>6</v>
      </c>
      <c r="S1356">
        <v>42</v>
      </c>
      <c r="V1356">
        <v>0</v>
      </c>
      <c r="W1356">
        <v>963</v>
      </c>
    </row>
    <row r="1357" spans="1:23" x14ac:dyDescent="0.25">
      <c r="H1357" t="s">
        <v>2409</v>
      </c>
    </row>
    <row r="1358" spans="1:23" x14ac:dyDescent="0.25">
      <c r="A1358">
        <v>676</v>
      </c>
      <c r="B1358">
        <v>9104</v>
      </c>
      <c r="C1358" t="s">
        <v>2410</v>
      </c>
      <c r="D1358" t="s">
        <v>53</v>
      </c>
      <c r="E1358" t="s">
        <v>175</v>
      </c>
      <c r="F1358" t="s">
        <v>2411</v>
      </c>
      <c r="G1358" t="str">
        <f>"201511006516"</f>
        <v>201511006516</v>
      </c>
      <c r="H1358">
        <v>550</v>
      </c>
      <c r="I1358">
        <v>0</v>
      </c>
      <c r="J1358">
        <v>0</v>
      </c>
      <c r="K1358">
        <v>0</v>
      </c>
      <c r="L1358">
        <v>0</v>
      </c>
      <c r="M1358">
        <v>0</v>
      </c>
      <c r="N1358">
        <v>0</v>
      </c>
      <c r="O1358">
        <v>0</v>
      </c>
      <c r="P1358">
        <v>0</v>
      </c>
      <c r="Q1358">
        <v>0</v>
      </c>
      <c r="R1358">
        <v>59</v>
      </c>
      <c r="S1358">
        <v>413</v>
      </c>
      <c r="V1358">
        <v>0</v>
      </c>
      <c r="W1358">
        <v>963</v>
      </c>
    </row>
    <row r="1359" spans="1:23" x14ac:dyDescent="0.25">
      <c r="H1359" t="s">
        <v>2412</v>
      </c>
    </row>
    <row r="1360" spans="1:23" x14ac:dyDescent="0.25">
      <c r="A1360">
        <v>677</v>
      </c>
      <c r="B1360">
        <v>8879</v>
      </c>
      <c r="C1360" t="s">
        <v>2413</v>
      </c>
      <c r="D1360" t="s">
        <v>2414</v>
      </c>
      <c r="E1360" t="s">
        <v>22</v>
      </c>
      <c r="F1360" t="s">
        <v>2415</v>
      </c>
      <c r="G1360" t="str">
        <f>"201511027626"</f>
        <v>201511027626</v>
      </c>
      <c r="H1360" t="s">
        <v>2416</v>
      </c>
      <c r="I1360">
        <v>150</v>
      </c>
      <c r="J1360">
        <v>0</v>
      </c>
      <c r="K1360">
        <v>0</v>
      </c>
      <c r="L1360">
        <v>0</v>
      </c>
      <c r="M1360">
        <v>0</v>
      </c>
      <c r="N1360">
        <v>0</v>
      </c>
      <c r="O1360">
        <v>0</v>
      </c>
      <c r="P1360">
        <v>0</v>
      </c>
      <c r="Q1360">
        <v>0</v>
      </c>
      <c r="R1360">
        <v>16</v>
      </c>
      <c r="S1360">
        <v>112</v>
      </c>
      <c r="V1360">
        <v>1</v>
      </c>
      <c r="W1360" t="s">
        <v>2417</v>
      </c>
    </row>
    <row r="1361" spans="1:23" x14ac:dyDescent="0.25">
      <c r="H1361" t="s">
        <v>409</v>
      </c>
    </row>
    <row r="1362" spans="1:23" x14ac:dyDescent="0.25">
      <c r="A1362">
        <v>678</v>
      </c>
      <c r="B1362">
        <v>4010</v>
      </c>
      <c r="C1362" t="s">
        <v>2418</v>
      </c>
      <c r="D1362" t="s">
        <v>2419</v>
      </c>
      <c r="E1362" t="s">
        <v>2420</v>
      </c>
      <c r="F1362" t="s">
        <v>2421</v>
      </c>
      <c r="G1362" t="str">
        <f>"201102000140"</f>
        <v>201102000140</v>
      </c>
      <c r="H1362">
        <v>715</v>
      </c>
      <c r="I1362">
        <v>0</v>
      </c>
      <c r="J1362">
        <v>0</v>
      </c>
      <c r="K1362">
        <v>0</v>
      </c>
      <c r="L1362">
        <v>0</v>
      </c>
      <c r="M1362">
        <v>0</v>
      </c>
      <c r="N1362">
        <v>0</v>
      </c>
      <c r="O1362">
        <v>0</v>
      </c>
      <c r="P1362">
        <v>0</v>
      </c>
      <c r="Q1362">
        <v>0</v>
      </c>
      <c r="R1362">
        <v>35</v>
      </c>
      <c r="S1362">
        <v>245</v>
      </c>
      <c r="V1362">
        <v>0</v>
      </c>
      <c r="W1362">
        <v>960</v>
      </c>
    </row>
    <row r="1363" spans="1:23" x14ac:dyDescent="0.25">
      <c r="H1363" t="s">
        <v>2422</v>
      </c>
    </row>
    <row r="1364" spans="1:23" x14ac:dyDescent="0.25">
      <c r="A1364">
        <v>679</v>
      </c>
      <c r="B1364">
        <v>1523</v>
      </c>
      <c r="C1364" t="s">
        <v>2423</v>
      </c>
      <c r="D1364" t="s">
        <v>1641</v>
      </c>
      <c r="E1364" t="s">
        <v>71</v>
      </c>
      <c r="F1364" t="s">
        <v>2424</v>
      </c>
      <c r="G1364" t="str">
        <f>"201511027706"</f>
        <v>201511027706</v>
      </c>
      <c r="H1364">
        <v>770</v>
      </c>
      <c r="I1364">
        <v>0</v>
      </c>
      <c r="J1364">
        <v>0</v>
      </c>
      <c r="K1364">
        <v>0</v>
      </c>
      <c r="L1364">
        <v>0</v>
      </c>
      <c r="M1364">
        <v>0</v>
      </c>
      <c r="N1364">
        <v>0</v>
      </c>
      <c r="O1364">
        <v>0</v>
      </c>
      <c r="P1364">
        <v>0</v>
      </c>
      <c r="Q1364">
        <v>0</v>
      </c>
      <c r="R1364">
        <v>27</v>
      </c>
      <c r="S1364">
        <v>189</v>
      </c>
      <c r="V1364">
        <v>0</v>
      </c>
      <c r="W1364">
        <v>959</v>
      </c>
    </row>
    <row r="1365" spans="1:23" x14ac:dyDescent="0.25">
      <c r="H1365" t="s">
        <v>2425</v>
      </c>
    </row>
    <row r="1366" spans="1:23" x14ac:dyDescent="0.25">
      <c r="A1366">
        <v>680</v>
      </c>
      <c r="B1366">
        <v>10376</v>
      </c>
      <c r="C1366" t="s">
        <v>2426</v>
      </c>
      <c r="D1366" t="s">
        <v>53</v>
      </c>
      <c r="E1366" t="s">
        <v>42</v>
      </c>
      <c r="F1366" t="s">
        <v>2427</v>
      </c>
      <c r="G1366" t="str">
        <f>"201512001388"</f>
        <v>201512001388</v>
      </c>
      <c r="H1366">
        <v>957</v>
      </c>
      <c r="I1366">
        <v>0</v>
      </c>
      <c r="J1366">
        <v>0</v>
      </c>
      <c r="K1366">
        <v>0</v>
      </c>
      <c r="L1366">
        <v>0</v>
      </c>
      <c r="M1366">
        <v>0</v>
      </c>
      <c r="N1366">
        <v>0</v>
      </c>
      <c r="O1366">
        <v>0</v>
      </c>
      <c r="P1366">
        <v>0</v>
      </c>
      <c r="Q1366">
        <v>0</v>
      </c>
      <c r="R1366">
        <v>0</v>
      </c>
      <c r="S1366">
        <v>0</v>
      </c>
      <c r="T1366">
        <v>6</v>
      </c>
      <c r="U1366">
        <v>932</v>
      </c>
      <c r="V1366">
        <v>0</v>
      </c>
      <c r="W1366">
        <v>957</v>
      </c>
    </row>
    <row r="1367" spans="1:23" x14ac:dyDescent="0.25">
      <c r="H1367" t="s">
        <v>2428</v>
      </c>
    </row>
    <row r="1368" spans="1:23" x14ac:dyDescent="0.25">
      <c r="A1368">
        <v>681</v>
      </c>
      <c r="B1368">
        <v>10376</v>
      </c>
      <c r="C1368" t="s">
        <v>2426</v>
      </c>
      <c r="D1368" t="s">
        <v>53</v>
      </c>
      <c r="E1368" t="s">
        <v>42</v>
      </c>
      <c r="F1368" t="s">
        <v>2427</v>
      </c>
      <c r="G1368" t="str">
        <f>"201512001388"</f>
        <v>201512001388</v>
      </c>
      <c r="H1368">
        <v>957</v>
      </c>
      <c r="I1368">
        <v>0</v>
      </c>
      <c r="J1368">
        <v>0</v>
      </c>
      <c r="K1368">
        <v>0</v>
      </c>
      <c r="L1368">
        <v>0</v>
      </c>
      <c r="M1368">
        <v>0</v>
      </c>
      <c r="N1368">
        <v>0</v>
      </c>
      <c r="O1368">
        <v>0</v>
      </c>
      <c r="P1368">
        <v>0</v>
      </c>
      <c r="Q1368">
        <v>0</v>
      </c>
      <c r="R1368">
        <v>0</v>
      </c>
      <c r="S1368">
        <v>0</v>
      </c>
      <c r="V1368">
        <v>0</v>
      </c>
      <c r="W1368">
        <v>957</v>
      </c>
    </row>
    <row r="1369" spans="1:23" x14ac:dyDescent="0.25">
      <c r="H1369" t="s">
        <v>2428</v>
      </c>
    </row>
    <row r="1370" spans="1:23" x14ac:dyDescent="0.25">
      <c r="A1370">
        <v>682</v>
      </c>
      <c r="B1370">
        <v>3299</v>
      </c>
      <c r="C1370" t="s">
        <v>2429</v>
      </c>
      <c r="D1370" t="s">
        <v>2430</v>
      </c>
      <c r="E1370" t="s">
        <v>2431</v>
      </c>
      <c r="F1370" t="s">
        <v>2432</v>
      </c>
      <c r="G1370" t="str">
        <f>"00074707"</f>
        <v>00074707</v>
      </c>
      <c r="H1370" t="s">
        <v>615</v>
      </c>
      <c r="I1370">
        <v>0</v>
      </c>
      <c r="J1370">
        <v>0</v>
      </c>
      <c r="K1370">
        <v>0</v>
      </c>
      <c r="L1370">
        <v>0</v>
      </c>
      <c r="M1370">
        <v>0</v>
      </c>
      <c r="N1370">
        <v>0</v>
      </c>
      <c r="O1370">
        <v>0</v>
      </c>
      <c r="P1370">
        <v>0</v>
      </c>
      <c r="Q1370">
        <v>0</v>
      </c>
      <c r="R1370">
        <v>3</v>
      </c>
      <c r="S1370">
        <v>21</v>
      </c>
      <c r="V1370">
        <v>0</v>
      </c>
      <c r="W1370" t="s">
        <v>2433</v>
      </c>
    </row>
    <row r="1371" spans="1:23" x14ac:dyDescent="0.25">
      <c r="H1371">
        <v>913</v>
      </c>
    </row>
    <row r="1372" spans="1:23" x14ac:dyDescent="0.25">
      <c r="A1372">
        <v>683</v>
      </c>
      <c r="B1372">
        <v>722</v>
      </c>
      <c r="C1372" t="s">
        <v>2434</v>
      </c>
      <c r="D1372" t="s">
        <v>2435</v>
      </c>
      <c r="E1372" t="s">
        <v>2436</v>
      </c>
      <c r="F1372" t="s">
        <v>2437</v>
      </c>
      <c r="G1372" t="str">
        <f>"00024988"</f>
        <v>00024988</v>
      </c>
      <c r="H1372">
        <v>880</v>
      </c>
      <c r="I1372">
        <v>0</v>
      </c>
      <c r="J1372">
        <v>70</v>
      </c>
      <c r="K1372">
        <v>0</v>
      </c>
      <c r="L1372">
        <v>0</v>
      </c>
      <c r="M1372">
        <v>0</v>
      </c>
      <c r="N1372">
        <v>0</v>
      </c>
      <c r="O1372">
        <v>0</v>
      </c>
      <c r="P1372">
        <v>0</v>
      </c>
      <c r="Q1372">
        <v>0</v>
      </c>
      <c r="R1372">
        <v>0</v>
      </c>
      <c r="S1372">
        <v>0</v>
      </c>
      <c r="V1372">
        <v>0</v>
      </c>
      <c r="W1372">
        <v>950</v>
      </c>
    </row>
    <row r="1373" spans="1:23" x14ac:dyDescent="0.25">
      <c r="H1373" t="s">
        <v>2438</v>
      </c>
    </row>
    <row r="1374" spans="1:23" x14ac:dyDescent="0.25">
      <c r="A1374">
        <v>684</v>
      </c>
      <c r="B1374">
        <v>1448</v>
      </c>
      <c r="C1374" t="s">
        <v>2439</v>
      </c>
      <c r="D1374" t="s">
        <v>2440</v>
      </c>
      <c r="E1374" t="s">
        <v>2441</v>
      </c>
      <c r="F1374" t="s">
        <v>2442</v>
      </c>
      <c r="G1374" t="str">
        <f>"00019926"</f>
        <v>00019926</v>
      </c>
      <c r="H1374">
        <v>792</v>
      </c>
      <c r="I1374">
        <v>150</v>
      </c>
      <c r="J1374">
        <v>0</v>
      </c>
      <c r="K1374">
        <v>0</v>
      </c>
      <c r="L1374">
        <v>0</v>
      </c>
      <c r="M1374">
        <v>0</v>
      </c>
      <c r="N1374">
        <v>0</v>
      </c>
      <c r="O1374">
        <v>0</v>
      </c>
      <c r="P1374">
        <v>0</v>
      </c>
      <c r="Q1374">
        <v>0</v>
      </c>
      <c r="R1374">
        <v>0</v>
      </c>
      <c r="S1374">
        <v>0</v>
      </c>
      <c r="T1374">
        <v>6</v>
      </c>
      <c r="U1374">
        <v>931</v>
      </c>
      <c r="V1374">
        <v>0</v>
      </c>
      <c r="W1374">
        <v>942</v>
      </c>
    </row>
    <row r="1375" spans="1:23" x14ac:dyDescent="0.25">
      <c r="H1375" t="s">
        <v>2443</v>
      </c>
    </row>
    <row r="1376" spans="1:23" x14ac:dyDescent="0.25">
      <c r="A1376">
        <v>685</v>
      </c>
      <c r="B1376">
        <v>4632</v>
      </c>
      <c r="C1376" t="s">
        <v>2444</v>
      </c>
      <c r="D1376" t="s">
        <v>71</v>
      </c>
      <c r="E1376" t="s">
        <v>700</v>
      </c>
      <c r="F1376" t="s">
        <v>2445</v>
      </c>
      <c r="G1376" t="str">
        <f>"00022229"</f>
        <v>00022229</v>
      </c>
      <c r="H1376">
        <v>770</v>
      </c>
      <c r="I1376">
        <v>0</v>
      </c>
      <c r="J1376">
        <v>30</v>
      </c>
      <c r="K1376">
        <v>0</v>
      </c>
      <c r="L1376">
        <v>30</v>
      </c>
      <c r="M1376">
        <v>0</v>
      </c>
      <c r="N1376">
        <v>0</v>
      </c>
      <c r="O1376">
        <v>0</v>
      </c>
      <c r="P1376">
        <v>0</v>
      </c>
      <c r="Q1376">
        <v>0</v>
      </c>
      <c r="R1376">
        <v>16</v>
      </c>
      <c r="S1376">
        <v>112</v>
      </c>
      <c r="V1376">
        <v>0</v>
      </c>
      <c r="W1376">
        <v>942</v>
      </c>
    </row>
    <row r="1377" spans="1:23" x14ac:dyDescent="0.25">
      <c r="H1377" t="s">
        <v>2446</v>
      </c>
    </row>
    <row r="1378" spans="1:23" x14ac:dyDescent="0.25">
      <c r="A1378">
        <v>686</v>
      </c>
      <c r="B1378">
        <v>1041</v>
      </c>
      <c r="C1378" t="s">
        <v>1677</v>
      </c>
      <c r="D1378" t="s">
        <v>105</v>
      </c>
      <c r="E1378" t="s">
        <v>849</v>
      </c>
      <c r="F1378" t="s">
        <v>1678</v>
      </c>
      <c r="G1378" t="str">
        <f>"00041179"</f>
        <v>00041179</v>
      </c>
      <c r="H1378" t="s">
        <v>603</v>
      </c>
      <c r="I1378">
        <v>0</v>
      </c>
      <c r="J1378">
        <v>0</v>
      </c>
      <c r="K1378">
        <v>0</v>
      </c>
      <c r="L1378">
        <v>0</v>
      </c>
      <c r="M1378">
        <v>0</v>
      </c>
      <c r="N1378">
        <v>0</v>
      </c>
      <c r="O1378">
        <v>0</v>
      </c>
      <c r="P1378">
        <v>0</v>
      </c>
      <c r="Q1378">
        <v>0</v>
      </c>
      <c r="R1378">
        <v>0</v>
      </c>
      <c r="S1378">
        <v>0</v>
      </c>
      <c r="V1378">
        <v>0</v>
      </c>
      <c r="W1378" t="s">
        <v>603</v>
      </c>
    </row>
    <row r="1379" spans="1:23" x14ac:dyDescent="0.25">
      <c r="H1379" t="s">
        <v>1680</v>
      </c>
    </row>
    <row r="1380" spans="1:23" x14ac:dyDescent="0.25">
      <c r="A1380">
        <v>687</v>
      </c>
      <c r="B1380">
        <v>9091</v>
      </c>
      <c r="C1380" t="s">
        <v>2020</v>
      </c>
      <c r="D1380" t="s">
        <v>2447</v>
      </c>
      <c r="E1380" t="s">
        <v>218</v>
      </c>
      <c r="F1380" t="s">
        <v>2448</v>
      </c>
      <c r="G1380" t="str">
        <f>"201511023003"</f>
        <v>201511023003</v>
      </c>
      <c r="H1380">
        <v>825</v>
      </c>
      <c r="I1380">
        <v>0</v>
      </c>
      <c r="J1380">
        <v>30</v>
      </c>
      <c r="K1380">
        <v>0</v>
      </c>
      <c r="L1380">
        <v>0</v>
      </c>
      <c r="M1380">
        <v>0</v>
      </c>
      <c r="N1380">
        <v>0</v>
      </c>
      <c r="O1380">
        <v>0</v>
      </c>
      <c r="P1380">
        <v>0</v>
      </c>
      <c r="Q1380">
        <v>0</v>
      </c>
      <c r="R1380">
        <v>12</v>
      </c>
      <c r="S1380">
        <v>84</v>
      </c>
      <c r="V1380">
        <v>0</v>
      </c>
      <c r="W1380">
        <v>939</v>
      </c>
    </row>
    <row r="1381" spans="1:23" x14ac:dyDescent="0.25">
      <c r="H1381" t="s">
        <v>2449</v>
      </c>
    </row>
    <row r="1382" spans="1:23" x14ac:dyDescent="0.25">
      <c r="A1382">
        <v>688</v>
      </c>
      <c r="B1382">
        <v>9980</v>
      </c>
      <c r="C1382" t="s">
        <v>2450</v>
      </c>
      <c r="D1382" t="s">
        <v>717</v>
      </c>
      <c r="E1382" t="s">
        <v>21</v>
      </c>
      <c r="F1382" t="s">
        <v>2451</v>
      </c>
      <c r="G1382" t="str">
        <f>"201511029703"</f>
        <v>201511029703</v>
      </c>
      <c r="H1382" t="s">
        <v>1388</v>
      </c>
      <c r="I1382">
        <v>0</v>
      </c>
      <c r="J1382">
        <v>30</v>
      </c>
      <c r="K1382">
        <v>0</v>
      </c>
      <c r="L1382">
        <v>0</v>
      </c>
      <c r="M1382">
        <v>0</v>
      </c>
      <c r="N1382">
        <v>0</v>
      </c>
      <c r="O1382">
        <v>0</v>
      </c>
      <c r="P1382">
        <v>0</v>
      </c>
      <c r="Q1382">
        <v>0</v>
      </c>
      <c r="R1382">
        <v>39</v>
      </c>
      <c r="S1382">
        <v>273</v>
      </c>
      <c r="V1382">
        <v>1</v>
      </c>
      <c r="W1382" t="s">
        <v>2452</v>
      </c>
    </row>
    <row r="1383" spans="1:23" x14ac:dyDescent="0.25">
      <c r="H1383" t="s">
        <v>2453</v>
      </c>
    </row>
    <row r="1384" spans="1:23" x14ac:dyDescent="0.25">
      <c r="A1384">
        <v>689</v>
      </c>
      <c r="B1384">
        <v>2717</v>
      </c>
      <c r="C1384" t="s">
        <v>1471</v>
      </c>
      <c r="D1384" t="s">
        <v>36</v>
      </c>
      <c r="E1384" t="s">
        <v>42</v>
      </c>
      <c r="F1384" t="s">
        <v>1472</v>
      </c>
      <c r="G1384" t="str">
        <f>"00036217"</f>
        <v>00036217</v>
      </c>
      <c r="H1384">
        <v>935</v>
      </c>
      <c r="I1384">
        <v>0</v>
      </c>
      <c r="J1384">
        <v>0</v>
      </c>
      <c r="K1384">
        <v>0</v>
      </c>
      <c r="L1384">
        <v>0</v>
      </c>
      <c r="M1384">
        <v>0</v>
      </c>
      <c r="N1384">
        <v>0</v>
      </c>
      <c r="O1384">
        <v>0</v>
      </c>
      <c r="P1384">
        <v>0</v>
      </c>
      <c r="Q1384">
        <v>0</v>
      </c>
      <c r="R1384">
        <v>0</v>
      </c>
      <c r="S1384">
        <v>0</v>
      </c>
      <c r="T1384">
        <v>6</v>
      </c>
      <c r="U1384">
        <v>905</v>
      </c>
      <c r="V1384">
        <v>0</v>
      </c>
      <c r="W1384">
        <v>935</v>
      </c>
    </row>
    <row r="1385" spans="1:23" x14ac:dyDescent="0.25">
      <c r="H1385" t="s">
        <v>1473</v>
      </c>
    </row>
    <row r="1386" spans="1:23" x14ac:dyDescent="0.25">
      <c r="A1386">
        <v>690</v>
      </c>
      <c r="B1386">
        <v>700</v>
      </c>
      <c r="C1386" t="s">
        <v>2426</v>
      </c>
      <c r="D1386" t="s">
        <v>42</v>
      </c>
      <c r="E1386" t="s">
        <v>21</v>
      </c>
      <c r="F1386" t="s">
        <v>2454</v>
      </c>
      <c r="G1386" t="str">
        <f>"201511015044"</f>
        <v>201511015044</v>
      </c>
      <c r="H1386">
        <v>935</v>
      </c>
      <c r="I1386">
        <v>0</v>
      </c>
      <c r="J1386">
        <v>0</v>
      </c>
      <c r="K1386">
        <v>0</v>
      </c>
      <c r="L1386">
        <v>0</v>
      </c>
      <c r="M1386">
        <v>0</v>
      </c>
      <c r="N1386">
        <v>0</v>
      </c>
      <c r="O1386">
        <v>0</v>
      </c>
      <c r="P1386">
        <v>0</v>
      </c>
      <c r="Q1386">
        <v>0</v>
      </c>
      <c r="R1386">
        <v>0</v>
      </c>
      <c r="S1386">
        <v>0</v>
      </c>
      <c r="V1386">
        <v>0</v>
      </c>
      <c r="W1386">
        <v>935</v>
      </c>
    </row>
    <row r="1387" spans="1:23" x14ac:dyDescent="0.25">
      <c r="H1387" t="s">
        <v>2455</v>
      </c>
    </row>
    <row r="1388" spans="1:23" x14ac:dyDescent="0.25">
      <c r="A1388">
        <v>691</v>
      </c>
      <c r="B1388">
        <v>7265</v>
      </c>
      <c r="C1388" t="s">
        <v>2456</v>
      </c>
      <c r="D1388" t="s">
        <v>2457</v>
      </c>
      <c r="E1388" t="s">
        <v>523</v>
      </c>
      <c r="F1388" t="s">
        <v>2458</v>
      </c>
      <c r="G1388" t="str">
        <f>"00020630"</f>
        <v>00020630</v>
      </c>
      <c r="H1388">
        <v>935</v>
      </c>
      <c r="I1388">
        <v>0</v>
      </c>
      <c r="J1388">
        <v>0</v>
      </c>
      <c r="K1388">
        <v>0</v>
      </c>
      <c r="L1388">
        <v>0</v>
      </c>
      <c r="M1388">
        <v>0</v>
      </c>
      <c r="N1388">
        <v>0</v>
      </c>
      <c r="O1388">
        <v>0</v>
      </c>
      <c r="P1388">
        <v>0</v>
      </c>
      <c r="Q1388">
        <v>0</v>
      </c>
      <c r="R1388">
        <v>0</v>
      </c>
      <c r="S1388">
        <v>0</v>
      </c>
      <c r="V1388">
        <v>0</v>
      </c>
      <c r="W1388">
        <v>935</v>
      </c>
    </row>
    <row r="1389" spans="1:23" x14ac:dyDescent="0.25">
      <c r="H1389" t="s">
        <v>2459</v>
      </c>
    </row>
    <row r="1390" spans="1:23" x14ac:dyDescent="0.25">
      <c r="A1390">
        <v>692</v>
      </c>
      <c r="B1390">
        <v>5370</v>
      </c>
      <c r="C1390" t="s">
        <v>2460</v>
      </c>
      <c r="D1390" t="s">
        <v>31</v>
      </c>
      <c r="E1390" t="s">
        <v>26</v>
      </c>
      <c r="F1390" t="s">
        <v>2461</v>
      </c>
      <c r="G1390" t="str">
        <f>"00017223"</f>
        <v>00017223</v>
      </c>
      <c r="H1390">
        <v>935</v>
      </c>
      <c r="I1390">
        <v>0</v>
      </c>
      <c r="J1390">
        <v>0</v>
      </c>
      <c r="K1390">
        <v>0</v>
      </c>
      <c r="L1390">
        <v>0</v>
      </c>
      <c r="M1390">
        <v>0</v>
      </c>
      <c r="N1390">
        <v>0</v>
      </c>
      <c r="O1390">
        <v>0</v>
      </c>
      <c r="P1390">
        <v>0</v>
      </c>
      <c r="Q1390">
        <v>0</v>
      </c>
      <c r="R1390">
        <v>0</v>
      </c>
      <c r="S1390">
        <v>0</v>
      </c>
      <c r="V1390">
        <v>0</v>
      </c>
      <c r="W1390">
        <v>935</v>
      </c>
    </row>
    <row r="1391" spans="1:23" x14ac:dyDescent="0.25">
      <c r="H1391" t="s">
        <v>2462</v>
      </c>
    </row>
    <row r="1392" spans="1:23" x14ac:dyDescent="0.25">
      <c r="A1392">
        <v>693</v>
      </c>
      <c r="B1392">
        <v>7044</v>
      </c>
      <c r="C1392" t="s">
        <v>2463</v>
      </c>
      <c r="D1392" t="s">
        <v>111</v>
      </c>
      <c r="E1392" t="s">
        <v>53</v>
      </c>
      <c r="F1392" t="s">
        <v>2464</v>
      </c>
      <c r="G1392" t="str">
        <f>"201511039851"</f>
        <v>201511039851</v>
      </c>
      <c r="H1392">
        <v>825</v>
      </c>
      <c r="I1392">
        <v>0</v>
      </c>
      <c r="J1392">
        <v>0</v>
      </c>
      <c r="K1392">
        <v>0</v>
      </c>
      <c r="L1392">
        <v>0</v>
      </c>
      <c r="M1392">
        <v>0</v>
      </c>
      <c r="N1392">
        <v>0</v>
      </c>
      <c r="O1392">
        <v>0</v>
      </c>
      <c r="P1392">
        <v>0</v>
      </c>
      <c r="Q1392">
        <v>0</v>
      </c>
      <c r="R1392">
        <v>15</v>
      </c>
      <c r="S1392">
        <v>105</v>
      </c>
      <c r="V1392">
        <v>0</v>
      </c>
      <c r="W1392">
        <v>930</v>
      </c>
    </row>
    <row r="1393" spans="1:23" x14ac:dyDescent="0.25">
      <c r="H1393" t="s">
        <v>2465</v>
      </c>
    </row>
    <row r="1394" spans="1:23" x14ac:dyDescent="0.25">
      <c r="A1394">
        <v>694</v>
      </c>
      <c r="B1394">
        <v>188</v>
      </c>
      <c r="C1394" t="s">
        <v>2466</v>
      </c>
      <c r="D1394" t="s">
        <v>67</v>
      </c>
      <c r="E1394" t="s">
        <v>53</v>
      </c>
      <c r="F1394" t="s">
        <v>2467</v>
      </c>
      <c r="G1394" t="str">
        <f>"201511033905"</f>
        <v>201511033905</v>
      </c>
      <c r="H1394" t="s">
        <v>615</v>
      </c>
      <c r="I1394">
        <v>0</v>
      </c>
      <c r="J1394">
        <v>0</v>
      </c>
      <c r="K1394">
        <v>0</v>
      </c>
      <c r="L1394">
        <v>0</v>
      </c>
      <c r="M1394">
        <v>0</v>
      </c>
      <c r="N1394">
        <v>0</v>
      </c>
      <c r="O1394">
        <v>0</v>
      </c>
      <c r="P1394">
        <v>0</v>
      </c>
      <c r="Q1394">
        <v>0</v>
      </c>
      <c r="R1394">
        <v>0</v>
      </c>
      <c r="S1394">
        <v>0</v>
      </c>
      <c r="V1394">
        <v>0</v>
      </c>
      <c r="W1394" t="s">
        <v>615</v>
      </c>
    </row>
    <row r="1395" spans="1:23" x14ac:dyDescent="0.25">
      <c r="H1395" t="s">
        <v>2468</v>
      </c>
    </row>
    <row r="1396" spans="1:23" x14ac:dyDescent="0.25">
      <c r="A1396">
        <v>695</v>
      </c>
      <c r="B1396">
        <v>50</v>
      </c>
      <c r="C1396" t="s">
        <v>265</v>
      </c>
      <c r="D1396" t="s">
        <v>2029</v>
      </c>
      <c r="E1396" t="s">
        <v>141</v>
      </c>
      <c r="F1396" t="s">
        <v>2469</v>
      </c>
      <c r="G1396" t="str">
        <f>"201502000653"</f>
        <v>201502000653</v>
      </c>
      <c r="H1396" t="s">
        <v>615</v>
      </c>
      <c r="I1396">
        <v>0</v>
      </c>
      <c r="J1396">
        <v>0</v>
      </c>
      <c r="K1396">
        <v>0</v>
      </c>
      <c r="L1396">
        <v>0</v>
      </c>
      <c r="M1396">
        <v>0</v>
      </c>
      <c r="N1396">
        <v>0</v>
      </c>
      <c r="O1396">
        <v>0</v>
      </c>
      <c r="P1396">
        <v>0</v>
      </c>
      <c r="Q1396">
        <v>0</v>
      </c>
      <c r="R1396">
        <v>0</v>
      </c>
      <c r="S1396">
        <v>0</v>
      </c>
      <c r="V1396">
        <v>0</v>
      </c>
      <c r="W1396" t="s">
        <v>615</v>
      </c>
    </row>
    <row r="1397" spans="1:23" x14ac:dyDescent="0.25">
      <c r="H1397">
        <v>916</v>
      </c>
    </row>
    <row r="1398" spans="1:23" x14ac:dyDescent="0.25">
      <c r="A1398">
        <v>696</v>
      </c>
      <c r="B1398">
        <v>10123</v>
      </c>
      <c r="C1398" t="s">
        <v>2470</v>
      </c>
      <c r="D1398" t="s">
        <v>57</v>
      </c>
      <c r="E1398" t="s">
        <v>42</v>
      </c>
      <c r="F1398" t="s">
        <v>2471</v>
      </c>
      <c r="G1398" t="str">
        <f>"00079715"</f>
        <v>00079715</v>
      </c>
      <c r="H1398" t="s">
        <v>985</v>
      </c>
      <c r="I1398">
        <v>0</v>
      </c>
      <c r="J1398">
        <v>0</v>
      </c>
      <c r="K1398">
        <v>0</v>
      </c>
      <c r="L1398">
        <v>0</v>
      </c>
      <c r="M1398">
        <v>0</v>
      </c>
      <c r="N1398">
        <v>0</v>
      </c>
      <c r="O1398">
        <v>0</v>
      </c>
      <c r="P1398">
        <v>0</v>
      </c>
      <c r="Q1398">
        <v>0</v>
      </c>
      <c r="R1398">
        <v>11</v>
      </c>
      <c r="S1398">
        <v>77</v>
      </c>
      <c r="V1398">
        <v>0</v>
      </c>
      <c r="W1398" t="s">
        <v>2472</v>
      </c>
    </row>
    <row r="1399" spans="1:23" x14ac:dyDescent="0.25">
      <c r="H1399" t="s">
        <v>216</v>
      </c>
    </row>
    <row r="1400" spans="1:23" x14ac:dyDescent="0.25">
      <c r="A1400">
        <v>697</v>
      </c>
      <c r="B1400">
        <v>6080</v>
      </c>
      <c r="C1400" t="s">
        <v>2473</v>
      </c>
      <c r="D1400" t="s">
        <v>190</v>
      </c>
      <c r="E1400" t="s">
        <v>71</v>
      </c>
      <c r="F1400" t="s">
        <v>2474</v>
      </c>
      <c r="G1400" t="str">
        <f>"201511029347"</f>
        <v>201511029347</v>
      </c>
      <c r="H1400" t="s">
        <v>1082</v>
      </c>
      <c r="I1400">
        <v>0</v>
      </c>
      <c r="J1400">
        <v>0</v>
      </c>
      <c r="K1400">
        <v>0</v>
      </c>
      <c r="L1400">
        <v>0</v>
      </c>
      <c r="M1400">
        <v>0</v>
      </c>
      <c r="N1400">
        <v>0</v>
      </c>
      <c r="O1400">
        <v>0</v>
      </c>
      <c r="P1400">
        <v>0</v>
      </c>
      <c r="Q1400">
        <v>0</v>
      </c>
      <c r="R1400">
        <v>20</v>
      </c>
      <c r="S1400">
        <v>140</v>
      </c>
      <c r="V1400">
        <v>0</v>
      </c>
      <c r="W1400" t="s">
        <v>2475</v>
      </c>
    </row>
    <row r="1401" spans="1:23" x14ac:dyDescent="0.25">
      <c r="H1401" t="s">
        <v>2476</v>
      </c>
    </row>
    <row r="1402" spans="1:23" x14ac:dyDescent="0.25">
      <c r="A1402">
        <v>698</v>
      </c>
      <c r="B1402">
        <v>5601</v>
      </c>
      <c r="C1402" t="s">
        <v>2477</v>
      </c>
      <c r="D1402" t="s">
        <v>95</v>
      </c>
      <c r="E1402" t="s">
        <v>22</v>
      </c>
      <c r="F1402" t="s">
        <v>2478</v>
      </c>
      <c r="G1402" t="str">
        <f>"201511013967"</f>
        <v>201511013967</v>
      </c>
      <c r="H1402">
        <v>605</v>
      </c>
      <c r="I1402">
        <v>150</v>
      </c>
      <c r="J1402">
        <v>0</v>
      </c>
      <c r="K1402">
        <v>0</v>
      </c>
      <c r="L1402">
        <v>0</v>
      </c>
      <c r="M1402">
        <v>0</v>
      </c>
      <c r="N1402">
        <v>0</v>
      </c>
      <c r="O1402">
        <v>0</v>
      </c>
      <c r="P1402">
        <v>0</v>
      </c>
      <c r="Q1402">
        <v>0</v>
      </c>
      <c r="R1402">
        <v>24</v>
      </c>
      <c r="S1402">
        <v>168</v>
      </c>
      <c r="V1402">
        <v>0</v>
      </c>
      <c r="W1402">
        <v>923</v>
      </c>
    </row>
    <row r="1403" spans="1:23" x14ac:dyDescent="0.25">
      <c r="H1403" t="s">
        <v>2479</v>
      </c>
    </row>
    <row r="1404" spans="1:23" x14ac:dyDescent="0.25">
      <c r="A1404">
        <v>699</v>
      </c>
      <c r="B1404">
        <v>6139</v>
      </c>
      <c r="C1404" t="s">
        <v>2480</v>
      </c>
      <c r="D1404" t="s">
        <v>156</v>
      </c>
      <c r="E1404" t="s">
        <v>42</v>
      </c>
      <c r="F1404" t="s">
        <v>2481</v>
      </c>
      <c r="G1404" t="str">
        <f>"00096181"</f>
        <v>00096181</v>
      </c>
      <c r="H1404" t="s">
        <v>671</v>
      </c>
      <c r="I1404">
        <v>0</v>
      </c>
      <c r="J1404">
        <v>0</v>
      </c>
      <c r="K1404">
        <v>0</v>
      </c>
      <c r="L1404">
        <v>0</v>
      </c>
      <c r="M1404">
        <v>0</v>
      </c>
      <c r="N1404">
        <v>0</v>
      </c>
      <c r="O1404">
        <v>0</v>
      </c>
      <c r="P1404">
        <v>0</v>
      </c>
      <c r="Q1404">
        <v>0</v>
      </c>
      <c r="R1404">
        <v>0</v>
      </c>
      <c r="S1404">
        <v>0</v>
      </c>
      <c r="V1404">
        <v>0</v>
      </c>
      <c r="W1404" t="s">
        <v>671</v>
      </c>
    </row>
    <row r="1405" spans="1:23" x14ac:dyDescent="0.25">
      <c r="H1405" t="s">
        <v>2482</v>
      </c>
    </row>
    <row r="1406" spans="1:23" x14ac:dyDescent="0.25">
      <c r="A1406">
        <v>700</v>
      </c>
      <c r="B1406">
        <v>1108</v>
      </c>
      <c r="C1406" t="s">
        <v>2483</v>
      </c>
      <c r="D1406" t="s">
        <v>171</v>
      </c>
      <c r="E1406" t="s">
        <v>21</v>
      </c>
      <c r="F1406" t="s">
        <v>2484</v>
      </c>
      <c r="G1406" t="str">
        <f>"00019865"</f>
        <v>00019865</v>
      </c>
      <c r="H1406">
        <v>770</v>
      </c>
      <c r="I1406">
        <v>0</v>
      </c>
      <c r="J1406">
        <v>0</v>
      </c>
      <c r="K1406">
        <v>0</v>
      </c>
      <c r="L1406">
        <v>0</v>
      </c>
      <c r="M1406">
        <v>0</v>
      </c>
      <c r="N1406">
        <v>0</v>
      </c>
      <c r="O1406">
        <v>0</v>
      </c>
      <c r="P1406">
        <v>0</v>
      </c>
      <c r="Q1406">
        <v>0</v>
      </c>
      <c r="R1406">
        <v>21</v>
      </c>
      <c r="S1406">
        <v>147</v>
      </c>
      <c r="V1406">
        <v>0</v>
      </c>
      <c r="W1406">
        <v>917</v>
      </c>
    </row>
    <row r="1407" spans="1:23" x14ac:dyDescent="0.25">
      <c r="H1407" t="s">
        <v>2485</v>
      </c>
    </row>
    <row r="1408" spans="1:23" x14ac:dyDescent="0.25">
      <c r="A1408">
        <v>701</v>
      </c>
      <c r="B1408">
        <v>1995</v>
      </c>
      <c r="C1408" t="s">
        <v>2486</v>
      </c>
      <c r="D1408" t="s">
        <v>121</v>
      </c>
      <c r="E1408" t="s">
        <v>83</v>
      </c>
      <c r="F1408" t="s">
        <v>2487</v>
      </c>
      <c r="G1408" t="str">
        <f>"201511025312"</f>
        <v>201511025312</v>
      </c>
      <c r="H1408" t="s">
        <v>693</v>
      </c>
      <c r="I1408">
        <v>0</v>
      </c>
      <c r="J1408">
        <v>0</v>
      </c>
      <c r="K1408">
        <v>0</v>
      </c>
      <c r="L1408">
        <v>0</v>
      </c>
      <c r="M1408">
        <v>0</v>
      </c>
      <c r="N1408">
        <v>0</v>
      </c>
      <c r="O1408">
        <v>0</v>
      </c>
      <c r="P1408">
        <v>0</v>
      </c>
      <c r="Q1408">
        <v>0</v>
      </c>
      <c r="R1408">
        <v>0</v>
      </c>
      <c r="S1408">
        <v>0</v>
      </c>
      <c r="V1408">
        <v>0</v>
      </c>
      <c r="W1408" t="s">
        <v>693</v>
      </c>
    </row>
    <row r="1409" spans="1:23" x14ac:dyDescent="0.25">
      <c r="H1409" t="s">
        <v>2488</v>
      </c>
    </row>
    <row r="1410" spans="1:23" x14ac:dyDescent="0.25">
      <c r="A1410">
        <v>702</v>
      </c>
      <c r="B1410">
        <v>5297</v>
      </c>
      <c r="C1410" t="s">
        <v>2489</v>
      </c>
      <c r="D1410" t="s">
        <v>67</v>
      </c>
      <c r="E1410" t="s">
        <v>26</v>
      </c>
      <c r="F1410" t="s">
        <v>2490</v>
      </c>
      <c r="G1410" t="str">
        <f>"00030255"</f>
        <v>00030255</v>
      </c>
      <c r="H1410">
        <v>605</v>
      </c>
      <c r="I1410">
        <v>0</v>
      </c>
      <c r="J1410">
        <v>30</v>
      </c>
      <c r="K1410">
        <v>0</v>
      </c>
      <c r="L1410">
        <v>0</v>
      </c>
      <c r="M1410">
        <v>0</v>
      </c>
      <c r="N1410">
        <v>0</v>
      </c>
      <c r="O1410">
        <v>0</v>
      </c>
      <c r="P1410">
        <v>0</v>
      </c>
      <c r="Q1410">
        <v>0</v>
      </c>
      <c r="R1410">
        <v>40</v>
      </c>
      <c r="S1410">
        <v>280</v>
      </c>
      <c r="V1410">
        <v>1</v>
      </c>
      <c r="W1410">
        <v>915</v>
      </c>
    </row>
    <row r="1411" spans="1:23" x14ac:dyDescent="0.25">
      <c r="H1411" t="s">
        <v>2491</v>
      </c>
    </row>
    <row r="1412" spans="1:23" x14ac:dyDescent="0.25">
      <c r="A1412">
        <v>703</v>
      </c>
      <c r="B1412">
        <v>10177</v>
      </c>
      <c r="C1412" t="s">
        <v>2492</v>
      </c>
      <c r="D1412" t="s">
        <v>600</v>
      </c>
      <c r="E1412" t="s">
        <v>121</v>
      </c>
      <c r="F1412" t="s">
        <v>2493</v>
      </c>
      <c r="G1412" t="str">
        <f>"201511030569"</f>
        <v>201511030569</v>
      </c>
      <c r="H1412" t="s">
        <v>751</v>
      </c>
      <c r="I1412">
        <v>0</v>
      </c>
      <c r="J1412">
        <v>0</v>
      </c>
      <c r="K1412">
        <v>0</v>
      </c>
      <c r="L1412">
        <v>0</v>
      </c>
      <c r="M1412">
        <v>0</v>
      </c>
      <c r="N1412">
        <v>0</v>
      </c>
      <c r="O1412">
        <v>0</v>
      </c>
      <c r="P1412">
        <v>0</v>
      </c>
      <c r="Q1412">
        <v>0</v>
      </c>
      <c r="R1412">
        <v>2</v>
      </c>
      <c r="S1412">
        <v>14</v>
      </c>
      <c r="T1412">
        <v>6</v>
      </c>
      <c r="U1412">
        <v>931</v>
      </c>
      <c r="V1412">
        <v>0</v>
      </c>
      <c r="W1412" t="s">
        <v>2494</v>
      </c>
    </row>
    <row r="1413" spans="1:23" x14ac:dyDescent="0.25">
      <c r="H1413" t="s">
        <v>2495</v>
      </c>
    </row>
    <row r="1414" spans="1:23" x14ac:dyDescent="0.25">
      <c r="A1414">
        <v>704</v>
      </c>
      <c r="B1414">
        <v>10177</v>
      </c>
      <c r="C1414" t="s">
        <v>2492</v>
      </c>
      <c r="D1414" t="s">
        <v>600</v>
      </c>
      <c r="E1414" t="s">
        <v>121</v>
      </c>
      <c r="F1414" t="s">
        <v>2493</v>
      </c>
      <c r="G1414" t="str">
        <f>"201511030569"</f>
        <v>201511030569</v>
      </c>
      <c r="H1414" t="s">
        <v>751</v>
      </c>
      <c r="I1414">
        <v>0</v>
      </c>
      <c r="J1414">
        <v>0</v>
      </c>
      <c r="K1414">
        <v>0</v>
      </c>
      <c r="L1414">
        <v>0</v>
      </c>
      <c r="M1414">
        <v>0</v>
      </c>
      <c r="N1414">
        <v>0</v>
      </c>
      <c r="O1414">
        <v>0</v>
      </c>
      <c r="P1414">
        <v>0</v>
      </c>
      <c r="Q1414">
        <v>0</v>
      </c>
      <c r="R1414">
        <v>2</v>
      </c>
      <c r="S1414">
        <v>14</v>
      </c>
      <c r="V1414">
        <v>0</v>
      </c>
      <c r="W1414" t="s">
        <v>2494</v>
      </c>
    </row>
    <row r="1415" spans="1:23" x14ac:dyDescent="0.25">
      <c r="H1415" t="s">
        <v>2495</v>
      </c>
    </row>
    <row r="1416" spans="1:23" x14ac:dyDescent="0.25">
      <c r="A1416">
        <v>705</v>
      </c>
      <c r="B1416">
        <v>8853</v>
      </c>
      <c r="C1416" t="s">
        <v>2496</v>
      </c>
      <c r="D1416" t="s">
        <v>379</v>
      </c>
      <c r="E1416" t="s">
        <v>42</v>
      </c>
      <c r="F1416" t="s">
        <v>2497</v>
      </c>
      <c r="G1416" t="str">
        <f>"201511040723"</f>
        <v>201511040723</v>
      </c>
      <c r="H1416">
        <v>913</v>
      </c>
      <c r="I1416">
        <v>0</v>
      </c>
      <c r="J1416">
        <v>0</v>
      </c>
      <c r="K1416">
        <v>0</v>
      </c>
      <c r="L1416">
        <v>0</v>
      </c>
      <c r="M1416">
        <v>0</v>
      </c>
      <c r="N1416">
        <v>0</v>
      </c>
      <c r="O1416">
        <v>0</v>
      </c>
      <c r="P1416">
        <v>0</v>
      </c>
      <c r="Q1416">
        <v>0</v>
      </c>
      <c r="R1416">
        <v>0</v>
      </c>
      <c r="S1416">
        <v>0</v>
      </c>
      <c r="V1416">
        <v>0</v>
      </c>
      <c r="W1416">
        <v>913</v>
      </c>
    </row>
    <row r="1417" spans="1:23" x14ac:dyDescent="0.25">
      <c r="H1417" t="s">
        <v>2498</v>
      </c>
    </row>
    <row r="1418" spans="1:23" x14ac:dyDescent="0.25">
      <c r="A1418">
        <v>706</v>
      </c>
      <c r="B1418">
        <v>9544</v>
      </c>
      <c r="C1418" t="s">
        <v>1241</v>
      </c>
      <c r="D1418" t="s">
        <v>105</v>
      </c>
      <c r="E1418" t="s">
        <v>218</v>
      </c>
      <c r="F1418" t="s">
        <v>2499</v>
      </c>
      <c r="G1418" t="str">
        <f>"201511043546"</f>
        <v>201511043546</v>
      </c>
      <c r="H1418">
        <v>770</v>
      </c>
      <c r="I1418">
        <v>0</v>
      </c>
      <c r="J1418">
        <v>70</v>
      </c>
      <c r="K1418">
        <v>0</v>
      </c>
      <c r="L1418">
        <v>0</v>
      </c>
      <c r="M1418">
        <v>0</v>
      </c>
      <c r="N1418">
        <v>30</v>
      </c>
      <c r="O1418">
        <v>0</v>
      </c>
      <c r="P1418">
        <v>0</v>
      </c>
      <c r="Q1418">
        <v>0</v>
      </c>
      <c r="R1418">
        <v>6</v>
      </c>
      <c r="S1418">
        <v>42</v>
      </c>
      <c r="V1418">
        <v>0</v>
      </c>
      <c r="W1418">
        <v>912</v>
      </c>
    </row>
    <row r="1419" spans="1:23" x14ac:dyDescent="0.25">
      <c r="H1419" t="s">
        <v>2500</v>
      </c>
    </row>
    <row r="1420" spans="1:23" x14ac:dyDescent="0.25">
      <c r="A1420">
        <v>707</v>
      </c>
      <c r="B1420">
        <v>2579</v>
      </c>
      <c r="C1420" t="s">
        <v>2501</v>
      </c>
      <c r="D1420" t="s">
        <v>2502</v>
      </c>
      <c r="E1420" t="s">
        <v>53</v>
      </c>
      <c r="F1420" t="s">
        <v>2503</v>
      </c>
      <c r="G1420" t="str">
        <f>"00027420"</f>
        <v>00027420</v>
      </c>
      <c r="H1420" t="s">
        <v>322</v>
      </c>
      <c r="I1420">
        <v>0</v>
      </c>
      <c r="J1420">
        <v>0</v>
      </c>
      <c r="K1420">
        <v>0</v>
      </c>
      <c r="L1420">
        <v>0</v>
      </c>
      <c r="M1420">
        <v>0</v>
      </c>
      <c r="N1420">
        <v>0</v>
      </c>
      <c r="O1420">
        <v>0</v>
      </c>
      <c r="P1420">
        <v>0</v>
      </c>
      <c r="Q1420">
        <v>0</v>
      </c>
      <c r="R1420">
        <v>16</v>
      </c>
      <c r="S1420">
        <v>112</v>
      </c>
      <c r="T1420">
        <v>6</v>
      </c>
      <c r="U1420" t="s">
        <v>731</v>
      </c>
      <c r="V1420">
        <v>0</v>
      </c>
      <c r="W1420" t="s">
        <v>2504</v>
      </c>
    </row>
    <row r="1421" spans="1:23" x14ac:dyDescent="0.25">
      <c r="H1421" t="s">
        <v>1562</v>
      </c>
    </row>
    <row r="1422" spans="1:23" x14ac:dyDescent="0.25">
      <c r="A1422">
        <v>708</v>
      </c>
      <c r="B1422">
        <v>1528</v>
      </c>
      <c r="C1422" t="s">
        <v>2505</v>
      </c>
      <c r="D1422" t="s">
        <v>269</v>
      </c>
      <c r="E1422" t="s">
        <v>150</v>
      </c>
      <c r="F1422" t="s">
        <v>2506</v>
      </c>
      <c r="G1422" t="str">
        <f>"201101000028"</f>
        <v>201101000028</v>
      </c>
      <c r="H1422" t="s">
        <v>2507</v>
      </c>
      <c r="I1422">
        <v>150</v>
      </c>
      <c r="J1422">
        <v>0</v>
      </c>
      <c r="K1422">
        <v>0</v>
      </c>
      <c r="L1422">
        <v>0</v>
      </c>
      <c r="M1422">
        <v>0</v>
      </c>
      <c r="N1422">
        <v>0</v>
      </c>
      <c r="O1422">
        <v>0</v>
      </c>
      <c r="P1422">
        <v>0</v>
      </c>
      <c r="Q1422">
        <v>0</v>
      </c>
      <c r="R1422">
        <v>0</v>
      </c>
      <c r="S1422">
        <v>0</v>
      </c>
      <c r="V1422">
        <v>1</v>
      </c>
      <c r="W1422" t="s">
        <v>2508</v>
      </c>
    </row>
    <row r="1423" spans="1:23" x14ac:dyDescent="0.25">
      <c r="H1423" t="s">
        <v>2509</v>
      </c>
    </row>
    <row r="1424" spans="1:23" x14ac:dyDescent="0.25">
      <c r="A1424">
        <v>709</v>
      </c>
      <c r="B1424">
        <v>402</v>
      </c>
      <c r="C1424" t="s">
        <v>2510</v>
      </c>
      <c r="D1424" t="s">
        <v>1970</v>
      </c>
      <c r="E1424" t="s">
        <v>877</v>
      </c>
      <c r="F1424" t="s">
        <v>2511</v>
      </c>
      <c r="G1424" t="str">
        <f>"00037239"</f>
        <v>00037239</v>
      </c>
      <c r="H1424">
        <v>880</v>
      </c>
      <c r="I1424">
        <v>0</v>
      </c>
      <c r="J1424">
        <v>30</v>
      </c>
      <c r="K1424">
        <v>0</v>
      </c>
      <c r="L1424">
        <v>0</v>
      </c>
      <c r="M1424">
        <v>0</v>
      </c>
      <c r="N1424">
        <v>0</v>
      </c>
      <c r="O1424">
        <v>0</v>
      </c>
      <c r="P1424">
        <v>0</v>
      </c>
      <c r="Q1424">
        <v>0</v>
      </c>
      <c r="R1424">
        <v>0</v>
      </c>
      <c r="S1424">
        <v>0</v>
      </c>
      <c r="V1424">
        <v>0</v>
      </c>
      <c r="W1424">
        <v>910</v>
      </c>
    </row>
    <row r="1425" spans="1:23" x14ac:dyDescent="0.25">
      <c r="H1425" t="s">
        <v>2512</v>
      </c>
    </row>
    <row r="1426" spans="1:23" x14ac:dyDescent="0.25">
      <c r="A1426">
        <v>710</v>
      </c>
      <c r="B1426">
        <v>4018</v>
      </c>
      <c r="C1426" t="s">
        <v>2513</v>
      </c>
      <c r="D1426" t="s">
        <v>352</v>
      </c>
      <c r="E1426" t="s">
        <v>42</v>
      </c>
      <c r="F1426" t="s">
        <v>2514</v>
      </c>
      <c r="G1426" t="str">
        <f>"201511031122"</f>
        <v>201511031122</v>
      </c>
      <c r="H1426">
        <v>880</v>
      </c>
      <c r="I1426">
        <v>0</v>
      </c>
      <c r="J1426">
        <v>30</v>
      </c>
      <c r="K1426">
        <v>0</v>
      </c>
      <c r="L1426">
        <v>0</v>
      </c>
      <c r="M1426">
        <v>0</v>
      </c>
      <c r="N1426">
        <v>0</v>
      </c>
      <c r="O1426">
        <v>0</v>
      </c>
      <c r="P1426">
        <v>0</v>
      </c>
      <c r="Q1426">
        <v>0</v>
      </c>
      <c r="R1426">
        <v>0</v>
      </c>
      <c r="S1426">
        <v>0</v>
      </c>
      <c r="V1426">
        <v>0</v>
      </c>
      <c r="W1426">
        <v>910</v>
      </c>
    </row>
    <row r="1427" spans="1:23" x14ac:dyDescent="0.25">
      <c r="H1427" t="s">
        <v>2515</v>
      </c>
    </row>
    <row r="1428" spans="1:23" x14ac:dyDescent="0.25">
      <c r="A1428">
        <v>711</v>
      </c>
      <c r="B1428">
        <v>2767</v>
      </c>
      <c r="C1428" t="s">
        <v>2516</v>
      </c>
      <c r="D1428" t="s">
        <v>2517</v>
      </c>
      <c r="E1428" t="s">
        <v>2234</v>
      </c>
      <c r="F1428" t="s">
        <v>2518</v>
      </c>
      <c r="G1428" t="str">
        <f>"201511039388"</f>
        <v>201511039388</v>
      </c>
      <c r="H1428" t="s">
        <v>2519</v>
      </c>
      <c r="I1428">
        <v>0</v>
      </c>
      <c r="J1428">
        <v>30</v>
      </c>
      <c r="K1428">
        <v>0</v>
      </c>
      <c r="L1428">
        <v>0</v>
      </c>
      <c r="M1428">
        <v>0</v>
      </c>
      <c r="N1428">
        <v>0</v>
      </c>
      <c r="O1428">
        <v>0</v>
      </c>
      <c r="P1428">
        <v>0</v>
      </c>
      <c r="Q1428">
        <v>0</v>
      </c>
      <c r="R1428">
        <v>21</v>
      </c>
      <c r="S1428">
        <v>147</v>
      </c>
      <c r="V1428">
        <v>0</v>
      </c>
      <c r="W1428" t="s">
        <v>2520</v>
      </c>
    </row>
    <row r="1429" spans="1:23" x14ac:dyDescent="0.25">
      <c r="H1429" t="s">
        <v>2521</v>
      </c>
    </row>
    <row r="1430" spans="1:23" x14ac:dyDescent="0.25">
      <c r="A1430">
        <v>712</v>
      </c>
      <c r="B1430">
        <v>1287</v>
      </c>
      <c r="C1430" t="s">
        <v>2522</v>
      </c>
      <c r="D1430" t="s">
        <v>281</v>
      </c>
      <c r="E1430" t="s">
        <v>71</v>
      </c>
      <c r="F1430" t="s">
        <v>2523</v>
      </c>
      <c r="G1430" t="str">
        <f>"201511026246"</f>
        <v>201511026246</v>
      </c>
      <c r="H1430" t="s">
        <v>741</v>
      </c>
      <c r="I1430">
        <v>0</v>
      </c>
      <c r="J1430">
        <v>0</v>
      </c>
      <c r="K1430">
        <v>0</v>
      </c>
      <c r="L1430">
        <v>0</v>
      </c>
      <c r="M1430">
        <v>0</v>
      </c>
      <c r="N1430">
        <v>0</v>
      </c>
      <c r="O1430">
        <v>0</v>
      </c>
      <c r="P1430">
        <v>0</v>
      </c>
      <c r="Q1430">
        <v>0</v>
      </c>
      <c r="R1430">
        <v>0</v>
      </c>
      <c r="S1430">
        <v>0</v>
      </c>
      <c r="V1430">
        <v>0</v>
      </c>
      <c r="W1430" t="s">
        <v>741</v>
      </c>
    </row>
    <row r="1431" spans="1:23" x14ac:dyDescent="0.25">
      <c r="H1431" t="s">
        <v>2524</v>
      </c>
    </row>
    <row r="1432" spans="1:23" x14ac:dyDescent="0.25">
      <c r="A1432">
        <v>713</v>
      </c>
      <c r="B1432">
        <v>6886</v>
      </c>
      <c r="C1432" t="s">
        <v>2525</v>
      </c>
      <c r="D1432" t="s">
        <v>1500</v>
      </c>
      <c r="E1432" t="s">
        <v>95</v>
      </c>
      <c r="F1432" t="s">
        <v>2526</v>
      </c>
      <c r="G1432" t="str">
        <f>"00021273"</f>
        <v>00021273</v>
      </c>
      <c r="H1432">
        <v>660</v>
      </c>
      <c r="I1432">
        <v>0</v>
      </c>
      <c r="J1432">
        <v>50</v>
      </c>
      <c r="K1432">
        <v>0</v>
      </c>
      <c r="L1432">
        <v>0</v>
      </c>
      <c r="M1432">
        <v>0</v>
      </c>
      <c r="N1432">
        <v>0</v>
      </c>
      <c r="O1432">
        <v>0</v>
      </c>
      <c r="P1432">
        <v>0</v>
      </c>
      <c r="Q1432">
        <v>0</v>
      </c>
      <c r="R1432">
        <v>28</v>
      </c>
      <c r="S1432">
        <v>196</v>
      </c>
      <c r="V1432">
        <v>0</v>
      </c>
      <c r="W1432">
        <v>906</v>
      </c>
    </row>
    <row r="1433" spans="1:23" x14ac:dyDescent="0.25">
      <c r="H1433" t="s">
        <v>2527</v>
      </c>
    </row>
    <row r="1434" spans="1:23" x14ac:dyDescent="0.25">
      <c r="A1434">
        <v>714</v>
      </c>
      <c r="B1434">
        <v>5382</v>
      </c>
      <c r="C1434" t="s">
        <v>2528</v>
      </c>
      <c r="D1434" t="s">
        <v>42</v>
      </c>
      <c r="E1434" t="s">
        <v>407</v>
      </c>
      <c r="F1434" t="s">
        <v>2529</v>
      </c>
      <c r="G1434" t="str">
        <f>"201511039252"</f>
        <v>201511039252</v>
      </c>
      <c r="H1434" t="s">
        <v>181</v>
      </c>
      <c r="I1434">
        <v>0</v>
      </c>
      <c r="J1434">
        <v>0</v>
      </c>
      <c r="K1434">
        <v>0</v>
      </c>
      <c r="L1434">
        <v>0</v>
      </c>
      <c r="M1434">
        <v>0</v>
      </c>
      <c r="N1434">
        <v>0</v>
      </c>
      <c r="O1434">
        <v>0</v>
      </c>
      <c r="P1434">
        <v>0</v>
      </c>
      <c r="Q1434">
        <v>0</v>
      </c>
      <c r="R1434">
        <v>0</v>
      </c>
      <c r="S1434">
        <v>0</v>
      </c>
      <c r="V1434">
        <v>0</v>
      </c>
      <c r="W1434" t="s">
        <v>181</v>
      </c>
    </row>
    <row r="1435" spans="1:23" x14ac:dyDescent="0.25">
      <c r="H1435" t="s">
        <v>2530</v>
      </c>
    </row>
    <row r="1436" spans="1:23" x14ac:dyDescent="0.25">
      <c r="A1436">
        <v>715</v>
      </c>
      <c r="B1436">
        <v>9835</v>
      </c>
      <c r="C1436" t="s">
        <v>2531</v>
      </c>
      <c r="D1436" t="s">
        <v>385</v>
      </c>
      <c r="E1436" t="s">
        <v>838</v>
      </c>
      <c r="F1436" t="s">
        <v>2532</v>
      </c>
      <c r="G1436" t="str">
        <f>"201511024887"</f>
        <v>201511024887</v>
      </c>
      <c r="H1436">
        <v>770</v>
      </c>
      <c r="I1436">
        <v>0</v>
      </c>
      <c r="J1436">
        <v>0</v>
      </c>
      <c r="K1436">
        <v>0</v>
      </c>
      <c r="L1436">
        <v>0</v>
      </c>
      <c r="M1436">
        <v>0</v>
      </c>
      <c r="N1436">
        <v>0</v>
      </c>
      <c r="O1436">
        <v>0</v>
      </c>
      <c r="P1436">
        <v>0</v>
      </c>
      <c r="Q1436">
        <v>0</v>
      </c>
      <c r="R1436">
        <v>19</v>
      </c>
      <c r="S1436">
        <v>133</v>
      </c>
      <c r="V1436">
        <v>0</v>
      </c>
      <c r="W1436">
        <v>903</v>
      </c>
    </row>
    <row r="1437" spans="1:23" x14ac:dyDescent="0.25">
      <c r="H1437">
        <v>907</v>
      </c>
    </row>
    <row r="1438" spans="1:23" x14ac:dyDescent="0.25">
      <c r="A1438">
        <v>716</v>
      </c>
      <c r="B1438">
        <v>8249</v>
      </c>
      <c r="C1438" t="s">
        <v>2533</v>
      </c>
      <c r="D1438" t="s">
        <v>663</v>
      </c>
      <c r="E1438" t="s">
        <v>223</v>
      </c>
      <c r="F1438" t="s">
        <v>2534</v>
      </c>
      <c r="G1438" t="str">
        <f>"201604000476"</f>
        <v>201604000476</v>
      </c>
      <c r="H1438" t="s">
        <v>2535</v>
      </c>
      <c r="I1438">
        <v>0</v>
      </c>
      <c r="J1438">
        <v>0</v>
      </c>
      <c r="K1438">
        <v>0</v>
      </c>
      <c r="L1438">
        <v>0</v>
      </c>
      <c r="M1438">
        <v>0</v>
      </c>
      <c r="N1438">
        <v>0</v>
      </c>
      <c r="O1438">
        <v>0</v>
      </c>
      <c r="P1438">
        <v>0</v>
      </c>
      <c r="Q1438">
        <v>0</v>
      </c>
      <c r="R1438">
        <v>5</v>
      </c>
      <c r="S1438">
        <v>35</v>
      </c>
      <c r="V1438">
        <v>2</v>
      </c>
      <c r="W1438" t="s">
        <v>2536</v>
      </c>
    </row>
    <row r="1439" spans="1:23" x14ac:dyDescent="0.25">
      <c r="H1439">
        <v>921</v>
      </c>
    </row>
    <row r="1440" spans="1:23" x14ac:dyDescent="0.25">
      <c r="A1440">
        <v>717</v>
      </c>
      <c r="B1440">
        <v>1508</v>
      </c>
      <c r="C1440" t="s">
        <v>979</v>
      </c>
      <c r="D1440" t="s">
        <v>94</v>
      </c>
      <c r="E1440" t="s">
        <v>42</v>
      </c>
      <c r="F1440" t="s">
        <v>2537</v>
      </c>
      <c r="G1440" t="str">
        <f>"00022810"</f>
        <v>00022810</v>
      </c>
      <c r="H1440" t="s">
        <v>2538</v>
      </c>
      <c r="I1440">
        <v>0</v>
      </c>
      <c r="J1440">
        <v>70</v>
      </c>
      <c r="K1440">
        <v>0</v>
      </c>
      <c r="L1440">
        <v>0</v>
      </c>
      <c r="M1440">
        <v>0</v>
      </c>
      <c r="N1440">
        <v>0</v>
      </c>
      <c r="O1440">
        <v>0</v>
      </c>
      <c r="P1440">
        <v>0</v>
      </c>
      <c r="Q1440">
        <v>0</v>
      </c>
      <c r="R1440">
        <v>0</v>
      </c>
      <c r="S1440">
        <v>0</v>
      </c>
      <c r="V1440">
        <v>0</v>
      </c>
      <c r="W1440" t="s">
        <v>2539</v>
      </c>
    </row>
    <row r="1441" spans="1:23" x14ac:dyDescent="0.25">
      <c r="H1441" t="s">
        <v>2540</v>
      </c>
    </row>
    <row r="1442" spans="1:23" x14ac:dyDescent="0.25">
      <c r="A1442">
        <v>718</v>
      </c>
      <c r="B1442">
        <v>9726</v>
      </c>
      <c r="C1442" t="s">
        <v>2541</v>
      </c>
      <c r="D1442" t="s">
        <v>32</v>
      </c>
      <c r="E1442" t="s">
        <v>1641</v>
      </c>
      <c r="F1442" t="s">
        <v>2542</v>
      </c>
      <c r="G1442" t="str">
        <f>"201511019212"</f>
        <v>201511019212</v>
      </c>
      <c r="H1442" t="s">
        <v>751</v>
      </c>
      <c r="I1442">
        <v>0</v>
      </c>
      <c r="J1442">
        <v>0</v>
      </c>
      <c r="K1442">
        <v>0</v>
      </c>
      <c r="L1442">
        <v>0</v>
      </c>
      <c r="M1442">
        <v>0</v>
      </c>
      <c r="N1442">
        <v>0</v>
      </c>
      <c r="O1442">
        <v>0</v>
      </c>
      <c r="P1442">
        <v>0</v>
      </c>
      <c r="Q1442">
        <v>0</v>
      </c>
      <c r="R1442">
        <v>0</v>
      </c>
      <c r="S1442">
        <v>0</v>
      </c>
      <c r="V1442">
        <v>0</v>
      </c>
      <c r="W1442" t="s">
        <v>751</v>
      </c>
    </row>
    <row r="1443" spans="1:23" x14ac:dyDescent="0.25">
      <c r="H1443" t="s">
        <v>2543</v>
      </c>
    </row>
    <row r="1444" spans="1:23" x14ac:dyDescent="0.25">
      <c r="A1444">
        <v>719</v>
      </c>
      <c r="B1444">
        <v>9058</v>
      </c>
      <c r="C1444" t="s">
        <v>2544</v>
      </c>
      <c r="D1444" t="s">
        <v>2545</v>
      </c>
      <c r="E1444" t="s">
        <v>32</v>
      </c>
      <c r="F1444" t="s">
        <v>2546</v>
      </c>
      <c r="G1444" t="str">
        <f>"00102372"</f>
        <v>00102372</v>
      </c>
      <c r="H1444" t="s">
        <v>751</v>
      </c>
      <c r="I1444">
        <v>0</v>
      </c>
      <c r="J1444">
        <v>0</v>
      </c>
      <c r="K1444">
        <v>0</v>
      </c>
      <c r="L1444">
        <v>0</v>
      </c>
      <c r="M1444">
        <v>0</v>
      </c>
      <c r="N1444">
        <v>0</v>
      </c>
      <c r="O1444">
        <v>0</v>
      </c>
      <c r="P1444">
        <v>0</v>
      </c>
      <c r="Q1444">
        <v>0</v>
      </c>
      <c r="R1444">
        <v>0</v>
      </c>
      <c r="S1444">
        <v>0</v>
      </c>
      <c r="V1444">
        <v>1</v>
      </c>
      <c r="W1444" t="s">
        <v>751</v>
      </c>
    </row>
    <row r="1445" spans="1:23" x14ac:dyDescent="0.25">
      <c r="H1445" t="s">
        <v>2547</v>
      </c>
    </row>
    <row r="1446" spans="1:23" x14ac:dyDescent="0.25">
      <c r="A1446">
        <v>720</v>
      </c>
      <c r="B1446">
        <v>2013</v>
      </c>
      <c r="C1446" t="s">
        <v>2548</v>
      </c>
      <c r="D1446" t="s">
        <v>1391</v>
      </c>
      <c r="E1446" t="s">
        <v>21</v>
      </c>
      <c r="F1446" t="s">
        <v>2549</v>
      </c>
      <c r="G1446" t="str">
        <f>"201406005784"</f>
        <v>201406005784</v>
      </c>
      <c r="H1446" t="s">
        <v>2550</v>
      </c>
      <c r="I1446">
        <v>150</v>
      </c>
      <c r="J1446">
        <v>0</v>
      </c>
      <c r="K1446">
        <v>0</v>
      </c>
      <c r="L1446">
        <v>0</v>
      </c>
      <c r="M1446">
        <v>30</v>
      </c>
      <c r="N1446">
        <v>0</v>
      </c>
      <c r="O1446">
        <v>0</v>
      </c>
      <c r="P1446">
        <v>0</v>
      </c>
      <c r="Q1446">
        <v>0</v>
      </c>
      <c r="R1446">
        <v>0</v>
      </c>
      <c r="S1446">
        <v>0</v>
      </c>
      <c r="T1446">
        <v>6</v>
      </c>
      <c r="U1446">
        <v>935</v>
      </c>
      <c r="V1446">
        <v>0</v>
      </c>
      <c r="W1446" t="s">
        <v>2551</v>
      </c>
    </row>
    <row r="1447" spans="1:23" x14ac:dyDescent="0.25">
      <c r="H1447" t="s">
        <v>2552</v>
      </c>
    </row>
    <row r="1448" spans="1:23" x14ac:dyDescent="0.25">
      <c r="A1448">
        <v>721</v>
      </c>
      <c r="B1448">
        <v>2013</v>
      </c>
      <c r="C1448" t="s">
        <v>2548</v>
      </c>
      <c r="D1448" t="s">
        <v>1391</v>
      </c>
      <c r="E1448" t="s">
        <v>21</v>
      </c>
      <c r="F1448" t="s">
        <v>2549</v>
      </c>
      <c r="G1448" t="str">
        <f>"201406005784"</f>
        <v>201406005784</v>
      </c>
      <c r="H1448" t="s">
        <v>2550</v>
      </c>
      <c r="I1448">
        <v>150</v>
      </c>
      <c r="J1448">
        <v>0</v>
      </c>
      <c r="K1448">
        <v>0</v>
      </c>
      <c r="L1448">
        <v>0</v>
      </c>
      <c r="M1448">
        <v>30</v>
      </c>
      <c r="N1448">
        <v>0</v>
      </c>
      <c r="O1448">
        <v>0</v>
      </c>
      <c r="P1448">
        <v>0</v>
      </c>
      <c r="Q1448">
        <v>0</v>
      </c>
      <c r="R1448">
        <v>0</v>
      </c>
      <c r="S1448">
        <v>0</v>
      </c>
      <c r="V1448">
        <v>0</v>
      </c>
      <c r="W1448" t="s">
        <v>2551</v>
      </c>
    </row>
    <row r="1449" spans="1:23" x14ac:dyDescent="0.25">
      <c r="H1449" t="s">
        <v>2552</v>
      </c>
    </row>
    <row r="1450" spans="1:23" x14ac:dyDescent="0.25">
      <c r="A1450">
        <v>722</v>
      </c>
      <c r="B1450">
        <v>297</v>
      </c>
      <c r="C1450" t="s">
        <v>1495</v>
      </c>
      <c r="D1450" t="s">
        <v>36</v>
      </c>
      <c r="E1450" t="s">
        <v>21</v>
      </c>
      <c r="F1450" t="s">
        <v>1496</v>
      </c>
      <c r="G1450" t="str">
        <f>"00016753"</f>
        <v>00016753</v>
      </c>
      <c r="H1450" t="s">
        <v>1497</v>
      </c>
      <c r="I1450">
        <v>0</v>
      </c>
      <c r="J1450">
        <v>0</v>
      </c>
      <c r="K1450">
        <v>0</v>
      </c>
      <c r="L1450">
        <v>0</v>
      </c>
      <c r="M1450">
        <v>0</v>
      </c>
      <c r="N1450">
        <v>0</v>
      </c>
      <c r="O1450">
        <v>0</v>
      </c>
      <c r="P1450">
        <v>0</v>
      </c>
      <c r="Q1450">
        <v>0</v>
      </c>
      <c r="R1450">
        <v>0</v>
      </c>
      <c r="S1450">
        <v>0</v>
      </c>
      <c r="T1450">
        <v>6</v>
      </c>
      <c r="U1450">
        <v>905</v>
      </c>
      <c r="V1450">
        <v>0</v>
      </c>
      <c r="W1450" t="s">
        <v>1497</v>
      </c>
    </row>
    <row r="1451" spans="1:23" x14ac:dyDescent="0.25">
      <c r="H1451" t="s">
        <v>1499</v>
      </c>
    </row>
    <row r="1452" spans="1:23" x14ac:dyDescent="0.25">
      <c r="A1452">
        <v>723</v>
      </c>
      <c r="B1452">
        <v>297</v>
      </c>
      <c r="C1452" t="s">
        <v>1495</v>
      </c>
      <c r="D1452" t="s">
        <v>36</v>
      </c>
      <c r="E1452" t="s">
        <v>21</v>
      </c>
      <c r="F1452" t="s">
        <v>1496</v>
      </c>
      <c r="G1452" t="str">
        <f>"00016753"</f>
        <v>00016753</v>
      </c>
      <c r="H1452" t="s">
        <v>1497</v>
      </c>
      <c r="I1452">
        <v>0</v>
      </c>
      <c r="J1452">
        <v>0</v>
      </c>
      <c r="K1452">
        <v>0</v>
      </c>
      <c r="L1452">
        <v>0</v>
      </c>
      <c r="M1452">
        <v>0</v>
      </c>
      <c r="N1452">
        <v>0</v>
      </c>
      <c r="O1452">
        <v>0</v>
      </c>
      <c r="P1452">
        <v>0</v>
      </c>
      <c r="Q1452">
        <v>0</v>
      </c>
      <c r="R1452">
        <v>0</v>
      </c>
      <c r="S1452">
        <v>0</v>
      </c>
      <c r="V1452">
        <v>0</v>
      </c>
      <c r="W1452" t="s">
        <v>1497</v>
      </c>
    </row>
    <row r="1453" spans="1:23" x14ac:dyDescent="0.25">
      <c r="H1453" t="s">
        <v>1499</v>
      </c>
    </row>
    <row r="1454" spans="1:23" x14ac:dyDescent="0.25">
      <c r="A1454">
        <v>724</v>
      </c>
      <c r="B1454">
        <v>4523</v>
      </c>
      <c r="C1454" t="s">
        <v>2553</v>
      </c>
      <c r="D1454" t="s">
        <v>132</v>
      </c>
      <c r="E1454" t="s">
        <v>71</v>
      </c>
      <c r="F1454" t="s">
        <v>2554</v>
      </c>
      <c r="G1454" t="str">
        <f>"201510004706"</f>
        <v>201510004706</v>
      </c>
      <c r="H1454">
        <v>825</v>
      </c>
      <c r="I1454">
        <v>0</v>
      </c>
      <c r="J1454">
        <v>70</v>
      </c>
      <c r="K1454">
        <v>0</v>
      </c>
      <c r="L1454">
        <v>0</v>
      </c>
      <c r="M1454">
        <v>0</v>
      </c>
      <c r="N1454">
        <v>0</v>
      </c>
      <c r="O1454">
        <v>0</v>
      </c>
      <c r="P1454">
        <v>0</v>
      </c>
      <c r="Q1454">
        <v>0</v>
      </c>
      <c r="R1454">
        <v>0</v>
      </c>
      <c r="S1454">
        <v>0</v>
      </c>
      <c r="V1454">
        <v>2</v>
      </c>
      <c r="W1454">
        <v>895</v>
      </c>
    </row>
    <row r="1455" spans="1:23" x14ac:dyDescent="0.25">
      <c r="H1455" t="s">
        <v>2555</v>
      </c>
    </row>
    <row r="1456" spans="1:23" x14ac:dyDescent="0.25">
      <c r="A1456">
        <v>725</v>
      </c>
      <c r="B1456">
        <v>3821</v>
      </c>
      <c r="C1456" t="s">
        <v>2556</v>
      </c>
      <c r="D1456" t="s">
        <v>156</v>
      </c>
      <c r="E1456" t="s">
        <v>2557</v>
      </c>
      <c r="F1456" t="s">
        <v>2558</v>
      </c>
      <c r="G1456" t="str">
        <f>"00041278"</f>
        <v>00041278</v>
      </c>
      <c r="H1456" t="s">
        <v>769</v>
      </c>
      <c r="I1456">
        <v>0</v>
      </c>
      <c r="J1456">
        <v>0</v>
      </c>
      <c r="K1456">
        <v>0</v>
      </c>
      <c r="L1456">
        <v>0</v>
      </c>
      <c r="M1456">
        <v>0</v>
      </c>
      <c r="N1456">
        <v>0</v>
      </c>
      <c r="O1456">
        <v>0</v>
      </c>
      <c r="P1456">
        <v>0</v>
      </c>
      <c r="Q1456">
        <v>0</v>
      </c>
      <c r="R1456">
        <v>0</v>
      </c>
      <c r="S1456">
        <v>0</v>
      </c>
      <c r="V1456">
        <v>0</v>
      </c>
      <c r="W1456" t="s">
        <v>769</v>
      </c>
    </row>
    <row r="1457" spans="1:23" x14ac:dyDescent="0.25">
      <c r="H1457" t="s">
        <v>2559</v>
      </c>
    </row>
    <row r="1458" spans="1:23" x14ac:dyDescent="0.25">
      <c r="A1458">
        <v>726</v>
      </c>
      <c r="B1458">
        <v>8680</v>
      </c>
      <c r="C1458" t="s">
        <v>2560</v>
      </c>
      <c r="D1458" t="s">
        <v>71</v>
      </c>
      <c r="E1458" t="s">
        <v>1391</v>
      </c>
      <c r="F1458" t="s">
        <v>2561</v>
      </c>
      <c r="G1458" t="str">
        <f>"201511042110"</f>
        <v>201511042110</v>
      </c>
      <c r="H1458" t="s">
        <v>2562</v>
      </c>
      <c r="I1458">
        <v>150</v>
      </c>
      <c r="J1458">
        <v>0</v>
      </c>
      <c r="K1458">
        <v>0</v>
      </c>
      <c r="L1458">
        <v>0</v>
      </c>
      <c r="M1458">
        <v>0</v>
      </c>
      <c r="N1458">
        <v>0</v>
      </c>
      <c r="O1458">
        <v>0</v>
      </c>
      <c r="P1458">
        <v>0</v>
      </c>
      <c r="Q1458">
        <v>0</v>
      </c>
      <c r="R1458">
        <v>24</v>
      </c>
      <c r="S1458">
        <v>168</v>
      </c>
      <c r="V1458">
        <v>0</v>
      </c>
      <c r="W1458" t="s">
        <v>2563</v>
      </c>
    </row>
    <row r="1459" spans="1:23" x14ac:dyDescent="0.25">
      <c r="H1459" t="s">
        <v>2564</v>
      </c>
    </row>
    <row r="1460" spans="1:23" x14ac:dyDescent="0.25">
      <c r="A1460">
        <v>727</v>
      </c>
      <c r="B1460">
        <v>4933</v>
      </c>
      <c r="C1460" t="s">
        <v>2565</v>
      </c>
      <c r="D1460" t="s">
        <v>171</v>
      </c>
      <c r="E1460" t="s">
        <v>116</v>
      </c>
      <c r="F1460" t="s">
        <v>2566</v>
      </c>
      <c r="G1460" t="str">
        <f>"201604006239"</f>
        <v>201604006239</v>
      </c>
      <c r="H1460" t="s">
        <v>1178</v>
      </c>
      <c r="I1460">
        <v>0</v>
      </c>
      <c r="J1460">
        <v>30</v>
      </c>
      <c r="K1460">
        <v>0</v>
      </c>
      <c r="L1460">
        <v>0</v>
      </c>
      <c r="M1460">
        <v>0</v>
      </c>
      <c r="N1460">
        <v>0</v>
      </c>
      <c r="O1460">
        <v>0</v>
      </c>
      <c r="P1460">
        <v>0</v>
      </c>
      <c r="Q1460">
        <v>0</v>
      </c>
      <c r="R1460">
        <v>1</v>
      </c>
      <c r="S1460">
        <v>7</v>
      </c>
      <c r="T1460">
        <v>6</v>
      </c>
      <c r="U1460">
        <v>931</v>
      </c>
      <c r="V1460">
        <v>0</v>
      </c>
      <c r="W1460" t="s">
        <v>2567</v>
      </c>
    </row>
    <row r="1461" spans="1:23" x14ac:dyDescent="0.25">
      <c r="H1461">
        <v>931</v>
      </c>
    </row>
    <row r="1462" spans="1:23" x14ac:dyDescent="0.25">
      <c r="A1462">
        <v>728</v>
      </c>
      <c r="B1462">
        <v>5740</v>
      </c>
      <c r="C1462" t="s">
        <v>2568</v>
      </c>
      <c r="D1462" t="s">
        <v>42</v>
      </c>
      <c r="E1462" t="s">
        <v>26</v>
      </c>
      <c r="F1462" t="s">
        <v>2569</v>
      </c>
      <c r="G1462" t="str">
        <f>"00087934"</f>
        <v>00087934</v>
      </c>
      <c r="H1462">
        <v>891</v>
      </c>
      <c r="I1462">
        <v>0</v>
      </c>
      <c r="J1462">
        <v>0</v>
      </c>
      <c r="K1462">
        <v>0</v>
      </c>
      <c r="L1462">
        <v>0</v>
      </c>
      <c r="M1462">
        <v>0</v>
      </c>
      <c r="N1462">
        <v>0</v>
      </c>
      <c r="O1462">
        <v>0</v>
      </c>
      <c r="P1462">
        <v>0</v>
      </c>
      <c r="Q1462">
        <v>0</v>
      </c>
      <c r="R1462">
        <v>0</v>
      </c>
      <c r="S1462">
        <v>0</v>
      </c>
      <c r="V1462">
        <v>0</v>
      </c>
      <c r="W1462">
        <v>891</v>
      </c>
    </row>
    <row r="1463" spans="1:23" x14ac:dyDescent="0.25">
      <c r="H1463" t="s">
        <v>2570</v>
      </c>
    </row>
    <row r="1464" spans="1:23" x14ac:dyDescent="0.25">
      <c r="A1464">
        <v>729</v>
      </c>
      <c r="B1464">
        <v>4077</v>
      </c>
      <c r="C1464" t="s">
        <v>432</v>
      </c>
      <c r="D1464" t="s">
        <v>2571</v>
      </c>
      <c r="E1464" t="s">
        <v>15</v>
      </c>
      <c r="F1464" t="s">
        <v>2572</v>
      </c>
      <c r="G1464" t="str">
        <f>"00023733"</f>
        <v>00023733</v>
      </c>
      <c r="H1464" t="s">
        <v>789</v>
      </c>
      <c r="I1464">
        <v>0</v>
      </c>
      <c r="J1464">
        <v>0</v>
      </c>
      <c r="K1464">
        <v>0</v>
      </c>
      <c r="L1464">
        <v>0</v>
      </c>
      <c r="M1464">
        <v>0</v>
      </c>
      <c r="N1464">
        <v>0</v>
      </c>
      <c r="O1464">
        <v>0</v>
      </c>
      <c r="P1464">
        <v>0</v>
      </c>
      <c r="Q1464">
        <v>0</v>
      </c>
      <c r="R1464">
        <v>0</v>
      </c>
      <c r="S1464">
        <v>0</v>
      </c>
      <c r="V1464">
        <v>0</v>
      </c>
      <c r="W1464" t="s">
        <v>789</v>
      </c>
    </row>
    <row r="1465" spans="1:23" x14ac:dyDescent="0.25">
      <c r="H1465" t="s">
        <v>2573</v>
      </c>
    </row>
    <row r="1466" spans="1:23" x14ac:dyDescent="0.25">
      <c r="A1466">
        <v>730</v>
      </c>
      <c r="B1466">
        <v>7300</v>
      </c>
      <c r="C1466" t="s">
        <v>2574</v>
      </c>
      <c r="D1466" t="s">
        <v>218</v>
      </c>
      <c r="E1466" t="s">
        <v>71</v>
      </c>
      <c r="F1466" t="s">
        <v>2575</v>
      </c>
      <c r="G1466" t="str">
        <f>"00031639"</f>
        <v>00031639</v>
      </c>
      <c r="H1466" t="s">
        <v>2576</v>
      </c>
      <c r="I1466">
        <v>0</v>
      </c>
      <c r="J1466">
        <v>0</v>
      </c>
      <c r="K1466">
        <v>0</v>
      </c>
      <c r="L1466">
        <v>0</v>
      </c>
      <c r="M1466">
        <v>0</v>
      </c>
      <c r="N1466">
        <v>0</v>
      </c>
      <c r="O1466">
        <v>0</v>
      </c>
      <c r="P1466">
        <v>0</v>
      </c>
      <c r="Q1466">
        <v>0</v>
      </c>
      <c r="R1466">
        <v>0</v>
      </c>
      <c r="S1466">
        <v>0</v>
      </c>
      <c r="V1466">
        <v>2</v>
      </c>
      <c r="W1466" t="s">
        <v>2576</v>
      </c>
    </row>
    <row r="1467" spans="1:23" x14ac:dyDescent="0.25">
      <c r="H1467" t="s">
        <v>1119</v>
      </c>
    </row>
    <row r="1468" spans="1:23" x14ac:dyDescent="0.25">
      <c r="A1468">
        <v>731</v>
      </c>
      <c r="B1468">
        <v>5003</v>
      </c>
      <c r="C1468" t="s">
        <v>480</v>
      </c>
      <c r="D1468" t="s">
        <v>2577</v>
      </c>
      <c r="E1468" t="s">
        <v>53</v>
      </c>
      <c r="F1468" t="s">
        <v>2578</v>
      </c>
      <c r="G1468" t="str">
        <f>"201410012638"</f>
        <v>201410012638</v>
      </c>
      <c r="H1468" t="s">
        <v>1333</v>
      </c>
      <c r="I1468">
        <v>150</v>
      </c>
      <c r="J1468">
        <v>50</v>
      </c>
      <c r="K1468">
        <v>0</v>
      </c>
      <c r="L1468">
        <v>0</v>
      </c>
      <c r="M1468">
        <v>0</v>
      </c>
      <c r="N1468">
        <v>0</v>
      </c>
      <c r="O1468">
        <v>0</v>
      </c>
      <c r="P1468">
        <v>0</v>
      </c>
      <c r="Q1468">
        <v>0</v>
      </c>
      <c r="R1468">
        <v>0</v>
      </c>
      <c r="S1468">
        <v>0</v>
      </c>
      <c r="V1468">
        <v>0</v>
      </c>
      <c r="W1468" t="s">
        <v>2579</v>
      </c>
    </row>
    <row r="1469" spans="1:23" x14ac:dyDescent="0.25">
      <c r="H1469" t="s">
        <v>2580</v>
      </c>
    </row>
    <row r="1470" spans="1:23" x14ac:dyDescent="0.25">
      <c r="A1470">
        <v>732</v>
      </c>
      <c r="B1470">
        <v>1486</v>
      </c>
      <c r="C1470" t="s">
        <v>2581</v>
      </c>
      <c r="D1470" t="s">
        <v>2582</v>
      </c>
      <c r="E1470" t="s">
        <v>721</v>
      </c>
      <c r="F1470" t="s">
        <v>2583</v>
      </c>
      <c r="G1470" t="str">
        <f>"00078238"</f>
        <v>00078238</v>
      </c>
      <c r="H1470" t="s">
        <v>706</v>
      </c>
      <c r="I1470">
        <v>0</v>
      </c>
      <c r="J1470">
        <v>0</v>
      </c>
      <c r="K1470">
        <v>0</v>
      </c>
      <c r="L1470">
        <v>0</v>
      </c>
      <c r="M1470">
        <v>0</v>
      </c>
      <c r="N1470">
        <v>0</v>
      </c>
      <c r="O1470">
        <v>0</v>
      </c>
      <c r="P1470">
        <v>0</v>
      </c>
      <c r="Q1470">
        <v>0</v>
      </c>
      <c r="R1470">
        <v>0</v>
      </c>
      <c r="S1470">
        <v>0</v>
      </c>
      <c r="V1470">
        <v>0</v>
      </c>
      <c r="W1470" t="s">
        <v>706</v>
      </c>
    </row>
    <row r="1471" spans="1:23" x14ac:dyDescent="0.25">
      <c r="H1471" t="s">
        <v>2584</v>
      </c>
    </row>
    <row r="1472" spans="1:23" x14ac:dyDescent="0.25">
      <c r="A1472">
        <v>733</v>
      </c>
      <c r="B1472">
        <v>7832</v>
      </c>
      <c r="C1472" t="s">
        <v>2585</v>
      </c>
      <c r="D1472" t="s">
        <v>2586</v>
      </c>
      <c r="E1472" t="s">
        <v>877</v>
      </c>
      <c r="F1472" t="s">
        <v>2587</v>
      </c>
      <c r="G1472" t="str">
        <f>"00083511"</f>
        <v>00083511</v>
      </c>
      <c r="H1472" t="s">
        <v>1502</v>
      </c>
      <c r="I1472">
        <v>0</v>
      </c>
      <c r="J1472">
        <v>30</v>
      </c>
      <c r="K1472">
        <v>0</v>
      </c>
      <c r="L1472">
        <v>0</v>
      </c>
      <c r="M1472">
        <v>0</v>
      </c>
      <c r="N1472">
        <v>0</v>
      </c>
      <c r="O1472">
        <v>0</v>
      </c>
      <c r="P1472">
        <v>0</v>
      </c>
      <c r="Q1472">
        <v>0</v>
      </c>
      <c r="R1472">
        <v>0</v>
      </c>
      <c r="S1472">
        <v>0</v>
      </c>
      <c r="T1472">
        <v>6</v>
      </c>
      <c r="U1472">
        <v>932</v>
      </c>
      <c r="V1472">
        <v>0</v>
      </c>
      <c r="W1472" t="s">
        <v>2588</v>
      </c>
    </row>
    <row r="1473" spans="1:23" x14ac:dyDescent="0.25">
      <c r="H1473">
        <v>932</v>
      </c>
    </row>
    <row r="1474" spans="1:23" x14ac:dyDescent="0.25">
      <c r="A1474">
        <v>734</v>
      </c>
      <c r="B1474">
        <v>9355</v>
      </c>
      <c r="C1474" t="s">
        <v>2589</v>
      </c>
      <c r="D1474" t="s">
        <v>71</v>
      </c>
      <c r="E1474" t="s">
        <v>2590</v>
      </c>
      <c r="F1474" t="s">
        <v>2591</v>
      </c>
      <c r="G1474" t="str">
        <f>"00057203"</f>
        <v>00057203</v>
      </c>
      <c r="H1474">
        <v>825</v>
      </c>
      <c r="I1474">
        <v>0</v>
      </c>
      <c r="J1474">
        <v>0</v>
      </c>
      <c r="K1474">
        <v>0</v>
      </c>
      <c r="L1474">
        <v>0</v>
      </c>
      <c r="M1474">
        <v>0</v>
      </c>
      <c r="N1474">
        <v>0</v>
      </c>
      <c r="O1474">
        <v>0</v>
      </c>
      <c r="P1474">
        <v>0</v>
      </c>
      <c r="Q1474">
        <v>0</v>
      </c>
      <c r="R1474">
        <v>8</v>
      </c>
      <c r="S1474">
        <v>56</v>
      </c>
      <c r="V1474">
        <v>2</v>
      </c>
      <c r="W1474">
        <v>881</v>
      </c>
    </row>
    <row r="1475" spans="1:23" x14ac:dyDescent="0.25">
      <c r="H1475" t="s">
        <v>2592</v>
      </c>
    </row>
    <row r="1476" spans="1:23" x14ac:dyDescent="0.25">
      <c r="A1476">
        <v>735</v>
      </c>
      <c r="B1476">
        <v>9355</v>
      </c>
      <c r="C1476" t="s">
        <v>2589</v>
      </c>
      <c r="D1476" t="s">
        <v>71</v>
      </c>
      <c r="E1476" t="s">
        <v>2590</v>
      </c>
      <c r="F1476" t="s">
        <v>2591</v>
      </c>
      <c r="G1476" t="str">
        <f>"00057203"</f>
        <v>00057203</v>
      </c>
      <c r="H1476">
        <v>825</v>
      </c>
      <c r="I1476">
        <v>0</v>
      </c>
      <c r="J1476">
        <v>0</v>
      </c>
      <c r="K1476">
        <v>0</v>
      </c>
      <c r="L1476">
        <v>0</v>
      </c>
      <c r="M1476">
        <v>0</v>
      </c>
      <c r="N1476">
        <v>0</v>
      </c>
      <c r="O1476">
        <v>0</v>
      </c>
      <c r="P1476">
        <v>0</v>
      </c>
      <c r="Q1476">
        <v>0</v>
      </c>
      <c r="R1476">
        <v>8</v>
      </c>
      <c r="S1476">
        <v>56</v>
      </c>
      <c r="T1476">
        <v>6</v>
      </c>
      <c r="U1476">
        <v>906</v>
      </c>
      <c r="V1476">
        <v>2</v>
      </c>
      <c r="W1476">
        <v>881</v>
      </c>
    </row>
    <row r="1477" spans="1:23" x14ac:dyDescent="0.25">
      <c r="H1477" t="s">
        <v>2592</v>
      </c>
    </row>
    <row r="1478" spans="1:23" x14ac:dyDescent="0.25">
      <c r="A1478">
        <v>736</v>
      </c>
      <c r="B1478">
        <v>9828</v>
      </c>
      <c r="C1478" t="s">
        <v>2593</v>
      </c>
      <c r="D1478" t="s">
        <v>998</v>
      </c>
      <c r="E1478" t="s">
        <v>141</v>
      </c>
      <c r="F1478" t="s">
        <v>2594</v>
      </c>
      <c r="G1478" t="str">
        <f>"00075624"</f>
        <v>00075624</v>
      </c>
      <c r="H1478" t="s">
        <v>2538</v>
      </c>
      <c r="I1478">
        <v>0</v>
      </c>
      <c r="J1478">
        <v>50</v>
      </c>
      <c r="K1478">
        <v>0</v>
      </c>
      <c r="L1478">
        <v>0</v>
      </c>
      <c r="M1478">
        <v>0</v>
      </c>
      <c r="N1478">
        <v>0</v>
      </c>
      <c r="O1478">
        <v>0</v>
      </c>
      <c r="P1478">
        <v>0</v>
      </c>
      <c r="Q1478">
        <v>0</v>
      </c>
      <c r="R1478">
        <v>0</v>
      </c>
      <c r="S1478">
        <v>0</v>
      </c>
      <c r="V1478">
        <v>0</v>
      </c>
      <c r="W1478" t="s">
        <v>2595</v>
      </c>
    </row>
    <row r="1479" spans="1:23" x14ac:dyDescent="0.25">
      <c r="H1479" t="s">
        <v>2596</v>
      </c>
    </row>
    <row r="1480" spans="1:23" x14ac:dyDescent="0.25">
      <c r="A1480">
        <v>737</v>
      </c>
      <c r="B1480">
        <v>1436</v>
      </c>
      <c r="C1480" t="s">
        <v>2597</v>
      </c>
      <c r="D1480" t="s">
        <v>2598</v>
      </c>
      <c r="E1480" t="s">
        <v>2599</v>
      </c>
      <c r="F1480" t="s">
        <v>2600</v>
      </c>
      <c r="G1480" t="str">
        <f>"00053748"</f>
        <v>00053748</v>
      </c>
      <c r="H1480">
        <v>880</v>
      </c>
      <c r="I1480">
        <v>0</v>
      </c>
      <c r="J1480">
        <v>0</v>
      </c>
      <c r="K1480">
        <v>0</v>
      </c>
      <c r="L1480">
        <v>0</v>
      </c>
      <c r="M1480">
        <v>0</v>
      </c>
      <c r="N1480">
        <v>0</v>
      </c>
      <c r="O1480">
        <v>0</v>
      </c>
      <c r="P1480">
        <v>0</v>
      </c>
      <c r="Q1480">
        <v>0</v>
      </c>
      <c r="R1480">
        <v>0</v>
      </c>
      <c r="S1480">
        <v>0</v>
      </c>
      <c r="T1480">
        <v>6</v>
      </c>
      <c r="U1480" t="s">
        <v>80</v>
      </c>
      <c r="V1480">
        <v>0</v>
      </c>
      <c r="W1480">
        <v>880</v>
      </c>
    </row>
    <row r="1481" spans="1:23" x14ac:dyDescent="0.25">
      <c r="H1481" t="s">
        <v>2601</v>
      </c>
    </row>
    <row r="1482" spans="1:23" x14ac:dyDescent="0.25">
      <c r="A1482">
        <v>738</v>
      </c>
      <c r="B1482">
        <v>1436</v>
      </c>
      <c r="C1482" t="s">
        <v>2597</v>
      </c>
      <c r="D1482" t="s">
        <v>2598</v>
      </c>
      <c r="E1482" t="s">
        <v>2599</v>
      </c>
      <c r="F1482" t="s">
        <v>2600</v>
      </c>
      <c r="G1482" t="str">
        <f>"00053748"</f>
        <v>00053748</v>
      </c>
      <c r="H1482">
        <v>880</v>
      </c>
      <c r="I1482">
        <v>0</v>
      </c>
      <c r="J1482">
        <v>0</v>
      </c>
      <c r="K1482">
        <v>0</v>
      </c>
      <c r="L1482">
        <v>0</v>
      </c>
      <c r="M1482">
        <v>0</v>
      </c>
      <c r="N1482">
        <v>0</v>
      </c>
      <c r="O1482">
        <v>0</v>
      </c>
      <c r="P1482">
        <v>0</v>
      </c>
      <c r="Q1482">
        <v>0</v>
      </c>
      <c r="R1482">
        <v>0</v>
      </c>
      <c r="S1482">
        <v>0</v>
      </c>
      <c r="V1482">
        <v>0</v>
      </c>
      <c r="W1482">
        <v>880</v>
      </c>
    </row>
    <row r="1483" spans="1:23" x14ac:dyDescent="0.25">
      <c r="H1483" t="s">
        <v>2601</v>
      </c>
    </row>
    <row r="1484" spans="1:23" x14ac:dyDescent="0.25">
      <c r="A1484">
        <v>739</v>
      </c>
      <c r="B1484">
        <v>4895</v>
      </c>
      <c r="C1484" t="s">
        <v>2602</v>
      </c>
      <c r="D1484" t="s">
        <v>365</v>
      </c>
      <c r="E1484" t="s">
        <v>53</v>
      </c>
      <c r="F1484" t="s">
        <v>2603</v>
      </c>
      <c r="G1484" t="str">
        <f>"00075438"</f>
        <v>00075438</v>
      </c>
      <c r="H1484">
        <v>880</v>
      </c>
      <c r="I1484">
        <v>0</v>
      </c>
      <c r="J1484">
        <v>0</v>
      </c>
      <c r="K1484">
        <v>0</v>
      </c>
      <c r="L1484">
        <v>0</v>
      </c>
      <c r="M1484">
        <v>0</v>
      </c>
      <c r="N1484">
        <v>0</v>
      </c>
      <c r="O1484">
        <v>0</v>
      </c>
      <c r="P1484">
        <v>0</v>
      </c>
      <c r="Q1484">
        <v>0</v>
      </c>
      <c r="R1484">
        <v>0</v>
      </c>
      <c r="S1484">
        <v>0</v>
      </c>
      <c r="V1484">
        <v>2</v>
      </c>
      <c r="W1484">
        <v>880</v>
      </c>
    </row>
    <row r="1485" spans="1:23" x14ac:dyDescent="0.25">
      <c r="H1485" t="s">
        <v>2604</v>
      </c>
    </row>
    <row r="1486" spans="1:23" x14ac:dyDescent="0.25">
      <c r="A1486">
        <v>740</v>
      </c>
      <c r="B1486">
        <v>6718</v>
      </c>
      <c r="C1486" t="s">
        <v>2605</v>
      </c>
      <c r="D1486" t="s">
        <v>126</v>
      </c>
      <c r="E1486" t="s">
        <v>42</v>
      </c>
      <c r="F1486" t="s">
        <v>2606</v>
      </c>
      <c r="G1486" t="str">
        <f>"00092179"</f>
        <v>00092179</v>
      </c>
      <c r="H1486">
        <v>880</v>
      </c>
      <c r="I1486">
        <v>0</v>
      </c>
      <c r="J1486">
        <v>0</v>
      </c>
      <c r="K1486">
        <v>0</v>
      </c>
      <c r="L1486">
        <v>0</v>
      </c>
      <c r="M1486">
        <v>0</v>
      </c>
      <c r="N1486">
        <v>0</v>
      </c>
      <c r="O1486">
        <v>0</v>
      </c>
      <c r="P1486">
        <v>0</v>
      </c>
      <c r="Q1486">
        <v>0</v>
      </c>
      <c r="R1486">
        <v>0</v>
      </c>
      <c r="S1486">
        <v>0</v>
      </c>
      <c r="V1486">
        <v>0</v>
      </c>
      <c r="W1486">
        <v>880</v>
      </c>
    </row>
    <row r="1487" spans="1:23" x14ac:dyDescent="0.25">
      <c r="H1487" t="s">
        <v>2607</v>
      </c>
    </row>
    <row r="1488" spans="1:23" x14ac:dyDescent="0.25">
      <c r="A1488">
        <v>741</v>
      </c>
      <c r="B1488">
        <v>4267</v>
      </c>
      <c r="C1488" t="s">
        <v>2608</v>
      </c>
      <c r="D1488" t="s">
        <v>600</v>
      </c>
      <c r="E1488" t="s">
        <v>53</v>
      </c>
      <c r="F1488" t="s">
        <v>2609</v>
      </c>
      <c r="G1488" t="str">
        <f>"201511019009"</f>
        <v>201511019009</v>
      </c>
      <c r="H1488">
        <v>880</v>
      </c>
      <c r="I1488">
        <v>0</v>
      </c>
      <c r="J1488">
        <v>0</v>
      </c>
      <c r="K1488">
        <v>0</v>
      </c>
      <c r="L1488">
        <v>0</v>
      </c>
      <c r="M1488">
        <v>0</v>
      </c>
      <c r="N1488">
        <v>0</v>
      </c>
      <c r="O1488">
        <v>0</v>
      </c>
      <c r="P1488">
        <v>0</v>
      </c>
      <c r="Q1488">
        <v>0</v>
      </c>
      <c r="R1488">
        <v>0</v>
      </c>
      <c r="S1488">
        <v>0</v>
      </c>
      <c r="V1488">
        <v>0</v>
      </c>
      <c r="W1488">
        <v>880</v>
      </c>
    </row>
    <row r="1489" spans="1:23" x14ac:dyDescent="0.25">
      <c r="H1489" t="s">
        <v>216</v>
      </c>
    </row>
    <row r="1490" spans="1:23" x14ac:dyDescent="0.25">
      <c r="A1490">
        <v>742</v>
      </c>
      <c r="B1490">
        <v>9227</v>
      </c>
      <c r="C1490" t="s">
        <v>1471</v>
      </c>
      <c r="D1490" t="s">
        <v>2610</v>
      </c>
      <c r="E1490" t="s">
        <v>385</v>
      </c>
      <c r="F1490" t="s">
        <v>2611</v>
      </c>
      <c r="G1490" t="str">
        <f>"201003000093"</f>
        <v>201003000093</v>
      </c>
      <c r="H1490">
        <v>880</v>
      </c>
      <c r="I1490">
        <v>0</v>
      </c>
      <c r="J1490">
        <v>0</v>
      </c>
      <c r="K1490">
        <v>0</v>
      </c>
      <c r="L1490">
        <v>0</v>
      </c>
      <c r="M1490">
        <v>0</v>
      </c>
      <c r="N1490">
        <v>0</v>
      </c>
      <c r="O1490">
        <v>0</v>
      </c>
      <c r="P1490">
        <v>0</v>
      </c>
      <c r="Q1490">
        <v>0</v>
      </c>
      <c r="R1490">
        <v>0</v>
      </c>
      <c r="S1490">
        <v>0</v>
      </c>
      <c r="V1490">
        <v>0</v>
      </c>
      <c r="W1490">
        <v>880</v>
      </c>
    </row>
    <row r="1491" spans="1:23" x14ac:dyDescent="0.25">
      <c r="H1491" t="s">
        <v>2612</v>
      </c>
    </row>
    <row r="1492" spans="1:23" x14ac:dyDescent="0.25">
      <c r="A1492">
        <v>743</v>
      </c>
      <c r="B1492">
        <v>5091</v>
      </c>
      <c r="C1492" t="s">
        <v>2613</v>
      </c>
      <c r="D1492" t="s">
        <v>1246</v>
      </c>
      <c r="E1492" t="s">
        <v>584</v>
      </c>
      <c r="F1492" t="s">
        <v>2614</v>
      </c>
      <c r="G1492" t="str">
        <f>"201511036603"</f>
        <v>201511036603</v>
      </c>
      <c r="H1492">
        <v>880</v>
      </c>
      <c r="I1492">
        <v>0</v>
      </c>
      <c r="J1492">
        <v>0</v>
      </c>
      <c r="K1492">
        <v>0</v>
      </c>
      <c r="L1492">
        <v>0</v>
      </c>
      <c r="M1492">
        <v>0</v>
      </c>
      <c r="N1492">
        <v>0</v>
      </c>
      <c r="O1492">
        <v>0</v>
      </c>
      <c r="P1492">
        <v>0</v>
      </c>
      <c r="Q1492">
        <v>0</v>
      </c>
      <c r="R1492">
        <v>0</v>
      </c>
      <c r="S1492">
        <v>0</v>
      </c>
      <c r="T1492">
        <v>6</v>
      </c>
      <c r="U1492">
        <v>938</v>
      </c>
      <c r="V1492">
        <v>0</v>
      </c>
      <c r="W1492">
        <v>880</v>
      </c>
    </row>
    <row r="1493" spans="1:23" x14ac:dyDescent="0.25">
      <c r="H1493" t="s">
        <v>2615</v>
      </c>
    </row>
    <row r="1494" spans="1:23" x14ac:dyDescent="0.25">
      <c r="A1494">
        <v>744</v>
      </c>
      <c r="B1494">
        <v>5091</v>
      </c>
      <c r="C1494" t="s">
        <v>2613</v>
      </c>
      <c r="D1494" t="s">
        <v>1246</v>
      </c>
      <c r="E1494" t="s">
        <v>584</v>
      </c>
      <c r="F1494" t="s">
        <v>2614</v>
      </c>
      <c r="G1494" t="str">
        <f>"201511036603"</f>
        <v>201511036603</v>
      </c>
      <c r="H1494">
        <v>880</v>
      </c>
      <c r="I1494">
        <v>0</v>
      </c>
      <c r="J1494">
        <v>0</v>
      </c>
      <c r="K1494">
        <v>0</v>
      </c>
      <c r="L1494">
        <v>0</v>
      </c>
      <c r="M1494">
        <v>0</v>
      </c>
      <c r="N1494">
        <v>0</v>
      </c>
      <c r="O1494">
        <v>0</v>
      </c>
      <c r="P1494">
        <v>0</v>
      </c>
      <c r="Q1494">
        <v>0</v>
      </c>
      <c r="R1494">
        <v>0</v>
      </c>
      <c r="S1494">
        <v>0</v>
      </c>
      <c r="V1494">
        <v>0</v>
      </c>
      <c r="W1494">
        <v>880</v>
      </c>
    </row>
    <row r="1495" spans="1:23" x14ac:dyDescent="0.25">
      <c r="H1495" t="s">
        <v>2615</v>
      </c>
    </row>
    <row r="1496" spans="1:23" x14ac:dyDescent="0.25">
      <c r="A1496">
        <v>745</v>
      </c>
      <c r="B1496">
        <v>917</v>
      </c>
      <c r="C1496" t="s">
        <v>2616</v>
      </c>
      <c r="D1496" t="s">
        <v>2617</v>
      </c>
      <c r="E1496" t="s">
        <v>42</v>
      </c>
      <c r="F1496" t="s">
        <v>2618</v>
      </c>
      <c r="G1496" t="str">
        <f>"201511031427"</f>
        <v>201511031427</v>
      </c>
      <c r="H1496">
        <v>880</v>
      </c>
      <c r="I1496">
        <v>0</v>
      </c>
      <c r="J1496">
        <v>0</v>
      </c>
      <c r="K1496">
        <v>0</v>
      </c>
      <c r="L1496">
        <v>0</v>
      </c>
      <c r="M1496">
        <v>0</v>
      </c>
      <c r="N1496">
        <v>0</v>
      </c>
      <c r="O1496">
        <v>0</v>
      </c>
      <c r="P1496">
        <v>0</v>
      </c>
      <c r="Q1496">
        <v>0</v>
      </c>
      <c r="R1496">
        <v>0</v>
      </c>
      <c r="S1496">
        <v>0</v>
      </c>
      <c r="V1496">
        <v>0</v>
      </c>
      <c r="W1496">
        <v>880</v>
      </c>
    </row>
    <row r="1497" spans="1:23" x14ac:dyDescent="0.25">
      <c r="H1497" t="s">
        <v>2619</v>
      </c>
    </row>
    <row r="1498" spans="1:23" x14ac:dyDescent="0.25">
      <c r="A1498">
        <v>746</v>
      </c>
      <c r="B1498">
        <v>3136</v>
      </c>
      <c r="C1498" t="s">
        <v>1471</v>
      </c>
      <c r="D1498" t="s">
        <v>175</v>
      </c>
      <c r="E1498" t="s">
        <v>1039</v>
      </c>
      <c r="F1498" t="s">
        <v>2620</v>
      </c>
      <c r="G1498" t="str">
        <f>"201511023611"</f>
        <v>201511023611</v>
      </c>
      <c r="H1498" t="s">
        <v>835</v>
      </c>
      <c r="I1498">
        <v>0</v>
      </c>
      <c r="J1498">
        <v>0</v>
      </c>
      <c r="K1498">
        <v>0</v>
      </c>
      <c r="L1498">
        <v>0</v>
      </c>
      <c r="M1498">
        <v>0</v>
      </c>
      <c r="N1498">
        <v>0</v>
      </c>
      <c r="O1498">
        <v>0</v>
      </c>
      <c r="P1498">
        <v>0</v>
      </c>
      <c r="Q1498">
        <v>0</v>
      </c>
      <c r="R1498">
        <v>0</v>
      </c>
      <c r="S1498">
        <v>0</v>
      </c>
      <c r="V1498">
        <v>0</v>
      </c>
      <c r="W1498" t="s">
        <v>835</v>
      </c>
    </row>
    <row r="1499" spans="1:23" x14ac:dyDescent="0.25">
      <c r="H1499" t="s">
        <v>2621</v>
      </c>
    </row>
    <row r="1500" spans="1:23" x14ac:dyDescent="0.25">
      <c r="A1500">
        <v>747</v>
      </c>
      <c r="B1500">
        <v>1297</v>
      </c>
      <c r="C1500" t="s">
        <v>2622</v>
      </c>
      <c r="D1500" t="s">
        <v>2623</v>
      </c>
      <c r="E1500" t="s">
        <v>71</v>
      </c>
      <c r="F1500" t="s">
        <v>2624</v>
      </c>
      <c r="G1500" t="str">
        <f>"201511010788"</f>
        <v>201511010788</v>
      </c>
      <c r="H1500" t="s">
        <v>2625</v>
      </c>
      <c r="I1500">
        <v>150</v>
      </c>
      <c r="J1500">
        <v>0</v>
      </c>
      <c r="K1500">
        <v>0</v>
      </c>
      <c r="L1500">
        <v>0</v>
      </c>
      <c r="M1500">
        <v>0</v>
      </c>
      <c r="N1500">
        <v>0</v>
      </c>
      <c r="O1500">
        <v>0</v>
      </c>
      <c r="P1500">
        <v>0</v>
      </c>
      <c r="Q1500">
        <v>0</v>
      </c>
      <c r="R1500">
        <v>0</v>
      </c>
      <c r="S1500">
        <v>0</v>
      </c>
      <c r="V1500">
        <v>0</v>
      </c>
      <c r="W1500" t="s">
        <v>2626</v>
      </c>
    </row>
    <row r="1501" spans="1:23" x14ac:dyDescent="0.25">
      <c r="H1501" t="s">
        <v>2627</v>
      </c>
    </row>
    <row r="1502" spans="1:23" x14ac:dyDescent="0.25">
      <c r="A1502">
        <v>748</v>
      </c>
      <c r="B1502">
        <v>6144</v>
      </c>
      <c r="C1502" t="s">
        <v>13</v>
      </c>
      <c r="D1502" t="s">
        <v>179</v>
      </c>
      <c r="E1502" t="s">
        <v>141</v>
      </c>
      <c r="F1502" t="s">
        <v>2628</v>
      </c>
      <c r="G1502" t="str">
        <f>"00069947"</f>
        <v>00069947</v>
      </c>
      <c r="H1502" t="s">
        <v>2629</v>
      </c>
      <c r="I1502">
        <v>0</v>
      </c>
      <c r="J1502">
        <v>0</v>
      </c>
      <c r="K1502">
        <v>0</v>
      </c>
      <c r="L1502">
        <v>0</v>
      </c>
      <c r="M1502">
        <v>0</v>
      </c>
      <c r="N1502">
        <v>0</v>
      </c>
      <c r="O1502">
        <v>0</v>
      </c>
      <c r="P1502">
        <v>0</v>
      </c>
      <c r="Q1502">
        <v>0</v>
      </c>
      <c r="R1502">
        <v>0</v>
      </c>
      <c r="S1502">
        <v>0</v>
      </c>
      <c r="V1502">
        <v>0</v>
      </c>
      <c r="W1502" t="s">
        <v>2629</v>
      </c>
    </row>
    <row r="1503" spans="1:23" x14ac:dyDescent="0.25">
      <c r="H1503" t="s">
        <v>2630</v>
      </c>
    </row>
    <row r="1504" spans="1:23" x14ac:dyDescent="0.25">
      <c r="A1504">
        <v>749</v>
      </c>
      <c r="B1504">
        <v>2106</v>
      </c>
      <c r="C1504" t="s">
        <v>2631</v>
      </c>
      <c r="D1504" t="s">
        <v>2632</v>
      </c>
      <c r="E1504" t="s">
        <v>304</v>
      </c>
      <c r="F1504" t="s">
        <v>2633</v>
      </c>
      <c r="G1504" t="str">
        <f>"00030437"</f>
        <v>00030437</v>
      </c>
      <c r="H1504">
        <v>715</v>
      </c>
      <c r="I1504">
        <v>0</v>
      </c>
      <c r="J1504">
        <v>30</v>
      </c>
      <c r="K1504">
        <v>0</v>
      </c>
      <c r="L1504">
        <v>0</v>
      </c>
      <c r="M1504">
        <v>0</v>
      </c>
      <c r="N1504">
        <v>0</v>
      </c>
      <c r="O1504">
        <v>0</v>
      </c>
      <c r="P1504">
        <v>0</v>
      </c>
      <c r="Q1504">
        <v>0</v>
      </c>
      <c r="R1504">
        <v>18</v>
      </c>
      <c r="S1504">
        <v>126</v>
      </c>
      <c r="V1504">
        <v>0</v>
      </c>
      <c r="W1504">
        <v>871</v>
      </c>
    </row>
    <row r="1505" spans="1:23" x14ac:dyDescent="0.25">
      <c r="H1505" t="s">
        <v>2634</v>
      </c>
    </row>
    <row r="1506" spans="1:23" x14ac:dyDescent="0.25">
      <c r="A1506">
        <v>750</v>
      </c>
      <c r="B1506">
        <v>10179</v>
      </c>
      <c r="C1506" t="s">
        <v>2635</v>
      </c>
      <c r="D1506" t="s">
        <v>36</v>
      </c>
      <c r="E1506" t="s">
        <v>2636</v>
      </c>
      <c r="F1506" t="s">
        <v>2637</v>
      </c>
      <c r="G1506" t="str">
        <f>"00060372"</f>
        <v>00060372</v>
      </c>
      <c r="H1506" t="s">
        <v>925</v>
      </c>
      <c r="I1506">
        <v>0</v>
      </c>
      <c r="J1506">
        <v>30</v>
      </c>
      <c r="K1506">
        <v>0</v>
      </c>
      <c r="L1506">
        <v>0</v>
      </c>
      <c r="M1506">
        <v>0</v>
      </c>
      <c r="N1506">
        <v>0</v>
      </c>
      <c r="O1506">
        <v>0</v>
      </c>
      <c r="P1506">
        <v>0</v>
      </c>
      <c r="Q1506">
        <v>0</v>
      </c>
      <c r="R1506">
        <v>0</v>
      </c>
      <c r="S1506">
        <v>0</v>
      </c>
      <c r="T1506">
        <v>6</v>
      </c>
      <c r="U1506">
        <v>932</v>
      </c>
      <c r="V1506">
        <v>2</v>
      </c>
      <c r="W1506" t="s">
        <v>2638</v>
      </c>
    </row>
    <row r="1507" spans="1:23" x14ac:dyDescent="0.25">
      <c r="H1507" t="s">
        <v>2639</v>
      </c>
    </row>
    <row r="1508" spans="1:23" x14ac:dyDescent="0.25">
      <c r="A1508">
        <v>751</v>
      </c>
      <c r="B1508">
        <v>10179</v>
      </c>
      <c r="C1508" t="s">
        <v>2635</v>
      </c>
      <c r="D1508" t="s">
        <v>36</v>
      </c>
      <c r="E1508" t="s">
        <v>2636</v>
      </c>
      <c r="F1508" t="s">
        <v>2637</v>
      </c>
      <c r="G1508" t="str">
        <f>"00060372"</f>
        <v>00060372</v>
      </c>
      <c r="H1508" t="s">
        <v>925</v>
      </c>
      <c r="I1508">
        <v>0</v>
      </c>
      <c r="J1508">
        <v>30</v>
      </c>
      <c r="K1508">
        <v>0</v>
      </c>
      <c r="L1508">
        <v>0</v>
      </c>
      <c r="M1508">
        <v>0</v>
      </c>
      <c r="N1508">
        <v>0</v>
      </c>
      <c r="O1508">
        <v>0</v>
      </c>
      <c r="P1508">
        <v>0</v>
      </c>
      <c r="Q1508">
        <v>0</v>
      </c>
      <c r="R1508">
        <v>0</v>
      </c>
      <c r="S1508">
        <v>0</v>
      </c>
      <c r="V1508">
        <v>2</v>
      </c>
      <c r="W1508" t="s">
        <v>2638</v>
      </c>
    </row>
    <row r="1509" spans="1:23" x14ac:dyDescent="0.25">
      <c r="H1509" t="s">
        <v>2639</v>
      </c>
    </row>
    <row r="1510" spans="1:23" x14ac:dyDescent="0.25">
      <c r="A1510">
        <v>752</v>
      </c>
      <c r="B1510">
        <v>9305</v>
      </c>
      <c r="C1510" t="s">
        <v>2640</v>
      </c>
      <c r="D1510" t="s">
        <v>881</v>
      </c>
      <c r="E1510" t="s">
        <v>42</v>
      </c>
      <c r="F1510" t="s">
        <v>2641</v>
      </c>
      <c r="G1510" t="str">
        <f>"00092579"</f>
        <v>00092579</v>
      </c>
      <c r="H1510">
        <v>869</v>
      </c>
      <c r="I1510">
        <v>0</v>
      </c>
      <c r="J1510">
        <v>0</v>
      </c>
      <c r="K1510">
        <v>0</v>
      </c>
      <c r="L1510">
        <v>0</v>
      </c>
      <c r="M1510">
        <v>0</v>
      </c>
      <c r="N1510">
        <v>0</v>
      </c>
      <c r="O1510">
        <v>0</v>
      </c>
      <c r="P1510">
        <v>0</v>
      </c>
      <c r="Q1510">
        <v>0</v>
      </c>
      <c r="R1510">
        <v>0</v>
      </c>
      <c r="S1510">
        <v>0</v>
      </c>
      <c r="V1510">
        <v>0</v>
      </c>
      <c r="W1510">
        <v>869</v>
      </c>
    </row>
    <row r="1511" spans="1:23" x14ac:dyDescent="0.25">
      <c r="H1511" t="s">
        <v>2642</v>
      </c>
    </row>
    <row r="1512" spans="1:23" x14ac:dyDescent="0.25">
      <c r="A1512">
        <v>753</v>
      </c>
      <c r="B1512">
        <v>2510</v>
      </c>
      <c r="C1512" t="s">
        <v>2643</v>
      </c>
      <c r="D1512" t="s">
        <v>877</v>
      </c>
      <c r="E1512" t="s">
        <v>53</v>
      </c>
      <c r="F1512" t="s">
        <v>2644</v>
      </c>
      <c r="G1512" t="str">
        <f>"201502001019"</f>
        <v>201502001019</v>
      </c>
      <c r="H1512">
        <v>836</v>
      </c>
      <c r="I1512">
        <v>0</v>
      </c>
      <c r="J1512">
        <v>30</v>
      </c>
      <c r="K1512">
        <v>0</v>
      </c>
      <c r="L1512">
        <v>0</v>
      </c>
      <c r="M1512">
        <v>0</v>
      </c>
      <c r="N1512">
        <v>0</v>
      </c>
      <c r="O1512">
        <v>0</v>
      </c>
      <c r="P1512">
        <v>0</v>
      </c>
      <c r="Q1512">
        <v>0</v>
      </c>
      <c r="R1512">
        <v>0</v>
      </c>
      <c r="S1512">
        <v>0</v>
      </c>
      <c r="V1512">
        <v>0</v>
      </c>
      <c r="W1512">
        <v>866</v>
      </c>
    </row>
    <row r="1513" spans="1:23" x14ac:dyDescent="0.25">
      <c r="H1513" t="s">
        <v>2645</v>
      </c>
    </row>
    <row r="1514" spans="1:23" x14ac:dyDescent="0.25">
      <c r="A1514">
        <v>754</v>
      </c>
      <c r="B1514">
        <v>2969</v>
      </c>
      <c r="C1514" t="s">
        <v>2646</v>
      </c>
      <c r="D1514" t="s">
        <v>156</v>
      </c>
      <c r="E1514" t="s">
        <v>1391</v>
      </c>
      <c r="F1514" t="s">
        <v>2647</v>
      </c>
      <c r="G1514" t="str">
        <f>"201512002384"</f>
        <v>201512002384</v>
      </c>
      <c r="H1514">
        <v>715</v>
      </c>
      <c r="I1514">
        <v>150</v>
      </c>
      <c r="J1514">
        <v>0</v>
      </c>
      <c r="K1514">
        <v>0</v>
      </c>
      <c r="L1514">
        <v>0</v>
      </c>
      <c r="M1514">
        <v>0</v>
      </c>
      <c r="N1514">
        <v>0</v>
      </c>
      <c r="O1514">
        <v>0</v>
      </c>
      <c r="P1514">
        <v>0</v>
      </c>
      <c r="Q1514">
        <v>0</v>
      </c>
      <c r="R1514">
        <v>0</v>
      </c>
      <c r="S1514">
        <v>0</v>
      </c>
      <c r="V1514">
        <v>0</v>
      </c>
      <c r="W1514">
        <v>865</v>
      </c>
    </row>
    <row r="1515" spans="1:23" x14ac:dyDescent="0.25">
      <c r="H1515" t="s">
        <v>2648</v>
      </c>
    </row>
    <row r="1516" spans="1:23" x14ac:dyDescent="0.25">
      <c r="A1516">
        <v>755</v>
      </c>
      <c r="B1516">
        <v>5522</v>
      </c>
      <c r="C1516" t="s">
        <v>2649</v>
      </c>
      <c r="D1516" t="s">
        <v>269</v>
      </c>
      <c r="E1516" t="s">
        <v>304</v>
      </c>
      <c r="F1516" t="s">
        <v>2650</v>
      </c>
      <c r="G1516" t="str">
        <f>"201511029217"</f>
        <v>201511029217</v>
      </c>
      <c r="H1516">
        <v>715</v>
      </c>
      <c r="I1516">
        <v>150</v>
      </c>
      <c r="J1516">
        <v>0</v>
      </c>
      <c r="K1516">
        <v>0</v>
      </c>
      <c r="L1516">
        <v>0</v>
      </c>
      <c r="M1516">
        <v>0</v>
      </c>
      <c r="N1516">
        <v>0</v>
      </c>
      <c r="O1516">
        <v>0</v>
      </c>
      <c r="P1516">
        <v>0</v>
      </c>
      <c r="Q1516">
        <v>0</v>
      </c>
      <c r="R1516">
        <v>0</v>
      </c>
      <c r="S1516">
        <v>0</v>
      </c>
      <c r="V1516">
        <v>0</v>
      </c>
      <c r="W1516">
        <v>865</v>
      </c>
    </row>
    <row r="1517" spans="1:23" x14ac:dyDescent="0.25">
      <c r="H1517" t="s">
        <v>2651</v>
      </c>
    </row>
    <row r="1518" spans="1:23" x14ac:dyDescent="0.25">
      <c r="A1518">
        <v>756</v>
      </c>
      <c r="B1518">
        <v>3693</v>
      </c>
      <c r="C1518" t="s">
        <v>2652</v>
      </c>
      <c r="D1518" t="s">
        <v>365</v>
      </c>
      <c r="E1518" t="s">
        <v>497</v>
      </c>
      <c r="F1518" t="s">
        <v>2653</v>
      </c>
      <c r="G1518" t="str">
        <f>"201511031268"</f>
        <v>201511031268</v>
      </c>
      <c r="H1518">
        <v>715</v>
      </c>
      <c r="I1518">
        <v>0</v>
      </c>
      <c r="J1518">
        <v>30</v>
      </c>
      <c r="K1518">
        <v>0</v>
      </c>
      <c r="L1518">
        <v>0</v>
      </c>
      <c r="M1518">
        <v>0</v>
      </c>
      <c r="N1518">
        <v>0</v>
      </c>
      <c r="O1518">
        <v>0</v>
      </c>
      <c r="P1518">
        <v>0</v>
      </c>
      <c r="Q1518">
        <v>0</v>
      </c>
      <c r="R1518">
        <v>17</v>
      </c>
      <c r="S1518">
        <v>119</v>
      </c>
      <c r="V1518">
        <v>0</v>
      </c>
      <c r="W1518">
        <v>864</v>
      </c>
    </row>
    <row r="1519" spans="1:23" x14ac:dyDescent="0.25">
      <c r="H1519" t="s">
        <v>2654</v>
      </c>
    </row>
    <row r="1520" spans="1:23" x14ac:dyDescent="0.25">
      <c r="A1520">
        <v>757</v>
      </c>
      <c r="B1520">
        <v>3693</v>
      </c>
      <c r="C1520" t="s">
        <v>2652</v>
      </c>
      <c r="D1520" t="s">
        <v>365</v>
      </c>
      <c r="E1520" t="s">
        <v>497</v>
      </c>
      <c r="F1520" t="s">
        <v>2653</v>
      </c>
      <c r="G1520" t="str">
        <f>"201511031268"</f>
        <v>201511031268</v>
      </c>
      <c r="H1520">
        <v>715</v>
      </c>
      <c r="I1520">
        <v>0</v>
      </c>
      <c r="J1520">
        <v>30</v>
      </c>
      <c r="K1520">
        <v>0</v>
      </c>
      <c r="L1520">
        <v>0</v>
      </c>
      <c r="M1520">
        <v>0</v>
      </c>
      <c r="N1520">
        <v>0</v>
      </c>
      <c r="O1520">
        <v>0</v>
      </c>
      <c r="P1520">
        <v>0</v>
      </c>
      <c r="Q1520">
        <v>0</v>
      </c>
      <c r="R1520">
        <v>17</v>
      </c>
      <c r="S1520">
        <v>119</v>
      </c>
      <c r="T1520">
        <v>6</v>
      </c>
      <c r="U1520">
        <v>938</v>
      </c>
      <c r="V1520">
        <v>0</v>
      </c>
      <c r="W1520">
        <v>864</v>
      </c>
    </row>
    <row r="1521" spans="1:23" x14ac:dyDescent="0.25">
      <c r="H1521" t="s">
        <v>2654</v>
      </c>
    </row>
    <row r="1522" spans="1:23" x14ac:dyDescent="0.25">
      <c r="A1522">
        <v>758</v>
      </c>
      <c r="B1522">
        <v>1085</v>
      </c>
      <c r="C1522" t="s">
        <v>2655</v>
      </c>
      <c r="D1522" t="s">
        <v>2656</v>
      </c>
      <c r="E1522" t="s">
        <v>26</v>
      </c>
      <c r="F1522" t="s">
        <v>2657</v>
      </c>
      <c r="G1522" t="str">
        <f>"00084741"</f>
        <v>00084741</v>
      </c>
      <c r="H1522" t="s">
        <v>863</v>
      </c>
      <c r="I1522">
        <v>0</v>
      </c>
      <c r="J1522">
        <v>0</v>
      </c>
      <c r="K1522">
        <v>0</v>
      </c>
      <c r="L1522">
        <v>0</v>
      </c>
      <c r="M1522">
        <v>0</v>
      </c>
      <c r="N1522">
        <v>0</v>
      </c>
      <c r="O1522">
        <v>0</v>
      </c>
      <c r="P1522">
        <v>0</v>
      </c>
      <c r="Q1522">
        <v>0</v>
      </c>
      <c r="R1522">
        <v>0</v>
      </c>
      <c r="S1522">
        <v>0</v>
      </c>
      <c r="V1522">
        <v>0</v>
      </c>
      <c r="W1522" t="s">
        <v>863</v>
      </c>
    </row>
    <row r="1523" spans="1:23" x14ac:dyDescent="0.25">
      <c r="H1523">
        <v>929</v>
      </c>
    </row>
    <row r="1524" spans="1:23" x14ac:dyDescent="0.25">
      <c r="A1524">
        <v>759</v>
      </c>
      <c r="B1524">
        <v>6477</v>
      </c>
      <c r="C1524" t="s">
        <v>2658</v>
      </c>
      <c r="D1524" t="s">
        <v>2219</v>
      </c>
      <c r="E1524" t="s">
        <v>2234</v>
      </c>
      <c r="F1524" t="s">
        <v>2659</v>
      </c>
      <c r="G1524" t="str">
        <f>"201511007584"</f>
        <v>201511007584</v>
      </c>
      <c r="H1524">
        <v>660</v>
      </c>
      <c r="I1524">
        <v>150</v>
      </c>
      <c r="J1524">
        <v>30</v>
      </c>
      <c r="K1524">
        <v>0</v>
      </c>
      <c r="L1524">
        <v>0</v>
      </c>
      <c r="M1524">
        <v>0</v>
      </c>
      <c r="N1524">
        <v>0</v>
      </c>
      <c r="O1524">
        <v>0</v>
      </c>
      <c r="P1524">
        <v>0</v>
      </c>
      <c r="Q1524">
        <v>0</v>
      </c>
      <c r="R1524">
        <v>3</v>
      </c>
      <c r="S1524">
        <v>21</v>
      </c>
      <c r="V1524">
        <v>2</v>
      </c>
      <c r="W1524">
        <v>861</v>
      </c>
    </row>
    <row r="1525" spans="1:23" x14ac:dyDescent="0.25">
      <c r="H1525" t="s">
        <v>2660</v>
      </c>
    </row>
    <row r="1526" spans="1:23" x14ac:dyDescent="0.25">
      <c r="A1526">
        <v>760</v>
      </c>
      <c r="B1526">
        <v>10212</v>
      </c>
      <c r="C1526" t="s">
        <v>2661</v>
      </c>
      <c r="D1526" t="s">
        <v>2662</v>
      </c>
      <c r="E1526" t="s">
        <v>171</v>
      </c>
      <c r="F1526" t="s">
        <v>2663</v>
      </c>
      <c r="G1526" t="str">
        <f>"201512004365"</f>
        <v>201512004365</v>
      </c>
      <c r="H1526" t="s">
        <v>2538</v>
      </c>
      <c r="I1526">
        <v>0</v>
      </c>
      <c r="J1526">
        <v>30</v>
      </c>
      <c r="K1526">
        <v>0</v>
      </c>
      <c r="L1526">
        <v>0</v>
      </c>
      <c r="M1526">
        <v>0</v>
      </c>
      <c r="N1526">
        <v>0</v>
      </c>
      <c r="O1526">
        <v>0</v>
      </c>
      <c r="P1526">
        <v>0</v>
      </c>
      <c r="Q1526">
        <v>0</v>
      </c>
      <c r="R1526">
        <v>0</v>
      </c>
      <c r="S1526">
        <v>0</v>
      </c>
      <c r="V1526">
        <v>0</v>
      </c>
      <c r="W1526" t="s">
        <v>2664</v>
      </c>
    </row>
    <row r="1527" spans="1:23" x14ac:dyDescent="0.25">
      <c r="H1527" t="s">
        <v>2665</v>
      </c>
    </row>
    <row r="1528" spans="1:23" x14ac:dyDescent="0.25">
      <c r="A1528">
        <v>761</v>
      </c>
      <c r="B1528">
        <v>3875</v>
      </c>
      <c r="C1528" t="s">
        <v>2666</v>
      </c>
      <c r="D1528" t="s">
        <v>830</v>
      </c>
      <c r="E1528" t="s">
        <v>1391</v>
      </c>
      <c r="F1528" t="s">
        <v>2667</v>
      </c>
      <c r="G1528" t="str">
        <f>"00036681"</f>
        <v>00036681</v>
      </c>
      <c r="H1528" t="s">
        <v>2668</v>
      </c>
      <c r="I1528">
        <v>0</v>
      </c>
      <c r="J1528">
        <v>0</v>
      </c>
      <c r="K1528">
        <v>0</v>
      </c>
      <c r="L1528">
        <v>0</v>
      </c>
      <c r="M1528">
        <v>0</v>
      </c>
      <c r="N1528">
        <v>0</v>
      </c>
      <c r="O1528">
        <v>0</v>
      </c>
      <c r="P1528">
        <v>0</v>
      </c>
      <c r="Q1528">
        <v>0</v>
      </c>
      <c r="R1528">
        <v>8</v>
      </c>
      <c r="S1528">
        <v>56</v>
      </c>
      <c r="V1528">
        <v>0</v>
      </c>
      <c r="W1528" t="s">
        <v>2669</v>
      </c>
    </row>
    <row r="1529" spans="1:23" x14ac:dyDescent="0.25">
      <c r="H1529" t="s">
        <v>2670</v>
      </c>
    </row>
    <row r="1530" spans="1:23" x14ac:dyDescent="0.25">
      <c r="A1530">
        <v>762</v>
      </c>
      <c r="B1530">
        <v>9916</v>
      </c>
      <c r="C1530" t="s">
        <v>2671</v>
      </c>
      <c r="D1530" t="s">
        <v>26</v>
      </c>
      <c r="E1530" t="s">
        <v>2672</v>
      </c>
      <c r="F1530" t="s">
        <v>2673</v>
      </c>
      <c r="G1530" t="str">
        <f>"201102001039"</f>
        <v>201102001039</v>
      </c>
      <c r="H1530" t="s">
        <v>868</v>
      </c>
      <c r="I1530">
        <v>0</v>
      </c>
      <c r="J1530">
        <v>0</v>
      </c>
      <c r="K1530">
        <v>0</v>
      </c>
      <c r="L1530">
        <v>0</v>
      </c>
      <c r="M1530">
        <v>0</v>
      </c>
      <c r="N1530">
        <v>0</v>
      </c>
      <c r="O1530">
        <v>0</v>
      </c>
      <c r="P1530">
        <v>0</v>
      </c>
      <c r="Q1530">
        <v>0</v>
      </c>
      <c r="R1530">
        <v>0</v>
      </c>
      <c r="S1530">
        <v>0</v>
      </c>
      <c r="V1530">
        <v>0</v>
      </c>
      <c r="W1530" t="s">
        <v>868</v>
      </c>
    </row>
    <row r="1531" spans="1:23" x14ac:dyDescent="0.25">
      <c r="H1531" t="s">
        <v>2674</v>
      </c>
    </row>
    <row r="1532" spans="1:23" x14ac:dyDescent="0.25">
      <c r="A1532">
        <v>763</v>
      </c>
      <c r="B1532">
        <v>6753</v>
      </c>
      <c r="C1532" t="s">
        <v>2675</v>
      </c>
      <c r="D1532" t="s">
        <v>2676</v>
      </c>
      <c r="E1532" t="s">
        <v>32</v>
      </c>
      <c r="F1532" t="s">
        <v>2677</v>
      </c>
      <c r="G1532" t="str">
        <f>"201511012029"</f>
        <v>201511012029</v>
      </c>
      <c r="H1532">
        <v>605</v>
      </c>
      <c r="I1532">
        <v>0</v>
      </c>
      <c r="J1532">
        <v>0</v>
      </c>
      <c r="K1532">
        <v>0</v>
      </c>
      <c r="L1532">
        <v>0</v>
      </c>
      <c r="M1532">
        <v>0</v>
      </c>
      <c r="N1532">
        <v>0</v>
      </c>
      <c r="O1532">
        <v>0</v>
      </c>
      <c r="P1532">
        <v>0</v>
      </c>
      <c r="Q1532">
        <v>0</v>
      </c>
      <c r="R1532">
        <v>36</v>
      </c>
      <c r="S1532">
        <v>252</v>
      </c>
      <c r="V1532">
        <v>2</v>
      </c>
      <c r="W1532">
        <v>857</v>
      </c>
    </row>
    <row r="1533" spans="1:23" x14ac:dyDescent="0.25">
      <c r="H1533" t="s">
        <v>2678</v>
      </c>
    </row>
    <row r="1534" spans="1:23" x14ac:dyDescent="0.25">
      <c r="A1534">
        <v>764</v>
      </c>
      <c r="B1534">
        <v>7171</v>
      </c>
      <c r="C1534" t="s">
        <v>2679</v>
      </c>
      <c r="D1534" t="s">
        <v>121</v>
      </c>
      <c r="E1534" t="s">
        <v>211</v>
      </c>
      <c r="F1534" t="s">
        <v>2680</v>
      </c>
      <c r="G1534" t="str">
        <f>"201512003723"</f>
        <v>201512003723</v>
      </c>
      <c r="H1534">
        <v>660</v>
      </c>
      <c r="I1534">
        <v>0</v>
      </c>
      <c r="J1534">
        <v>0</v>
      </c>
      <c r="K1534">
        <v>0</v>
      </c>
      <c r="L1534">
        <v>0</v>
      </c>
      <c r="M1534">
        <v>0</v>
      </c>
      <c r="N1534">
        <v>0</v>
      </c>
      <c r="O1534">
        <v>0</v>
      </c>
      <c r="P1534">
        <v>0</v>
      </c>
      <c r="Q1534">
        <v>0</v>
      </c>
      <c r="R1534">
        <v>28</v>
      </c>
      <c r="S1534">
        <v>196</v>
      </c>
      <c r="V1534">
        <v>0</v>
      </c>
      <c r="W1534">
        <v>856</v>
      </c>
    </row>
    <row r="1535" spans="1:23" x14ac:dyDescent="0.25">
      <c r="H1535" t="s">
        <v>2681</v>
      </c>
    </row>
    <row r="1536" spans="1:23" x14ac:dyDescent="0.25">
      <c r="A1536">
        <v>765</v>
      </c>
      <c r="B1536">
        <v>3775</v>
      </c>
      <c r="C1536" t="s">
        <v>2682</v>
      </c>
      <c r="D1536" t="s">
        <v>2683</v>
      </c>
      <c r="E1536" t="s">
        <v>2684</v>
      </c>
      <c r="F1536" t="s">
        <v>2685</v>
      </c>
      <c r="G1536" t="str">
        <f>"00078771"</f>
        <v>00078771</v>
      </c>
      <c r="H1536">
        <v>825</v>
      </c>
      <c r="I1536">
        <v>0</v>
      </c>
      <c r="J1536">
        <v>30</v>
      </c>
      <c r="K1536">
        <v>0</v>
      </c>
      <c r="L1536">
        <v>0</v>
      </c>
      <c r="M1536">
        <v>0</v>
      </c>
      <c r="N1536">
        <v>0</v>
      </c>
      <c r="O1536">
        <v>0</v>
      </c>
      <c r="P1536">
        <v>0</v>
      </c>
      <c r="Q1536">
        <v>0</v>
      </c>
      <c r="R1536">
        <v>0</v>
      </c>
      <c r="S1536">
        <v>0</v>
      </c>
      <c r="V1536">
        <v>0</v>
      </c>
      <c r="W1536">
        <v>855</v>
      </c>
    </row>
    <row r="1537" spans="1:23" x14ac:dyDescent="0.25">
      <c r="H1537" t="s">
        <v>2686</v>
      </c>
    </row>
    <row r="1538" spans="1:23" x14ac:dyDescent="0.25">
      <c r="A1538">
        <v>766</v>
      </c>
      <c r="B1538">
        <v>9877</v>
      </c>
      <c r="C1538" t="s">
        <v>2687</v>
      </c>
      <c r="D1538" t="s">
        <v>2688</v>
      </c>
      <c r="E1538" t="s">
        <v>95</v>
      </c>
      <c r="F1538" t="s">
        <v>2689</v>
      </c>
      <c r="G1538" t="str">
        <f>"201511033324"</f>
        <v>201511033324</v>
      </c>
      <c r="H1538">
        <v>825</v>
      </c>
      <c r="I1538">
        <v>0</v>
      </c>
      <c r="J1538">
        <v>30</v>
      </c>
      <c r="K1538">
        <v>0</v>
      </c>
      <c r="L1538">
        <v>0</v>
      </c>
      <c r="M1538">
        <v>0</v>
      </c>
      <c r="N1538">
        <v>0</v>
      </c>
      <c r="O1538">
        <v>0</v>
      </c>
      <c r="P1538">
        <v>0</v>
      </c>
      <c r="Q1538">
        <v>0</v>
      </c>
      <c r="R1538">
        <v>0</v>
      </c>
      <c r="S1538">
        <v>0</v>
      </c>
      <c r="V1538">
        <v>0</v>
      </c>
      <c r="W1538">
        <v>855</v>
      </c>
    </row>
    <row r="1539" spans="1:23" x14ac:dyDescent="0.25">
      <c r="H1539" t="s">
        <v>2690</v>
      </c>
    </row>
    <row r="1540" spans="1:23" x14ac:dyDescent="0.25">
      <c r="A1540">
        <v>767</v>
      </c>
      <c r="B1540">
        <v>4820</v>
      </c>
      <c r="C1540" t="s">
        <v>1001</v>
      </c>
      <c r="D1540" t="s">
        <v>111</v>
      </c>
      <c r="E1540" t="s">
        <v>721</v>
      </c>
      <c r="F1540" t="s">
        <v>2691</v>
      </c>
      <c r="G1540" t="str">
        <f>"201412000529"</f>
        <v>201412000529</v>
      </c>
      <c r="H1540">
        <v>825</v>
      </c>
      <c r="I1540">
        <v>0</v>
      </c>
      <c r="J1540">
        <v>30</v>
      </c>
      <c r="K1540">
        <v>0</v>
      </c>
      <c r="L1540">
        <v>0</v>
      </c>
      <c r="M1540">
        <v>0</v>
      </c>
      <c r="N1540">
        <v>0</v>
      </c>
      <c r="O1540">
        <v>0</v>
      </c>
      <c r="P1540">
        <v>0</v>
      </c>
      <c r="Q1540">
        <v>0</v>
      </c>
      <c r="R1540">
        <v>0</v>
      </c>
      <c r="S1540">
        <v>0</v>
      </c>
      <c r="V1540">
        <v>0</v>
      </c>
      <c r="W1540">
        <v>855</v>
      </c>
    </row>
    <row r="1541" spans="1:23" x14ac:dyDescent="0.25">
      <c r="H1541" t="s">
        <v>2692</v>
      </c>
    </row>
    <row r="1542" spans="1:23" x14ac:dyDescent="0.25">
      <c r="A1542">
        <v>768</v>
      </c>
      <c r="B1542">
        <v>8887</v>
      </c>
      <c r="C1542" t="s">
        <v>2693</v>
      </c>
      <c r="D1542" t="s">
        <v>87</v>
      </c>
      <c r="E1542" t="s">
        <v>497</v>
      </c>
      <c r="F1542" t="s">
        <v>2694</v>
      </c>
      <c r="G1542" t="str">
        <f>"201512000025"</f>
        <v>201512000025</v>
      </c>
      <c r="H1542">
        <v>825</v>
      </c>
      <c r="I1542">
        <v>0</v>
      </c>
      <c r="J1542">
        <v>30</v>
      </c>
      <c r="K1542">
        <v>0</v>
      </c>
      <c r="L1542">
        <v>0</v>
      </c>
      <c r="M1542">
        <v>0</v>
      </c>
      <c r="N1542">
        <v>0</v>
      </c>
      <c r="O1542">
        <v>0</v>
      </c>
      <c r="P1542">
        <v>0</v>
      </c>
      <c r="Q1542">
        <v>0</v>
      </c>
      <c r="R1542">
        <v>0</v>
      </c>
      <c r="S1542">
        <v>0</v>
      </c>
      <c r="V1542">
        <v>0</v>
      </c>
      <c r="W1542">
        <v>855</v>
      </c>
    </row>
    <row r="1543" spans="1:23" x14ac:dyDescent="0.25">
      <c r="H1543" t="s">
        <v>295</v>
      </c>
    </row>
    <row r="1544" spans="1:23" x14ac:dyDescent="0.25">
      <c r="A1544">
        <v>769</v>
      </c>
      <c r="B1544">
        <v>2387</v>
      </c>
      <c r="C1544" t="s">
        <v>2060</v>
      </c>
      <c r="D1544" t="s">
        <v>1218</v>
      </c>
      <c r="E1544" t="s">
        <v>95</v>
      </c>
      <c r="F1544" t="s">
        <v>2695</v>
      </c>
      <c r="G1544" t="str">
        <f>"201511005597"</f>
        <v>201511005597</v>
      </c>
      <c r="H1544">
        <v>825</v>
      </c>
      <c r="I1544">
        <v>0</v>
      </c>
      <c r="J1544">
        <v>0</v>
      </c>
      <c r="K1544">
        <v>0</v>
      </c>
      <c r="L1544">
        <v>0</v>
      </c>
      <c r="M1544">
        <v>0</v>
      </c>
      <c r="N1544">
        <v>0</v>
      </c>
      <c r="O1544">
        <v>0</v>
      </c>
      <c r="P1544">
        <v>0</v>
      </c>
      <c r="Q1544">
        <v>0</v>
      </c>
      <c r="R1544">
        <v>4</v>
      </c>
      <c r="S1544">
        <v>28</v>
      </c>
      <c r="V1544">
        <v>0</v>
      </c>
      <c r="W1544">
        <v>853</v>
      </c>
    </row>
    <row r="1545" spans="1:23" x14ac:dyDescent="0.25">
      <c r="H1545" t="s">
        <v>2696</v>
      </c>
    </row>
    <row r="1546" spans="1:23" x14ac:dyDescent="0.25">
      <c r="A1546">
        <v>770</v>
      </c>
      <c r="B1546">
        <v>8631</v>
      </c>
      <c r="C1546" t="s">
        <v>2697</v>
      </c>
      <c r="D1546" t="s">
        <v>21</v>
      </c>
      <c r="E1546" t="s">
        <v>95</v>
      </c>
      <c r="F1546" t="s">
        <v>2698</v>
      </c>
      <c r="G1546" t="str">
        <f>"00086419"</f>
        <v>00086419</v>
      </c>
      <c r="H1546">
        <v>550</v>
      </c>
      <c r="I1546">
        <v>0</v>
      </c>
      <c r="J1546">
        <v>30</v>
      </c>
      <c r="K1546">
        <v>0</v>
      </c>
      <c r="L1546">
        <v>0</v>
      </c>
      <c r="M1546">
        <v>0</v>
      </c>
      <c r="N1546">
        <v>0</v>
      </c>
      <c r="O1546">
        <v>0</v>
      </c>
      <c r="P1546">
        <v>0</v>
      </c>
      <c r="Q1546">
        <v>0</v>
      </c>
      <c r="R1546">
        <v>39</v>
      </c>
      <c r="S1546">
        <v>273</v>
      </c>
      <c r="V1546">
        <v>0</v>
      </c>
      <c r="W1546">
        <v>853</v>
      </c>
    </row>
    <row r="1547" spans="1:23" x14ac:dyDescent="0.25">
      <c r="H1547" t="s">
        <v>2699</v>
      </c>
    </row>
    <row r="1548" spans="1:23" x14ac:dyDescent="0.25">
      <c r="A1548">
        <v>771</v>
      </c>
      <c r="B1548">
        <v>5487</v>
      </c>
      <c r="C1548" t="s">
        <v>2700</v>
      </c>
      <c r="D1548" t="s">
        <v>21</v>
      </c>
      <c r="E1548" t="s">
        <v>877</v>
      </c>
      <c r="F1548" t="s">
        <v>2701</v>
      </c>
      <c r="G1548" t="str">
        <f>"201511022400"</f>
        <v>201511022400</v>
      </c>
      <c r="H1548">
        <v>550</v>
      </c>
      <c r="I1548">
        <v>0</v>
      </c>
      <c r="J1548">
        <v>0</v>
      </c>
      <c r="K1548">
        <v>0</v>
      </c>
      <c r="L1548">
        <v>0</v>
      </c>
      <c r="M1548">
        <v>0</v>
      </c>
      <c r="N1548">
        <v>0</v>
      </c>
      <c r="O1548">
        <v>0</v>
      </c>
      <c r="P1548">
        <v>0</v>
      </c>
      <c r="Q1548">
        <v>0</v>
      </c>
      <c r="R1548">
        <v>43</v>
      </c>
      <c r="S1548">
        <v>301</v>
      </c>
      <c r="V1548">
        <v>0</v>
      </c>
      <c r="W1548">
        <v>851</v>
      </c>
    </row>
    <row r="1549" spans="1:23" x14ac:dyDescent="0.25">
      <c r="H1549" t="s">
        <v>2702</v>
      </c>
    </row>
    <row r="1550" spans="1:23" x14ac:dyDescent="0.25">
      <c r="A1550">
        <v>772</v>
      </c>
      <c r="B1550">
        <v>5474</v>
      </c>
      <c r="C1550" t="s">
        <v>2703</v>
      </c>
      <c r="D1550" t="s">
        <v>1045</v>
      </c>
      <c r="E1550" t="s">
        <v>385</v>
      </c>
      <c r="F1550" t="s">
        <v>2704</v>
      </c>
      <c r="G1550" t="str">
        <f>"00042807"</f>
        <v>00042807</v>
      </c>
      <c r="H1550">
        <v>715</v>
      </c>
      <c r="I1550">
        <v>0</v>
      </c>
      <c r="J1550">
        <v>30</v>
      </c>
      <c r="K1550">
        <v>0</v>
      </c>
      <c r="L1550">
        <v>0</v>
      </c>
      <c r="M1550">
        <v>0</v>
      </c>
      <c r="N1550">
        <v>0</v>
      </c>
      <c r="O1550">
        <v>0</v>
      </c>
      <c r="P1550">
        <v>0</v>
      </c>
      <c r="Q1550">
        <v>0</v>
      </c>
      <c r="R1550">
        <v>15</v>
      </c>
      <c r="S1550">
        <v>105</v>
      </c>
      <c r="V1550">
        <v>0</v>
      </c>
      <c r="W1550">
        <v>850</v>
      </c>
    </row>
    <row r="1551" spans="1:23" x14ac:dyDescent="0.25">
      <c r="H1551" t="s">
        <v>1646</v>
      </c>
    </row>
    <row r="1552" spans="1:23" x14ac:dyDescent="0.25">
      <c r="A1552">
        <v>773</v>
      </c>
      <c r="B1552">
        <v>7398</v>
      </c>
      <c r="C1552" t="s">
        <v>2705</v>
      </c>
      <c r="D1552" t="s">
        <v>47</v>
      </c>
      <c r="E1552" t="s">
        <v>218</v>
      </c>
      <c r="F1552" t="s">
        <v>2706</v>
      </c>
      <c r="G1552" t="str">
        <f>"00086776"</f>
        <v>00086776</v>
      </c>
      <c r="H1552" t="s">
        <v>985</v>
      </c>
      <c r="I1552">
        <v>0</v>
      </c>
      <c r="J1552">
        <v>0</v>
      </c>
      <c r="K1552">
        <v>0</v>
      </c>
      <c r="L1552">
        <v>0</v>
      </c>
      <c r="M1552">
        <v>0</v>
      </c>
      <c r="N1552">
        <v>0</v>
      </c>
      <c r="O1552">
        <v>0</v>
      </c>
      <c r="P1552">
        <v>0</v>
      </c>
      <c r="Q1552">
        <v>0</v>
      </c>
      <c r="R1552">
        <v>0</v>
      </c>
      <c r="S1552">
        <v>0</v>
      </c>
      <c r="V1552">
        <v>0</v>
      </c>
      <c r="W1552" t="s">
        <v>985</v>
      </c>
    </row>
    <row r="1553" spans="1:23" x14ac:dyDescent="0.25">
      <c r="H1553" t="s">
        <v>2707</v>
      </c>
    </row>
    <row r="1554" spans="1:23" x14ac:dyDescent="0.25">
      <c r="A1554">
        <v>774</v>
      </c>
      <c r="B1554">
        <v>7398</v>
      </c>
      <c r="C1554" t="s">
        <v>2705</v>
      </c>
      <c r="D1554" t="s">
        <v>47</v>
      </c>
      <c r="E1554" t="s">
        <v>218</v>
      </c>
      <c r="F1554" t="s">
        <v>2706</v>
      </c>
      <c r="G1554" t="str">
        <f>"00086776"</f>
        <v>00086776</v>
      </c>
      <c r="H1554" t="s">
        <v>985</v>
      </c>
      <c r="I1554">
        <v>0</v>
      </c>
      <c r="J1554">
        <v>0</v>
      </c>
      <c r="K1554">
        <v>0</v>
      </c>
      <c r="L1554">
        <v>0</v>
      </c>
      <c r="M1554">
        <v>0</v>
      </c>
      <c r="N1554">
        <v>0</v>
      </c>
      <c r="O1554">
        <v>0</v>
      </c>
      <c r="P1554">
        <v>0</v>
      </c>
      <c r="Q1554">
        <v>0</v>
      </c>
      <c r="R1554">
        <v>0</v>
      </c>
      <c r="S1554">
        <v>0</v>
      </c>
      <c r="T1554">
        <v>6</v>
      </c>
      <c r="U1554">
        <v>906</v>
      </c>
      <c r="V1554">
        <v>0</v>
      </c>
      <c r="W1554" t="s">
        <v>985</v>
      </c>
    </row>
    <row r="1555" spans="1:23" x14ac:dyDescent="0.25">
      <c r="H1555" t="s">
        <v>2707</v>
      </c>
    </row>
    <row r="1556" spans="1:23" x14ac:dyDescent="0.25">
      <c r="A1556">
        <v>775</v>
      </c>
      <c r="B1556">
        <v>7786</v>
      </c>
      <c r="C1556" t="s">
        <v>2708</v>
      </c>
      <c r="D1556" t="s">
        <v>1045</v>
      </c>
      <c r="E1556" t="s">
        <v>121</v>
      </c>
      <c r="F1556" t="s">
        <v>2709</v>
      </c>
      <c r="G1556" t="str">
        <f>"00087361"</f>
        <v>00087361</v>
      </c>
      <c r="H1556">
        <v>847</v>
      </c>
      <c r="I1556">
        <v>0</v>
      </c>
      <c r="J1556">
        <v>0</v>
      </c>
      <c r="K1556">
        <v>0</v>
      </c>
      <c r="L1556">
        <v>0</v>
      </c>
      <c r="M1556">
        <v>0</v>
      </c>
      <c r="N1556">
        <v>0</v>
      </c>
      <c r="O1556">
        <v>0</v>
      </c>
      <c r="P1556">
        <v>0</v>
      </c>
      <c r="Q1556">
        <v>0</v>
      </c>
      <c r="R1556">
        <v>0</v>
      </c>
      <c r="S1556">
        <v>0</v>
      </c>
      <c r="V1556">
        <v>0</v>
      </c>
      <c r="W1556">
        <v>847</v>
      </c>
    </row>
    <row r="1557" spans="1:23" x14ac:dyDescent="0.25">
      <c r="H1557" t="s">
        <v>2710</v>
      </c>
    </row>
    <row r="1558" spans="1:23" x14ac:dyDescent="0.25">
      <c r="A1558">
        <v>776</v>
      </c>
      <c r="B1558">
        <v>4862</v>
      </c>
      <c r="C1558" t="s">
        <v>2711</v>
      </c>
      <c r="D1558" t="s">
        <v>1594</v>
      </c>
      <c r="E1558" t="s">
        <v>141</v>
      </c>
      <c r="F1558" t="s">
        <v>2712</v>
      </c>
      <c r="G1558" t="str">
        <f>"201512000560"</f>
        <v>201512000560</v>
      </c>
      <c r="H1558">
        <v>825</v>
      </c>
      <c r="I1558">
        <v>0</v>
      </c>
      <c r="J1558">
        <v>0</v>
      </c>
      <c r="K1558">
        <v>0</v>
      </c>
      <c r="L1558">
        <v>0</v>
      </c>
      <c r="M1558">
        <v>0</v>
      </c>
      <c r="N1558">
        <v>0</v>
      </c>
      <c r="O1558">
        <v>0</v>
      </c>
      <c r="P1558">
        <v>0</v>
      </c>
      <c r="Q1558">
        <v>0</v>
      </c>
      <c r="R1558">
        <v>3</v>
      </c>
      <c r="S1558">
        <v>21</v>
      </c>
      <c r="T1558">
        <v>6</v>
      </c>
      <c r="U1558">
        <v>935</v>
      </c>
      <c r="V1558">
        <v>0</v>
      </c>
      <c r="W1558">
        <v>846</v>
      </c>
    </row>
    <row r="1559" spans="1:23" x14ac:dyDescent="0.25">
      <c r="H1559" t="s">
        <v>2713</v>
      </c>
    </row>
    <row r="1560" spans="1:23" x14ac:dyDescent="0.25">
      <c r="A1560">
        <v>777</v>
      </c>
      <c r="B1560">
        <v>4862</v>
      </c>
      <c r="C1560" t="s">
        <v>2711</v>
      </c>
      <c r="D1560" t="s">
        <v>1594</v>
      </c>
      <c r="E1560" t="s">
        <v>141</v>
      </c>
      <c r="F1560" t="s">
        <v>2712</v>
      </c>
      <c r="G1560" t="str">
        <f>"201512000560"</f>
        <v>201512000560</v>
      </c>
      <c r="H1560">
        <v>825</v>
      </c>
      <c r="I1560">
        <v>0</v>
      </c>
      <c r="J1560">
        <v>0</v>
      </c>
      <c r="K1560">
        <v>0</v>
      </c>
      <c r="L1560">
        <v>0</v>
      </c>
      <c r="M1560">
        <v>0</v>
      </c>
      <c r="N1560">
        <v>0</v>
      </c>
      <c r="O1560">
        <v>0</v>
      </c>
      <c r="P1560">
        <v>0</v>
      </c>
      <c r="Q1560">
        <v>0</v>
      </c>
      <c r="R1560">
        <v>3</v>
      </c>
      <c r="S1560">
        <v>21</v>
      </c>
      <c r="V1560">
        <v>0</v>
      </c>
      <c r="W1560">
        <v>846</v>
      </c>
    </row>
    <row r="1561" spans="1:23" x14ac:dyDescent="0.25">
      <c r="H1561" t="s">
        <v>2713</v>
      </c>
    </row>
    <row r="1562" spans="1:23" x14ac:dyDescent="0.25">
      <c r="A1562">
        <v>778</v>
      </c>
      <c r="B1562">
        <v>6140</v>
      </c>
      <c r="C1562" t="s">
        <v>2480</v>
      </c>
      <c r="D1562" t="s">
        <v>1124</v>
      </c>
      <c r="E1562" t="s">
        <v>42</v>
      </c>
      <c r="F1562" t="s">
        <v>2714</v>
      </c>
      <c r="G1562" t="str">
        <f>"00097770"</f>
        <v>00097770</v>
      </c>
      <c r="H1562">
        <v>836</v>
      </c>
      <c r="I1562">
        <v>0</v>
      </c>
      <c r="J1562">
        <v>0</v>
      </c>
      <c r="K1562">
        <v>0</v>
      </c>
      <c r="L1562">
        <v>0</v>
      </c>
      <c r="M1562">
        <v>0</v>
      </c>
      <c r="N1562">
        <v>0</v>
      </c>
      <c r="O1562">
        <v>0</v>
      </c>
      <c r="P1562">
        <v>0</v>
      </c>
      <c r="Q1562">
        <v>0</v>
      </c>
      <c r="R1562">
        <v>0</v>
      </c>
      <c r="S1562">
        <v>0</v>
      </c>
      <c r="V1562">
        <v>0</v>
      </c>
      <c r="W1562">
        <v>836</v>
      </c>
    </row>
    <row r="1563" spans="1:23" x14ac:dyDescent="0.25">
      <c r="H1563" t="s">
        <v>2715</v>
      </c>
    </row>
    <row r="1564" spans="1:23" x14ac:dyDescent="0.25">
      <c r="A1564">
        <v>779</v>
      </c>
      <c r="B1564">
        <v>4224</v>
      </c>
      <c r="C1564" t="s">
        <v>2716</v>
      </c>
      <c r="D1564" t="s">
        <v>14</v>
      </c>
      <c r="E1564" t="s">
        <v>150</v>
      </c>
      <c r="F1564" t="s">
        <v>2717</v>
      </c>
      <c r="G1564" t="str">
        <f>"201511028025"</f>
        <v>201511028025</v>
      </c>
      <c r="H1564">
        <v>660</v>
      </c>
      <c r="I1564">
        <v>0</v>
      </c>
      <c r="J1564">
        <v>0</v>
      </c>
      <c r="K1564">
        <v>0</v>
      </c>
      <c r="L1564">
        <v>0</v>
      </c>
      <c r="M1564">
        <v>0</v>
      </c>
      <c r="N1564">
        <v>0</v>
      </c>
      <c r="O1564">
        <v>0</v>
      </c>
      <c r="P1564">
        <v>0</v>
      </c>
      <c r="Q1564">
        <v>0</v>
      </c>
      <c r="R1564">
        <v>25</v>
      </c>
      <c r="S1564">
        <v>175</v>
      </c>
      <c r="V1564">
        <v>0</v>
      </c>
      <c r="W1564">
        <v>835</v>
      </c>
    </row>
    <row r="1565" spans="1:23" x14ac:dyDescent="0.25">
      <c r="H1565" t="s">
        <v>2718</v>
      </c>
    </row>
    <row r="1566" spans="1:23" x14ac:dyDescent="0.25">
      <c r="A1566">
        <v>780</v>
      </c>
      <c r="B1566">
        <v>1911</v>
      </c>
      <c r="C1566" t="s">
        <v>2719</v>
      </c>
      <c r="D1566" t="s">
        <v>145</v>
      </c>
      <c r="E1566" t="s">
        <v>523</v>
      </c>
      <c r="F1566" t="s">
        <v>2720</v>
      </c>
      <c r="G1566" t="str">
        <f>"201511028875"</f>
        <v>201511028875</v>
      </c>
      <c r="H1566">
        <v>770</v>
      </c>
      <c r="I1566">
        <v>0</v>
      </c>
      <c r="J1566">
        <v>0</v>
      </c>
      <c r="K1566">
        <v>0</v>
      </c>
      <c r="L1566">
        <v>0</v>
      </c>
      <c r="M1566">
        <v>0</v>
      </c>
      <c r="N1566">
        <v>0</v>
      </c>
      <c r="O1566">
        <v>0</v>
      </c>
      <c r="P1566">
        <v>0</v>
      </c>
      <c r="Q1566">
        <v>0</v>
      </c>
      <c r="R1566">
        <v>9</v>
      </c>
      <c r="S1566">
        <v>63</v>
      </c>
      <c r="V1566">
        <v>0</v>
      </c>
      <c r="W1566">
        <v>833</v>
      </c>
    </row>
    <row r="1567" spans="1:23" x14ac:dyDescent="0.25">
      <c r="H1567" t="s">
        <v>2721</v>
      </c>
    </row>
    <row r="1568" spans="1:23" x14ac:dyDescent="0.25">
      <c r="A1568">
        <v>781</v>
      </c>
      <c r="B1568">
        <v>4680</v>
      </c>
      <c r="C1568" t="s">
        <v>2722</v>
      </c>
      <c r="D1568" t="s">
        <v>156</v>
      </c>
      <c r="E1568" t="s">
        <v>21</v>
      </c>
      <c r="F1568" t="s">
        <v>2723</v>
      </c>
      <c r="G1568" t="str">
        <f>"00043564"</f>
        <v>00043564</v>
      </c>
      <c r="H1568" t="s">
        <v>1102</v>
      </c>
      <c r="I1568">
        <v>0</v>
      </c>
      <c r="J1568">
        <v>0</v>
      </c>
      <c r="K1568">
        <v>0</v>
      </c>
      <c r="L1568">
        <v>0</v>
      </c>
      <c r="M1568">
        <v>0</v>
      </c>
      <c r="N1568">
        <v>0</v>
      </c>
      <c r="O1568">
        <v>0</v>
      </c>
      <c r="P1568">
        <v>0</v>
      </c>
      <c r="Q1568">
        <v>0</v>
      </c>
      <c r="R1568">
        <v>8</v>
      </c>
      <c r="S1568">
        <v>56</v>
      </c>
      <c r="V1568">
        <v>0</v>
      </c>
      <c r="W1568" t="s">
        <v>2724</v>
      </c>
    </row>
    <row r="1569" spans="1:23" x14ac:dyDescent="0.25">
      <c r="H1569" t="s">
        <v>2725</v>
      </c>
    </row>
    <row r="1570" spans="1:23" x14ac:dyDescent="0.25">
      <c r="A1570">
        <v>782</v>
      </c>
      <c r="B1570">
        <v>720</v>
      </c>
      <c r="C1570" t="s">
        <v>2726</v>
      </c>
      <c r="D1570" t="s">
        <v>877</v>
      </c>
      <c r="E1570" t="s">
        <v>53</v>
      </c>
      <c r="F1570" t="s">
        <v>2727</v>
      </c>
      <c r="G1570" t="str">
        <f>"00016124"</f>
        <v>00016124</v>
      </c>
      <c r="H1570" t="s">
        <v>2728</v>
      </c>
      <c r="I1570">
        <v>0</v>
      </c>
      <c r="J1570">
        <v>0</v>
      </c>
      <c r="K1570">
        <v>0</v>
      </c>
      <c r="L1570">
        <v>0</v>
      </c>
      <c r="M1570">
        <v>0</v>
      </c>
      <c r="N1570">
        <v>0</v>
      </c>
      <c r="O1570">
        <v>0</v>
      </c>
      <c r="P1570">
        <v>0</v>
      </c>
      <c r="Q1570">
        <v>0</v>
      </c>
      <c r="R1570">
        <v>16</v>
      </c>
      <c r="S1570">
        <v>112</v>
      </c>
      <c r="V1570">
        <v>0</v>
      </c>
      <c r="W1570" t="s">
        <v>2729</v>
      </c>
    </row>
    <row r="1571" spans="1:23" x14ac:dyDescent="0.25">
      <c r="H1571" t="s">
        <v>2730</v>
      </c>
    </row>
    <row r="1572" spans="1:23" x14ac:dyDescent="0.25">
      <c r="A1572">
        <v>783</v>
      </c>
      <c r="B1572">
        <v>8849</v>
      </c>
      <c r="C1572" t="s">
        <v>1726</v>
      </c>
      <c r="D1572" t="s">
        <v>71</v>
      </c>
      <c r="E1572" t="s">
        <v>47</v>
      </c>
      <c r="F1572" t="s">
        <v>2731</v>
      </c>
      <c r="G1572" t="str">
        <f>"201406015856"</f>
        <v>201406015856</v>
      </c>
      <c r="H1572">
        <v>759</v>
      </c>
      <c r="I1572">
        <v>0</v>
      </c>
      <c r="J1572">
        <v>70</v>
      </c>
      <c r="K1572">
        <v>0</v>
      </c>
      <c r="L1572">
        <v>0</v>
      </c>
      <c r="M1572">
        <v>0</v>
      </c>
      <c r="N1572">
        <v>0</v>
      </c>
      <c r="O1572">
        <v>0</v>
      </c>
      <c r="P1572">
        <v>0</v>
      </c>
      <c r="Q1572">
        <v>0</v>
      </c>
      <c r="R1572">
        <v>0</v>
      </c>
      <c r="S1572">
        <v>0</v>
      </c>
      <c r="V1572">
        <v>0</v>
      </c>
      <c r="W1572">
        <v>829</v>
      </c>
    </row>
    <row r="1573" spans="1:23" x14ac:dyDescent="0.25">
      <c r="H1573" t="s">
        <v>2313</v>
      </c>
    </row>
    <row r="1574" spans="1:23" x14ac:dyDescent="0.25">
      <c r="A1574">
        <v>784</v>
      </c>
      <c r="B1574">
        <v>6511</v>
      </c>
      <c r="C1574" t="s">
        <v>2732</v>
      </c>
      <c r="D1574" t="s">
        <v>156</v>
      </c>
      <c r="E1574" t="s">
        <v>53</v>
      </c>
      <c r="F1574" t="s">
        <v>2733</v>
      </c>
      <c r="G1574" t="str">
        <f>"201511025846"</f>
        <v>201511025846</v>
      </c>
      <c r="H1574" t="s">
        <v>2734</v>
      </c>
      <c r="I1574">
        <v>0</v>
      </c>
      <c r="J1574">
        <v>0</v>
      </c>
      <c r="K1574">
        <v>0</v>
      </c>
      <c r="L1574">
        <v>0</v>
      </c>
      <c r="M1574">
        <v>0</v>
      </c>
      <c r="N1574">
        <v>0</v>
      </c>
      <c r="O1574">
        <v>0</v>
      </c>
      <c r="P1574">
        <v>0</v>
      </c>
      <c r="Q1574">
        <v>0</v>
      </c>
      <c r="R1574">
        <v>0</v>
      </c>
      <c r="S1574">
        <v>0</v>
      </c>
      <c r="V1574">
        <v>0</v>
      </c>
      <c r="W1574" t="s">
        <v>2734</v>
      </c>
    </row>
    <row r="1575" spans="1:23" x14ac:dyDescent="0.25">
      <c r="H1575" t="s">
        <v>2735</v>
      </c>
    </row>
    <row r="1576" spans="1:23" x14ac:dyDescent="0.25">
      <c r="A1576">
        <v>785</v>
      </c>
      <c r="B1576">
        <v>9355</v>
      </c>
      <c r="C1576" t="s">
        <v>2589</v>
      </c>
      <c r="D1576" t="s">
        <v>71</v>
      </c>
      <c r="E1576" t="s">
        <v>2590</v>
      </c>
      <c r="F1576" t="s">
        <v>2591</v>
      </c>
      <c r="G1576" t="str">
        <f>"00057203"</f>
        <v>00057203</v>
      </c>
      <c r="H1576">
        <v>825</v>
      </c>
      <c r="I1576">
        <v>0</v>
      </c>
      <c r="J1576">
        <v>0</v>
      </c>
      <c r="K1576">
        <v>0</v>
      </c>
      <c r="L1576">
        <v>0</v>
      </c>
      <c r="M1576">
        <v>0</v>
      </c>
      <c r="N1576">
        <v>0</v>
      </c>
      <c r="O1576">
        <v>0</v>
      </c>
      <c r="P1576">
        <v>0</v>
      </c>
      <c r="Q1576">
        <v>0</v>
      </c>
      <c r="R1576">
        <v>0</v>
      </c>
      <c r="S1576">
        <v>0</v>
      </c>
      <c r="V1576">
        <v>2</v>
      </c>
      <c r="W1576">
        <v>825</v>
      </c>
    </row>
    <row r="1577" spans="1:23" x14ac:dyDescent="0.25">
      <c r="H1577" t="s">
        <v>2592</v>
      </c>
    </row>
    <row r="1578" spans="1:23" x14ac:dyDescent="0.25">
      <c r="A1578">
        <v>786</v>
      </c>
      <c r="B1578">
        <v>7885</v>
      </c>
      <c r="C1578" t="s">
        <v>2736</v>
      </c>
      <c r="D1578" t="s">
        <v>31</v>
      </c>
      <c r="E1578" t="s">
        <v>533</v>
      </c>
      <c r="F1578" t="s">
        <v>2737</v>
      </c>
      <c r="G1578" t="str">
        <f>"00005940"</f>
        <v>00005940</v>
      </c>
      <c r="H1578">
        <v>825</v>
      </c>
      <c r="I1578">
        <v>0</v>
      </c>
      <c r="J1578">
        <v>0</v>
      </c>
      <c r="K1578">
        <v>0</v>
      </c>
      <c r="L1578">
        <v>0</v>
      </c>
      <c r="M1578">
        <v>0</v>
      </c>
      <c r="N1578">
        <v>0</v>
      </c>
      <c r="O1578">
        <v>0</v>
      </c>
      <c r="P1578">
        <v>0</v>
      </c>
      <c r="Q1578">
        <v>0</v>
      </c>
      <c r="R1578">
        <v>0</v>
      </c>
      <c r="S1578">
        <v>0</v>
      </c>
      <c r="V1578">
        <v>0</v>
      </c>
      <c r="W1578">
        <v>825</v>
      </c>
    </row>
    <row r="1579" spans="1:23" x14ac:dyDescent="0.25">
      <c r="H1579" t="s">
        <v>295</v>
      </c>
    </row>
    <row r="1580" spans="1:23" x14ac:dyDescent="0.25">
      <c r="A1580">
        <v>787</v>
      </c>
      <c r="B1580">
        <v>3630</v>
      </c>
      <c r="C1580" t="s">
        <v>2738</v>
      </c>
      <c r="D1580" t="s">
        <v>190</v>
      </c>
      <c r="E1580" t="s">
        <v>21</v>
      </c>
      <c r="F1580" t="s">
        <v>2739</v>
      </c>
      <c r="G1580" t="str">
        <f>"201512000133"</f>
        <v>201512000133</v>
      </c>
      <c r="H1580">
        <v>825</v>
      </c>
      <c r="I1580">
        <v>0</v>
      </c>
      <c r="J1580">
        <v>0</v>
      </c>
      <c r="K1580">
        <v>0</v>
      </c>
      <c r="L1580">
        <v>0</v>
      </c>
      <c r="M1580">
        <v>0</v>
      </c>
      <c r="N1580">
        <v>0</v>
      </c>
      <c r="O1580">
        <v>0</v>
      </c>
      <c r="P1580">
        <v>0</v>
      </c>
      <c r="Q1580">
        <v>0</v>
      </c>
      <c r="R1580">
        <v>0</v>
      </c>
      <c r="S1580">
        <v>0</v>
      </c>
      <c r="V1580">
        <v>0</v>
      </c>
      <c r="W1580">
        <v>825</v>
      </c>
    </row>
    <row r="1581" spans="1:23" x14ac:dyDescent="0.25">
      <c r="H1581" t="s">
        <v>2740</v>
      </c>
    </row>
    <row r="1582" spans="1:23" x14ac:dyDescent="0.25">
      <c r="A1582">
        <v>788</v>
      </c>
      <c r="B1582">
        <v>6470</v>
      </c>
      <c r="C1582" t="s">
        <v>2741</v>
      </c>
      <c r="D1582" t="s">
        <v>2742</v>
      </c>
      <c r="E1582" t="s">
        <v>42</v>
      </c>
      <c r="F1582" t="s">
        <v>2743</v>
      </c>
      <c r="G1582" t="str">
        <f>"201511037677"</f>
        <v>201511037677</v>
      </c>
      <c r="H1582">
        <v>825</v>
      </c>
      <c r="I1582">
        <v>0</v>
      </c>
      <c r="J1582">
        <v>0</v>
      </c>
      <c r="K1582">
        <v>0</v>
      </c>
      <c r="L1582">
        <v>0</v>
      </c>
      <c r="M1582">
        <v>0</v>
      </c>
      <c r="N1582">
        <v>0</v>
      </c>
      <c r="O1582">
        <v>0</v>
      </c>
      <c r="P1582">
        <v>0</v>
      </c>
      <c r="Q1582">
        <v>0</v>
      </c>
      <c r="R1582">
        <v>0</v>
      </c>
      <c r="S1582">
        <v>0</v>
      </c>
      <c r="V1582">
        <v>1</v>
      </c>
      <c r="W1582">
        <v>825</v>
      </c>
    </row>
    <row r="1583" spans="1:23" x14ac:dyDescent="0.25">
      <c r="H1583" t="s">
        <v>2744</v>
      </c>
    </row>
    <row r="1584" spans="1:23" x14ac:dyDescent="0.25">
      <c r="A1584">
        <v>789</v>
      </c>
      <c r="B1584">
        <v>9641</v>
      </c>
      <c r="C1584" t="s">
        <v>2745</v>
      </c>
      <c r="D1584" t="s">
        <v>901</v>
      </c>
      <c r="E1584" t="s">
        <v>87</v>
      </c>
      <c r="F1584" t="s">
        <v>2746</v>
      </c>
      <c r="G1584" t="str">
        <f>"00020183"</f>
        <v>00020183</v>
      </c>
      <c r="H1584" t="s">
        <v>2747</v>
      </c>
      <c r="I1584">
        <v>0</v>
      </c>
      <c r="J1584">
        <v>0</v>
      </c>
      <c r="K1584">
        <v>0</v>
      </c>
      <c r="L1584">
        <v>0</v>
      </c>
      <c r="M1584">
        <v>0</v>
      </c>
      <c r="N1584">
        <v>0</v>
      </c>
      <c r="O1584">
        <v>0</v>
      </c>
      <c r="P1584">
        <v>0</v>
      </c>
      <c r="Q1584">
        <v>0</v>
      </c>
      <c r="R1584">
        <v>11</v>
      </c>
      <c r="S1584">
        <v>77</v>
      </c>
      <c r="V1584">
        <v>0</v>
      </c>
      <c r="W1584" t="s">
        <v>2748</v>
      </c>
    </row>
    <row r="1585" spans="1:23" x14ac:dyDescent="0.25">
      <c r="H1585" t="s">
        <v>2749</v>
      </c>
    </row>
    <row r="1586" spans="1:23" x14ac:dyDescent="0.25">
      <c r="A1586">
        <v>790</v>
      </c>
      <c r="B1586">
        <v>7089</v>
      </c>
      <c r="C1586" t="s">
        <v>2750</v>
      </c>
      <c r="D1586" t="s">
        <v>42</v>
      </c>
      <c r="E1586" t="s">
        <v>830</v>
      </c>
      <c r="F1586" t="s">
        <v>2751</v>
      </c>
      <c r="G1586" t="str">
        <f>"00018991"</f>
        <v>00018991</v>
      </c>
      <c r="H1586">
        <v>693</v>
      </c>
      <c r="I1586">
        <v>0</v>
      </c>
      <c r="J1586">
        <v>0</v>
      </c>
      <c r="K1586">
        <v>0</v>
      </c>
      <c r="L1586">
        <v>0</v>
      </c>
      <c r="M1586">
        <v>0</v>
      </c>
      <c r="N1586">
        <v>0</v>
      </c>
      <c r="O1586">
        <v>0</v>
      </c>
      <c r="P1586">
        <v>0</v>
      </c>
      <c r="Q1586">
        <v>0</v>
      </c>
      <c r="R1586">
        <v>18</v>
      </c>
      <c r="S1586">
        <v>126</v>
      </c>
      <c r="V1586">
        <v>0</v>
      </c>
      <c r="W1586">
        <v>819</v>
      </c>
    </row>
    <row r="1587" spans="1:23" x14ac:dyDescent="0.25">
      <c r="H1587" t="s">
        <v>2752</v>
      </c>
    </row>
    <row r="1588" spans="1:23" x14ac:dyDescent="0.25">
      <c r="A1588">
        <v>791</v>
      </c>
      <c r="B1588">
        <v>437</v>
      </c>
      <c r="C1588" t="s">
        <v>2753</v>
      </c>
      <c r="D1588" t="s">
        <v>830</v>
      </c>
      <c r="E1588" t="s">
        <v>121</v>
      </c>
      <c r="F1588" t="s">
        <v>2754</v>
      </c>
      <c r="G1588" t="str">
        <f>"201510000796"</f>
        <v>201510000796</v>
      </c>
      <c r="H1588" t="s">
        <v>2755</v>
      </c>
      <c r="I1588">
        <v>0</v>
      </c>
      <c r="J1588">
        <v>0</v>
      </c>
      <c r="K1588">
        <v>0</v>
      </c>
      <c r="L1588">
        <v>0</v>
      </c>
      <c r="M1588">
        <v>0</v>
      </c>
      <c r="N1588">
        <v>0</v>
      </c>
      <c r="O1588">
        <v>0</v>
      </c>
      <c r="P1588">
        <v>0</v>
      </c>
      <c r="Q1588">
        <v>0</v>
      </c>
      <c r="R1588">
        <v>0</v>
      </c>
      <c r="S1588">
        <v>0</v>
      </c>
      <c r="V1588">
        <v>0</v>
      </c>
      <c r="W1588" t="s">
        <v>2755</v>
      </c>
    </row>
    <row r="1589" spans="1:23" x14ac:dyDescent="0.25">
      <c r="H1589" t="s">
        <v>2570</v>
      </c>
    </row>
    <row r="1590" spans="1:23" x14ac:dyDescent="0.25">
      <c r="A1590">
        <v>792</v>
      </c>
      <c r="B1590">
        <v>6150</v>
      </c>
      <c r="C1590" t="s">
        <v>2756</v>
      </c>
      <c r="D1590" t="s">
        <v>88</v>
      </c>
      <c r="E1590" t="s">
        <v>1107</v>
      </c>
      <c r="F1590" t="s">
        <v>2757</v>
      </c>
      <c r="G1590" t="str">
        <f>"201511026745"</f>
        <v>201511026745</v>
      </c>
      <c r="H1590">
        <v>770</v>
      </c>
      <c r="I1590">
        <v>0</v>
      </c>
      <c r="J1590">
        <v>0</v>
      </c>
      <c r="K1590">
        <v>0</v>
      </c>
      <c r="L1590">
        <v>0</v>
      </c>
      <c r="M1590">
        <v>0</v>
      </c>
      <c r="N1590">
        <v>0</v>
      </c>
      <c r="O1590">
        <v>0</v>
      </c>
      <c r="P1590">
        <v>0</v>
      </c>
      <c r="Q1590">
        <v>0</v>
      </c>
      <c r="R1590">
        <v>6</v>
      </c>
      <c r="S1590">
        <v>42</v>
      </c>
      <c r="V1590">
        <v>0</v>
      </c>
      <c r="W1590">
        <v>812</v>
      </c>
    </row>
    <row r="1591" spans="1:23" x14ac:dyDescent="0.25">
      <c r="H1591" t="s">
        <v>409</v>
      </c>
    </row>
    <row r="1592" spans="1:23" x14ac:dyDescent="0.25">
      <c r="A1592">
        <v>793</v>
      </c>
      <c r="B1592">
        <v>3813</v>
      </c>
      <c r="C1592" t="s">
        <v>2758</v>
      </c>
      <c r="D1592" t="s">
        <v>877</v>
      </c>
      <c r="E1592" t="s">
        <v>95</v>
      </c>
      <c r="F1592" t="s">
        <v>2759</v>
      </c>
      <c r="G1592" t="str">
        <f>"00085489"</f>
        <v>00085489</v>
      </c>
      <c r="H1592" t="s">
        <v>1924</v>
      </c>
      <c r="I1592">
        <v>0</v>
      </c>
      <c r="J1592">
        <v>0</v>
      </c>
      <c r="K1592">
        <v>0</v>
      </c>
      <c r="L1592">
        <v>0</v>
      </c>
      <c r="M1592">
        <v>0</v>
      </c>
      <c r="N1592">
        <v>0</v>
      </c>
      <c r="O1592">
        <v>0</v>
      </c>
      <c r="P1592">
        <v>0</v>
      </c>
      <c r="Q1592">
        <v>0</v>
      </c>
      <c r="R1592">
        <v>0</v>
      </c>
      <c r="S1592">
        <v>0</v>
      </c>
      <c r="V1592">
        <v>2</v>
      </c>
      <c r="W1592" t="s">
        <v>1924</v>
      </c>
    </row>
    <row r="1593" spans="1:23" x14ac:dyDescent="0.25">
      <c r="H1593" t="s">
        <v>2760</v>
      </c>
    </row>
    <row r="1594" spans="1:23" x14ac:dyDescent="0.25">
      <c r="A1594">
        <v>794</v>
      </c>
      <c r="B1594">
        <v>7989</v>
      </c>
      <c r="C1594" t="s">
        <v>1987</v>
      </c>
      <c r="D1594" t="s">
        <v>2761</v>
      </c>
      <c r="E1594" t="s">
        <v>87</v>
      </c>
      <c r="F1594" t="s">
        <v>2762</v>
      </c>
      <c r="G1594" t="str">
        <f>"201511030326"</f>
        <v>201511030326</v>
      </c>
      <c r="H1594">
        <v>550</v>
      </c>
      <c r="I1594">
        <v>0</v>
      </c>
      <c r="J1594">
        <v>0</v>
      </c>
      <c r="K1594">
        <v>0</v>
      </c>
      <c r="L1594">
        <v>0</v>
      </c>
      <c r="M1594">
        <v>0</v>
      </c>
      <c r="N1594">
        <v>0</v>
      </c>
      <c r="O1594">
        <v>0</v>
      </c>
      <c r="P1594">
        <v>0</v>
      </c>
      <c r="Q1594">
        <v>0</v>
      </c>
      <c r="R1594">
        <v>37</v>
      </c>
      <c r="S1594">
        <v>259</v>
      </c>
      <c r="V1594">
        <v>0</v>
      </c>
      <c r="W1594">
        <v>809</v>
      </c>
    </row>
    <row r="1595" spans="1:23" x14ac:dyDescent="0.25">
      <c r="H1595" t="s">
        <v>2763</v>
      </c>
    </row>
    <row r="1596" spans="1:23" x14ac:dyDescent="0.25">
      <c r="A1596">
        <v>795</v>
      </c>
      <c r="B1596">
        <v>5444</v>
      </c>
      <c r="C1596" t="s">
        <v>2764</v>
      </c>
      <c r="D1596" t="s">
        <v>465</v>
      </c>
      <c r="E1596" t="s">
        <v>121</v>
      </c>
      <c r="F1596" t="s">
        <v>2765</v>
      </c>
      <c r="G1596" t="str">
        <f>"00090882"</f>
        <v>00090882</v>
      </c>
      <c r="H1596" t="s">
        <v>1009</v>
      </c>
      <c r="I1596">
        <v>0</v>
      </c>
      <c r="J1596">
        <v>0</v>
      </c>
      <c r="K1596">
        <v>0</v>
      </c>
      <c r="L1596">
        <v>0</v>
      </c>
      <c r="M1596">
        <v>0</v>
      </c>
      <c r="N1596">
        <v>0</v>
      </c>
      <c r="O1596">
        <v>0</v>
      </c>
      <c r="P1596">
        <v>0</v>
      </c>
      <c r="Q1596">
        <v>0</v>
      </c>
      <c r="R1596">
        <v>0</v>
      </c>
      <c r="S1596">
        <v>0</v>
      </c>
      <c r="V1596">
        <v>2</v>
      </c>
      <c r="W1596" t="s">
        <v>1009</v>
      </c>
    </row>
    <row r="1597" spans="1:23" x14ac:dyDescent="0.25">
      <c r="H1597" t="s">
        <v>2766</v>
      </c>
    </row>
    <row r="1598" spans="1:23" x14ac:dyDescent="0.25">
      <c r="A1598">
        <v>796</v>
      </c>
      <c r="B1598">
        <v>248</v>
      </c>
      <c r="C1598" t="s">
        <v>2767</v>
      </c>
      <c r="D1598" t="s">
        <v>31</v>
      </c>
      <c r="E1598" t="s">
        <v>32</v>
      </c>
      <c r="F1598" t="s">
        <v>2768</v>
      </c>
      <c r="G1598" t="str">
        <f>"00024366"</f>
        <v>00024366</v>
      </c>
      <c r="H1598">
        <v>770</v>
      </c>
      <c r="I1598">
        <v>0</v>
      </c>
      <c r="J1598">
        <v>30</v>
      </c>
      <c r="K1598">
        <v>0</v>
      </c>
      <c r="L1598">
        <v>0</v>
      </c>
      <c r="M1598">
        <v>0</v>
      </c>
      <c r="N1598">
        <v>0</v>
      </c>
      <c r="O1598">
        <v>0</v>
      </c>
      <c r="P1598">
        <v>0</v>
      </c>
      <c r="Q1598">
        <v>0</v>
      </c>
      <c r="R1598">
        <v>0</v>
      </c>
      <c r="S1598">
        <v>0</v>
      </c>
      <c r="V1598">
        <v>0</v>
      </c>
      <c r="W1598">
        <v>800</v>
      </c>
    </row>
    <row r="1599" spans="1:23" x14ac:dyDescent="0.25">
      <c r="H1599" t="s">
        <v>2769</v>
      </c>
    </row>
    <row r="1600" spans="1:23" x14ac:dyDescent="0.25">
      <c r="A1600">
        <v>797</v>
      </c>
      <c r="B1600">
        <v>4527</v>
      </c>
      <c r="C1600" t="s">
        <v>2137</v>
      </c>
      <c r="D1600" t="s">
        <v>94</v>
      </c>
      <c r="E1600" t="s">
        <v>71</v>
      </c>
      <c r="F1600" t="s">
        <v>2138</v>
      </c>
      <c r="G1600" t="str">
        <f>"201511025365"</f>
        <v>201511025365</v>
      </c>
      <c r="H1600">
        <v>770</v>
      </c>
      <c r="I1600">
        <v>0</v>
      </c>
      <c r="J1600">
        <v>30</v>
      </c>
      <c r="K1600">
        <v>0</v>
      </c>
      <c r="L1600">
        <v>0</v>
      </c>
      <c r="M1600">
        <v>0</v>
      </c>
      <c r="N1600">
        <v>0</v>
      </c>
      <c r="O1600">
        <v>0</v>
      </c>
      <c r="P1600">
        <v>0</v>
      </c>
      <c r="Q1600">
        <v>0</v>
      </c>
      <c r="R1600">
        <v>0</v>
      </c>
      <c r="S1600">
        <v>0</v>
      </c>
      <c r="V1600">
        <v>0</v>
      </c>
      <c r="W1600">
        <v>800</v>
      </c>
    </row>
    <row r="1601" spans="1:23" x14ac:dyDescent="0.25">
      <c r="H1601" t="s">
        <v>2139</v>
      </c>
    </row>
    <row r="1602" spans="1:23" x14ac:dyDescent="0.25">
      <c r="A1602">
        <v>798</v>
      </c>
      <c r="B1602">
        <v>9550</v>
      </c>
      <c r="C1602" t="s">
        <v>2770</v>
      </c>
      <c r="D1602" t="s">
        <v>2040</v>
      </c>
      <c r="E1602" t="s">
        <v>88</v>
      </c>
      <c r="F1602" t="s">
        <v>2771</v>
      </c>
      <c r="G1602" t="str">
        <f>"201512000413"</f>
        <v>201512000413</v>
      </c>
      <c r="H1602">
        <v>770</v>
      </c>
      <c r="I1602">
        <v>0</v>
      </c>
      <c r="J1602">
        <v>30</v>
      </c>
      <c r="K1602">
        <v>0</v>
      </c>
      <c r="L1602">
        <v>0</v>
      </c>
      <c r="M1602">
        <v>0</v>
      </c>
      <c r="N1602">
        <v>0</v>
      </c>
      <c r="O1602">
        <v>0</v>
      </c>
      <c r="P1602">
        <v>0</v>
      </c>
      <c r="Q1602">
        <v>0</v>
      </c>
      <c r="R1602">
        <v>0</v>
      </c>
      <c r="S1602">
        <v>0</v>
      </c>
      <c r="V1602">
        <v>1</v>
      </c>
      <c r="W1602">
        <v>800</v>
      </c>
    </row>
    <row r="1603" spans="1:23" x14ac:dyDescent="0.25">
      <c r="H1603" t="s">
        <v>2772</v>
      </c>
    </row>
    <row r="1604" spans="1:23" x14ac:dyDescent="0.25">
      <c r="A1604">
        <v>799</v>
      </c>
      <c r="B1604">
        <v>3089</v>
      </c>
      <c r="C1604" t="s">
        <v>2773</v>
      </c>
      <c r="D1604" t="s">
        <v>179</v>
      </c>
      <c r="E1604" t="s">
        <v>21</v>
      </c>
      <c r="F1604" t="s">
        <v>2774</v>
      </c>
      <c r="G1604" t="str">
        <f>"00024652"</f>
        <v>00024652</v>
      </c>
      <c r="H1604" t="s">
        <v>2775</v>
      </c>
      <c r="I1604">
        <v>0</v>
      </c>
      <c r="J1604">
        <v>50</v>
      </c>
      <c r="K1604">
        <v>0</v>
      </c>
      <c r="L1604">
        <v>0</v>
      </c>
      <c r="M1604">
        <v>0</v>
      </c>
      <c r="N1604">
        <v>0</v>
      </c>
      <c r="O1604">
        <v>0</v>
      </c>
      <c r="P1604">
        <v>0</v>
      </c>
      <c r="Q1604">
        <v>0</v>
      </c>
      <c r="R1604">
        <v>0</v>
      </c>
      <c r="S1604">
        <v>0</v>
      </c>
      <c r="V1604">
        <v>0</v>
      </c>
      <c r="W1604" t="s">
        <v>2776</v>
      </c>
    </row>
    <row r="1605" spans="1:23" x14ac:dyDescent="0.25">
      <c r="H1605" t="s">
        <v>2777</v>
      </c>
    </row>
    <row r="1606" spans="1:23" x14ac:dyDescent="0.25">
      <c r="A1606">
        <v>800</v>
      </c>
      <c r="B1606">
        <v>7484</v>
      </c>
      <c r="C1606" t="s">
        <v>2778</v>
      </c>
      <c r="D1606" t="s">
        <v>67</v>
      </c>
      <c r="E1606" t="s">
        <v>1391</v>
      </c>
      <c r="F1606" t="s">
        <v>2779</v>
      </c>
      <c r="G1606" t="str">
        <f>"201511036892"</f>
        <v>201511036892</v>
      </c>
      <c r="H1606">
        <v>715</v>
      </c>
      <c r="I1606">
        <v>0</v>
      </c>
      <c r="J1606">
        <v>0</v>
      </c>
      <c r="K1606">
        <v>0</v>
      </c>
      <c r="L1606">
        <v>0</v>
      </c>
      <c r="M1606">
        <v>0</v>
      </c>
      <c r="N1606">
        <v>0</v>
      </c>
      <c r="O1606">
        <v>0</v>
      </c>
      <c r="P1606">
        <v>0</v>
      </c>
      <c r="Q1606">
        <v>0</v>
      </c>
      <c r="R1606">
        <v>12</v>
      </c>
      <c r="S1606">
        <v>84</v>
      </c>
      <c r="V1606">
        <v>2</v>
      </c>
      <c r="W1606">
        <v>799</v>
      </c>
    </row>
    <row r="1607" spans="1:23" x14ac:dyDescent="0.25">
      <c r="H1607" t="s">
        <v>2780</v>
      </c>
    </row>
    <row r="1608" spans="1:23" x14ac:dyDescent="0.25">
      <c r="A1608">
        <v>801</v>
      </c>
      <c r="B1608">
        <v>2553</v>
      </c>
      <c r="C1608" t="s">
        <v>2781</v>
      </c>
      <c r="D1608" t="s">
        <v>126</v>
      </c>
      <c r="E1608" t="s">
        <v>26</v>
      </c>
      <c r="F1608" t="s">
        <v>2782</v>
      </c>
      <c r="G1608" t="str">
        <f>"00049771"</f>
        <v>00049771</v>
      </c>
      <c r="H1608" t="s">
        <v>2783</v>
      </c>
      <c r="I1608">
        <v>0</v>
      </c>
      <c r="J1608">
        <v>0</v>
      </c>
      <c r="K1608">
        <v>0</v>
      </c>
      <c r="L1608">
        <v>0</v>
      </c>
      <c r="M1608">
        <v>0</v>
      </c>
      <c r="N1608">
        <v>0</v>
      </c>
      <c r="O1608">
        <v>0</v>
      </c>
      <c r="P1608">
        <v>0</v>
      </c>
      <c r="Q1608">
        <v>0</v>
      </c>
      <c r="R1608">
        <v>6</v>
      </c>
      <c r="S1608">
        <v>42</v>
      </c>
      <c r="V1608">
        <v>1</v>
      </c>
      <c r="W1608" t="s">
        <v>2784</v>
      </c>
    </row>
    <row r="1609" spans="1:23" x14ac:dyDescent="0.25">
      <c r="H1609" t="s">
        <v>2785</v>
      </c>
    </row>
    <row r="1610" spans="1:23" x14ac:dyDescent="0.25">
      <c r="A1610">
        <v>802</v>
      </c>
      <c r="B1610">
        <v>1961</v>
      </c>
      <c r="C1610" t="s">
        <v>2786</v>
      </c>
      <c r="D1610" t="s">
        <v>150</v>
      </c>
      <c r="E1610" t="s">
        <v>2787</v>
      </c>
      <c r="F1610" t="s">
        <v>2788</v>
      </c>
      <c r="G1610" t="str">
        <f>"201506002655"</f>
        <v>201506002655</v>
      </c>
      <c r="H1610" t="s">
        <v>2789</v>
      </c>
      <c r="I1610">
        <v>0</v>
      </c>
      <c r="J1610">
        <v>70</v>
      </c>
      <c r="K1610">
        <v>0</v>
      </c>
      <c r="L1610">
        <v>0</v>
      </c>
      <c r="M1610">
        <v>0</v>
      </c>
      <c r="N1610">
        <v>0</v>
      </c>
      <c r="O1610">
        <v>0</v>
      </c>
      <c r="P1610">
        <v>0</v>
      </c>
      <c r="Q1610">
        <v>0</v>
      </c>
      <c r="R1610">
        <v>0</v>
      </c>
      <c r="S1610">
        <v>0</v>
      </c>
      <c r="V1610">
        <v>0</v>
      </c>
      <c r="W1610" t="s">
        <v>2790</v>
      </c>
    </row>
    <row r="1611" spans="1:23" x14ac:dyDescent="0.25">
      <c r="H1611" t="s">
        <v>2791</v>
      </c>
    </row>
    <row r="1612" spans="1:23" x14ac:dyDescent="0.25">
      <c r="A1612">
        <v>803</v>
      </c>
      <c r="B1612">
        <v>10449</v>
      </c>
      <c r="C1612" t="s">
        <v>2792</v>
      </c>
      <c r="D1612" t="s">
        <v>352</v>
      </c>
      <c r="E1612" t="s">
        <v>87</v>
      </c>
      <c r="F1612" t="s">
        <v>2793</v>
      </c>
      <c r="G1612" t="str">
        <f>"00092954"</f>
        <v>00092954</v>
      </c>
      <c r="H1612" t="s">
        <v>1157</v>
      </c>
      <c r="I1612">
        <v>0</v>
      </c>
      <c r="J1612">
        <v>0</v>
      </c>
      <c r="K1612">
        <v>0</v>
      </c>
      <c r="L1612">
        <v>0</v>
      </c>
      <c r="M1612">
        <v>0</v>
      </c>
      <c r="N1612">
        <v>0</v>
      </c>
      <c r="O1612">
        <v>0</v>
      </c>
      <c r="P1612">
        <v>0</v>
      </c>
      <c r="Q1612">
        <v>0</v>
      </c>
      <c r="R1612">
        <v>5</v>
      </c>
      <c r="S1612">
        <v>35</v>
      </c>
      <c r="V1612">
        <v>0</v>
      </c>
      <c r="W1612" t="s">
        <v>2794</v>
      </c>
    </row>
    <row r="1613" spans="1:23" x14ac:dyDescent="0.25">
      <c r="H1613" t="s">
        <v>2795</v>
      </c>
    </row>
    <row r="1614" spans="1:23" x14ac:dyDescent="0.25">
      <c r="A1614">
        <v>804</v>
      </c>
      <c r="B1614">
        <v>9254</v>
      </c>
      <c r="C1614" t="s">
        <v>1792</v>
      </c>
      <c r="D1614" t="s">
        <v>71</v>
      </c>
      <c r="E1614" t="s">
        <v>42</v>
      </c>
      <c r="F1614" t="s">
        <v>2796</v>
      </c>
      <c r="G1614" t="str">
        <f>"00050779"</f>
        <v>00050779</v>
      </c>
      <c r="H1614">
        <v>715</v>
      </c>
      <c r="I1614">
        <v>0</v>
      </c>
      <c r="J1614">
        <v>30</v>
      </c>
      <c r="K1614">
        <v>0</v>
      </c>
      <c r="L1614">
        <v>0</v>
      </c>
      <c r="M1614">
        <v>0</v>
      </c>
      <c r="N1614">
        <v>0</v>
      </c>
      <c r="O1614">
        <v>0</v>
      </c>
      <c r="P1614">
        <v>0</v>
      </c>
      <c r="Q1614">
        <v>0</v>
      </c>
      <c r="R1614">
        <v>6</v>
      </c>
      <c r="S1614">
        <v>42</v>
      </c>
      <c r="V1614">
        <v>0</v>
      </c>
      <c r="W1614">
        <v>787</v>
      </c>
    </row>
    <row r="1615" spans="1:23" x14ac:dyDescent="0.25">
      <c r="H1615" t="s">
        <v>2797</v>
      </c>
    </row>
    <row r="1616" spans="1:23" x14ac:dyDescent="0.25">
      <c r="A1616">
        <v>805</v>
      </c>
      <c r="B1616">
        <v>9243</v>
      </c>
      <c r="C1616" t="s">
        <v>2798</v>
      </c>
      <c r="D1616" t="s">
        <v>42</v>
      </c>
      <c r="E1616" t="s">
        <v>2799</v>
      </c>
      <c r="F1616" t="s">
        <v>2800</v>
      </c>
      <c r="G1616" t="str">
        <f>"00087488"</f>
        <v>00087488</v>
      </c>
      <c r="H1616">
        <v>605</v>
      </c>
      <c r="I1616">
        <v>0</v>
      </c>
      <c r="J1616">
        <v>0</v>
      </c>
      <c r="K1616">
        <v>0</v>
      </c>
      <c r="L1616">
        <v>0</v>
      </c>
      <c r="M1616">
        <v>0</v>
      </c>
      <c r="N1616">
        <v>0</v>
      </c>
      <c r="O1616">
        <v>0</v>
      </c>
      <c r="P1616">
        <v>0</v>
      </c>
      <c r="Q1616">
        <v>0</v>
      </c>
      <c r="R1616">
        <v>26</v>
      </c>
      <c r="S1616">
        <v>182</v>
      </c>
      <c r="V1616">
        <v>0</v>
      </c>
      <c r="W1616">
        <v>787</v>
      </c>
    </row>
    <row r="1617" spans="1:23" x14ac:dyDescent="0.25">
      <c r="H1617" t="s">
        <v>2801</v>
      </c>
    </row>
    <row r="1618" spans="1:23" x14ac:dyDescent="0.25">
      <c r="A1618">
        <v>806</v>
      </c>
      <c r="B1618">
        <v>7894</v>
      </c>
      <c r="C1618" t="s">
        <v>2802</v>
      </c>
      <c r="D1618" t="s">
        <v>26</v>
      </c>
      <c r="E1618" t="s">
        <v>53</v>
      </c>
      <c r="F1618" t="s">
        <v>2803</v>
      </c>
      <c r="G1618" t="str">
        <f>"00101328"</f>
        <v>00101328</v>
      </c>
      <c r="H1618" t="s">
        <v>2804</v>
      </c>
      <c r="I1618">
        <v>0</v>
      </c>
      <c r="J1618">
        <v>0</v>
      </c>
      <c r="K1618">
        <v>0</v>
      </c>
      <c r="L1618">
        <v>0</v>
      </c>
      <c r="M1618">
        <v>0</v>
      </c>
      <c r="N1618">
        <v>0</v>
      </c>
      <c r="O1618">
        <v>0</v>
      </c>
      <c r="P1618">
        <v>0</v>
      </c>
      <c r="Q1618">
        <v>0</v>
      </c>
      <c r="R1618">
        <v>0</v>
      </c>
      <c r="S1618">
        <v>0</v>
      </c>
      <c r="V1618">
        <v>0</v>
      </c>
      <c r="W1618" t="s">
        <v>2804</v>
      </c>
    </row>
    <row r="1619" spans="1:23" x14ac:dyDescent="0.25">
      <c r="H1619" t="s">
        <v>2805</v>
      </c>
    </row>
    <row r="1620" spans="1:23" x14ac:dyDescent="0.25">
      <c r="A1620">
        <v>807</v>
      </c>
      <c r="B1620">
        <v>6399</v>
      </c>
      <c r="C1620" t="s">
        <v>2806</v>
      </c>
      <c r="D1620" t="s">
        <v>14</v>
      </c>
      <c r="E1620" t="s">
        <v>53</v>
      </c>
      <c r="F1620" t="s">
        <v>2807</v>
      </c>
      <c r="G1620" t="str">
        <f>"00021769"</f>
        <v>00021769</v>
      </c>
      <c r="H1620">
        <v>715</v>
      </c>
      <c r="I1620">
        <v>0</v>
      </c>
      <c r="J1620">
        <v>0</v>
      </c>
      <c r="K1620">
        <v>0</v>
      </c>
      <c r="L1620">
        <v>0</v>
      </c>
      <c r="M1620">
        <v>0</v>
      </c>
      <c r="N1620">
        <v>0</v>
      </c>
      <c r="O1620">
        <v>0</v>
      </c>
      <c r="P1620">
        <v>0</v>
      </c>
      <c r="Q1620">
        <v>0</v>
      </c>
      <c r="R1620">
        <v>10</v>
      </c>
      <c r="S1620">
        <v>70</v>
      </c>
      <c r="V1620">
        <v>2</v>
      </c>
      <c r="W1620">
        <v>785</v>
      </c>
    </row>
    <row r="1621" spans="1:23" x14ac:dyDescent="0.25">
      <c r="H1621" t="s">
        <v>2808</v>
      </c>
    </row>
    <row r="1622" spans="1:23" x14ac:dyDescent="0.25">
      <c r="A1622">
        <v>808</v>
      </c>
      <c r="B1622">
        <v>2090</v>
      </c>
      <c r="C1622" t="s">
        <v>2809</v>
      </c>
      <c r="D1622" t="s">
        <v>717</v>
      </c>
      <c r="E1622" t="s">
        <v>42</v>
      </c>
      <c r="F1622" t="s">
        <v>2810</v>
      </c>
      <c r="G1622" t="str">
        <f>"201511039164"</f>
        <v>201511039164</v>
      </c>
      <c r="H1622" t="s">
        <v>2811</v>
      </c>
      <c r="I1622">
        <v>150</v>
      </c>
      <c r="J1622">
        <v>0</v>
      </c>
      <c r="K1622">
        <v>0</v>
      </c>
      <c r="L1622">
        <v>0</v>
      </c>
      <c r="M1622">
        <v>0</v>
      </c>
      <c r="N1622">
        <v>0</v>
      </c>
      <c r="O1622">
        <v>0</v>
      </c>
      <c r="P1622">
        <v>0</v>
      </c>
      <c r="Q1622">
        <v>0</v>
      </c>
      <c r="R1622">
        <v>6</v>
      </c>
      <c r="S1622">
        <v>42</v>
      </c>
      <c r="V1622">
        <v>0</v>
      </c>
      <c r="W1622" t="s">
        <v>2812</v>
      </c>
    </row>
    <row r="1623" spans="1:23" x14ac:dyDescent="0.25">
      <c r="H1623" t="s">
        <v>2813</v>
      </c>
    </row>
    <row r="1624" spans="1:23" x14ac:dyDescent="0.25">
      <c r="A1624">
        <v>809</v>
      </c>
      <c r="B1624">
        <v>6806</v>
      </c>
      <c r="C1624" t="s">
        <v>2814</v>
      </c>
      <c r="D1624" t="s">
        <v>218</v>
      </c>
      <c r="E1624" t="s">
        <v>141</v>
      </c>
      <c r="F1624" t="s">
        <v>2815</v>
      </c>
      <c r="G1624" t="str">
        <f>"00084803"</f>
        <v>00084803</v>
      </c>
      <c r="H1624">
        <v>781</v>
      </c>
      <c r="I1624">
        <v>0</v>
      </c>
      <c r="J1624">
        <v>0</v>
      </c>
      <c r="K1624">
        <v>0</v>
      </c>
      <c r="L1624">
        <v>0</v>
      </c>
      <c r="M1624">
        <v>0</v>
      </c>
      <c r="N1624">
        <v>0</v>
      </c>
      <c r="O1624">
        <v>0</v>
      </c>
      <c r="P1624">
        <v>0</v>
      </c>
      <c r="Q1624">
        <v>0</v>
      </c>
      <c r="R1624">
        <v>0</v>
      </c>
      <c r="S1624">
        <v>0</v>
      </c>
      <c r="V1624">
        <v>2</v>
      </c>
      <c r="W1624">
        <v>781</v>
      </c>
    </row>
    <row r="1625" spans="1:23" x14ac:dyDescent="0.25">
      <c r="H1625" t="s">
        <v>2816</v>
      </c>
    </row>
    <row r="1626" spans="1:23" x14ac:dyDescent="0.25">
      <c r="A1626">
        <v>810</v>
      </c>
      <c r="B1626">
        <v>6457</v>
      </c>
      <c r="C1626" t="s">
        <v>2817</v>
      </c>
      <c r="D1626" t="s">
        <v>94</v>
      </c>
      <c r="E1626" t="s">
        <v>42</v>
      </c>
      <c r="F1626" t="s">
        <v>2818</v>
      </c>
      <c r="G1626" t="str">
        <f>"00022234"</f>
        <v>00022234</v>
      </c>
      <c r="H1626">
        <v>550</v>
      </c>
      <c r="I1626">
        <v>0</v>
      </c>
      <c r="J1626">
        <v>0</v>
      </c>
      <c r="K1626">
        <v>0</v>
      </c>
      <c r="L1626">
        <v>0</v>
      </c>
      <c r="M1626">
        <v>0</v>
      </c>
      <c r="N1626">
        <v>0</v>
      </c>
      <c r="O1626">
        <v>0</v>
      </c>
      <c r="P1626">
        <v>0</v>
      </c>
      <c r="Q1626">
        <v>0</v>
      </c>
      <c r="R1626">
        <v>33</v>
      </c>
      <c r="S1626">
        <v>231</v>
      </c>
      <c r="V1626">
        <v>0</v>
      </c>
      <c r="W1626">
        <v>781</v>
      </c>
    </row>
    <row r="1627" spans="1:23" x14ac:dyDescent="0.25">
      <c r="H1627" t="s">
        <v>2819</v>
      </c>
    </row>
    <row r="1628" spans="1:23" x14ac:dyDescent="0.25">
      <c r="A1628">
        <v>811</v>
      </c>
      <c r="B1628">
        <v>3292</v>
      </c>
      <c r="C1628" t="s">
        <v>2820</v>
      </c>
      <c r="D1628" t="s">
        <v>36</v>
      </c>
      <c r="E1628" t="s">
        <v>1107</v>
      </c>
      <c r="F1628" t="s">
        <v>2821</v>
      </c>
      <c r="G1628" t="str">
        <f>"201511040094"</f>
        <v>201511040094</v>
      </c>
      <c r="H1628">
        <v>605</v>
      </c>
      <c r="I1628">
        <v>0</v>
      </c>
      <c r="J1628">
        <v>0</v>
      </c>
      <c r="K1628">
        <v>0</v>
      </c>
      <c r="L1628">
        <v>0</v>
      </c>
      <c r="M1628">
        <v>0</v>
      </c>
      <c r="N1628">
        <v>0</v>
      </c>
      <c r="O1628">
        <v>0</v>
      </c>
      <c r="P1628">
        <v>0</v>
      </c>
      <c r="Q1628">
        <v>0</v>
      </c>
      <c r="R1628">
        <v>25</v>
      </c>
      <c r="S1628">
        <v>175</v>
      </c>
      <c r="V1628">
        <v>1</v>
      </c>
      <c r="W1628">
        <v>780</v>
      </c>
    </row>
    <row r="1629" spans="1:23" x14ac:dyDescent="0.25">
      <c r="H1629" t="s">
        <v>2822</v>
      </c>
    </row>
    <row r="1630" spans="1:23" x14ac:dyDescent="0.25">
      <c r="A1630">
        <v>812</v>
      </c>
      <c r="B1630">
        <v>2149</v>
      </c>
      <c r="C1630" t="s">
        <v>2823</v>
      </c>
      <c r="D1630" t="s">
        <v>497</v>
      </c>
      <c r="E1630" t="s">
        <v>2824</v>
      </c>
      <c r="F1630" t="s">
        <v>2825</v>
      </c>
      <c r="G1630" t="str">
        <f>"00025191"</f>
        <v>00025191</v>
      </c>
      <c r="H1630">
        <v>715</v>
      </c>
      <c r="I1630">
        <v>0</v>
      </c>
      <c r="J1630">
        <v>0</v>
      </c>
      <c r="K1630">
        <v>0</v>
      </c>
      <c r="L1630">
        <v>0</v>
      </c>
      <c r="M1630">
        <v>0</v>
      </c>
      <c r="N1630">
        <v>0</v>
      </c>
      <c r="O1630">
        <v>0</v>
      </c>
      <c r="P1630">
        <v>0</v>
      </c>
      <c r="Q1630">
        <v>0</v>
      </c>
      <c r="R1630">
        <v>9</v>
      </c>
      <c r="S1630">
        <v>63</v>
      </c>
      <c r="V1630">
        <v>0</v>
      </c>
      <c r="W1630">
        <v>778</v>
      </c>
    </row>
    <row r="1631" spans="1:23" x14ac:dyDescent="0.25">
      <c r="H1631" t="s">
        <v>2826</v>
      </c>
    </row>
    <row r="1632" spans="1:23" x14ac:dyDescent="0.25">
      <c r="A1632">
        <v>813</v>
      </c>
      <c r="B1632">
        <v>3983</v>
      </c>
      <c r="C1632" t="s">
        <v>2827</v>
      </c>
      <c r="D1632" t="s">
        <v>31</v>
      </c>
      <c r="E1632" t="s">
        <v>42</v>
      </c>
      <c r="F1632" t="s">
        <v>2828</v>
      </c>
      <c r="G1632" t="str">
        <f>"201511024919"</f>
        <v>201511024919</v>
      </c>
      <c r="H1632" t="s">
        <v>2031</v>
      </c>
      <c r="I1632">
        <v>0</v>
      </c>
      <c r="J1632">
        <v>0</v>
      </c>
      <c r="K1632">
        <v>0</v>
      </c>
      <c r="L1632">
        <v>0</v>
      </c>
      <c r="M1632">
        <v>0</v>
      </c>
      <c r="N1632">
        <v>0</v>
      </c>
      <c r="O1632">
        <v>0</v>
      </c>
      <c r="P1632">
        <v>0</v>
      </c>
      <c r="Q1632">
        <v>0</v>
      </c>
      <c r="R1632">
        <v>0</v>
      </c>
      <c r="S1632">
        <v>0</v>
      </c>
      <c r="V1632">
        <v>0</v>
      </c>
      <c r="W1632" t="s">
        <v>2031</v>
      </c>
    </row>
    <row r="1633" spans="1:23" x14ac:dyDescent="0.25">
      <c r="H1633" t="s">
        <v>2829</v>
      </c>
    </row>
    <row r="1634" spans="1:23" x14ac:dyDescent="0.25">
      <c r="A1634">
        <v>814</v>
      </c>
      <c r="B1634">
        <v>2799</v>
      </c>
      <c r="C1634" t="s">
        <v>2830</v>
      </c>
      <c r="D1634" t="s">
        <v>190</v>
      </c>
      <c r="E1634" t="s">
        <v>121</v>
      </c>
      <c r="F1634" t="s">
        <v>2831</v>
      </c>
      <c r="G1634" t="str">
        <f>"201511013481"</f>
        <v>201511013481</v>
      </c>
      <c r="H1634" t="s">
        <v>1898</v>
      </c>
      <c r="I1634">
        <v>0</v>
      </c>
      <c r="J1634">
        <v>0</v>
      </c>
      <c r="K1634">
        <v>0</v>
      </c>
      <c r="L1634">
        <v>0</v>
      </c>
      <c r="M1634">
        <v>0</v>
      </c>
      <c r="N1634">
        <v>0</v>
      </c>
      <c r="O1634">
        <v>0</v>
      </c>
      <c r="P1634">
        <v>0</v>
      </c>
      <c r="Q1634">
        <v>0</v>
      </c>
      <c r="R1634">
        <v>0</v>
      </c>
      <c r="S1634">
        <v>0</v>
      </c>
      <c r="V1634">
        <v>0</v>
      </c>
      <c r="W1634" t="s">
        <v>1898</v>
      </c>
    </row>
    <row r="1635" spans="1:23" x14ac:dyDescent="0.25">
      <c r="H1635" t="s">
        <v>2832</v>
      </c>
    </row>
    <row r="1636" spans="1:23" x14ac:dyDescent="0.25">
      <c r="A1636">
        <v>815</v>
      </c>
      <c r="B1636">
        <v>8418</v>
      </c>
      <c r="C1636" t="s">
        <v>2833</v>
      </c>
      <c r="D1636" t="s">
        <v>31</v>
      </c>
      <c r="E1636" t="s">
        <v>121</v>
      </c>
      <c r="F1636" t="s">
        <v>2834</v>
      </c>
      <c r="G1636" t="str">
        <f>"00051182"</f>
        <v>00051182</v>
      </c>
      <c r="H1636" t="s">
        <v>1898</v>
      </c>
      <c r="I1636">
        <v>0</v>
      </c>
      <c r="J1636">
        <v>0</v>
      </c>
      <c r="K1636">
        <v>0</v>
      </c>
      <c r="L1636">
        <v>0</v>
      </c>
      <c r="M1636">
        <v>0</v>
      </c>
      <c r="N1636">
        <v>0</v>
      </c>
      <c r="O1636">
        <v>0</v>
      </c>
      <c r="P1636">
        <v>0</v>
      </c>
      <c r="Q1636">
        <v>0</v>
      </c>
      <c r="R1636">
        <v>0</v>
      </c>
      <c r="S1636">
        <v>0</v>
      </c>
      <c r="V1636">
        <v>0</v>
      </c>
      <c r="W1636" t="s">
        <v>1898</v>
      </c>
    </row>
    <row r="1637" spans="1:23" x14ac:dyDescent="0.25">
      <c r="H1637" t="s">
        <v>2835</v>
      </c>
    </row>
    <row r="1638" spans="1:23" x14ac:dyDescent="0.25">
      <c r="A1638">
        <v>816</v>
      </c>
      <c r="B1638">
        <v>5800</v>
      </c>
      <c r="C1638" t="s">
        <v>2836</v>
      </c>
      <c r="D1638" t="s">
        <v>71</v>
      </c>
      <c r="E1638" t="s">
        <v>218</v>
      </c>
      <c r="F1638" t="s">
        <v>2837</v>
      </c>
      <c r="G1638" t="str">
        <f>"00094483"</f>
        <v>00094483</v>
      </c>
      <c r="H1638" t="s">
        <v>2838</v>
      </c>
      <c r="I1638">
        <v>0</v>
      </c>
      <c r="J1638">
        <v>0</v>
      </c>
      <c r="K1638">
        <v>0</v>
      </c>
      <c r="L1638">
        <v>0</v>
      </c>
      <c r="M1638">
        <v>0</v>
      </c>
      <c r="N1638">
        <v>0</v>
      </c>
      <c r="O1638">
        <v>0</v>
      </c>
      <c r="P1638">
        <v>0</v>
      </c>
      <c r="Q1638">
        <v>0</v>
      </c>
      <c r="R1638">
        <v>0</v>
      </c>
      <c r="S1638">
        <v>0</v>
      </c>
      <c r="V1638">
        <v>2</v>
      </c>
      <c r="W1638" t="s">
        <v>2838</v>
      </c>
    </row>
    <row r="1639" spans="1:23" x14ac:dyDescent="0.25">
      <c r="H1639" t="s">
        <v>1119</v>
      </c>
    </row>
    <row r="1640" spans="1:23" x14ac:dyDescent="0.25">
      <c r="A1640">
        <v>817</v>
      </c>
      <c r="B1640">
        <v>3610</v>
      </c>
      <c r="C1640" t="s">
        <v>2839</v>
      </c>
      <c r="D1640" t="s">
        <v>881</v>
      </c>
      <c r="E1640" t="s">
        <v>53</v>
      </c>
      <c r="F1640" t="s">
        <v>2840</v>
      </c>
      <c r="G1640" t="str">
        <f>"201410007187"</f>
        <v>201410007187</v>
      </c>
      <c r="H1640" t="s">
        <v>2841</v>
      </c>
      <c r="I1640">
        <v>0</v>
      </c>
      <c r="J1640">
        <v>0</v>
      </c>
      <c r="K1640">
        <v>0</v>
      </c>
      <c r="L1640">
        <v>0</v>
      </c>
      <c r="M1640">
        <v>0</v>
      </c>
      <c r="N1640">
        <v>0</v>
      </c>
      <c r="O1640">
        <v>0</v>
      </c>
      <c r="P1640">
        <v>0</v>
      </c>
      <c r="Q1640">
        <v>0</v>
      </c>
      <c r="R1640">
        <v>15</v>
      </c>
      <c r="S1640">
        <v>105</v>
      </c>
      <c r="V1640">
        <v>2</v>
      </c>
      <c r="W1640" t="s">
        <v>2842</v>
      </c>
    </row>
    <row r="1641" spans="1:23" x14ac:dyDescent="0.25">
      <c r="H1641">
        <v>916</v>
      </c>
    </row>
    <row r="1642" spans="1:23" x14ac:dyDescent="0.25">
      <c r="A1642">
        <v>818</v>
      </c>
      <c r="B1642">
        <v>3711</v>
      </c>
      <c r="C1642" t="s">
        <v>2843</v>
      </c>
      <c r="D1642" t="s">
        <v>600</v>
      </c>
      <c r="E1642" t="s">
        <v>407</v>
      </c>
      <c r="F1642" t="s">
        <v>2844</v>
      </c>
      <c r="G1642" t="str">
        <f>"00074096"</f>
        <v>00074096</v>
      </c>
      <c r="H1642">
        <v>770</v>
      </c>
      <c r="I1642">
        <v>0</v>
      </c>
      <c r="J1642">
        <v>0</v>
      </c>
      <c r="K1642">
        <v>0</v>
      </c>
      <c r="L1642">
        <v>0</v>
      </c>
      <c r="M1642">
        <v>0</v>
      </c>
      <c r="N1642">
        <v>0</v>
      </c>
      <c r="O1642">
        <v>0</v>
      </c>
      <c r="P1642">
        <v>0</v>
      </c>
      <c r="Q1642">
        <v>0</v>
      </c>
      <c r="R1642">
        <v>0</v>
      </c>
      <c r="S1642">
        <v>0</v>
      </c>
      <c r="V1642">
        <v>2</v>
      </c>
      <c r="W1642">
        <v>770</v>
      </c>
    </row>
    <row r="1643" spans="1:23" x14ac:dyDescent="0.25">
      <c r="H1643">
        <v>910</v>
      </c>
    </row>
    <row r="1644" spans="1:23" x14ac:dyDescent="0.25">
      <c r="A1644">
        <v>819</v>
      </c>
      <c r="B1644">
        <v>1911</v>
      </c>
      <c r="C1644" t="s">
        <v>2719</v>
      </c>
      <c r="D1644" t="s">
        <v>145</v>
      </c>
      <c r="E1644" t="s">
        <v>523</v>
      </c>
      <c r="F1644" t="s">
        <v>2720</v>
      </c>
      <c r="G1644" t="str">
        <f>"201511028875"</f>
        <v>201511028875</v>
      </c>
      <c r="H1644">
        <v>770</v>
      </c>
      <c r="I1644">
        <v>0</v>
      </c>
      <c r="J1644">
        <v>0</v>
      </c>
      <c r="K1644">
        <v>0</v>
      </c>
      <c r="L1644">
        <v>0</v>
      </c>
      <c r="M1644">
        <v>0</v>
      </c>
      <c r="N1644">
        <v>0</v>
      </c>
      <c r="O1644">
        <v>0</v>
      </c>
      <c r="P1644">
        <v>0</v>
      </c>
      <c r="Q1644">
        <v>0</v>
      </c>
      <c r="R1644">
        <v>0</v>
      </c>
      <c r="S1644">
        <v>0</v>
      </c>
      <c r="T1644">
        <v>6</v>
      </c>
      <c r="U1644">
        <v>906</v>
      </c>
      <c r="V1644">
        <v>0</v>
      </c>
      <c r="W1644">
        <v>770</v>
      </c>
    </row>
    <row r="1645" spans="1:23" x14ac:dyDescent="0.25">
      <c r="H1645" t="s">
        <v>2721</v>
      </c>
    </row>
    <row r="1646" spans="1:23" x14ac:dyDescent="0.25">
      <c r="A1646">
        <v>820</v>
      </c>
      <c r="B1646">
        <v>1911</v>
      </c>
      <c r="C1646" t="s">
        <v>2719</v>
      </c>
      <c r="D1646" t="s">
        <v>145</v>
      </c>
      <c r="E1646" t="s">
        <v>523</v>
      </c>
      <c r="F1646" t="s">
        <v>2720</v>
      </c>
      <c r="G1646" t="str">
        <f>"201511028875"</f>
        <v>201511028875</v>
      </c>
      <c r="H1646">
        <v>770</v>
      </c>
      <c r="I1646">
        <v>0</v>
      </c>
      <c r="J1646">
        <v>0</v>
      </c>
      <c r="K1646">
        <v>0</v>
      </c>
      <c r="L1646">
        <v>0</v>
      </c>
      <c r="M1646">
        <v>0</v>
      </c>
      <c r="N1646">
        <v>0</v>
      </c>
      <c r="O1646">
        <v>0</v>
      </c>
      <c r="P1646">
        <v>0</v>
      </c>
      <c r="Q1646">
        <v>0</v>
      </c>
      <c r="R1646">
        <v>0</v>
      </c>
      <c r="S1646">
        <v>0</v>
      </c>
      <c r="V1646">
        <v>0</v>
      </c>
      <c r="W1646">
        <v>770</v>
      </c>
    </row>
    <row r="1647" spans="1:23" x14ac:dyDescent="0.25">
      <c r="H1647" t="s">
        <v>2721</v>
      </c>
    </row>
    <row r="1648" spans="1:23" x14ac:dyDescent="0.25">
      <c r="A1648">
        <v>821</v>
      </c>
      <c r="B1648">
        <v>2196</v>
      </c>
      <c r="C1648" t="s">
        <v>2845</v>
      </c>
      <c r="D1648" t="s">
        <v>36</v>
      </c>
      <c r="E1648" t="s">
        <v>533</v>
      </c>
      <c r="F1648" t="s">
        <v>2846</v>
      </c>
      <c r="G1648" t="str">
        <f>"201511037984"</f>
        <v>201511037984</v>
      </c>
      <c r="H1648">
        <v>770</v>
      </c>
      <c r="I1648">
        <v>0</v>
      </c>
      <c r="J1648">
        <v>0</v>
      </c>
      <c r="K1648">
        <v>0</v>
      </c>
      <c r="L1648">
        <v>0</v>
      </c>
      <c r="M1648">
        <v>0</v>
      </c>
      <c r="N1648">
        <v>0</v>
      </c>
      <c r="O1648">
        <v>0</v>
      </c>
      <c r="P1648">
        <v>0</v>
      </c>
      <c r="Q1648">
        <v>0</v>
      </c>
      <c r="R1648">
        <v>0</v>
      </c>
      <c r="S1648">
        <v>0</v>
      </c>
      <c r="V1648">
        <v>0</v>
      </c>
      <c r="W1648">
        <v>770</v>
      </c>
    </row>
    <row r="1649" spans="1:23" x14ac:dyDescent="0.25">
      <c r="H1649" t="s">
        <v>2847</v>
      </c>
    </row>
    <row r="1650" spans="1:23" x14ac:dyDescent="0.25">
      <c r="A1650">
        <v>822</v>
      </c>
      <c r="B1650">
        <v>727</v>
      </c>
      <c r="C1650" t="s">
        <v>2848</v>
      </c>
      <c r="D1650" t="s">
        <v>2849</v>
      </c>
      <c r="E1650" t="s">
        <v>2850</v>
      </c>
      <c r="F1650" t="s">
        <v>2851</v>
      </c>
      <c r="G1650" t="str">
        <f>"201606000058"</f>
        <v>201606000058</v>
      </c>
      <c r="H1650">
        <v>770</v>
      </c>
      <c r="I1650">
        <v>0</v>
      </c>
      <c r="J1650">
        <v>0</v>
      </c>
      <c r="K1650">
        <v>0</v>
      </c>
      <c r="L1650">
        <v>0</v>
      </c>
      <c r="M1650">
        <v>0</v>
      </c>
      <c r="N1650">
        <v>0</v>
      </c>
      <c r="O1650">
        <v>0</v>
      </c>
      <c r="P1650">
        <v>0</v>
      </c>
      <c r="Q1650">
        <v>0</v>
      </c>
      <c r="R1650">
        <v>0</v>
      </c>
      <c r="S1650">
        <v>0</v>
      </c>
      <c r="V1650">
        <v>0</v>
      </c>
      <c r="W1650">
        <v>770</v>
      </c>
    </row>
    <row r="1651" spans="1:23" x14ac:dyDescent="0.25">
      <c r="H1651" t="s">
        <v>2852</v>
      </c>
    </row>
    <row r="1652" spans="1:23" x14ac:dyDescent="0.25">
      <c r="A1652">
        <v>823</v>
      </c>
      <c r="B1652">
        <v>6150</v>
      </c>
      <c r="C1652" t="s">
        <v>2756</v>
      </c>
      <c r="D1652" t="s">
        <v>88</v>
      </c>
      <c r="E1652" t="s">
        <v>1107</v>
      </c>
      <c r="F1652" t="s">
        <v>2757</v>
      </c>
      <c r="G1652" t="str">
        <f>"201511026745"</f>
        <v>201511026745</v>
      </c>
      <c r="H1652">
        <v>770</v>
      </c>
      <c r="I1652">
        <v>0</v>
      </c>
      <c r="J1652">
        <v>0</v>
      </c>
      <c r="K1652">
        <v>0</v>
      </c>
      <c r="L1652">
        <v>0</v>
      </c>
      <c r="M1652">
        <v>0</v>
      </c>
      <c r="N1652">
        <v>0</v>
      </c>
      <c r="O1652">
        <v>0</v>
      </c>
      <c r="P1652">
        <v>0</v>
      </c>
      <c r="Q1652">
        <v>0</v>
      </c>
      <c r="R1652">
        <v>0</v>
      </c>
      <c r="S1652">
        <v>0</v>
      </c>
      <c r="V1652">
        <v>0</v>
      </c>
      <c r="W1652">
        <v>770</v>
      </c>
    </row>
    <row r="1653" spans="1:23" x14ac:dyDescent="0.25">
      <c r="H1653" t="s">
        <v>409</v>
      </c>
    </row>
    <row r="1654" spans="1:23" x14ac:dyDescent="0.25">
      <c r="A1654">
        <v>824</v>
      </c>
      <c r="B1654">
        <v>7266</v>
      </c>
      <c r="C1654" t="s">
        <v>2853</v>
      </c>
      <c r="D1654" t="s">
        <v>95</v>
      </c>
      <c r="E1654" t="s">
        <v>523</v>
      </c>
      <c r="F1654" t="s">
        <v>2854</v>
      </c>
      <c r="G1654" t="str">
        <f>"00020610"</f>
        <v>00020610</v>
      </c>
      <c r="H1654">
        <v>770</v>
      </c>
      <c r="I1654">
        <v>0</v>
      </c>
      <c r="J1654">
        <v>0</v>
      </c>
      <c r="K1654">
        <v>0</v>
      </c>
      <c r="L1654">
        <v>0</v>
      </c>
      <c r="M1654">
        <v>0</v>
      </c>
      <c r="N1654">
        <v>0</v>
      </c>
      <c r="O1654">
        <v>0</v>
      </c>
      <c r="P1654">
        <v>0</v>
      </c>
      <c r="Q1654">
        <v>0</v>
      </c>
      <c r="R1654">
        <v>0</v>
      </c>
      <c r="S1654">
        <v>0</v>
      </c>
      <c r="V1654">
        <v>0</v>
      </c>
      <c r="W1654">
        <v>770</v>
      </c>
    </row>
    <row r="1655" spans="1:23" x14ac:dyDescent="0.25">
      <c r="H1655" t="s">
        <v>2855</v>
      </c>
    </row>
    <row r="1656" spans="1:23" x14ac:dyDescent="0.25">
      <c r="A1656">
        <v>825</v>
      </c>
      <c r="B1656">
        <v>2800</v>
      </c>
      <c r="C1656" t="s">
        <v>2856</v>
      </c>
      <c r="D1656" t="s">
        <v>121</v>
      </c>
      <c r="E1656" t="s">
        <v>21</v>
      </c>
      <c r="F1656" t="s">
        <v>2857</v>
      </c>
      <c r="G1656" t="str">
        <f>"201511020994"</f>
        <v>201511020994</v>
      </c>
      <c r="H1656" t="s">
        <v>2519</v>
      </c>
      <c r="I1656">
        <v>0</v>
      </c>
      <c r="J1656">
        <v>0</v>
      </c>
      <c r="K1656">
        <v>0</v>
      </c>
      <c r="L1656">
        <v>0</v>
      </c>
      <c r="M1656">
        <v>0</v>
      </c>
      <c r="N1656">
        <v>0</v>
      </c>
      <c r="O1656">
        <v>0</v>
      </c>
      <c r="P1656">
        <v>0</v>
      </c>
      <c r="Q1656">
        <v>0</v>
      </c>
      <c r="R1656">
        <v>5</v>
      </c>
      <c r="S1656">
        <v>35</v>
      </c>
      <c r="V1656">
        <v>2</v>
      </c>
      <c r="W1656" t="s">
        <v>2858</v>
      </c>
    </row>
    <row r="1657" spans="1:23" x14ac:dyDescent="0.25">
      <c r="H1657" t="s">
        <v>2859</v>
      </c>
    </row>
    <row r="1658" spans="1:23" x14ac:dyDescent="0.25">
      <c r="A1658">
        <v>826</v>
      </c>
      <c r="B1658">
        <v>10505</v>
      </c>
      <c r="C1658" t="s">
        <v>976</v>
      </c>
      <c r="D1658" t="s">
        <v>121</v>
      </c>
      <c r="E1658" t="s">
        <v>2078</v>
      </c>
      <c r="F1658" t="s">
        <v>2860</v>
      </c>
      <c r="G1658" t="str">
        <f>"00050110"</f>
        <v>00050110</v>
      </c>
      <c r="H1658">
        <v>550</v>
      </c>
      <c r="I1658">
        <v>0</v>
      </c>
      <c r="J1658">
        <v>0</v>
      </c>
      <c r="K1658">
        <v>0</v>
      </c>
      <c r="L1658">
        <v>0</v>
      </c>
      <c r="M1658">
        <v>0</v>
      </c>
      <c r="N1658">
        <v>0</v>
      </c>
      <c r="O1658">
        <v>0</v>
      </c>
      <c r="P1658">
        <v>0</v>
      </c>
      <c r="Q1658">
        <v>0</v>
      </c>
      <c r="R1658">
        <v>31</v>
      </c>
      <c r="S1658">
        <v>217</v>
      </c>
      <c r="V1658">
        <v>0</v>
      </c>
      <c r="W1658">
        <v>767</v>
      </c>
    </row>
    <row r="1659" spans="1:23" x14ac:dyDescent="0.25">
      <c r="H1659" t="s">
        <v>1144</v>
      </c>
    </row>
    <row r="1660" spans="1:23" x14ac:dyDescent="0.25">
      <c r="A1660">
        <v>827</v>
      </c>
      <c r="B1660">
        <v>4599</v>
      </c>
      <c r="C1660" t="s">
        <v>2861</v>
      </c>
      <c r="D1660" t="s">
        <v>94</v>
      </c>
      <c r="E1660" t="s">
        <v>1391</v>
      </c>
      <c r="F1660" t="s">
        <v>2862</v>
      </c>
      <c r="G1660" t="str">
        <f>"00087193"</f>
        <v>00087193</v>
      </c>
      <c r="H1660" t="s">
        <v>2863</v>
      </c>
      <c r="I1660">
        <v>0</v>
      </c>
      <c r="J1660">
        <v>0</v>
      </c>
      <c r="K1660">
        <v>0</v>
      </c>
      <c r="L1660">
        <v>0</v>
      </c>
      <c r="M1660">
        <v>0</v>
      </c>
      <c r="N1660">
        <v>0</v>
      </c>
      <c r="O1660">
        <v>0</v>
      </c>
      <c r="P1660">
        <v>0</v>
      </c>
      <c r="Q1660">
        <v>0</v>
      </c>
      <c r="R1660">
        <v>0</v>
      </c>
      <c r="S1660">
        <v>0</v>
      </c>
      <c r="V1660">
        <v>0</v>
      </c>
      <c r="W1660" t="s">
        <v>2863</v>
      </c>
    </row>
    <row r="1661" spans="1:23" x14ac:dyDescent="0.25">
      <c r="H1661" t="s">
        <v>2864</v>
      </c>
    </row>
    <row r="1662" spans="1:23" x14ac:dyDescent="0.25">
      <c r="A1662">
        <v>828</v>
      </c>
      <c r="B1662">
        <v>8081</v>
      </c>
      <c r="C1662" t="s">
        <v>2865</v>
      </c>
      <c r="D1662" t="s">
        <v>26</v>
      </c>
      <c r="E1662" t="s">
        <v>95</v>
      </c>
      <c r="F1662" t="s">
        <v>2866</v>
      </c>
      <c r="G1662" t="str">
        <f>"00044577"</f>
        <v>00044577</v>
      </c>
      <c r="H1662">
        <v>660</v>
      </c>
      <c r="I1662">
        <v>0</v>
      </c>
      <c r="J1662">
        <v>30</v>
      </c>
      <c r="K1662">
        <v>0</v>
      </c>
      <c r="L1662">
        <v>0</v>
      </c>
      <c r="M1662">
        <v>0</v>
      </c>
      <c r="N1662">
        <v>0</v>
      </c>
      <c r="O1662">
        <v>0</v>
      </c>
      <c r="P1662">
        <v>0</v>
      </c>
      <c r="Q1662">
        <v>0</v>
      </c>
      <c r="R1662">
        <v>10</v>
      </c>
      <c r="S1662">
        <v>70</v>
      </c>
      <c r="V1662">
        <v>0</v>
      </c>
      <c r="W1662">
        <v>760</v>
      </c>
    </row>
    <row r="1663" spans="1:23" x14ac:dyDescent="0.25">
      <c r="H1663" t="s">
        <v>2867</v>
      </c>
    </row>
    <row r="1664" spans="1:23" x14ac:dyDescent="0.25">
      <c r="A1664">
        <v>829</v>
      </c>
      <c r="B1664">
        <v>5922</v>
      </c>
      <c r="C1664" t="s">
        <v>1245</v>
      </c>
      <c r="D1664" t="s">
        <v>1851</v>
      </c>
      <c r="E1664" t="s">
        <v>95</v>
      </c>
      <c r="F1664" t="s">
        <v>2868</v>
      </c>
      <c r="G1664" t="str">
        <f>"00058086"</f>
        <v>00058086</v>
      </c>
      <c r="H1664">
        <v>759</v>
      </c>
      <c r="I1664">
        <v>0</v>
      </c>
      <c r="J1664">
        <v>0</v>
      </c>
      <c r="K1664">
        <v>0</v>
      </c>
      <c r="L1664">
        <v>0</v>
      </c>
      <c r="M1664">
        <v>0</v>
      </c>
      <c r="N1664">
        <v>0</v>
      </c>
      <c r="O1664">
        <v>0</v>
      </c>
      <c r="P1664">
        <v>0</v>
      </c>
      <c r="Q1664">
        <v>0</v>
      </c>
      <c r="R1664">
        <v>0</v>
      </c>
      <c r="S1664">
        <v>0</v>
      </c>
      <c r="V1664">
        <v>0</v>
      </c>
      <c r="W1664">
        <v>759</v>
      </c>
    </row>
    <row r="1665" spans="1:23" x14ac:dyDescent="0.25">
      <c r="H1665" t="s">
        <v>295</v>
      </c>
    </row>
    <row r="1666" spans="1:23" x14ac:dyDescent="0.25">
      <c r="A1666">
        <v>830</v>
      </c>
      <c r="B1666">
        <v>8597</v>
      </c>
      <c r="C1666" t="s">
        <v>2037</v>
      </c>
      <c r="D1666" t="s">
        <v>2869</v>
      </c>
      <c r="E1666" t="s">
        <v>95</v>
      </c>
      <c r="F1666" t="s">
        <v>2870</v>
      </c>
      <c r="G1666" t="str">
        <f>"00103393"</f>
        <v>00103393</v>
      </c>
      <c r="H1666">
        <v>759</v>
      </c>
      <c r="I1666">
        <v>0</v>
      </c>
      <c r="J1666">
        <v>0</v>
      </c>
      <c r="K1666">
        <v>0</v>
      </c>
      <c r="L1666">
        <v>0</v>
      </c>
      <c r="M1666">
        <v>0</v>
      </c>
      <c r="N1666">
        <v>0</v>
      </c>
      <c r="O1666">
        <v>0</v>
      </c>
      <c r="P1666">
        <v>0</v>
      </c>
      <c r="Q1666">
        <v>0</v>
      </c>
      <c r="R1666">
        <v>0</v>
      </c>
      <c r="S1666">
        <v>0</v>
      </c>
      <c r="V1666">
        <v>0</v>
      </c>
      <c r="W1666">
        <v>759</v>
      </c>
    </row>
    <row r="1667" spans="1:23" x14ac:dyDescent="0.25">
      <c r="H1667" t="s">
        <v>2871</v>
      </c>
    </row>
    <row r="1668" spans="1:23" x14ac:dyDescent="0.25">
      <c r="A1668">
        <v>831</v>
      </c>
      <c r="B1668">
        <v>4066</v>
      </c>
      <c r="C1668" t="s">
        <v>2872</v>
      </c>
      <c r="D1668" t="s">
        <v>31</v>
      </c>
      <c r="E1668" t="s">
        <v>71</v>
      </c>
      <c r="F1668" t="s">
        <v>2873</v>
      </c>
      <c r="G1668" t="str">
        <f>"00077409"</f>
        <v>00077409</v>
      </c>
      <c r="H1668">
        <v>715</v>
      </c>
      <c r="I1668">
        <v>0</v>
      </c>
      <c r="J1668">
        <v>0</v>
      </c>
      <c r="K1668">
        <v>0</v>
      </c>
      <c r="L1668">
        <v>0</v>
      </c>
      <c r="M1668">
        <v>0</v>
      </c>
      <c r="N1668">
        <v>0</v>
      </c>
      <c r="O1668">
        <v>0</v>
      </c>
      <c r="P1668">
        <v>0</v>
      </c>
      <c r="Q1668">
        <v>0</v>
      </c>
      <c r="R1668">
        <v>6</v>
      </c>
      <c r="S1668">
        <v>42</v>
      </c>
      <c r="V1668">
        <v>0</v>
      </c>
      <c r="W1668">
        <v>757</v>
      </c>
    </row>
    <row r="1669" spans="1:23" x14ac:dyDescent="0.25">
      <c r="H1669" t="s">
        <v>2874</v>
      </c>
    </row>
    <row r="1670" spans="1:23" x14ac:dyDescent="0.25">
      <c r="A1670">
        <v>832</v>
      </c>
      <c r="B1670">
        <v>4066</v>
      </c>
      <c r="C1670" t="s">
        <v>2872</v>
      </c>
      <c r="D1670" t="s">
        <v>31</v>
      </c>
      <c r="E1670" t="s">
        <v>71</v>
      </c>
      <c r="F1670" t="s">
        <v>2873</v>
      </c>
      <c r="G1670" t="str">
        <f>"00077409"</f>
        <v>00077409</v>
      </c>
      <c r="H1670">
        <v>715</v>
      </c>
      <c r="I1670">
        <v>0</v>
      </c>
      <c r="J1670">
        <v>0</v>
      </c>
      <c r="K1670">
        <v>0</v>
      </c>
      <c r="L1670">
        <v>0</v>
      </c>
      <c r="M1670">
        <v>0</v>
      </c>
      <c r="N1670">
        <v>0</v>
      </c>
      <c r="O1670">
        <v>0</v>
      </c>
      <c r="P1670">
        <v>0</v>
      </c>
      <c r="Q1670">
        <v>0</v>
      </c>
      <c r="R1670">
        <v>6</v>
      </c>
      <c r="S1670">
        <v>42</v>
      </c>
      <c r="T1670">
        <v>6</v>
      </c>
      <c r="U1670" t="s">
        <v>2875</v>
      </c>
      <c r="V1670">
        <v>0</v>
      </c>
      <c r="W1670">
        <v>757</v>
      </c>
    </row>
    <row r="1671" spans="1:23" x14ac:dyDescent="0.25">
      <c r="H1671" t="s">
        <v>2874</v>
      </c>
    </row>
    <row r="1672" spans="1:23" x14ac:dyDescent="0.25">
      <c r="A1672">
        <v>833</v>
      </c>
      <c r="B1672">
        <v>8585</v>
      </c>
      <c r="C1672" t="s">
        <v>2876</v>
      </c>
      <c r="D1672" t="s">
        <v>2170</v>
      </c>
      <c r="E1672" t="s">
        <v>71</v>
      </c>
      <c r="F1672" t="s">
        <v>2877</v>
      </c>
      <c r="G1672" t="str">
        <f>"00102750"</f>
        <v>00102750</v>
      </c>
      <c r="H1672">
        <v>715</v>
      </c>
      <c r="I1672">
        <v>0</v>
      </c>
      <c r="J1672">
        <v>0</v>
      </c>
      <c r="K1672">
        <v>0</v>
      </c>
      <c r="L1672">
        <v>0</v>
      </c>
      <c r="M1672">
        <v>0</v>
      </c>
      <c r="N1672">
        <v>0</v>
      </c>
      <c r="O1672">
        <v>0</v>
      </c>
      <c r="P1672">
        <v>0</v>
      </c>
      <c r="Q1672">
        <v>0</v>
      </c>
      <c r="R1672">
        <v>6</v>
      </c>
      <c r="S1672">
        <v>42</v>
      </c>
      <c r="V1672">
        <v>3</v>
      </c>
      <c r="W1672">
        <v>757</v>
      </c>
    </row>
    <row r="1673" spans="1:23" x14ac:dyDescent="0.25">
      <c r="H1673">
        <v>898</v>
      </c>
    </row>
    <row r="1674" spans="1:23" x14ac:dyDescent="0.25">
      <c r="A1674">
        <v>834</v>
      </c>
      <c r="B1674">
        <v>10102</v>
      </c>
      <c r="C1674" t="s">
        <v>2878</v>
      </c>
      <c r="D1674" t="s">
        <v>31</v>
      </c>
      <c r="E1674" t="s">
        <v>26</v>
      </c>
      <c r="F1674" t="s">
        <v>2879</v>
      </c>
      <c r="G1674" t="str">
        <f>"201510001099"</f>
        <v>201510001099</v>
      </c>
      <c r="H1674">
        <v>605</v>
      </c>
      <c r="I1674">
        <v>150</v>
      </c>
      <c r="J1674">
        <v>0</v>
      </c>
      <c r="K1674">
        <v>0</v>
      </c>
      <c r="L1674">
        <v>0</v>
      </c>
      <c r="M1674">
        <v>0</v>
      </c>
      <c r="N1674">
        <v>0</v>
      </c>
      <c r="O1674">
        <v>0</v>
      </c>
      <c r="P1674">
        <v>0</v>
      </c>
      <c r="Q1674">
        <v>0</v>
      </c>
      <c r="R1674">
        <v>0</v>
      </c>
      <c r="S1674">
        <v>0</v>
      </c>
      <c r="V1674">
        <v>1</v>
      </c>
      <c r="W1674">
        <v>755</v>
      </c>
    </row>
    <row r="1675" spans="1:23" x14ac:dyDescent="0.25">
      <c r="H1675" t="s">
        <v>2880</v>
      </c>
    </row>
    <row r="1676" spans="1:23" x14ac:dyDescent="0.25">
      <c r="A1676">
        <v>835</v>
      </c>
      <c r="B1676">
        <v>10112</v>
      </c>
      <c r="C1676" t="s">
        <v>2881</v>
      </c>
      <c r="D1676" t="s">
        <v>94</v>
      </c>
      <c r="E1676" t="s">
        <v>26</v>
      </c>
      <c r="F1676" t="s">
        <v>2882</v>
      </c>
      <c r="G1676" t="str">
        <f>"201511041489"</f>
        <v>201511041489</v>
      </c>
      <c r="H1676">
        <v>550</v>
      </c>
      <c r="I1676">
        <v>0</v>
      </c>
      <c r="J1676">
        <v>30</v>
      </c>
      <c r="K1676">
        <v>0</v>
      </c>
      <c r="L1676">
        <v>0</v>
      </c>
      <c r="M1676">
        <v>0</v>
      </c>
      <c r="N1676">
        <v>0</v>
      </c>
      <c r="O1676">
        <v>0</v>
      </c>
      <c r="P1676">
        <v>0</v>
      </c>
      <c r="Q1676">
        <v>0</v>
      </c>
      <c r="R1676">
        <v>24</v>
      </c>
      <c r="S1676">
        <v>168</v>
      </c>
      <c r="V1676">
        <v>1</v>
      </c>
      <c r="W1676">
        <v>748</v>
      </c>
    </row>
    <row r="1677" spans="1:23" x14ac:dyDescent="0.25">
      <c r="H1677" t="s">
        <v>2883</v>
      </c>
    </row>
    <row r="1678" spans="1:23" x14ac:dyDescent="0.25">
      <c r="A1678">
        <v>836</v>
      </c>
      <c r="B1678">
        <v>10601</v>
      </c>
      <c r="C1678" t="s">
        <v>2884</v>
      </c>
      <c r="D1678" t="s">
        <v>2885</v>
      </c>
      <c r="E1678" t="s">
        <v>53</v>
      </c>
      <c r="F1678" t="s">
        <v>2886</v>
      </c>
      <c r="G1678" t="str">
        <f>"201512000248"</f>
        <v>201512000248</v>
      </c>
      <c r="H1678">
        <v>715</v>
      </c>
      <c r="I1678">
        <v>0</v>
      </c>
      <c r="J1678">
        <v>30</v>
      </c>
      <c r="K1678">
        <v>0</v>
      </c>
      <c r="L1678">
        <v>0</v>
      </c>
      <c r="M1678">
        <v>0</v>
      </c>
      <c r="N1678">
        <v>0</v>
      </c>
      <c r="O1678">
        <v>0</v>
      </c>
      <c r="P1678">
        <v>0</v>
      </c>
      <c r="Q1678">
        <v>0</v>
      </c>
      <c r="R1678">
        <v>0</v>
      </c>
      <c r="S1678">
        <v>0</v>
      </c>
      <c r="V1678">
        <v>0</v>
      </c>
      <c r="W1678">
        <v>745</v>
      </c>
    </row>
    <row r="1679" spans="1:23" x14ac:dyDescent="0.25">
      <c r="H1679" t="s">
        <v>2887</v>
      </c>
    </row>
    <row r="1680" spans="1:23" x14ac:dyDescent="0.25">
      <c r="A1680">
        <v>837</v>
      </c>
      <c r="B1680">
        <v>1243</v>
      </c>
      <c r="C1680" t="s">
        <v>2888</v>
      </c>
      <c r="D1680" t="s">
        <v>767</v>
      </c>
      <c r="E1680" t="s">
        <v>830</v>
      </c>
      <c r="F1680" t="s">
        <v>2889</v>
      </c>
      <c r="G1680" t="str">
        <f>"201511012543"</f>
        <v>201511012543</v>
      </c>
      <c r="H1680">
        <v>715</v>
      </c>
      <c r="I1680">
        <v>0</v>
      </c>
      <c r="J1680">
        <v>30</v>
      </c>
      <c r="K1680">
        <v>0</v>
      </c>
      <c r="L1680">
        <v>0</v>
      </c>
      <c r="M1680">
        <v>0</v>
      </c>
      <c r="N1680">
        <v>0</v>
      </c>
      <c r="O1680">
        <v>0</v>
      </c>
      <c r="P1680">
        <v>0</v>
      </c>
      <c r="Q1680">
        <v>0</v>
      </c>
      <c r="R1680">
        <v>0</v>
      </c>
      <c r="S1680">
        <v>0</v>
      </c>
      <c r="V1680">
        <v>0</v>
      </c>
      <c r="W1680">
        <v>745</v>
      </c>
    </row>
    <row r="1681" spans="1:23" x14ac:dyDescent="0.25">
      <c r="H1681" t="s">
        <v>2890</v>
      </c>
    </row>
    <row r="1682" spans="1:23" x14ac:dyDescent="0.25">
      <c r="A1682">
        <v>838</v>
      </c>
      <c r="B1682">
        <v>2383</v>
      </c>
      <c r="C1682" t="s">
        <v>2891</v>
      </c>
      <c r="D1682" t="s">
        <v>1602</v>
      </c>
      <c r="E1682" t="s">
        <v>95</v>
      </c>
      <c r="F1682" t="s">
        <v>2892</v>
      </c>
      <c r="G1682" t="str">
        <f>"201512000228"</f>
        <v>201512000228</v>
      </c>
      <c r="H1682">
        <v>715</v>
      </c>
      <c r="I1682">
        <v>0</v>
      </c>
      <c r="J1682">
        <v>30</v>
      </c>
      <c r="K1682">
        <v>0</v>
      </c>
      <c r="L1682">
        <v>0</v>
      </c>
      <c r="M1682">
        <v>0</v>
      </c>
      <c r="N1682">
        <v>0</v>
      </c>
      <c r="O1682">
        <v>0</v>
      </c>
      <c r="P1682">
        <v>0</v>
      </c>
      <c r="Q1682">
        <v>0</v>
      </c>
      <c r="R1682">
        <v>0</v>
      </c>
      <c r="S1682">
        <v>0</v>
      </c>
      <c r="V1682">
        <v>0</v>
      </c>
      <c r="W1682">
        <v>745</v>
      </c>
    </row>
    <row r="1683" spans="1:23" x14ac:dyDescent="0.25">
      <c r="H1683" t="s">
        <v>2893</v>
      </c>
    </row>
    <row r="1684" spans="1:23" x14ac:dyDescent="0.25">
      <c r="A1684">
        <v>839</v>
      </c>
      <c r="B1684">
        <v>9882</v>
      </c>
      <c r="C1684" t="s">
        <v>2894</v>
      </c>
      <c r="D1684" t="s">
        <v>861</v>
      </c>
      <c r="E1684" t="s">
        <v>407</v>
      </c>
      <c r="F1684">
        <v>125389</v>
      </c>
      <c r="G1684" t="str">
        <f>"00076110"</f>
        <v>00076110</v>
      </c>
      <c r="H1684">
        <v>660</v>
      </c>
      <c r="I1684">
        <v>0</v>
      </c>
      <c r="J1684">
        <v>30</v>
      </c>
      <c r="K1684">
        <v>0</v>
      </c>
      <c r="L1684">
        <v>0</v>
      </c>
      <c r="M1684">
        <v>0</v>
      </c>
      <c r="N1684">
        <v>0</v>
      </c>
      <c r="O1684">
        <v>0</v>
      </c>
      <c r="P1684">
        <v>0</v>
      </c>
      <c r="Q1684">
        <v>0</v>
      </c>
      <c r="R1684">
        <v>6</v>
      </c>
      <c r="S1684">
        <v>42</v>
      </c>
      <c r="V1684">
        <v>0</v>
      </c>
      <c r="W1684">
        <v>732</v>
      </c>
    </row>
    <row r="1685" spans="1:23" x14ac:dyDescent="0.25">
      <c r="H1685" t="s">
        <v>2895</v>
      </c>
    </row>
    <row r="1686" spans="1:23" x14ac:dyDescent="0.25">
      <c r="A1686">
        <v>840</v>
      </c>
      <c r="B1686">
        <v>78</v>
      </c>
      <c r="C1686" t="s">
        <v>2896</v>
      </c>
      <c r="D1686" t="s">
        <v>269</v>
      </c>
      <c r="E1686" t="s">
        <v>304</v>
      </c>
      <c r="F1686" t="s">
        <v>2897</v>
      </c>
      <c r="G1686" t="str">
        <f>"00019430"</f>
        <v>00019430</v>
      </c>
      <c r="H1686">
        <v>726</v>
      </c>
      <c r="I1686">
        <v>0</v>
      </c>
      <c r="J1686">
        <v>0</v>
      </c>
      <c r="K1686">
        <v>0</v>
      </c>
      <c r="L1686">
        <v>0</v>
      </c>
      <c r="M1686">
        <v>0</v>
      </c>
      <c r="N1686">
        <v>0</v>
      </c>
      <c r="O1686">
        <v>0</v>
      </c>
      <c r="P1686">
        <v>0</v>
      </c>
      <c r="Q1686">
        <v>0</v>
      </c>
      <c r="R1686">
        <v>0</v>
      </c>
      <c r="S1686">
        <v>0</v>
      </c>
      <c r="T1686">
        <v>6</v>
      </c>
      <c r="U1686">
        <v>935</v>
      </c>
      <c r="V1686">
        <v>0</v>
      </c>
      <c r="W1686">
        <v>726</v>
      </c>
    </row>
    <row r="1687" spans="1:23" x14ac:dyDescent="0.25">
      <c r="H1687">
        <v>935</v>
      </c>
    </row>
    <row r="1688" spans="1:23" x14ac:dyDescent="0.25">
      <c r="A1688">
        <v>841</v>
      </c>
      <c r="B1688">
        <v>5487</v>
      </c>
      <c r="C1688" t="s">
        <v>2700</v>
      </c>
      <c r="D1688" t="s">
        <v>21</v>
      </c>
      <c r="E1688" t="s">
        <v>877</v>
      </c>
      <c r="F1688" t="s">
        <v>2701</v>
      </c>
      <c r="G1688" t="str">
        <f>"201511022400"</f>
        <v>201511022400</v>
      </c>
      <c r="H1688">
        <v>550</v>
      </c>
      <c r="I1688">
        <v>0</v>
      </c>
      <c r="J1688">
        <v>0</v>
      </c>
      <c r="K1688">
        <v>0</v>
      </c>
      <c r="L1688">
        <v>0</v>
      </c>
      <c r="M1688">
        <v>0</v>
      </c>
      <c r="N1688">
        <v>0</v>
      </c>
      <c r="O1688">
        <v>0</v>
      </c>
      <c r="P1688">
        <v>0</v>
      </c>
      <c r="Q1688">
        <v>0</v>
      </c>
      <c r="R1688">
        <v>25</v>
      </c>
      <c r="S1688">
        <v>175</v>
      </c>
      <c r="V1688">
        <v>0</v>
      </c>
      <c r="W1688">
        <v>725</v>
      </c>
    </row>
    <row r="1689" spans="1:23" x14ac:dyDescent="0.25">
      <c r="H1689" t="s">
        <v>2702</v>
      </c>
    </row>
    <row r="1690" spans="1:23" x14ac:dyDescent="0.25">
      <c r="A1690">
        <v>842</v>
      </c>
      <c r="B1690">
        <v>9648</v>
      </c>
      <c r="C1690" t="s">
        <v>2898</v>
      </c>
      <c r="D1690" t="s">
        <v>121</v>
      </c>
      <c r="E1690" t="s">
        <v>1904</v>
      </c>
      <c r="F1690" t="s">
        <v>2899</v>
      </c>
      <c r="G1690" t="str">
        <f>"00042989"</f>
        <v>00042989</v>
      </c>
      <c r="H1690">
        <v>550</v>
      </c>
      <c r="I1690">
        <v>0</v>
      </c>
      <c r="J1690">
        <v>0</v>
      </c>
      <c r="K1690">
        <v>0</v>
      </c>
      <c r="L1690">
        <v>0</v>
      </c>
      <c r="M1690">
        <v>0</v>
      </c>
      <c r="N1690">
        <v>0</v>
      </c>
      <c r="O1690">
        <v>0</v>
      </c>
      <c r="P1690">
        <v>0</v>
      </c>
      <c r="Q1690">
        <v>0</v>
      </c>
      <c r="R1690">
        <v>25</v>
      </c>
      <c r="S1690">
        <v>175</v>
      </c>
      <c r="V1690">
        <v>0</v>
      </c>
      <c r="W1690">
        <v>725</v>
      </c>
    </row>
    <row r="1691" spans="1:23" x14ac:dyDescent="0.25">
      <c r="H1691" t="s">
        <v>2900</v>
      </c>
    </row>
    <row r="1692" spans="1:23" x14ac:dyDescent="0.25">
      <c r="A1692">
        <v>843</v>
      </c>
      <c r="B1692">
        <v>10091</v>
      </c>
      <c r="C1692" t="s">
        <v>2901</v>
      </c>
      <c r="D1692" t="s">
        <v>156</v>
      </c>
      <c r="E1692" t="s">
        <v>830</v>
      </c>
      <c r="F1692" t="s">
        <v>2902</v>
      </c>
      <c r="G1692" t="str">
        <f>"00003021"</f>
        <v>00003021</v>
      </c>
      <c r="H1692" t="s">
        <v>2903</v>
      </c>
      <c r="I1692">
        <v>0</v>
      </c>
      <c r="J1692">
        <v>0</v>
      </c>
      <c r="K1692">
        <v>0</v>
      </c>
      <c r="L1692">
        <v>0</v>
      </c>
      <c r="M1692">
        <v>0</v>
      </c>
      <c r="N1692">
        <v>0</v>
      </c>
      <c r="O1692">
        <v>0</v>
      </c>
      <c r="P1692">
        <v>0</v>
      </c>
      <c r="Q1692">
        <v>0</v>
      </c>
      <c r="R1692">
        <v>0</v>
      </c>
      <c r="S1692">
        <v>0</v>
      </c>
      <c r="V1692">
        <v>0</v>
      </c>
      <c r="W1692" t="s">
        <v>2903</v>
      </c>
    </row>
    <row r="1693" spans="1:23" x14ac:dyDescent="0.25">
      <c r="H1693" t="s">
        <v>1536</v>
      </c>
    </row>
    <row r="1694" spans="1:23" x14ac:dyDescent="0.25">
      <c r="A1694">
        <v>844</v>
      </c>
      <c r="B1694">
        <v>6864</v>
      </c>
      <c r="C1694" t="s">
        <v>2904</v>
      </c>
      <c r="D1694" t="s">
        <v>126</v>
      </c>
      <c r="E1694" t="s">
        <v>95</v>
      </c>
      <c r="F1694" t="s">
        <v>2905</v>
      </c>
      <c r="G1694" t="str">
        <f>"201511040763"</f>
        <v>201511040763</v>
      </c>
      <c r="H1694">
        <v>605</v>
      </c>
      <c r="I1694">
        <v>0</v>
      </c>
      <c r="J1694">
        <v>0</v>
      </c>
      <c r="K1694">
        <v>0</v>
      </c>
      <c r="L1694">
        <v>0</v>
      </c>
      <c r="M1694">
        <v>0</v>
      </c>
      <c r="N1694">
        <v>0</v>
      </c>
      <c r="O1694">
        <v>0</v>
      </c>
      <c r="P1694">
        <v>0</v>
      </c>
      <c r="Q1694">
        <v>0</v>
      </c>
      <c r="R1694">
        <v>16</v>
      </c>
      <c r="S1694">
        <v>112</v>
      </c>
      <c r="V1694">
        <v>0</v>
      </c>
      <c r="W1694">
        <v>717</v>
      </c>
    </row>
    <row r="1695" spans="1:23" x14ac:dyDescent="0.25">
      <c r="H1695" t="s">
        <v>2906</v>
      </c>
    </row>
    <row r="1696" spans="1:23" x14ac:dyDescent="0.25">
      <c r="A1696">
        <v>845</v>
      </c>
      <c r="B1696">
        <v>6217</v>
      </c>
      <c r="C1696" t="s">
        <v>2907</v>
      </c>
      <c r="D1696" t="s">
        <v>2908</v>
      </c>
      <c r="E1696" t="s">
        <v>721</v>
      </c>
      <c r="F1696" t="s">
        <v>2909</v>
      </c>
      <c r="G1696" t="str">
        <f>"00101499"</f>
        <v>00101499</v>
      </c>
      <c r="H1696">
        <v>715</v>
      </c>
      <c r="I1696">
        <v>0</v>
      </c>
      <c r="J1696">
        <v>0</v>
      </c>
      <c r="K1696">
        <v>0</v>
      </c>
      <c r="L1696">
        <v>0</v>
      </c>
      <c r="M1696">
        <v>0</v>
      </c>
      <c r="N1696">
        <v>0</v>
      </c>
      <c r="O1696">
        <v>0</v>
      </c>
      <c r="P1696">
        <v>0</v>
      </c>
      <c r="Q1696">
        <v>0</v>
      </c>
      <c r="R1696">
        <v>0</v>
      </c>
      <c r="S1696">
        <v>0</v>
      </c>
      <c r="V1696">
        <v>0</v>
      </c>
      <c r="W1696">
        <v>715</v>
      </c>
    </row>
    <row r="1697" spans="1:23" x14ac:dyDescent="0.25">
      <c r="H1697" t="s">
        <v>2042</v>
      </c>
    </row>
    <row r="1698" spans="1:23" x14ac:dyDescent="0.25">
      <c r="A1698">
        <v>846</v>
      </c>
      <c r="B1698">
        <v>5222</v>
      </c>
      <c r="C1698" t="s">
        <v>2910</v>
      </c>
      <c r="D1698" t="s">
        <v>71</v>
      </c>
      <c r="E1698" t="s">
        <v>95</v>
      </c>
      <c r="F1698" t="s">
        <v>2911</v>
      </c>
      <c r="G1698" t="str">
        <f>"201511027827"</f>
        <v>201511027827</v>
      </c>
      <c r="H1698">
        <v>715</v>
      </c>
      <c r="I1698">
        <v>0</v>
      </c>
      <c r="J1698">
        <v>0</v>
      </c>
      <c r="K1698">
        <v>0</v>
      </c>
      <c r="L1698">
        <v>0</v>
      </c>
      <c r="M1698">
        <v>0</v>
      </c>
      <c r="N1698">
        <v>0</v>
      </c>
      <c r="O1698">
        <v>0</v>
      </c>
      <c r="P1698">
        <v>0</v>
      </c>
      <c r="Q1698">
        <v>0</v>
      </c>
      <c r="R1698">
        <v>0</v>
      </c>
      <c r="S1698">
        <v>0</v>
      </c>
      <c r="V1698">
        <v>0</v>
      </c>
      <c r="W1698">
        <v>715</v>
      </c>
    </row>
    <row r="1699" spans="1:23" x14ac:dyDescent="0.25">
      <c r="H1699" t="s">
        <v>2912</v>
      </c>
    </row>
    <row r="1700" spans="1:23" x14ac:dyDescent="0.25">
      <c r="A1700">
        <v>847</v>
      </c>
      <c r="B1700">
        <v>3764</v>
      </c>
      <c r="C1700" t="s">
        <v>2913</v>
      </c>
      <c r="D1700" t="s">
        <v>2914</v>
      </c>
      <c r="E1700" t="s">
        <v>218</v>
      </c>
      <c r="F1700" t="s">
        <v>2915</v>
      </c>
      <c r="G1700" t="str">
        <f>"00016138"</f>
        <v>00016138</v>
      </c>
      <c r="H1700">
        <v>605</v>
      </c>
      <c r="I1700">
        <v>0</v>
      </c>
      <c r="J1700">
        <v>0</v>
      </c>
      <c r="K1700">
        <v>0</v>
      </c>
      <c r="L1700">
        <v>0</v>
      </c>
      <c r="M1700">
        <v>0</v>
      </c>
      <c r="N1700">
        <v>0</v>
      </c>
      <c r="O1700">
        <v>0</v>
      </c>
      <c r="P1700">
        <v>0</v>
      </c>
      <c r="Q1700">
        <v>0</v>
      </c>
      <c r="R1700">
        <v>15</v>
      </c>
      <c r="S1700">
        <v>105</v>
      </c>
      <c r="V1700">
        <v>0</v>
      </c>
      <c r="W1700">
        <v>710</v>
      </c>
    </row>
    <row r="1701" spans="1:23" x14ac:dyDescent="0.25">
      <c r="H1701" t="s">
        <v>2916</v>
      </c>
    </row>
    <row r="1702" spans="1:23" x14ac:dyDescent="0.25">
      <c r="A1702">
        <v>848</v>
      </c>
      <c r="B1702">
        <v>8973</v>
      </c>
      <c r="C1702" t="s">
        <v>2917</v>
      </c>
      <c r="D1702" t="s">
        <v>156</v>
      </c>
      <c r="E1702" t="s">
        <v>385</v>
      </c>
      <c r="F1702" t="s">
        <v>2918</v>
      </c>
      <c r="G1702" t="str">
        <f>"00103055"</f>
        <v>00103055</v>
      </c>
      <c r="H1702" t="s">
        <v>2919</v>
      </c>
      <c r="I1702">
        <v>0</v>
      </c>
      <c r="J1702">
        <v>0</v>
      </c>
      <c r="K1702">
        <v>0</v>
      </c>
      <c r="L1702">
        <v>0</v>
      </c>
      <c r="M1702">
        <v>0</v>
      </c>
      <c r="N1702">
        <v>0</v>
      </c>
      <c r="O1702">
        <v>0</v>
      </c>
      <c r="P1702">
        <v>0</v>
      </c>
      <c r="Q1702">
        <v>0</v>
      </c>
      <c r="R1702">
        <v>0</v>
      </c>
      <c r="S1702">
        <v>0</v>
      </c>
      <c r="V1702">
        <v>1</v>
      </c>
      <c r="W1702" t="s">
        <v>2919</v>
      </c>
    </row>
    <row r="1703" spans="1:23" x14ac:dyDescent="0.25">
      <c r="H1703" t="s">
        <v>2317</v>
      </c>
    </row>
    <row r="1704" spans="1:23" x14ac:dyDescent="0.25">
      <c r="A1704">
        <v>849</v>
      </c>
      <c r="B1704">
        <v>4690</v>
      </c>
      <c r="C1704" t="s">
        <v>459</v>
      </c>
      <c r="D1704" t="s">
        <v>83</v>
      </c>
      <c r="E1704" t="s">
        <v>380</v>
      </c>
      <c r="F1704" t="s">
        <v>2920</v>
      </c>
      <c r="G1704" t="str">
        <f>"00022916"</f>
        <v>00022916</v>
      </c>
      <c r="H1704" t="s">
        <v>2919</v>
      </c>
      <c r="I1704">
        <v>0</v>
      </c>
      <c r="J1704">
        <v>0</v>
      </c>
      <c r="K1704">
        <v>0</v>
      </c>
      <c r="L1704">
        <v>0</v>
      </c>
      <c r="M1704">
        <v>0</v>
      </c>
      <c r="N1704">
        <v>0</v>
      </c>
      <c r="O1704">
        <v>0</v>
      </c>
      <c r="P1704">
        <v>0</v>
      </c>
      <c r="Q1704">
        <v>0</v>
      </c>
      <c r="R1704">
        <v>0</v>
      </c>
      <c r="S1704">
        <v>0</v>
      </c>
      <c r="V1704">
        <v>0</v>
      </c>
      <c r="W1704" t="s">
        <v>2919</v>
      </c>
    </row>
    <row r="1705" spans="1:23" x14ac:dyDescent="0.25">
      <c r="H1705">
        <v>927</v>
      </c>
    </row>
    <row r="1706" spans="1:23" x14ac:dyDescent="0.25">
      <c r="A1706">
        <v>850</v>
      </c>
      <c r="B1706">
        <v>10178</v>
      </c>
      <c r="C1706" t="s">
        <v>2921</v>
      </c>
      <c r="D1706" t="s">
        <v>156</v>
      </c>
      <c r="E1706" t="s">
        <v>497</v>
      </c>
      <c r="F1706" t="s">
        <v>2922</v>
      </c>
      <c r="G1706" t="str">
        <f>"00099787"</f>
        <v>00099787</v>
      </c>
      <c r="H1706">
        <v>605</v>
      </c>
      <c r="I1706">
        <v>0</v>
      </c>
      <c r="J1706">
        <v>70</v>
      </c>
      <c r="K1706">
        <v>30</v>
      </c>
      <c r="L1706">
        <v>0</v>
      </c>
      <c r="M1706">
        <v>0</v>
      </c>
      <c r="N1706">
        <v>0</v>
      </c>
      <c r="O1706">
        <v>0</v>
      </c>
      <c r="P1706">
        <v>0</v>
      </c>
      <c r="Q1706">
        <v>0</v>
      </c>
      <c r="R1706">
        <v>0</v>
      </c>
      <c r="S1706">
        <v>0</v>
      </c>
      <c r="V1706">
        <v>1</v>
      </c>
      <c r="W1706">
        <v>705</v>
      </c>
    </row>
    <row r="1707" spans="1:23" x14ac:dyDescent="0.25">
      <c r="H1707" t="s">
        <v>2923</v>
      </c>
    </row>
    <row r="1708" spans="1:23" x14ac:dyDescent="0.25">
      <c r="A1708">
        <v>851</v>
      </c>
      <c r="B1708">
        <v>3249</v>
      </c>
      <c r="C1708" t="s">
        <v>2924</v>
      </c>
      <c r="D1708" t="s">
        <v>132</v>
      </c>
      <c r="E1708" t="s">
        <v>32</v>
      </c>
      <c r="F1708" t="s">
        <v>2925</v>
      </c>
      <c r="G1708" t="str">
        <f>"201510002800"</f>
        <v>201510002800</v>
      </c>
      <c r="H1708">
        <v>550</v>
      </c>
      <c r="I1708">
        <v>0</v>
      </c>
      <c r="J1708">
        <v>0</v>
      </c>
      <c r="K1708">
        <v>0</v>
      </c>
      <c r="L1708">
        <v>0</v>
      </c>
      <c r="M1708">
        <v>0</v>
      </c>
      <c r="N1708">
        <v>0</v>
      </c>
      <c r="O1708">
        <v>0</v>
      </c>
      <c r="P1708">
        <v>0</v>
      </c>
      <c r="Q1708">
        <v>0</v>
      </c>
      <c r="R1708">
        <v>22</v>
      </c>
      <c r="S1708">
        <v>154</v>
      </c>
      <c r="V1708">
        <v>0</v>
      </c>
      <c r="W1708">
        <v>704</v>
      </c>
    </row>
    <row r="1709" spans="1:23" x14ac:dyDescent="0.25">
      <c r="H1709" t="s">
        <v>216</v>
      </c>
    </row>
    <row r="1710" spans="1:23" x14ac:dyDescent="0.25">
      <c r="A1710">
        <v>852</v>
      </c>
      <c r="B1710">
        <v>5951</v>
      </c>
      <c r="C1710" t="s">
        <v>2926</v>
      </c>
      <c r="D1710" t="s">
        <v>2927</v>
      </c>
      <c r="E1710" t="s">
        <v>47</v>
      </c>
      <c r="F1710" t="s">
        <v>2928</v>
      </c>
      <c r="G1710" t="str">
        <f>"201511021369"</f>
        <v>201511021369</v>
      </c>
      <c r="H1710">
        <v>660</v>
      </c>
      <c r="I1710">
        <v>0</v>
      </c>
      <c r="J1710">
        <v>0</v>
      </c>
      <c r="K1710">
        <v>0</v>
      </c>
      <c r="L1710">
        <v>0</v>
      </c>
      <c r="M1710">
        <v>0</v>
      </c>
      <c r="N1710">
        <v>0</v>
      </c>
      <c r="O1710">
        <v>0</v>
      </c>
      <c r="P1710">
        <v>0</v>
      </c>
      <c r="Q1710">
        <v>0</v>
      </c>
      <c r="R1710">
        <v>6</v>
      </c>
      <c r="S1710">
        <v>42</v>
      </c>
      <c r="V1710">
        <v>0</v>
      </c>
      <c r="W1710">
        <v>702</v>
      </c>
    </row>
    <row r="1711" spans="1:23" x14ac:dyDescent="0.25">
      <c r="H1711" t="s">
        <v>2929</v>
      </c>
    </row>
    <row r="1712" spans="1:23" x14ac:dyDescent="0.25">
      <c r="A1712">
        <v>853</v>
      </c>
      <c r="B1712">
        <v>500</v>
      </c>
      <c r="C1712" t="s">
        <v>2930</v>
      </c>
      <c r="D1712" t="s">
        <v>53</v>
      </c>
      <c r="E1712" t="s">
        <v>42</v>
      </c>
      <c r="F1712" t="s">
        <v>2931</v>
      </c>
      <c r="G1712" t="str">
        <f>"00050439"</f>
        <v>00050439</v>
      </c>
      <c r="H1712" t="s">
        <v>2932</v>
      </c>
      <c r="I1712">
        <v>0</v>
      </c>
      <c r="J1712">
        <v>0</v>
      </c>
      <c r="K1712">
        <v>0</v>
      </c>
      <c r="L1712">
        <v>0</v>
      </c>
      <c r="M1712">
        <v>0</v>
      </c>
      <c r="N1712">
        <v>0</v>
      </c>
      <c r="O1712">
        <v>0</v>
      </c>
      <c r="P1712">
        <v>0</v>
      </c>
      <c r="Q1712">
        <v>0</v>
      </c>
      <c r="R1712">
        <v>0</v>
      </c>
      <c r="S1712">
        <v>0</v>
      </c>
      <c r="T1712">
        <v>6</v>
      </c>
      <c r="U1712">
        <v>932</v>
      </c>
      <c r="V1712">
        <v>0</v>
      </c>
      <c r="W1712" t="s">
        <v>2932</v>
      </c>
    </row>
    <row r="1713" spans="1:23" x14ac:dyDescent="0.25">
      <c r="H1713">
        <v>932</v>
      </c>
    </row>
    <row r="1714" spans="1:23" x14ac:dyDescent="0.25">
      <c r="A1714">
        <v>854</v>
      </c>
      <c r="B1714">
        <v>8450</v>
      </c>
      <c r="C1714" t="s">
        <v>2933</v>
      </c>
      <c r="D1714" t="s">
        <v>2586</v>
      </c>
      <c r="E1714" t="s">
        <v>71</v>
      </c>
      <c r="F1714" t="s">
        <v>2934</v>
      </c>
      <c r="G1714" t="str">
        <f>"201511009567"</f>
        <v>201511009567</v>
      </c>
      <c r="H1714" t="s">
        <v>2416</v>
      </c>
      <c r="I1714">
        <v>0</v>
      </c>
      <c r="J1714">
        <v>0</v>
      </c>
      <c r="K1714">
        <v>0</v>
      </c>
      <c r="L1714">
        <v>0</v>
      </c>
      <c r="M1714">
        <v>0</v>
      </c>
      <c r="N1714">
        <v>0</v>
      </c>
      <c r="O1714">
        <v>0</v>
      </c>
      <c r="P1714">
        <v>0</v>
      </c>
      <c r="Q1714">
        <v>0</v>
      </c>
      <c r="R1714">
        <v>0</v>
      </c>
      <c r="S1714">
        <v>0</v>
      </c>
      <c r="V1714">
        <v>0</v>
      </c>
      <c r="W1714" t="s">
        <v>2416</v>
      </c>
    </row>
    <row r="1715" spans="1:23" x14ac:dyDescent="0.25">
      <c r="H1715" t="s">
        <v>2935</v>
      </c>
    </row>
    <row r="1716" spans="1:23" x14ac:dyDescent="0.25">
      <c r="A1716">
        <v>855</v>
      </c>
      <c r="B1716">
        <v>7859</v>
      </c>
      <c r="C1716" t="s">
        <v>2936</v>
      </c>
      <c r="D1716" t="s">
        <v>62</v>
      </c>
      <c r="E1716" t="s">
        <v>42</v>
      </c>
      <c r="F1716" t="s">
        <v>2937</v>
      </c>
      <c r="G1716" t="str">
        <f>"00084268"</f>
        <v>00084268</v>
      </c>
      <c r="H1716" t="s">
        <v>1306</v>
      </c>
      <c r="I1716">
        <v>0</v>
      </c>
      <c r="J1716">
        <v>0</v>
      </c>
      <c r="K1716">
        <v>0</v>
      </c>
      <c r="L1716">
        <v>0</v>
      </c>
      <c r="M1716">
        <v>0</v>
      </c>
      <c r="N1716">
        <v>0</v>
      </c>
      <c r="O1716">
        <v>0</v>
      </c>
      <c r="P1716">
        <v>0</v>
      </c>
      <c r="Q1716">
        <v>0</v>
      </c>
      <c r="R1716">
        <v>0</v>
      </c>
      <c r="S1716">
        <v>0</v>
      </c>
      <c r="V1716">
        <v>0</v>
      </c>
      <c r="W1716" t="s">
        <v>1306</v>
      </c>
    </row>
    <row r="1717" spans="1:23" x14ac:dyDescent="0.25">
      <c r="H1717">
        <v>907</v>
      </c>
    </row>
    <row r="1718" spans="1:23" x14ac:dyDescent="0.25">
      <c r="A1718">
        <v>856</v>
      </c>
      <c r="B1718">
        <v>8520</v>
      </c>
      <c r="C1718" t="s">
        <v>2938</v>
      </c>
      <c r="D1718" t="s">
        <v>721</v>
      </c>
      <c r="E1718" t="s">
        <v>42</v>
      </c>
      <c r="F1718" t="s">
        <v>2939</v>
      </c>
      <c r="G1718" t="str">
        <f>"201511035749"</f>
        <v>201511035749</v>
      </c>
      <c r="H1718">
        <v>660</v>
      </c>
      <c r="I1718">
        <v>0</v>
      </c>
      <c r="J1718">
        <v>30</v>
      </c>
      <c r="K1718">
        <v>0</v>
      </c>
      <c r="L1718">
        <v>0</v>
      </c>
      <c r="M1718">
        <v>0</v>
      </c>
      <c r="N1718">
        <v>0</v>
      </c>
      <c r="O1718">
        <v>0</v>
      </c>
      <c r="P1718">
        <v>0</v>
      </c>
      <c r="Q1718">
        <v>0</v>
      </c>
      <c r="R1718">
        <v>0</v>
      </c>
      <c r="S1718">
        <v>0</v>
      </c>
      <c r="T1718">
        <v>6</v>
      </c>
      <c r="U1718">
        <v>932</v>
      </c>
      <c r="V1718">
        <v>0</v>
      </c>
      <c r="W1718">
        <v>690</v>
      </c>
    </row>
    <row r="1719" spans="1:23" x14ac:dyDescent="0.25">
      <c r="H1719">
        <v>932</v>
      </c>
    </row>
    <row r="1720" spans="1:23" x14ac:dyDescent="0.25">
      <c r="A1720">
        <v>857</v>
      </c>
      <c r="B1720">
        <v>1348</v>
      </c>
      <c r="C1720" t="s">
        <v>2940</v>
      </c>
      <c r="D1720" t="s">
        <v>2941</v>
      </c>
      <c r="E1720" t="s">
        <v>42</v>
      </c>
      <c r="F1720" t="s">
        <v>2942</v>
      </c>
      <c r="G1720" t="str">
        <f>"00029737"</f>
        <v>00029737</v>
      </c>
      <c r="H1720" t="s">
        <v>1477</v>
      </c>
      <c r="I1720">
        <v>0</v>
      </c>
      <c r="J1720">
        <v>30</v>
      </c>
      <c r="K1720">
        <v>0</v>
      </c>
      <c r="L1720">
        <v>0</v>
      </c>
      <c r="M1720">
        <v>0</v>
      </c>
      <c r="N1720">
        <v>0</v>
      </c>
      <c r="O1720">
        <v>0</v>
      </c>
      <c r="P1720">
        <v>0</v>
      </c>
      <c r="Q1720">
        <v>0</v>
      </c>
      <c r="R1720">
        <v>0</v>
      </c>
      <c r="S1720">
        <v>0</v>
      </c>
      <c r="T1720">
        <v>6</v>
      </c>
      <c r="U1720">
        <v>935</v>
      </c>
      <c r="V1720">
        <v>0</v>
      </c>
      <c r="W1720" t="s">
        <v>2943</v>
      </c>
    </row>
    <row r="1721" spans="1:23" x14ac:dyDescent="0.25">
      <c r="H1721">
        <v>935</v>
      </c>
    </row>
    <row r="1722" spans="1:23" x14ac:dyDescent="0.25">
      <c r="A1722">
        <v>858</v>
      </c>
      <c r="B1722">
        <v>9415</v>
      </c>
      <c r="C1722" t="s">
        <v>2944</v>
      </c>
      <c r="D1722" t="s">
        <v>95</v>
      </c>
      <c r="E1722" t="s">
        <v>53</v>
      </c>
      <c r="F1722" t="s">
        <v>2945</v>
      </c>
      <c r="G1722" t="str">
        <f>"00022362"</f>
        <v>00022362</v>
      </c>
      <c r="H1722">
        <v>660</v>
      </c>
      <c r="I1722">
        <v>0</v>
      </c>
      <c r="J1722">
        <v>0</v>
      </c>
      <c r="K1722">
        <v>0</v>
      </c>
      <c r="L1722">
        <v>0</v>
      </c>
      <c r="M1722">
        <v>0</v>
      </c>
      <c r="N1722">
        <v>0</v>
      </c>
      <c r="O1722">
        <v>0</v>
      </c>
      <c r="P1722">
        <v>0</v>
      </c>
      <c r="Q1722">
        <v>0</v>
      </c>
      <c r="R1722">
        <v>2</v>
      </c>
      <c r="S1722">
        <v>14</v>
      </c>
      <c r="V1722">
        <v>0</v>
      </c>
      <c r="W1722">
        <v>674</v>
      </c>
    </row>
    <row r="1723" spans="1:23" x14ac:dyDescent="0.25">
      <c r="H1723" t="s">
        <v>2946</v>
      </c>
    </row>
    <row r="1724" spans="1:23" x14ac:dyDescent="0.25">
      <c r="A1724">
        <v>859</v>
      </c>
      <c r="B1724">
        <v>214</v>
      </c>
      <c r="C1724" t="s">
        <v>2947</v>
      </c>
      <c r="D1724" t="s">
        <v>370</v>
      </c>
      <c r="E1724" t="s">
        <v>2948</v>
      </c>
      <c r="F1724" t="s">
        <v>2949</v>
      </c>
      <c r="G1724" t="str">
        <f>"201512002486"</f>
        <v>201512002486</v>
      </c>
      <c r="H1724">
        <v>605</v>
      </c>
      <c r="I1724">
        <v>0</v>
      </c>
      <c r="J1724">
        <v>0</v>
      </c>
      <c r="K1724">
        <v>0</v>
      </c>
      <c r="L1724">
        <v>0</v>
      </c>
      <c r="M1724">
        <v>0</v>
      </c>
      <c r="N1724">
        <v>0</v>
      </c>
      <c r="O1724">
        <v>0</v>
      </c>
      <c r="P1724">
        <v>0</v>
      </c>
      <c r="Q1724">
        <v>0</v>
      </c>
      <c r="R1724">
        <v>9</v>
      </c>
      <c r="S1724">
        <v>63</v>
      </c>
      <c r="V1724">
        <v>0</v>
      </c>
      <c r="W1724">
        <v>668</v>
      </c>
    </row>
    <row r="1725" spans="1:23" x14ac:dyDescent="0.25">
      <c r="H1725" t="s">
        <v>2950</v>
      </c>
    </row>
    <row r="1726" spans="1:23" x14ac:dyDescent="0.25">
      <c r="A1726">
        <v>860</v>
      </c>
      <c r="B1726">
        <v>214</v>
      </c>
      <c r="C1726" t="s">
        <v>2947</v>
      </c>
      <c r="D1726" t="s">
        <v>370</v>
      </c>
      <c r="E1726" t="s">
        <v>2948</v>
      </c>
      <c r="F1726" t="s">
        <v>2949</v>
      </c>
      <c r="G1726" t="str">
        <f>"201512002486"</f>
        <v>201512002486</v>
      </c>
      <c r="H1726">
        <v>605</v>
      </c>
      <c r="I1726">
        <v>0</v>
      </c>
      <c r="J1726">
        <v>0</v>
      </c>
      <c r="K1726">
        <v>0</v>
      </c>
      <c r="L1726">
        <v>0</v>
      </c>
      <c r="M1726">
        <v>0</v>
      </c>
      <c r="N1726">
        <v>0</v>
      </c>
      <c r="O1726">
        <v>0</v>
      </c>
      <c r="P1726">
        <v>0</v>
      </c>
      <c r="Q1726">
        <v>0</v>
      </c>
      <c r="R1726">
        <v>9</v>
      </c>
      <c r="S1726">
        <v>63</v>
      </c>
      <c r="T1726">
        <v>6</v>
      </c>
      <c r="U1726">
        <v>915</v>
      </c>
      <c r="V1726">
        <v>0</v>
      </c>
      <c r="W1726">
        <v>668</v>
      </c>
    </row>
    <row r="1727" spans="1:23" x14ac:dyDescent="0.25">
      <c r="H1727" t="s">
        <v>2950</v>
      </c>
    </row>
    <row r="1728" spans="1:23" x14ac:dyDescent="0.25">
      <c r="A1728">
        <v>861</v>
      </c>
      <c r="B1728">
        <v>9712</v>
      </c>
      <c r="C1728" t="s">
        <v>2951</v>
      </c>
      <c r="D1728" t="s">
        <v>365</v>
      </c>
      <c r="E1728" t="s">
        <v>304</v>
      </c>
      <c r="F1728" t="s">
        <v>2952</v>
      </c>
      <c r="G1728" t="str">
        <f>"201511036780"</f>
        <v>201511036780</v>
      </c>
      <c r="H1728" t="s">
        <v>2953</v>
      </c>
      <c r="I1728">
        <v>0</v>
      </c>
      <c r="J1728">
        <v>0</v>
      </c>
      <c r="K1728">
        <v>0</v>
      </c>
      <c r="L1728">
        <v>0</v>
      </c>
      <c r="M1728">
        <v>0</v>
      </c>
      <c r="N1728">
        <v>0</v>
      </c>
      <c r="O1728">
        <v>0</v>
      </c>
      <c r="P1728">
        <v>0</v>
      </c>
      <c r="Q1728">
        <v>0</v>
      </c>
      <c r="R1728">
        <v>0</v>
      </c>
      <c r="S1728">
        <v>0</v>
      </c>
      <c r="V1728">
        <v>0</v>
      </c>
      <c r="W1728" t="s">
        <v>2953</v>
      </c>
    </row>
    <row r="1729" spans="1:23" x14ac:dyDescent="0.25">
      <c r="H1729" t="s">
        <v>2954</v>
      </c>
    </row>
    <row r="1730" spans="1:23" x14ac:dyDescent="0.25">
      <c r="A1730">
        <v>862</v>
      </c>
      <c r="B1730">
        <v>9980</v>
      </c>
      <c r="C1730" t="s">
        <v>2450</v>
      </c>
      <c r="D1730" t="s">
        <v>717</v>
      </c>
      <c r="E1730" t="s">
        <v>21</v>
      </c>
      <c r="F1730" t="s">
        <v>2451</v>
      </c>
      <c r="G1730" t="str">
        <f>"201511029703"</f>
        <v>201511029703</v>
      </c>
      <c r="H1730" t="s">
        <v>1388</v>
      </c>
      <c r="I1730">
        <v>0</v>
      </c>
      <c r="J1730">
        <v>30</v>
      </c>
      <c r="K1730">
        <v>0</v>
      </c>
      <c r="L1730">
        <v>0</v>
      </c>
      <c r="M1730">
        <v>0</v>
      </c>
      <c r="N1730">
        <v>0</v>
      </c>
      <c r="O1730">
        <v>0</v>
      </c>
      <c r="P1730">
        <v>0</v>
      </c>
      <c r="Q1730">
        <v>0</v>
      </c>
      <c r="R1730">
        <v>0</v>
      </c>
      <c r="S1730">
        <v>0</v>
      </c>
      <c r="V1730">
        <v>1</v>
      </c>
      <c r="W1730" t="s">
        <v>2955</v>
      </c>
    </row>
    <row r="1731" spans="1:23" x14ac:dyDescent="0.25">
      <c r="H1731" t="s">
        <v>2453</v>
      </c>
    </row>
    <row r="1732" spans="1:23" x14ac:dyDescent="0.25">
      <c r="A1732">
        <v>863</v>
      </c>
      <c r="B1732">
        <v>10181</v>
      </c>
      <c r="C1732" t="s">
        <v>2956</v>
      </c>
      <c r="D1732" t="s">
        <v>32</v>
      </c>
      <c r="E1732" t="s">
        <v>116</v>
      </c>
      <c r="F1732" t="s">
        <v>2957</v>
      </c>
      <c r="G1732" t="str">
        <f>"201511016807"</f>
        <v>201511016807</v>
      </c>
      <c r="H1732">
        <v>605</v>
      </c>
      <c r="I1732">
        <v>0</v>
      </c>
      <c r="J1732">
        <v>0</v>
      </c>
      <c r="K1732">
        <v>0</v>
      </c>
      <c r="L1732">
        <v>0</v>
      </c>
      <c r="M1732">
        <v>0</v>
      </c>
      <c r="N1732">
        <v>0</v>
      </c>
      <c r="O1732">
        <v>0</v>
      </c>
      <c r="P1732">
        <v>0</v>
      </c>
      <c r="Q1732">
        <v>0</v>
      </c>
      <c r="R1732">
        <v>8</v>
      </c>
      <c r="S1732">
        <v>56</v>
      </c>
      <c r="V1732">
        <v>1</v>
      </c>
      <c r="W1732">
        <v>661</v>
      </c>
    </row>
    <row r="1733" spans="1:23" x14ac:dyDescent="0.25">
      <c r="H1733" t="s">
        <v>2958</v>
      </c>
    </row>
    <row r="1734" spans="1:23" x14ac:dyDescent="0.25">
      <c r="A1734">
        <v>864</v>
      </c>
      <c r="B1734">
        <v>10497</v>
      </c>
      <c r="C1734" t="s">
        <v>2959</v>
      </c>
      <c r="D1734" t="s">
        <v>26</v>
      </c>
      <c r="E1734" t="s">
        <v>53</v>
      </c>
      <c r="F1734" t="s">
        <v>2960</v>
      </c>
      <c r="G1734" t="str">
        <f>"00080986"</f>
        <v>00080986</v>
      </c>
      <c r="H1734">
        <v>660</v>
      </c>
      <c r="I1734">
        <v>0</v>
      </c>
      <c r="J1734">
        <v>0</v>
      </c>
      <c r="K1734">
        <v>0</v>
      </c>
      <c r="L1734">
        <v>0</v>
      </c>
      <c r="M1734">
        <v>0</v>
      </c>
      <c r="N1734">
        <v>0</v>
      </c>
      <c r="O1734">
        <v>0</v>
      </c>
      <c r="P1734">
        <v>0</v>
      </c>
      <c r="Q1734">
        <v>0</v>
      </c>
      <c r="R1734">
        <v>0</v>
      </c>
      <c r="S1734">
        <v>0</v>
      </c>
      <c r="V1734">
        <v>2</v>
      </c>
      <c r="W1734">
        <v>660</v>
      </c>
    </row>
    <row r="1735" spans="1:23" x14ac:dyDescent="0.25">
      <c r="H1735" t="s">
        <v>2961</v>
      </c>
    </row>
    <row r="1736" spans="1:23" x14ac:dyDescent="0.25">
      <c r="A1736">
        <v>865</v>
      </c>
      <c r="B1736">
        <v>9810</v>
      </c>
      <c r="C1736" t="s">
        <v>2962</v>
      </c>
      <c r="D1736" t="s">
        <v>31</v>
      </c>
      <c r="E1736" t="s">
        <v>1391</v>
      </c>
      <c r="F1736" t="s">
        <v>2963</v>
      </c>
      <c r="G1736" t="str">
        <f>"201511039873"</f>
        <v>201511039873</v>
      </c>
      <c r="H1736">
        <v>660</v>
      </c>
      <c r="I1736">
        <v>0</v>
      </c>
      <c r="J1736">
        <v>0</v>
      </c>
      <c r="K1736">
        <v>0</v>
      </c>
      <c r="L1736">
        <v>0</v>
      </c>
      <c r="M1736">
        <v>0</v>
      </c>
      <c r="N1736">
        <v>0</v>
      </c>
      <c r="O1736">
        <v>0</v>
      </c>
      <c r="P1736">
        <v>0</v>
      </c>
      <c r="Q1736">
        <v>0</v>
      </c>
      <c r="R1736">
        <v>0</v>
      </c>
      <c r="S1736">
        <v>0</v>
      </c>
      <c r="V1736">
        <v>0</v>
      </c>
      <c r="W1736">
        <v>660</v>
      </c>
    </row>
    <row r="1737" spans="1:23" x14ac:dyDescent="0.25">
      <c r="H1737" t="s">
        <v>2964</v>
      </c>
    </row>
    <row r="1738" spans="1:23" x14ac:dyDescent="0.25">
      <c r="A1738">
        <v>866</v>
      </c>
      <c r="B1738">
        <v>2361</v>
      </c>
      <c r="C1738" t="s">
        <v>1245</v>
      </c>
      <c r="D1738" t="s">
        <v>156</v>
      </c>
      <c r="E1738" t="s">
        <v>1155</v>
      </c>
      <c r="F1738" t="s">
        <v>2965</v>
      </c>
      <c r="G1738" t="str">
        <f>"201511042665"</f>
        <v>201511042665</v>
      </c>
      <c r="H1738">
        <v>660</v>
      </c>
      <c r="I1738">
        <v>0</v>
      </c>
      <c r="J1738">
        <v>0</v>
      </c>
      <c r="K1738">
        <v>0</v>
      </c>
      <c r="L1738">
        <v>0</v>
      </c>
      <c r="M1738">
        <v>0</v>
      </c>
      <c r="N1738">
        <v>0</v>
      </c>
      <c r="O1738">
        <v>0</v>
      </c>
      <c r="P1738">
        <v>0</v>
      </c>
      <c r="Q1738">
        <v>0</v>
      </c>
      <c r="R1738">
        <v>0</v>
      </c>
      <c r="S1738">
        <v>0</v>
      </c>
      <c r="V1738">
        <v>0</v>
      </c>
      <c r="W1738">
        <v>660</v>
      </c>
    </row>
    <row r="1739" spans="1:23" x14ac:dyDescent="0.25">
      <c r="H1739" t="s">
        <v>2966</v>
      </c>
    </row>
    <row r="1740" spans="1:23" x14ac:dyDescent="0.25">
      <c r="A1740">
        <v>867</v>
      </c>
      <c r="B1740">
        <v>6269</v>
      </c>
      <c r="C1740" t="s">
        <v>265</v>
      </c>
      <c r="D1740" t="s">
        <v>2967</v>
      </c>
      <c r="E1740" t="s">
        <v>2968</v>
      </c>
      <c r="F1740" t="s">
        <v>2969</v>
      </c>
      <c r="G1740" t="str">
        <f>"201412004223"</f>
        <v>201412004223</v>
      </c>
      <c r="H1740">
        <v>660</v>
      </c>
      <c r="I1740">
        <v>0</v>
      </c>
      <c r="J1740">
        <v>0</v>
      </c>
      <c r="K1740">
        <v>0</v>
      </c>
      <c r="L1740">
        <v>0</v>
      </c>
      <c r="M1740">
        <v>0</v>
      </c>
      <c r="N1740">
        <v>0</v>
      </c>
      <c r="O1740">
        <v>0</v>
      </c>
      <c r="P1740">
        <v>0</v>
      </c>
      <c r="Q1740">
        <v>0</v>
      </c>
      <c r="R1740">
        <v>0</v>
      </c>
      <c r="S1740">
        <v>0</v>
      </c>
      <c r="V1740">
        <v>0</v>
      </c>
      <c r="W1740">
        <v>660</v>
      </c>
    </row>
    <row r="1741" spans="1:23" x14ac:dyDescent="0.25">
      <c r="H1741" t="s">
        <v>2970</v>
      </c>
    </row>
    <row r="1742" spans="1:23" x14ac:dyDescent="0.25">
      <c r="A1742">
        <v>868</v>
      </c>
      <c r="B1742">
        <v>8666</v>
      </c>
      <c r="C1742" t="s">
        <v>2971</v>
      </c>
      <c r="D1742" t="s">
        <v>998</v>
      </c>
      <c r="E1742" t="s">
        <v>87</v>
      </c>
      <c r="F1742" t="s">
        <v>2972</v>
      </c>
      <c r="G1742" t="str">
        <f>"201510004795"</f>
        <v>201510004795</v>
      </c>
      <c r="H1742">
        <v>660</v>
      </c>
      <c r="I1742">
        <v>0</v>
      </c>
      <c r="J1742">
        <v>0</v>
      </c>
      <c r="K1742">
        <v>0</v>
      </c>
      <c r="L1742">
        <v>0</v>
      </c>
      <c r="M1742">
        <v>0</v>
      </c>
      <c r="N1742">
        <v>0</v>
      </c>
      <c r="O1742">
        <v>0</v>
      </c>
      <c r="P1742">
        <v>0</v>
      </c>
      <c r="Q1742">
        <v>0</v>
      </c>
      <c r="R1742">
        <v>0</v>
      </c>
      <c r="S1742">
        <v>0</v>
      </c>
      <c r="V1742">
        <v>0</v>
      </c>
      <c r="W1742">
        <v>660</v>
      </c>
    </row>
    <row r="1743" spans="1:23" x14ac:dyDescent="0.25">
      <c r="H1743" t="s">
        <v>2973</v>
      </c>
    </row>
    <row r="1744" spans="1:23" x14ac:dyDescent="0.25">
      <c r="A1744">
        <v>869</v>
      </c>
      <c r="B1744">
        <v>4945</v>
      </c>
      <c r="C1744" t="s">
        <v>2974</v>
      </c>
      <c r="D1744" t="s">
        <v>352</v>
      </c>
      <c r="E1744" t="s">
        <v>2975</v>
      </c>
      <c r="F1744" t="s">
        <v>2976</v>
      </c>
      <c r="G1744" t="str">
        <f>"00043294"</f>
        <v>00043294</v>
      </c>
      <c r="H1744" t="s">
        <v>1477</v>
      </c>
      <c r="I1744">
        <v>0</v>
      </c>
      <c r="J1744">
        <v>0</v>
      </c>
      <c r="K1744">
        <v>0</v>
      </c>
      <c r="L1744">
        <v>0</v>
      </c>
      <c r="M1744">
        <v>0</v>
      </c>
      <c r="N1744">
        <v>0</v>
      </c>
      <c r="O1744">
        <v>0</v>
      </c>
      <c r="P1744">
        <v>0</v>
      </c>
      <c r="Q1744">
        <v>0</v>
      </c>
      <c r="R1744">
        <v>0</v>
      </c>
      <c r="S1744">
        <v>0</v>
      </c>
      <c r="V1744">
        <v>2</v>
      </c>
      <c r="W1744" t="s">
        <v>1477</v>
      </c>
    </row>
    <row r="1745" spans="1:23" x14ac:dyDescent="0.25">
      <c r="H1745" t="s">
        <v>2977</v>
      </c>
    </row>
    <row r="1746" spans="1:23" x14ac:dyDescent="0.25">
      <c r="A1746">
        <v>870</v>
      </c>
      <c r="B1746">
        <v>2461</v>
      </c>
      <c r="C1746" t="s">
        <v>2978</v>
      </c>
      <c r="D1746" t="s">
        <v>1362</v>
      </c>
      <c r="E1746" t="s">
        <v>42</v>
      </c>
      <c r="F1746" t="s">
        <v>2979</v>
      </c>
      <c r="G1746" t="str">
        <f>"00035915"</f>
        <v>00035915</v>
      </c>
      <c r="H1746">
        <v>638</v>
      </c>
      <c r="I1746">
        <v>0</v>
      </c>
      <c r="J1746">
        <v>0</v>
      </c>
      <c r="K1746">
        <v>0</v>
      </c>
      <c r="L1746">
        <v>0</v>
      </c>
      <c r="M1746">
        <v>0</v>
      </c>
      <c r="N1746">
        <v>0</v>
      </c>
      <c r="O1746">
        <v>0</v>
      </c>
      <c r="P1746">
        <v>0</v>
      </c>
      <c r="Q1746">
        <v>0</v>
      </c>
      <c r="R1746">
        <v>0</v>
      </c>
      <c r="S1746">
        <v>0</v>
      </c>
      <c r="V1746">
        <v>0</v>
      </c>
      <c r="W1746">
        <v>638</v>
      </c>
    </row>
    <row r="1747" spans="1:23" x14ac:dyDescent="0.25">
      <c r="H1747" t="s">
        <v>2980</v>
      </c>
    </row>
    <row r="1748" spans="1:23" x14ac:dyDescent="0.25">
      <c r="A1748">
        <v>871</v>
      </c>
      <c r="B1748">
        <v>7525</v>
      </c>
      <c r="C1748" t="s">
        <v>2981</v>
      </c>
      <c r="D1748" t="s">
        <v>71</v>
      </c>
      <c r="E1748" t="s">
        <v>121</v>
      </c>
      <c r="F1748" t="s">
        <v>2982</v>
      </c>
      <c r="G1748" t="str">
        <f>"00008122"</f>
        <v>00008122</v>
      </c>
      <c r="H1748">
        <v>638</v>
      </c>
      <c r="I1748">
        <v>0</v>
      </c>
      <c r="J1748">
        <v>0</v>
      </c>
      <c r="K1748">
        <v>0</v>
      </c>
      <c r="L1748">
        <v>0</v>
      </c>
      <c r="M1748">
        <v>0</v>
      </c>
      <c r="N1748">
        <v>0</v>
      </c>
      <c r="O1748">
        <v>0</v>
      </c>
      <c r="P1748">
        <v>0</v>
      </c>
      <c r="Q1748">
        <v>0</v>
      </c>
      <c r="R1748">
        <v>0</v>
      </c>
      <c r="S1748">
        <v>0</v>
      </c>
      <c r="V1748">
        <v>0</v>
      </c>
      <c r="W1748">
        <v>638</v>
      </c>
    </row>
    <row r="1749" spans="1:23" x14ac:dyDescent="0.25">
      <c r="H1749">
        <v>930</v>
      </c>
    </row>
    <row r="1750" spans="1:23" x14ac:dyDescent="0.25">
      <c r="A1750">
        <v>872</v>
      </c>
      <c r="B1750">
        <v>9065</v>
      </c>
      <c r="C1750" t="s">
        <v>2185</v>
      </c>
      <c r="D1750" t="s">
        <v>57</v>
      </c>
      <c r="E1750" t="s">
        <v>1577</v>
      </c>
      <c r="F1750" t="s">
        <v>2186</v>
      </c>
      <c r="G1750" t="str">
        <f>"00091012"</f>
        <v>00091012</v>
      </c>
      <c r="H1750">
        <v>605</v>
      </c>
      <c r="I1750">
        <v>0</v>
      </c>
      <c r="J1750">
        <v>30</v>
      </c>
      <c r="K1750">
        <v>0</v>
      </c>
      <c r="L1750">
        <v>0</v>
      </c>
      <c r="M1750">
        <v>0</v>
      </c>
      <c r="N1750">
        <v>0</v>
      </c>
      <c r="O1750">
        <v>0</v>
      </c>
      <c r="P1750">
        <v>0</v>
      </c>
      <c r="Q1750">
        <v>0</v>
      </c>
      <c r="R1750">
        <v>0</v>
      </c>
      <c r="S1750">
        <v>0</v>
      </c>
      <c r="V1750">
        <v>0</v>
      </c>
      <c r="W1750">
        <v>635</v>
      </c>
    </row>
    <row r="1751" spans="1:23" x14ac:dyDescent="0.25">
      <c r="H1751" t="s">
        <v>2187</v>
      </c>
    </row>
    <row r="1752" spans="1:23" x14ac:dyDescent="0.25">
      <c r="A1752">
        <v>873</v>
      </c>
      <c r="B1752">
        <v>8167</v>
      </c>
      <c r="C1752" t="s">
        <v>2983</v>
      </c>
      <c r="D1752" t="s">
        <v>141</v>
      </c>
      <c r="E1752" t="s">
        <v>42</v>
      </c>
      <c r="F1752" t="s">
        <v>2984</v>
      </c>
      <c r="G1752" t="str">
        <f>"00047459"</f>
        <v>00047459</v>
      </c>
      <c r="H1752">
        <v>605</v>
      </c>
      <c r="I1752">
        <v>0</v>
      </c>
      <c r="J1752">
        <v>30</v>
      </c>
      <c r="K1752">
        <v>0</v>
      </c>
      <c r="L1752">
        <v>0</v>
      </c>
      <c r="M1752">
        <v>0</v>
      </c>
      <c r="N1752">
        <v>0</v>
      </c>
      <c r="O1752">
        <v>0</v>
      </c>
      <c r="P1752">
        <v>0</v>
      </c>
      <c r="Q1752">
        <v>0</v>
      </c>
      <c r="R1752">
        <v>0</v>
      </c>
      <c r="S1752">
        <v>0</v>
      </c>
      <c r="V1752">
        <v>0</v>
      </c>
      <c r="W1752">
        <v>635</v>
      </c>
    </row>
    <row r="1753" spans="1:23" x14ac:dyDescent="0.25">
      <c r="H1753" t="s">
        <v>2985</v>
      </c>
    </row>
    <row r="1754" spans="1:23" x14ac:dyDescent="0.25">
      <c r="A1754">
        <v>874</v>
      </c>
      <c r="B1754">
        <v>7698</v>
      </c>
      <c r="C1754" t="s">
        <v>2986</v>
      </c>
      <c r="D1754" t="s">
        <v>2987</v>
      </c>
      <c r="E1754" t="s">
        <v>441</v>
      </c>
      <c r="F1754" t="s">
        <v>2988</v>
      </c>
      <c r="G1754" t="str">
        <f>"00029349"</f>
        <v>00029349</v>
      </c>
      <c r="H1754">
        <v>605</v>
      </c>
      <c r="I1754">
        <v>0</v>
      </c>
      <c r="J1754">
        <v>30</v>
      </c>
      <c r="K1754">
        <v>0</v>
      </c>
      <c r="L1754">
        <v>0</v>
      </c>
      <c r="M1754">
        <v>0</v>
      </c>
      <c r="N1754">
        <v>0</v>
      </c>
      <c r="O1754">
        <v>0</v>
      </c>
      <c r="P1754">
        <v>0</v>
      </c>
      <c r="Q1754">
        <v>0</v>
      </c>
      <c r="R1754">
        <v>0</v>
      </c>
      <c r="S1754">
        <v>0</v>
      </c>
      <c r="T1754">
        <v>6</v>
      </c>
      <c r="U1754">
        <v>938</v>
      </c>
      <c r="V1754">
        <v>0</v>
      </c>
      <c r="W1754">
        <v>635</v>
      </c>
    </row>
    <row r="1755" spans="1:23" x14ac:dyDescent="0.25">
      <c r="H1755" t="s">
        <v>2989</v>
      </c>
    </row>
    <row r="1756" spans="1:23" x14ac:dyDescent="0.25">
      <c r="A1756">
        <v>875</v>
      </c>
      <c r="B1756">
        <v>7698</v>
      </c>
      <c r="C1756" t="s">
        <v>2986</v>
      </c>
      <c r="D1756" t="s">
        <v>2987</v>
      </c>
      <c r="E1756" t="s">
        <v>441</v>
      </c>
      <c r="F1756" t="s">
        <v>2988</v>
      </c>
      <c r="G1756" t="str">
        <f>"00029349"</f>
        <v>00029349</v>
      </c>
      <c r="H1756">
        <v>605</v>
      </c>
      <c r="I1756">
        <v>0</v>
      </c>
      <c r="J1756">
        <v>30</v>
      </c>
      <c r="K1756">
        <v>0</v>
      </c>
      <c r="L1756">
        <v>0</v>
      </c>
      <c r="M1756">
        <v>0</v>
      </c>
      <c r="N1756">
        <v>0</v>
      </c>
      <c r="O1756">
        <v>0</v>
      </c>
      <c r="P1756">
        <v>0</v>
      </c>
      <c r="Q1756">
        <v>0</v>
      </c>
      <c r="R1756">
        <v>0</v>
      </c>
      <c r="S1756">
        <v>0</v>
      </c>
      <c r="V1756">
        <v>0</v>
      </c>
      <c r="W1756">
        <v>635</v>
      </c>
    </row>
    <row r="1757" spans="1:23" x14ac:dyDescent="0.25">
      <c r="H1757" t="s">
        <v>2989</v>
      </c>
    </row>
    <row r="1758" spans="1:23" x14ac:dyDescent="0.25">
      <c r="A1758">
        <v>876</v>
      </c>
      <c r="B1758">
        <v>5592</v>
      </c>
      <c r="C1758" t="s">
        <v>265</v>
      </c>
      <c r="D1758" t="s">
        <v>2990</v>
      </c>
      <c r="E1758" t="s">
        <v>171</v>
      </c>
      <c r="F1758" t="s">
        <v>2991</v>
      </c>
      <c r="G1758" t="str">
        <f>"00015873"</f>
        <v>00015873</v>
      </c>
      <c r="H1758">
        <v>605</v>
      </c>
      <c r="I1758">
        <v>0</v>
      </c>
      <c r="J1758">
        <v>30</v>
      </c>
      <c r="K1758">
        <v>0</v>
      </c>
      <c r="L1758">
        <v>0</v>
      </c>
      <c r="M1758">
        <v>0</v>
      </c>
      <c r="N1758">
        <v>0</v>
      </c>
      <c r="O1758">
        <v>0</v>
      </c>
      <c r="P1758">
        <v>0</v>
      </c>
      <c r="Q1758">
        <v>0</v>
      </c>
      <c r="R1758">
        <v>0</v>
      </c>
      <c r="S1758">
        <v>0</v>
      </c>
      <c r="V1758">
        <v>0</v>
      </c>
      <c r="W1758">
        <v>635</v>
      </c>
    </row>
    <row r="1759" spans="1:23" x14ac:dyDescent="0.25">
      <c r="H1759" t="s">
        <v>2992</v>
      </c>
    </row>
    <row r="1760" spans="1:23" x14ac:dyDescent="0.25">
      <c r="A1760">
        <v>877</v>
      </c>
      <c r="B1760">
        <v>10438</v>
      </c>
      <c r="C1760" t="s">
        <v>2993</v>
      </c>
      <c r="D1760" t="s">
        <v>31</v>
      </c>
      <c r="E1760" t="s">
        <v>32</v>
      </c>
      <c r="F1760" t="s">
        <v>2994</v>
      </c>
      <c r="G1760" t="str">
        <f>"200804000531"</f>
        <v>200804000531</v>
      </c>
      <c r="H1760" t="s">
        <v>1388</v>
      </c>
      <c r="I1760">
        <v>0</v>
      </c>
      <c r="J1760">
        <v>0</v>
      </c>
      <c r="K1760">
        <v>0</v>
      </c>
      <c r="L1760">
        <v>0</v>
      </c>
      <c r="M1760">
        <v>0</v>
      </c>
      <c r="N1760">
        <v>0</v>
      </c>
      <c r="O1760">
        <v>0</v>
      </c>
      <c r="P1760">
        <v>0</v>
      </c>
      <c r="Q1760">
        <v>0</v>
      </c>
      <c r="R1760">
        <v>0</v>
      </c>
      <c r="S1760">
        <v>0</v>
      </c>
      <c r="V1760">
        <v>0</v>
      </c>
      <c r="W1760" t="s">
        <v>1388</v>
      </c>
    </row>
    <row r="1761" spans="1:23" x14ac:dyDescent="0.25">
      <c r="H1761" t="s">
        <v>2995</v>
      </c>
    </row>
    <row r="1762" spans="1:23" x14ac:dyDescent="0.25">
      <c r="A1762">
        <v>878</v>
      </c>
      <c r="B1762">
        <v>3046</v>
      </c>
      <c r="C1762" t="s">
        <v>2996</v>
      </c>
      <c r="D1762" t="s">
        <v>1573</v>
      </c>
      <c r="E1762" t="s">
        <v>53</v>
      </c>
      <c r="F1762" t="s">
        <v>2997</v>
      </c>
      <c r="G1762" t="str">
        <f>"201511036849"</f>
        <v>201511036849</v>
      </c>
      <c r="H1762">
        <v>550</v>
      </c>
      <c r="I1762">
        <v>0</v>
      </c>
      <c r="J1762">
        <v>0</v>
      </c>
      <c r="K1762">
        <v>0</v>
      </c>
      <c r="L1762">
        <v>0</v>
      </c>
      <c r="M1762">
        <v>0</v>
      </c>
      <c r="N1762">
        <v>0</v>
      </c>
      <c r="O1762">
        <v>0</v>
      </c>
      <c r="P1762">
        <v>0</v>
      </c>
      <c r="Q1762">
        <v>0</v>
      </c>
      <c r="R1762">
        <v>12</v>
      </c>
      <c r="S1762">
        <v>84</v>
      </c>
      <c r="V1762">
        <v>0</v>
      </c>
      <c r="W1762">
        <v>634</v>
      </c>
    </row>
    <row r="1763" spans="1:23" x14ac:dyDescent="0.25">
      <c r="H1763" t="s">
        <v>2998</v>
      </c>
    </row>
    <row r="1764" spans="1:23" x14ac:dyDescent="0.25">
      <c r="A1764">
        <v>879</v>
      </c>
      <c r="B1764">
        <v>3850</v>
      </c>
      <c r="C1764" t="s">
        <v>2999</v>
      </c>
      <c r="D1764" t="s">
        <v>42</v>
      </c>
      <c r="E1764" t="s">
        <v>71</v>
      </c>
      <c r="F1764" t="s">
        <v>3000</v>
      </c>
      <c r="G1764" t="str">
        <f>"00042512"</f>
        <v>00042512</v>
      </c>
      <c r="H1764" t="s">
        <v>3001</v>
      </c>
      <c r="I1764">
        <v>0</v>
      </c>
      <c r="J1764">
        <v>0</v>
      </c>
      <c r="K1764">
        <v>0</v>
      </c>
      <c r="L1764">
        <v>0</v>
      </c>
      <c r="M1764">
        <v>0</v>
      </c>
      <c r="N1764">
        <v>0</v>
      </c>
      <c r="O1764">
        <v>0</v>
      </c>
      <c r="P1764">
        <v>0</v>
      </c>
      <c r="Q1764">
        <v>0</v>
      </c>
      <c r="R1764">
        <v>6</v>
      </c>
      <c r="S1764">
        <v>42</v>
      </c>
      <c r="V1764">
        <v>0</v>
      </c>
      <c r="W1764" t="s">
        <v>3002</v>
      </c>
    </row>
    <row r="1765" spans="1:23" x14ac:dyDescent="0.25">
      <c r="H1765" t="s">
        <v>3003</v>
      </c>
    </row>
    <row r="1766" spans="1:23" x14ac:dyDescent="0.25">
      <c r="A1766">
        <v>880</v>
      </c>
      <c r="B1766">
        <v>6141</v>
      </c>
      <c r="C1766" t="s">
        <v>3004</v>
      </c>
      <c r="D1766" t="s">
        <v>830</v>
      </c>
      <c r="E1766" t="s">
        <v>32</v>
      </c>
      <c r="F1766" t="s">
        <v>3005</v>
      </c>
      <c r="G1766" t="str">
        <f>"00097634"</f>
        <v>00097634</v>
      </c>
      <c r="H1766">
        <v>627</v>
      </c>
      <c r="I1766">
        <v>0</v>
      </c>
      <c r="J1766">
        <v>0</v>
      </c>
      <c r="K1766">
        <v>0</v>
      </c>
      <c r="L1766">
        <v>0</v>
      </c>
      <c r="M1766">
        <v>0</v>
      </c>
      <c r="N1766">
        <v>0</v>
      </c>
      <c r="O1766">
        <v>0</v>
      </c>
      <c r="P1766">
        <v>0</v>
      </c>
      <c r="Q1766">
        <v>0</v>
      </c>
      <c r="R1766">
        <v>0</v>
      </c>
      <c r="S1766">
        <v>0</v>
      </c>
      <c r="V1766">
        <v>0</v>
      </c>
      <c r="W1766">
        <v>627</v>
      </c>
    </row>
    <row r="1767" spans="1:23" x14ac:dyDescent="0.25">
      <c r="H1767" t="s">
        <v>3006</v>
      </c>
    </row>
    <row r="1768" spans="1:23" x14ac:dyDescent="0.25">
      <c r="A1768">
        <v>881</v>
      </c>
      <c r="B1768">
        <v>8922</v>
      </c>
      <c r="C1768" t="s">
        <v>3007</v>
      </c>
      <c r="D1768" t="s">
        <v>352</v>
      </c>
      <c r="E1768" t="s">
        <v>42</v>
      </c>
      <c r="F1768" t="s">
        <v>3008</v>
      </c>
      <c r="G1768" t="str">
        <f>"201506002105"</f>
        <v>201506002105</v>
      </c>
      <c r="H1768">
        <v>550</v>
      </c>
      <c r="I1768">
        <v>0</v>
      </c>
      <c r="J1768">
        <v>0</v>
      </c>
      <c r="K1768">
        <v>0</v>
      </c>
      <c r="L1768">
        <v>0</v>
      </c>
      <c r="M1768">
        <v>0</v>
      </c>
      <c r="N1768">
        <v>0</v>
      </c>
      <c r="O1768">
        <v>0</v>
      </c>
      <c r="P1768">
        <v>0</v>
      </c>
      <c r="Q1768">
        <v>0</v>
      </c>
      <c r="R1768">
        <v>8</v>
      </c>
      <c r="S1768">
        <v>56</v>
      </c>
      <c r="V1768">
        <v>0</v>
      </c>
      <c r="W1768">
        <v>606</v>
      </c>
    </row>
    <row r="1769" spans="1:23" x14ac:dyDescent="0.25">
      <c r="H1769" t="s">
        <v>3009</v>
      </c>
    </row>
    <row r="1770" spans="1:23" x14ac:dyDescent="0.25">
      <c r="A1770">
        <v>882</v>
      </c>
      <c r="B1770">
        <v>9616</v>
      </c>
      <c r="C1770" t="s">
        <v>3010</v>
      </c>
      <c r="D1770" t="s">
        <v>42</v>
      </c>
      <c r="E1770" t="s">
        <v>141</v>
      </c>
      <c r="F1770" t="s">
        <v>3011</v>
      </c>
      <c r="G1770" t="str">
        <f>"201511035328"</f>
        <v>201511035328</v>
      </c>
      <c r="H1770">
        <v>605</v>
      </c>
      <c r="I1770">
        <v>0</v>
      </c>
      <c r="J1770">
        <v>0</v>
      </c>
      <c r="K1770">
        <v>0</v>
      </c>
      <c r="L1770">
        <v>0</v>
      </c>
      <c r="M1770">
        <v>0</v>
      </c>
      <c r="N1770">
        <v>0</v>
      </c>
      <c r="O1770">
        <v>0</v>
      </c>
      <c r="P1770">
        <v>0</v>
      </c>
      <c r="Q1770">
        <v>0</v>
      </c>
      <c r="R1770">
        <v>0</v>
      </c>
      <c r="S1770">
        <v>0</v>
      </c>
      <c r="V1770">
        <v>1</v>
      </c>
      <c r="W1770">
        <v>605</v>
      </c>
    </row>
    <row r="1771" spans="1:23" x14ac:dyDescent="0.25">
      <c r="H1771" t="s">
        <v>978</v>
      </c>
    </row>
    <row r="1772" spans="1:23" x14ac:dyDescent="0.25">
      <c r="A1772">
        <v>883</v>
      </c>
      <c r="B1772">
        <v>2722</v>
      </c>
      <c r="C1772" t="s">
        <v>3012</v>
      </c>
      <c r="D1772" t="s">
        <v>71</v>
      </c>
      <c r="E1772" t="s">
        <v>175</v>
      </c>
      <c r="F1772" t="s">
        <v>3013</v>
      </c>
      <c r="G1772" t="str">
        <f>"201510001367"</f>
        <v>201510001367</v>
      </c>
      <c r="H1772">
        <v>605</v>
      </c>
      <c r="I1772">
        <v>0</v>
      </c>
      <c r="J1772">
        <v>0</v>
      </c>
      <c r="K1772">
        <v>0</v>
      </c>
      <c r="L1772">
        <v>0</v>
      </c>
      <c r="M1772">
        <v>0</v>
      </c>
      <c r="N1772">
        <v>0</v>
      </c>
      <c r="O1772">
        <v>0</v>
      </c>
      <c r="P1772">
        <v>0</v>
      </c>
      <c r="Q1772">
        <v>0</v>
      </c>
      <c r="R1772">
        <v>0</v>
      </c>
      <c r="S1772">
        <v>0</v>
      </c>
      <c r="V1772">
        <v>0</v>
      </c>
      <c r="W1772">
        <v>605</v>
      </c>
    </row>
    <row r="1773" spans="1:23" x14ac:dyDescent="0.25">
      <c r="H1773" t="s">
        <v>3014</v>
      </c>
    </row>
    <row r="1774" spans="1:23" x14ac:dyDescent="0.25">
      <c r="A1774">
        <v>884</v>
      </c>
      <c r="B1774">
        <v>2859</v>
      </c>
      <c r="C1774" t="s">
        <v>3015</v>
      </c>
      <c r="D1774" t="s">
        <v>156</v>
      </c>
      <c r="E1774" t="s">
        <v>71</v>
      </c>
      <c r="F1774" t="s">
        <v>3016</v>
      </c>
      <c r="G1774" t="str">
        <f>"200712001818"</f>
        <v>200712001818</v>
      </c>
      <c r="H1774">
        <v>605</v>
      </c>
      <c r="I1774">
        <v>0</v>
      </c>
      <c r="J1774">
        <v>0</v>
      </c>
      <c r="K1774">
        <v>0</v>
      </c>
      <c r="L1774">
        <v>0</v>
      </c>
      <c r="M1774">
        <v>0</v>
      </c>
      <c r="N1774">
        <v>0</v>
      </c>
      <c r="O1774">
        <v>0</v>
      </c>
      <c r="P1774">
        <v>0</v>
      </c>
      <c r="Q1774">
        <v>0</v>
      </c>
      <c r="R1774">
        <v>0</v>
      </c>
      <c r="S1774">
        <v>0</v>
      </c>
      <c r="V1774">
        <v>0</v>
      </c>
      <c r="W1774">
        <v>605</v>
      </c>
    </row>
    <row r="1775" spans="1:23" x14ac:dyDescent="0.25">
      <c r="H1775" t="s">
        <v>3017</v>
      </c>
    </row>
    <row r="1776" spans="1:23" x14ac:dyDescent="0.25">
      <c r="A1776">
        <v>885</v>
      </c>
      <c r="B1776">
        <v>7139</v>
      </c>
      <c r="C1776" t="s">
        <v>1228</v>
      </c>
      <c r="D1776" t="s">
        <v>31</v>
      </c>
      <c r="E1776" t="s">
        <v>141</v>
      </c>
      <c r="F1776" t="s">
        <v>3018</v>
      </c>
      <c r="G1776" t="str">
        <f>"00030512"</f>
        <v>00030512</v>
      </c>
      <c r="H1776">
        <v>605</v>
      </c>
      <c r="I1776">
        <v>0</v>
      </c>
      <c r="J1776">
        <v>0</v>
      </c>
      <c r="K1776">
        <v>0</v>
      </c>
      <c r="L1776">
        <v>0</v>
      </c>
      <c r="M1776">
        <v>0</v>
      </c>
      <c r="N1776">
        <v>0</v>
      </c>
      <c r="O1776">
        <v>0</v>
      </c>
      <c r="P1776">
        <v>0</v>
      </c>
      <c r="Q1776">
        <v>0</v>
      </c>
      <c r="R1776">
        <v>0</v>
      </c>
      <c r="S1776">
        <v>0</v>
      </c>
      <c r="V1776">
        <v>0</v>
      </c>
      <c r="W1776">
        <v>605</v>
      </c>
    </row>
    <row r="1777" spans="1:23" x14ac:dyDescent="0.25">
      <c r="H1777" t="s">
        <v>3019</v>
      </c>
    </row>
    <row r="1778" spans="1:23" x14ac:dyDescent="0.25">
      <c r="A1778">
        <v>886</v>
      </c>
      <c r="B1778">
        <v>9999</v>
      </c>
      <c r="C1778" t="s">
        <v>3020</v>
      </c>
      <c r="D1778" t="s">
        <v>136</v>
      </c>
      <c r="E1778" t="s">
        <v>42</v>
      </c>
      <c r="F1778" t="s">
        <v>3021</v>
      </c>
      <c r="G1778" t="str">
        <f>"201511029711"</f>
        <v>201511029711</v>
      </c>
      <c r="H1778">
        <v>605</v>
      </c>
      <c r="I1778">
        <v>0</v>
      </c>
      <c r="J1778">
        <v>0</v>
      </c>
      <c r="K1778">
        <v>0</v>
      </c>
      <c r="L1778">
        <v>0</v>
      </c>
      <c r="M1778">
        <v>0</v>
      </c>
      <c r="N1778">
        <v>0</v>
      </c>
      <c r="O1778">
        <v>0</v>
      </c>
      <c r="P1778">
        <v>0</v>
      </c>
      <c r="Q1778">
        <v>0</v>
      </c>
      <c r="R1778">
        <v>0</v>
      </c>
      <c r="S1778">
        <v>0</v>
      </c>
      <c r="V1778">
        <v>2</v>
      </c>
      <c r="W1778">
        <v>605</v>
      </c>
    </row>
    <row r="1779" spans="1:23" x14ac:dyDescent="0.25">
      <c r="H1779" t="s">
        <v>3022</v>
      </c>
    </row>
    <row r="1780" spans="1:23" x14ac:dyDescent="0.25">
      <c r="A1780">
        <v>887</v>
      </c>
      <c r="B1780">
        <v>10181</v>
      </c>
      <c r="C1780" t="s">
        <v>2956</v>
      </c>
      <c r="D1780" t="s">
        <v>32</v>
      </c>
      <c r="E1780" t="s">
        <v>116</v>
      </c>
      <c r="F1780" t="s">
        <v>2957</v>
      </c>
      <c r="G1780" t="str">
        <f>"201511016807"</f>
        <v>201511016807</v>
      </c>
      <c r="H1780">
        <v>605</v>
      </c>
      <c r="I1780">
        <v>0</v>
      </c>
      <c r="J1780">
        <v>0</v>
      </c>
      <c r="K1780">
        <v>0</v>
      </c>
      <c r="L1780">
        <v>0</v>
      </c>
      <c r="M1780">
        <v>0</v>
      </c>
      <c r="N1780">
        <v>0</v>
      </c>
      <c r="O1780">
        <v>0</v>
      </c>
      <c r="P1780">
        <v>0</v>
      </c>
      <c r="Q1780">
        <v>0</v>
      </c>
      <c r="R1780">
        <v>0</v>
      </c>
      <c r="S1780">
        <v>0</v>
      </c>
      <c r="V1780">
        <v>1</v>
      </c>
      <c r="W1780">
        <v>605</v>
      </c>
    </row>
    <row r="1781" spans="1:23" x14ac:dyDescent="0.25">
      <c r="H1781" t="s">
        <v>2958</v>
      </c>
    </row>
    <row r="1782" spans="1:23" x14ac:dyDescent="0.25">
      <c r="A1782">
        <v>888</v>
      </c>
      <c r="B1782">
        <v>10136</v>
      </c>
      <c r="C1782" t="s">
        <v>1372</v>
      </c>
      <c r="D1782" t="s">
        <v>42</v>
      </c>
      <c r="E1782" t="s">
        <v>26</v>
      </c>
      <c r="F1782" t="s">
        <v>3023</v>
      </c>
      <c r="G1782" t="str">
        <f>"00046083"</f>
        <v>00046083</v>
      </c>
      <c r="H1782">
        <v>605</v>
      </c>
      <c r="I1782">
        <v>0</v>
      </c>
      <c r="J1782">
        <v>0</v>
      </c>
      <c r="K1782">
        <v>0</v>
      </c>
      <c r="L1782">
        <v>0</v>
      </c>
      <c r="M1782">
        <v>0</v>
      </c>
      <c r="N1782">
        <v>0</v>
      </c>
      <c r="O1782">
        <v>0</v>
      </c>
      <c r="P1782">
        <v>0</v>
      </c>
      <c r="Q1782">
        <v>0</v>
      </c>
      <c r="R1782">
        <v>0</v>
      </c>
      <c r="S1782">
        <v>0</v>
      </c>
      <c r="V1782">
        <v>1</v>
      </c>
      <c r="W1782">
        <v>605</v>
      </c>
    </row>
    <row r="1783" spans="1:23" x14ac:dyDescent="0.25">
      <c r="H1783" t="s">
        <v>3024</v>
      </c>
    </row>
    <row r="1784" spans="1:23" x14ac:dyDescent="0.25">
      <c r="A1784">
        <v>889</v>
      </c>
      <c r="B1784">
        <v>10263</v>
      </c>
      <c r="C1784" t="s">
        <v>3025</v>
      </c>
      <c r="D1784" t="s">
        <v>3026</v>
      </c>
      <c r="E1784" t="s">
        <v>71</v>
      </c>
      <c r="F1784" t="s">
        <v>3027</v>
      </c>
      <c r="G1784" t="str">
        <f>"00095354"</f>
        <v>00095354</v>
      </c>
      <c r="H1784">
        <v>605</v>
      </c>
      <c r="I1784">
        <v>0</v>
      </c>
      <c r="J1784">
        <v>0</v>
      </c>
      <c r="K1784">
        <v>0</v>
      </c>
      <c r="L1784">
        <v>0</v>
      </c>
      <c r="M1784">
        <v>0</v>
      </c>
      <c r="N1784">
        <v>0</v>
      </c>
      <c r="O1784">
        <v>0</v>
      </c>
      <c r="P1784">
        <v>0</v>
      </c>
      <c r="Q1784">
        <v>0</v>
      </c>
      <c r="R1784">
        <v>0</v>
      </c>
      <c r="S1784">
        <v>0</v>
      </c>
      <c r="V1784">
        <v>0</v>
      </c>
      <c r="W1784">
        <v>605</v>
      </c>
    </row>
    <row r="1785" spans="1:23" x14ac:dyDescent="0.25">
      <c r="H1785" t="s">
        <v>2252</v>
      </c>
    </row>
    <row r="1786" spans="1:23" x14ac:dyDescent="0.25">
      <c r="A1786">
        <v>890</v>
      </c>
      <c r="B1786">
        <v>8595</v>
      </c>
      <c r="C1786" t="s">
        <v>3028</v>
      </c>
      <c r="D1786" t="s">
        <v>14</v>
      </c>
      <c r="E1786" t="s">
        <v>87</v>
      </c>
      <c r="F1786" t="s">
        <v>3029</v>
      </c>
      <c r="G1786" t="str">
        <f>"00048029"</f>
        <v>00048029</v>
      </c>
      <c r="H1786">
        <v>550</v>
      </c>
      <c r="I1786">
        <v>0</v>
      </c>
      <c r="J1786">
        <v>50</v>
      </c>
      <c r="K1786">
        <v>0</v>
      </c>
      <c r="L1786">
        <v>0</v>
      </c>
      <c r="M1786">
        <v>0</v>
      </c>
      <c r="N1786">
        <v>0</v>
      </c>
      <c r="O1786">
        <v>0</v>
      </c>
      <c r="P1786">
        <v>0</v>
      </c>
      <c r="Q1786">
        <v>0</v>
      </c>
      <c r="R1786">
        <v>0</v>
      </c>
      <c r="S1786">
        <v>0</v>
      </c>
      <c r="V1786">
        <v>2</v>
      </c>
      <c r="W1786">
        <v>600</v>
      </c>
    </row>
    <row r="1787" spans="1:23" x14ac:dyDescent="0.25">
      <c r="H1787">
        <v>929</v>
      </c>
    </row>
    <row r="1788" spans="1:23" x14ac:dyDescent="0.25">
      <c r="A1788">
        <v>891</v>
      </c>
      <c r="B1788">
        <v>9293</v>
      </c>
      <c r="C1788" t="s">
        <v>3030</v>
      </c>
      <c r="D1788" t="s">
        <v>32</v>
      </c>
      <c r="E1788" t="s">
        <v>3031</v>
      </c>
      <c r="F1788" t="s">
        <v>3032</v>
      </c>
      <c r="G1788" t="str">
        <f>"201512000345"</f>
        <v>201512000345</v>
      </c>
      <c r="H1788">
        <v>550</v>
      </c>
      <c r="I1788">
        <v>0</v>
      </c>
      <c r="J1788">
        <v>30</v>
      </c>
      <c r="K1788">
        <v>0</v>
      </c>
      <c r="L1788">
        <v>0</v>
      </c>
      <c r="M1788">
        <v>0</v>
      </c>
      <c r="N1788">
        <v>0</v>
      </c>
      <c r="O1788">
        <v>0</v>
      </c>
      <c r="P1788">
        <v>0</v>
      </c>
      <c r="Q1788">
        <v>0</v>
      </c>
      <c r="R1788">
        <v>0</v>
      </c>
      <c r="S1788">
        <v>0</v>
      </c>
      <c r="V1788">
        <v>0</v>
      </c>
      <c r="W1788">
        <v>580</v>
      </c>
    </row>
    <row r="1789" spans="1:23" x14ac:dyDescent="0.25">
      <c r="H1789" t="s">
        <v>3033</v>
      </c>
    </row>
    <row r="1790" spans="1:23" x14ac:dyDescent="0.25">
      <c r="A1790">
        <v>892</v>
      </c>
      <c r="B1790">
        <v>9255</v>
      </c>
      <c r="C1790" t="s">
        <v>3034</v>
      </c>
      <c r="D1790" t="s">
        <v>36</v>
      </c>
      <c r="E1790" t="s">
        <v>71</v>
      </c>
      <c r="F1790" t="s">
        <v>3035</v>
      </c>
      <c r="G1790" t="str">
        <f>"201406013013"</f>
        <v>201406013013</v>
      </c>
      <c r="H1790">
        <v>550</v>
      </c>
      <c r="I1790">
        <v>0</v>
      </c>
      <c r="J1790">
        <v>30</v>
      </c>
      <c r="K1790">
        <v>0</v>
      </c>
      <c r="L1790">
        <v>0</v>
      </c>
      <c r="M1790">
        <v>0</v>
      </c>
      <c r="N1790">
        <v>0</v>
      </c>
      <c r="O1790">
        <v>0</v>
      </c>
      <c r="P1790">
        <v>0</v>
      </c>
      <c r="Q1790">
        <v>0</v>
      </c>
      <c r="R1790">
        <v>0</v>
      </c>
      <c r="S1790">
        <v>0</v>
      </c>
      <c r="V1790">
        <v>0</v>
      </c>
      <c r="W1790">
        <v>580</v>
      </c>
    </row>
    <row r="1791" spans="1:23" x14ac:dyDescent="0.25">
      <c r="H1791" t="s">
        <v>3036</v>
      </c>
    </row>
    <row r="1792" spans="1:23" x14ac:dyDescent="0.25">
      <c r="A1792">
        <v>893</v>
      </c>
      <c r="B1792">
        <v>9115</v>
      </c>
      <c r="C1792" t="s">
        <v>3037</v>
      </c>
      <c r="D1792" t="s">
        <v>218</v>
      </c>
      <c r="E1792" t="s">
        <v>53</v>
      </c>
      <c r="F1792" t="s">
        <v>3038</v>
      </c>
      <c r="G1792" t="str">
        <f>"201511029474"</f>
        <v>201511029474</v>
      </c>
      <c r="H1792">
        <v>550</v>
      </c>
      <c r="I1792">
        <v>0</v>
      </c>
      <c r="J1792">
        <v>30</v>
      </c>
      <c r="K1792">
        <v>0</v>
      </c>
      <c r="L1792">
        <v>0</v>
      </c>
      <c r="M1792">
        <v>0</v>
      </c>
      <c r="N1792">
        <v>0</v>
      </c>
      <c r="O1792">
        <v>0</v>
      </c>
      <c r="P1792">
        <v>0</v>
      </c>
      <c r="Q1792">
        <v>0</v>
      </c>
      <c r="R1792">
        <v>0</v>
      </c>
      <c r="S1792">
        <v>0</v>
      </c>
      <c r="V1792">
        <v>0</v>
      </c>
      <c r="W1792">
        <v>580</v>
      </c>
    </row>
    <row r="1793" spans="1:23" x14ac:dyDescent="0.25">
      <c r="H1793" t="s">
        <v>3039</v>
      </c>
    </row>
    <row r="1794" spans="1:23" x14ac:dyDescent="0.25">
      <c r="A1794">
        <v>894</v>
      </c>
      <c r="B1794">
        <v>9888</v>
      </c>
      <c r="C1794" t="s">
        <v>3040</v>
      </c>
      <c r="D1794" t="s">
        <v>3041</v>
      </c>
      <c r="E1794" t="s">
        <v>175</v>
      </c>
      <c r="F1794" t="s">
        <v>3042</v>
      </c>
      <c r="G1794" t="str">
        <f>"00099077"</f>
        <v>00099077</v>
      </c>
      <c r="H1794">
        <v>550</v>
      </c>
      <c r="I1794">
        <v>0</v>
      </c>
      <c r="J1794">
        <v>30</v>
      </c>
      <c r="K1794">
        <v>0</v>
      </c>
      <c r="L1794">
        <v>0</v>
      </c>
      <c r="M1794">
        <v>0</v>
      </c>
      <c r="N1794">
        <v>0</v>
      </c>
      <c r="O1794">
        <v>0</v>
      </c>
      <c r="P1794">
        <v>0</v>
      </c>
      <c r="Q1794">
        <v>0</v>
      </c>
      <c r="R1794">
        <v>0</v>
      </c>
      <c r="S1794">
        <v>0</v>
      </c>
      <c r="V1794">
        <v>2</v>
      </c>
      <c r="W1794">
        <v>580</v>
      </c>
    </row>
    <row r="1795" spans="1:23" x14ac:dyDescent="0.25">
      <c r="H1795" t="s">
        <v>3043</v>
      </c>
    </row>
    <row r="1796" spans="1:23" x14ac:dyDescent="0.25">
      <c r="A1796">
        <v>895</v>
      </c>
      <c r="B1796">
        <v>4998</v>
      </c>
      <c r="C1796" t="s">
        <v>3044</v>
      </c>
      <c r="D1796" t="s">
        <v>95</v>
      </c>
      <c r="E1796" t="s">
        <v>71</v>
      </c>
      <c r="F1796" t="s">
        <v>3045</v>
      </c>
      <c r="G1796" t="str">
        <f>"00029396"</f>
        <v>00029396</v>
      </c>
      <c r="H1796" t="s">
        <v>1631</v>
      </c>
      <c r="I1796">
        <v>0</v>
      </c>
      <c r="J1796">
        <v>0</v>
      </c>
      <c r="K1796">
        <v>0</v>
      </c>
      <c r="L1796">
        <v>0</v>
      </c>
      <c r="M1796">
        <v>0</v>
      </c>
      <c r="N1796">
        <v>0</v>
      </c>
      <c r="O1796">
        <v>0</v>
      </c>
      <c r="P1796">
        <v>0</v>
      </c>
      <c r="Q1796">
        <v>0</v>
      </c>
      <c r="R1796">
        <v>0</v>
      </c>
      <c r="S1796">
        <v>0</v>
      </c>
      <c r="V1796">
        <v>1</v>
      </c>
      <c r="W1796" t="s">
        <v>1631</v>
      </c>
    </row>
    <row r="1797" spans="1:23" x14ac:dyDescent="0.25">
      <c r="H1797" t="s">
        <v>3046</v>
      </c>
    </row>
    <row r="1798" spans="1:23" x14ac:dyDescent="0.25">
      <c r="A1798">
        <v>896</v>
      </c>
      <c r="B1798">
        <v>5487</v>
      </c>
      <c r="C1798" t="s">
        <v>2700</v>
      </c>
      <c r="D1798" t="s">
        <v>21</v>
      </c>
      <c r="E1798" t="s">
        <v>877</v>
      </c>
      <c r="F1798" t="s">
        <v>2701</v>
      </c>
      <c r="G1798" t="str">
        <f>"201511022400"</f>
        <v>201511022400</v>
      </c>
      <c r="H1798">
        <v>550</v>
      </c>
      <c r="I1798">
        <v>0</v>
      </c>
      <c r="J1798">
        <v>0</v>
      </c>
      <c r="K1798">
        <v>0</v>
      </c>
      <c r="L1798">
        <v>0</v>
      </c>
      <c r="M1798">
        <v>0</v>
      </c>
      <c r="N1798">
        <v>0</v>
      </c>
      <c r="O1798">
        <v>0</v>
      </c>
      <c r="P1798">
        <v>0</v>
      </c>
      <c r="Q1798">
        <v>0</v>
      </c>
      <c r="R1798">
        <v>0</v>
      </c>
      <c r="S1798">
        <v>0</v>
      </c>
      <c r="V1798">
        <v>0</v>
      </c>
      <c r="W1798">
        <v>550</v>
      </c>
    </row>
    <row r="1799" spans="1:23" x14ac:dyDescent="0.25">
      <c r="H1799" t="s">
        <v>2702</v>
      </c>
    </row>
    <row r="1800" spans="1:23" x14ac:dyDescent="0.25">
      <c r="A1800">
        <v>897</v>
      </c>
      <c r="B1800">
        <v>4147</v>
      </c>
      <c r="C1800" t="s">
        <v>3047</v>
      </c>
      <c r="D1800" t="s">
        <v>346</v>
      </c>
      <c r="E1800" t="s">
        <v>26</v>
      </c>
      <c r="F1800" t="s">
        <v>3048</v>
      </c>
      <c r="G1800" t="str">
        <f>"00036005"</f>
        <v>00036005</v>
      </c>
      <c r="H1800">
        <v>550</v>
      </c>
      <c r="I1800">
        <v>0</v>
      </c>
      <c r="J1800">
        <v>0</v>
      </c>
      <c r="K1800">
        <v>0</v>
      </c>
      <c r="L1800">
        <v>0</v>
      </c>
      <c r="M1800">
        <v>0</v>
      </c>
      <c r="N1800">
        <v>0</v>
      </c>
      <c r="O1800">
        <v>0</v>
      </c>
      <c r="P1800">
        <v>0</v>
      </c>
      <c r="Q1800">
        <v>0</v>
      </c>
      <c r="R1800">
        <v>0</v>
      </c>
      <c r="S1800">
        <v>0</v>
      </c>
      <c r="V1800">
        <v>0</v>
      </c>
      <c r="W1800">
        <v>550</v>
      </c>
    </row>
    <row r="1801" spans="1:23" x14ac:dyDescent="0.25">
      <c r="H1801" t="s">
        <v>3049</v>
      </c>
    </row>
    <row r="1802" spans="1:23" x14ac:dyDescent="0.25">
      <c r="A1802">
        <v>898</v>
      </c>
      <c r="B1802">
        <v>5201</v>
      </c>
      <c r="C1802" t="s">
        <v>3050</v>
      </c>
      <c r="D1802" t="s">
        <v>1124</v>
      </c>
      <c r="E1802" t="s">
        <v>53</v>
      </c>
      <c r="F1802" t="s">
        <v>3051</v>
      </c>
      <c r="G1802" t="str">
        <f>"201511036622"</f>
        <v>201511036622</v>
      </c>
      <c r="H1802">
        <v>550</v>
      </c>
      <c r="I1802">
        <v>0</v>
      </c>
      <c r="J1802">
        <v>0</v>
      </c>
      <c r="K1802">
        <v>0</v>
      </c>
      <c r="L1802">
        <v>0</v>
      </c>
      <c r="M1802">
        <v>0</v>
      </c>
      <c r="N1802">
        <v>0</v>
      </c>
      <c r="O1802">
        <v>0</v>
      </c>
      <c r="P1802">
        <v>0</v>
      </c>
      <c r="Q1802">
        <v>0</v>
      </c>
      <c r="R1802">
        <v>0</v>
      </c>
      <c r="S1802">
        <v>0</v>
      </c>
      <c r="V1802">
        <v>0</v>
      </c>
      <c r="W1802">
        <v>550</v>
      </c>
    </row>
    <row r="1803" spans="1:23" x14ac:dyDescent="0.25">
      <c r="H1803" t="s">
        <v>3052</v>
      </c>
    </row>
    <row r="1804" spans="1:23" x14ac:dyDescent="0.25">
      <c r="A1804">
        <v>899</v>
      </c>
      <c r="B1804">
        <v>8352</v>
      </c>
      <c r="C1804" t="s">
        <v>3053</v>
      </c>
      <c r="D1804" t="s">
        <v>704</v>
      </c>
      <c r="E1804" t="s">
        <v>3054</v>
      </c>
      <c r="F1804" t="s">
        <v>3055</v>
      </c>
      <c r="G1804" t="str">
        <f>"201604001471"</f>
        <v>201604001471</v>
      </c>
      <c r="H1804">
        <v>550</v>
      </c>
      <c r="I1804">
        <v>0</v>
      </c>
      <c r="J1804">
        <v>0</v>
      </c>
      <c r="K1804">
        <v>0</v>
      </c>
      <c r="L1804">
        <v>0</v>
      </c>
      <c r="M1804">
        <v>0</v>
      </c>
      <c r="N1804">
        <v>0</v>
      </c>
      <c r="O1804">
        <v>0</v>
      </c>
      <c r="P1804">
        <v>0</v>
      </c>
      <c r="Q1804">
        <v>0</v>
      </c>
      <c r="R1804">
        <v>0</v>
      </c>
      <c r="S1804">
        <v>0</v>
      </c>
      <c r="V1804">
        <v>1</v>
      </c>
      <c r="W1804">
        <v>550</v>
      </c>
    </row>
    <row r="1805" spans="1:23" x14ac:dyDescent="0.25">
      <c r="H1805" t="s">
        <v>2139</v>
      </c>
    </row>
    <row r="1806" spans="1:23" x14ac:dyDescent="0.25">
      <c r="A1806">
        <v>900</v>
      </c>
      <c r="B1806">
        <v>8284</v>
      </c>
      <c r="C1806" t="s">
        <v>3056</v>
      </c>
      <c r="D1806" t="s">
        <v>1045</v>
      </c>
      <c r="E1806" t="s">
        <v>71</v>
      </c>
      <c r="F1806" t="s">
        <v>3057</v>
      </c>
      <c r="G1806" t="str">
        <f>"201512000793"</f>
        <v>201512000793</v>
      </c>
      <c r="H1806">
        <v>550</v>
      </c>
      <c r="I1806">
        <v>0</v>
      </c>
      <c r="J1806">
        <v>0</v>
      </c>
      <c r="K1806">
        <v>0</v>
      </c>
      <c r="L1806">
        <v>0</v>
      </c>
      <c r="M1806">
        <v>0</v>
      </c>
      <c r="N1806">
        <v>0</v>
      </c>
      <c r="O1806">
        <v>0</v>
      </c>
      <c r="P1806">
        <v>0</v>
      </c>
      <c r="Q1806">
        <v>0</v>
      </c>
      <c r="R1806">
        <v>0</v>
      </c>
      <c r="S1806">
        <v>0</v>
      </c>
      <c r="V1806">
        <v>0</v>
      </c>
      <c r="W1806">
        <v>550</v>
      </c>
    </row>
    <row r="1807" spans="1:23" x14ac:dyDescent="0.25">
      <c r="H1807" t="s">
        <v>3058</v>
      </c>
    </row>
    <row r="1808" spans="1:23" x14ac:dyDescent="0.25">
      <c r="A1808">
        <v>901</v>
      </c>
      <c r="B1808">
        <v>7167</v>
      </c>
      <c r="C1808" t="s">
        <v>3059</v>
      </c>
      <c r="D1808" t="s">
        <v>465</v>
      </c>
      <c r="E1808" t="s">
        <v>53</v>
      </c>
      <c r="F1808" t="s">
        <v>3060</v>
      </c>
      <c r="G1808" t="str">
        <f>"00051517"</f>
        <v>00051517</v>
      </c>
      <c r="H1808">
        <v>550</v>
      </c>
      <c r="I1808">
        <v>0</v>
      </c>
      <c r="J1808">
        <v>0</v>
      </c>
      <c r="K1808">
        <v>0</v>
      </c>
      <c r="L1808">
        <v>0</v>
      </c>
      <c r="M1808">
        <v>0</v>
      </c>
      <c r="N1808">
        <v>0</v>
      </c>
      <c r="O1808">
        <v>0</v>
      </c>
      <c r="P1808">
        <v>0</v>
      </c>
      <c r="Q1808">
        <v>0</v>
      </c>
      <c r="R1808">
        <v>0</v>
      </c>
      <c r="S1808">
        <v>0</v>
      </c>
      <c r="V1808">
        <v>0</v>
      </c>
      <c r="W1808">
        <v>550</v>
      </c>
    </row>
    <row r="1809" spans="1:23" x14ac:dyDescent="0.25">
      <c r="H1809" t="s">
        <v>3061</v>
      </c>
    </row>
    <row r="1810" spans="1:23" x14ac:dyDescent="0.25">
      <c r="A1810">
        <v>902</v>
      </c>
      <c r="B1810">
        <v>1570</v>
      </c>
      <c r="C1810" t="s">
        <v>3062</v>
      </c>
      <c r="D1810" t="s">
        <v>3063</v>
      </c>
      <c r="E1810" t="s">
        <v>53</v>
      </c>
      <c r="F1810" t="s">
        <v>3064</v>
      </c>
      <c r="G1810" t="str">
        <f>"00012867"</f>
        <v>00012867</v>
      </c>
      <c r="H1810">
        <v>550</v>
      </c>
      <c r="I1810">
        <v>0</v>
      </c>
      <c r="J1810">
        <v>0</v>
      </c>
      <c r="K1810">
        <v>0</v>
      </c>
      <c r="L1810">
        <v>0</v>
      </c>
      <c r="M1810">
        <v>0</v>
      </c>
      <c r="N1810">
        <v>0</v>
      </c>
      <c r="O1810">
        <v>0</v>
      </c>
      <c r="P1810">
        <v>0</v>
      </c>
      <c r="Q1810">
        <v>0</v>
      </c>
      <c r="R1810">
        <v>0</v>
      </c>
      <c r="S1810">
        <v>0</v>
      </c>
      <c r="V1810">
        <v>0</v>
      </c>
      <c r="W1810">
        <v>550</v>
      </c>
    </row>
    <row r="1811" spans="1:23" x14ac:dyDescent="0.25">
      <c r="H1811" t="s">
        <v>2686</v>
      </c>
    </row>
    <row r="1812" spans="1:23" x14ac:dyDescent="0.25">
      <c r="A1812">
        <v>903</v>
      </c>
      <c r="B1812">
        <v>4095</v>
      </c>
      <c r="C1812" t="s">
        <v>3065</v>
      </c>
      <c r="D1812" t="s">
        <v>3066</v>
      </c>
      <c r="E1812" t="s">
        <v>22</v>
      </c>
      <c r="F1812" t="s">
        <v>3067</v>
      </c>
      <c r="G1812" t="str">
        <f>"00037749"</f>
        <v>00037749</v>
      </c>
      <c r="H1812" t="s">
        <v>3068</v>
      </c>
      <c r="I1812">
        <v>0</v>
      </c>
      <c r="J1812">
        <v>0</v>
      </c>
      <c r="K1812">
        <v>0</v>
      </c>
      <c r="L1812">
        <v>0</v>
      </c>
      <c r="M1812">
        <v>0</v>
      </c>
      <c r="N1812">
        <v>0</v>
      </c>
      <c r="O1812">
        <v>0</v>
      </c>
      <c r="P1812">
        <v>0</v>
      </c>
      <c r="Q1812">
        <v>0</v>
      </c>
      <c r="R1812">
        <v>0</v>
      </c>
      <c r="S1812">
        <v>0</v>
      </c>
      <c r="V1812">
        <v>1</v>
      </c>
      <c r="W1812" t="s">
        <v>3068</v>
      </c>
    </row>
    <row r="1813" spans="1:23" x14ac:dyDescent="0.25">
      <c r="H1813" t="s">
        <v>3069</v>
      </c>
    </row>
    <row r="1814" spans="1:23" x14ac:dyDescent="0.25">
      <c r="A1814">
        <v>904</v>
      </c>
      <c r="B1814">
        <v>6272</v>
      </c>
      <c r="C1814" t="s">
        <v>3070</v>
      </c>
      <c r="D1814" t="s">
        <v>121</v>
      </c>
      <c r="E1814" t="s">
        <v>700</v>
      </c>
      <c r="F1814" t="s">
        <v>3071</v>
      </c>
      <c r="G1814" t="str">
        <f>"00022609"</f>
        <v>00022609</v>
      </c>
      <c r="H1814">
        <v>495</v>
      </c>
      <c r="I1814">
        <v>0</v>
      </c>
      <c r="J1814">
        <v>0</v>
      </c>
      <c r="K1814">
        <v>0</v>
      </c>
      <c r="L1814">
        <v>0</v>
      </c>
      <c r="M1814">
        <v>0</v>
      </c>
      <c r="N1814">
        <v>0</v>
      </c>
      <c r="O1814">
        <v>0</v>
      </c>
      <c r="P1814">
        <v>0</v>
      </c>
      <c r="Q1814">
        <v>0</v>
      </c>
      <c r="R1814">
        <v>0</v>
      </c>
      <c r="S1814">
        <v>0</v>
      </c>
      <c r="V1814">
        <v>0</v>
      </c>
      <c r="W1814">
        <v>495</v>
      </c>
    </row>
    <row r="1815" spans="1:23" x14ac:dyDescent="0.25">
      <c r="H1815" t="s">
        <v>3072</v>
      </c>
    </row>
    <row r="1817" spans="1:23" x14ac:dyDescent="0.25">
      <c r="A1817" t="s">
        <v>3073</v>
      </c>
    </row>
    <row r="1818" spans="1:23" x14ac:dyDescent="0.25">
      <c r="A1818" t="s">
        <v>3074</v>
      </c>
    </row>
    <row r="1819" spans="1:23" x14ac:dyDescent="0.25">
      <c r="A1819" t="s">
        <v>3075</v>
      </c>
    </row>
    <row r="1820" spans="1:23" x14ac:dyDescent="0.25">
      <c r="A1820" t="s">
        <v>3076</v>
      </c>
    </row>
    <row r="1821" spans="1:23" x14ac:dyDescent="0.25">
      <c r="A1821" t="s">
        <v>3077</v>
      </c>
    </row>
    <row r="1822" spans="1:23" x14ac:dyDescent="0.25">
      <c r="A1822" t="s">
        <v>3078</v>
      </c>
    </row>
    <row r="1823" spans="1:23" x14ac:dyDescent="0.25">
      <c r="A1823" t="s">
        <v>3079</v>
      </c>
    </row>
    <row r="1824" spans="1:23" x14ac:dyDescent="0.25">
      <c r="A1824" t="s">
        <v>3080</v>
      </c>
    </row>
    <row r="1825" spans="1:1" x14ac:dyDescent="0.25">
      <c r="A1825" t="s">
        <v>3081</v>
      </c>
    </row>
    <row r="1826" spans="1:1" x14ac:dyDescent="0.25">
      <c r="A1826" t="s">
        <v>3082</v>
      </c>
    </row>
    <row r="1827" spans="1:1" x14ac:dyDescent="0.25">
      <c r="A1827" t="s">
        <v>3083</v>
      </c>
    </row>
    <row r="1828" spans="1:1" x14ac:dyDescent="0.25">
      <c r="A1828" t="s">
        <v>3084</v>
      </c>
    </row>
    <row r="1829" spans="1:1" x14ac:dyDescent="0.25">
      <c r="A1829" t="s">
        <v>3085</v>
      </c>
    </row>
    <row r="1830" spans="1:1" x14ac:dyDescent="0.25">
      <c r="A1830" t="s">
        <v>3086</v>
      </c>
    </row>
    <row r="1831" spans="1:1" x14ac:dyDescent="0.25">
      <c r="A1831" t="s">
        <v>3087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2018-04-25T11:18:00Z</dcterms:created>
  <dcterms:modified xsi:type="dcterms:W3CDTF">2018-04-25T11:18:06Z</dcterms:modified>
</cp:coreProperties>
</file>