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3556" i="1" l="1"/>
  <c r="G3554" i="1"/>
  <c r="G3552" i="1"/>
  <c r="G3550" i="1"/>
  <c r="G3548" i="1"/>
  <c r="G3546" i="1"/>
  <c r="G3544" i="1"/>
  <c r="G3542" i="1"/>
  <c r="G3540" i="1"/>
  <c r="G3538" i="1"/>
  <c r="G3536" i="1"/>
  <c r="G3534" i="1"/>
  <c r="G3532" i="1"/>
  <c r="G3530" i="1"/>
  <c r="G3528" i="1"/>
  <c r="G3526" i="1"/>
  <c r="G3524" i="1"/>
  <c r="G3522" i="1"/>
  <c r="G3520" i="1"/>
  <c r="G3518" i="1"/>
  <c r="G3516" i="1"/>
  <c r="G3514" i="1"/>
  <c r="G3512" i="1"/>
  <c r="G3510" i="1"/>
  <c r="G3508" i="1"/>
  <c r="G3506" i="1"/>
  <c r="G3504" i="1"/>
  <c r="G3502" i="1"/>
  <c r="G3500" i="1"/>
  <c r="G3498" i="1"/>
  <c r="G3496" i="1"/>
  <c r="G3494" i="1"/>
  <c r="G3492" i="1"/>
  <c r="G3490" i="1"/>
  <c r="G3488" i="1"/>
  <c r="G3486" i="1"/>
  <c r="G3484" i="1"/>
  <c r="G3482" i="1"/>
  <c r="G3480" i="1"/>
  <c r="G3478" i="1"/>
  <c r="G3476" i="1"/>
  <c r="G3474" i="1"/>
  <c r="G3472" i="1"/>
  <c r="G3470" i="1"/>
  <c r="G3468" i="1"/>
  <c r="G3466" i="1"/>
  <c r="G3464" i="1"/>
  <c r="G3462" i="1"/>
  <c r="G3460" i="1"/>
  <c r="G3458" i="1"/>
  <c r="G3456" i="1"/>
  <c r="G3454" i="1"/>
  <c r="G3452" i="1"/>
  <c r="G3450" i="1"/>
  <c r="G3448" i="1"/>
  <c r="G3446" i="1"/>
  <c r="G3444" i="1"/>
  <c r="G3442" i="1"/>
  <c r="G3440" i="1"/>
  <c r="G3438" i="1"/>
  <c r="G3436" i="1"/>
  <c r="G3434" i="1"/>
  <c r="G3432" i="1"/>
  <c r="G3430" i="1"/>
  <c r="G3428" i="1"/>
  <c r="G3426" i="1"/>
  <c r="G3424" i="1"/>
  <c r="G3422" i="1"/>
  <c r="G3420" i="1"/>
  <c r="G3418" i="1"/>
  <c r="G3416" i="1"/>
  <c r="G3414" i="1"/>
  <c r="G3412" i="1"/>
  <c r="G3410" i="1"/>
  <c r="G3408" i="1"/>
  <c r="G3406" i="1"/>
  <c r="G3404" i="1"/>
  <c r="G3402" i="1"/>
  <c r="G3400" i="1"/>
  <c r="G3398" i="1"/>
  <c r="G3396" i="1"/>
  <c r="G3394" i="1"/>
  <c r="G3392" i="1"/>
  <c r="G3390" i="1"/>
  <c r="G3388" i="1"/>
  <c r="G3386" i="1"/>
  <c r="G3384" i="1"/>
  <c r="G3382" i="1"/>
  <c r="G3380" i="1"/>
  <c r="G3378" i="1"/>
  <c r="G3376" i="1"/>
  <c r="G3374" i="1"/>
  <c r="G3372" i="1"/>
  <c r="G3370" i="1"/>
  <c r="G3368" i="1"/>
  <c r="G3366" i="1"/>
  <c r="G3364" i="1"/>
  <c r="G3362" i="1"/>
  <c r="G3360" i="1"/>
  <c r="G3358" i="1"/>
  <c r="G3356" i="1"/>
  <c r="G3354" i="1"/>
  <c r="G3352" i="1"/>
  <c r="G3350" i="1"/>
  <c r="G3348" i="1"/>
  <c r="G3346" i="1"/>
  <c r="G3344" i="1"/>
  <c r="G3342" i="1"/>
  <c r="G3340" i="1"/>
  <c r="G3338" i="1"/>
  <c r="G3336" i="1"/>
  <c r="G3334" i="1"/>
  <c r="G3332" i="1"/>
  <c r="G3330" i="1"/>
  <c r="G3328" i="1"/>
  <c r="G3326" i="1"/>
  <c r="G3324" i="1"/>
  <c r="G3322" i="1"/>
  <c r="G3320" i="1"/>
  <c r="G3318" i="1"/>
  <c r="G3316" i="1"/>
  <c r="G3314" i="1"/>
  <c r="G3312" i="1"/>
  <c r="G3310" i="1"/>
  <c r="G3308" i="1"/>
  <c r="G3306" i="1"/>
  <c r="G3304" i="1"/>
  <c r="G3302" i="1"/>
  <c r="G3300" i="1"/>
  <c r="G3298" i="1"/>
  <c r="G3296" i="1"/>
  <c r="G3294" i="1"/>
  <c r="G3292" i="1"/>
  <c r="G3290" i="1"/>
  <c r="G3288" i="1"/>
  <c r="G3286" i="1"/>
  <c r="G3284" i="1"/>
  <c r="G3282" i="1"/>
  <c r="G3280" i="1"/>
  <c r="G3278" i="1"/>
  <c r="G3276" i="1"/>
  <c r="G3274" i="1"/>
  <c r="G3272" i="1"/>
  <c r="G3270" i="1"/>
  <c r="G3268" i="1"/>
  <c r="G3266" i="1"/>
  <c r="G3264" i="1"/>
  <c r="G3262" i="1"/>
  <c r="G3260" i="1"/>
  <c r="G3258" i="1"/>
  <c r="G3256" i="1"/>
  <c r="G3254" i="1"/>
  <c r="G3252" i="1"/>
  <c r="G3250" i="1"/>
  <c r="G3248" i="1"/>
  <c r="G3246" i="1"/>
  <c r="G3244" i="1"/>
  <c r="G3242" i="1"/>
  <c r="G3240" i="1"/>
  <c r="G3238" i="1"/>
  <c r="G3236" i="1"/>
  <c r="G3234" i="1"/>
  <c r="G3232" i="1"/>
  <c r="G3230" i="1"/>
  <c r="G3228" i="1"/>
  <c r="G3226" i="1"/>
  <c r="G3224" i="1"/>
  <c r="G3222" i="1"/>
  <c r="G3220" i="1"/>
  <c r="G3218" i="1"/>
  <c r="G3216" i="1"/>
  <c r="G3214" i="1"/>
  <c r="G3212" i="1"/>
  <c r="G3210" i="1"/>
  <c r="G3208" i="1"/>
  <c r="G3206" i="1"/>
  <c r="G3204" i="1"/>
  <c r="G3202" i="1"/>
  <c r="G3200" i="1"/>
  <c r="G3198" i="1"/>
  <c r="G3196" i="1"/>
  <c r="G3194" i="1"/>
  <c r="G3192" i="1"/>
  <c r="G3190" i="1"/>
  <c r="G3188" i="1"/>
  <c r="G3186" i="1"/>
  <c r="G3184" i="1"/>
  <c r="G3182" i="1"/>
  <c r="G3180" i="1"/>
  <c r="G3178" i="1"/>
  <c r="G3176" i="1"/>
  <c r="G3174" i="1"/>
  <c r="G3172" i="1"/>
  <c r="G3170" i="1"/>
  <c r="G3168" i="1"/>
  <c r="G3166" i="1"/>
  <c r="G3164" i="1"/>
  <c r="G3162" i="1"/>
  <c r="G3160" i="1"/>
  <c r="G3158" i="1"/>
  <c r="G3156" i="1"/>
  <c r="G3154" i="1"/>
  <c r="G3152" i="1"/>
  <c r="G3150" i="1"/>
  <c r="G3148" i="1"/>
  <c r="G3146" i="1"/>
  <c r="G3144" i="1"/>
  <c r="G3142" i="1"/>
  <c r="G3140" i="1"/>
  <c r="G3138" i="1"/>
  <c r="G3136" i="1"/>
  <c r="G3134" i="1"/>
  <c r="G3132" i="1"/>
  <c r="G3130" i="1"/>
  <c r="G3128" i="1"/>
  <c r="G3126" i="1"/>
  <c r="G3124" i="1"/>
  <c r="G3122" i="1"/>
  <c r="G3120" i="1"/>
  <c r="G3118" i="1"/>
  <c r="G3116" i="1"/>
  <c r="G3114" i="1"/>
  <c r="G3112" i="1"/>
  <c r="G3110" i="1"/>
  <c r="G3108" i="1"/>
  <c r="G3106" i="1"/>
  <c r="G3104" i="1"/>
  <c r="G3102" i="1"/>
  <c r="G3100" i="1"/>
  <c r="G3098" i="1"/>
  <c r="G3096" i="1"/>
  <c r="G3094" i="1"/>
  <c r="G3092" i="1"/>
  <c r="G3090" i="1"/>
  <c r="G3088" i="1"/>
  <c r="G3086" i="1"/>
  <c r="G3084" i="1"/>
  <c r="G3082" i="1"/>
  <c r="G3080" i="1"/>
  <c r="G3078" i="1"/>
  <c r="G3076" i="1"/>
  <c r="G3074" i="1"/>
  <c r="G3072" i="1"/>
  <c r="G3070" i="1"/>
  <c r="G3068" i="1"/>
  <c r="G3066" i="1"/>
  <c r="G3064" i="1"/>
  <c r="G3062" i="1"/>
  <c r="G3060" i="1"/>
  <c r="G3058" i="1"/>
  <c r="G3056" i="1"/>
  <c r="G3054" i="1"/>
  <c r="G3052" i="1"/>
  <c r="G3050" i="1"/>
  <c r="G3048" i="1"/>
  <c r="G3046" i="1"/>
  <c r="G3044" i="1"/>
  <c r="G3042" i="1"/>
  <c r="G3040" i="1"/>
  <c r="G3038" i="1"/>
  <c r="G3036" i="1"/>
  <c r="G3034" i="1"/>
  <c r="G3032" i="1"/>
  <c r="G3030" i="1"/>
  <c r="G3028" i="1"/>
  <c r="G3026" i="1"/>
  <c r="G3024" i="1"/>
  <c r="G3022" i="1"/>
  <c r="G3020" i="1"/>
  <c r="G3018" i="1"/>
  <c r="G3016" i="1"/>
  <c r="G3014" i="1"/>
  <c r="G3012" i="1"/>
  <c r="G3010" i="1"/>
  <c r="G3008" i="1"/>
  <c r="G3006" i="1"/>
  <c r="G3004" i="1"/>
  <c r="G3002" i="1"/>
  <c r="G3000" i="1"/>
  <c r="G2998" i="1"/>
  <c r="G2996" i="1"/>
  <c r="G2994" i="1"/>
  <c r="G2992" i="1"/>
  <c r="G2990" i="1"/>
  <c r="G2988" i="1"/>
  <c r="G2986" i="1"/>
  <c r="G2984" i="1"/>
  <c r="G2982" i="1"/>
  <c r="G2980" i="1"/>
  <c r="G2978" i="1"/>
  <c r="G2976" i="1"/>
  <c r="G2974" i="1"/>
  <c r="G2972" i="1"/>
  <c r="G2970" i="1"/>
  <c r="G2968" i="1"/>
  <c r="G2966" i="1"/>
  <c r="G2964" i="1"/>
  <c r="G2962" i="1"/>
  <c r="G2960" i="1"/>
  <c r="G2958" i="1"/>
  <c r="G2956" i="1"/>
  <c r="G2954" i="1"/>
  <c r="G2952" i="1"/>
  <c r="G2950" i="1"/>
  <c r="G2948" i="1"/>
  <c r="G2946" i="1"/>
  <c r="G2944" i="1"/>
  <c r="G2942" i="1"/>
  <c r="G2940" i="1"/>
  <c r="G2938" i="1"/>
  <c r="G2936" i="1"/>
  <c r="G2934" i="1"/>
  <c r="G2932" i="1"/>
  <c r="G2930" i="1"/>
  <c r="G2928" i="1"/>
  <c r="G2926" i="1"/>
  <c r="G2924" i="1"/>
  <c r="G2922" i="1"/>
  <c r="G2920" i="1"/>
  <c r="G2918" i="1"/>
  <c r="G2916" i="1"/>
  <c r="G2914" i="1"/>
  <c r="G2912" i="1"/>
  <c r="G2910" i="1"/>
  <c r="G2908" i="1"/>
  <c r="G2906" i="1"/>
  <c r="G2904" i="1"/>
  <c r="G2902" i="1"/>
  <c r="G2900" i="1"/>
  <c r="G2898" i="1"/>
  <c r="G2896" i="1"/>
  <c r="G2894" i="1"/>
  <c r="G2892" i="1"/>
  <c r="G2890" i="1"/>
  <c r="G2888" i="1"/>
  <c r="G2886" i="1"/>
  <c r="G2884" i="1"/>
  <c r="G2882" i="1"/>
  <c r="G2880" i="1"/>
  <c r="G2878" i="1"/>
  <c r="G2876" i="1"/>
  <c r="G2874" i="1"/>
  <c r="G2872" i="1"/>
  <c r="G2870" i="1"/>
  <c r="G2868" i="1"/>
  <c r="G2866" i="1"/>
  <c r="G2864" i="1"/>
  <c r="G2862" i="1"/>
  <c r="G2860" i="1"/>
  <c r="G2858" i="1"/>
  <c r="G2856" i="1"/>
  <c r="G2854" i="1"/>
  <c r="G2852" i="1"/>
  <c r="G2850" i="1"/>
  <c r="G2848" i="1"/>
  <c r="G2846" i="1"/>
  <c r="G2844" i="1"/>
  <c r="G2842" i="1"/>
  <c r="G2840" i="1"/>
  <c r="G2838" i="1"/>
  <c r="G2836" i="1"/>
  <c r="G2834" i="1"/>
  <c r="G2832" i="1"/>
  <c r="G2830" i="1"/>
  <c r="G2828" i="1"/>
  <c r="G2826" i="1"/>
  <c r="G2824" i="1"/>
  <c r="G2822" i="1"/>
  <c r="G2820" i="1"/>
  <c r="G2818" i="1"/>
  <c r="G2816" i="1"/>
  <c r="G2814" i="1"/>
  <c r="G2812" i="1"/>
  <c r="G2810" i="1"/>
  <c r="G2808" i="1"/>
  <c r="G2806" i="1"/>
  <c r="G2804" i="1"/>
  <c r="G2802" i="1"/>
  <c r="G2800" i="1"/>
  <c r="G2798" i="1"/>
  <c r="G2796" i="1"/>
  <c r="G2794" i="1"/>
  <c r="G2792" i="1"/>
  <c r="G2790" i="1"/>
  <c r="G2788" i="1"/>
  <c r="G2786" i="1"/>
  <c r="G2784" i="1"/>
  <c r="G2782" i="1"/>
  <c r="G2780" i="1"/>
  <c r="G2778" i="1"/>
  <c r="G2776" i="1"/>
  <c r="G2774" i="1"/>
  <c r="G2772" i="1"/>
  <c r="G2770" i="1"/>
  <c r="G2768" i="1"/>
  <c r="G2766" i="1"/>
  <c r="G2764" i="1"/>
  <c r="G2762" i="1"/>
  <c r="G2760" i="1"/>
  <c r="G2758" i="1"/>
  <c r="G2756" i="1"/>
  <c r="G2754" i="1"/>
  <c r="G2752" i="1"/>
  <c r="G2750" i="1"/>
  <c r="G2748" i="1"/>
  <c r="G2746" i="1"/>
  <c r="G2744" i="1"/>
  <c r="G2742" i="1"/>
  <c r="G2740" i="1"/>
  <c r="G2738" i="1"/>
  <c r="G2736" i="1"/>
  <c r="G2734" i="1"/>
  <c r="G2732" i="1"/>
  <c r="G2730" i="1"/>
  <c r="G2728" i="1"/>
  <c r="G2726" i="1"/>
  <c r="G2724" i="1"/>
  <c r="G2722" i="1"/>
  <c r="G2720" i="1"/>
  <c r="G2718" i="1"/>
  <c r="G2716" i="1"/>
  <c r="G2714" i="1"/>
  <c r="G2712" i="1"/>
  <c r="G2710" i="1"/>
  <c r="G2708" i="1"/>
  <c r="G2706" i="1"/>
  <c r="G2704" i="1"/>
  <c r="G2702" i="1"/>
  <c r="G2700" i="1"/>
  <c r="G2698" i="1"/>
  <c r="G2696" i="1"/>
  <c r="G2694" i="1"/>
  <c r="G2692" i="1"/>
  <c r="G2690" i="1"/>
  <c r="G2688" i="1"/>
  <c r="G2686" i="1"/>
  <c r="G2684" i="1"/>
  <c r="G2682" i="1"/>
  <c r="G2680" i="1"/>
  <c r="G2678" i="1"/>
  <c r="G2676" i="1"/>
  <c r="G2674" i="1"/>
  <c r="G2672" i="1"/>
  <c r="G2670" i="1"/>
  <c r="G2668" i="1"/>
  <c r="G2666" i="1"/>
  <c r="G2664" i="1"/>
  <c r="G2662" i="1"/>
  <c r="G2660" i="1"/>
  <c r="G2658" i="1"/>
  <c r="G2656" i="1"/>
  <c r="G2654" i="1"/>
  <c r="G2652" i="1"/>
  <c r="G2650" i="1"/>
  <c r="G2648" i="1"/>
  <c r="G2646" i="1"/>
  <c r="G2644" i="1"/>
  <c r="G2642" i="1"/>
  <c r="G2640" i="1"/>
  <c r="G2638" i="1"/>
  <c r="G2636" i="1"/>
  <c r="G2634" i="1"/>
  <c r="G2632" i="1"/>
  <c r="G2630" i="1"/>
  <c r="G2628" i="1"/>
  <c r="G2626" i="1"/>
  <c r="G2624" i="1"/>
  <c r="G2622" i="1"/>
  <c r="G2620" i="1"/>
  <c r="G2618" i="1"/>
  <c r="G2616" i="1"/>
  <c r="G2614" i="1"/>
  <c r="G2612" i="1"/>
  <c r="G2610" i="1"/>
  <c r="G2608" i="1"/>
  <c r="G2606" i="1"/>
  <c r="G2604" i="1"/>
  <c r="G2602" i="1"/>
  <c r="G2600" i="1"/>
  <c r="G2598" i="1"/>
  <c r="G2596" i="1"/>
  <c r="G2594" i="1"/>
  <c r="G2592" i="1"/>
  <c r="G2590" i="1"/>
  <c r="G2588" i="1"/>
  <c r="G2586" i="1"/>
  <c r="G2584" i="1"/>
  <c r="G2582" i="1"/>
  <c r="G2580" i="1"/>
  <c r="G2578" i="1"/>
  <c r="G2576" i="1"/>
  <c r="G2574" i="1"/>
  <c r="G2572" i="1"/>
  <c r="G2570" i="1"/>
  <c r="G2568" i="1"/>
  <c r="G2566" i="1"/>
  <c r="G2564" i="1"/>
  <c r="G2562" i="1"/>
  <c r="G2560" i="1"/>
  <c r="G2558" i="1"/>
  <c r="G2556" i="1"/>
  <c r="G2554" i="1"/>
  <c r="G2552" i="1"/>
  <c r="G2550" i="1"/>
  <c r="G2548" i="1"/>
  <c r="G2546" i="1"/>
  <c r="G2544" i="1"/>
  <c r="G2542" i="1"/>
  <c r="G2540" i="1"/>
  <c r="G2538" i="1"/>
  <c r="G2536" i="1"/>
  <c r="G2534" i="1"/>
  <c r="G2532" i="1"/>
  <c r="G2530" i="1"/>
  <c r="G2528" i="1"/>
  <c r="G2526" i="1"/>
  <c r="G2524" i="1"/>
  <c r="G2522" i="1"/>
  <c r="G2520" i="1"/>
  <c r="G2518" i="1"/>
  <c r="G2516" i="1"/>
  <c r="G2514" i="1"/>
  <c r="G2512" i="1"/>
  <c r="G2510" i="1"/>
  <c r="G2508" i="1"/>
  <c r="G2506" i="1"/>
  <c r="G2504" i="1"/>
  <c r="G2502" i="1"/>
  <c r="G2500" i="1"/>
  <c r="G2498" i="1"/>
  <c r="G2496" i="1"/>
  <c r="G2494" i="1"/>
  <c r="G2492" i="1"/>
  <c r="G2490" i="1"/>
  <c r="G2488" i="1"/>
  <c r="G2486" i="1"/>
  <c r="G2484" i="1"/>
  <c r="G2482" i="1"/>
  <c r="G2480" i="1"/>
  <c r="G2478" i="1"/>
  <c r="G2476" i="1"/>
  <c r="G2474" i="1"/>
  <c r="G2472" i="1"/>
  <c r="G2470" i="1"/>
  <c r="G2468" i="1"/>
  <c r="G2466" i="1"/>
  <c r="G2464" i="1"/>
  <c r="G2462" i="1"/>
  <c r="G2460" i="1"/>
  <c r="G2458" i="1"/>
  <c r="G2456" i="1"/>
  <c r="G2454" i="1"/>
  <c r="G2452" i="1"/>
  <c r="G2450" i="1"/>
  <c r="G2448" i="1"/>
  <c r="G2446" i="1"/>
  <c r="G2444" i="1"/>
  <c r="G2442" i="1"/>
  <c r="G2440" i="1"/>
  <c r="G2438" i="1"/>
  <c r="G2436" i="1"/>
  <c r="G2434" i="1"/>
  <c r="G2432" i="1"/>
  <c r="G2430" i="1"/>
  <c r="G2428" i="1"/>
  <c r="G2426" i="1"/>
  <c r="G2424" i="1"/>
  <c r="G2422" i="1"/>
  <c r="G2420" i="1"/>
  <c r="G2418" i="1"/>
  <c r="G2416" i="1"/>
  <c r="G2414" i="1"/>
  <c r="G2412" i="1"/>
  <c r="G2410" i="1"/>
  <c r="G2408" i="1"/>
  <c r="G2406" i="1"/>
  <c r="G2404" i="1"/>
  <c r="G2402" i="1"/>
  <c r="G2400" i="1"/>
  <c r="G2398" i="1"/>
  <c r="G2396" i="1"/>
  <c r="G2394" i="1"/>
  <c r="G2392" i="1"/>
  <c r="G2390" i="1"/>
  <c r="G2388" i="1"/>
  <c r="G2386" i="1"/>
  <c r="G2384" i="1"/>
  <c r="G2382" i="1"/>
  <c r="G2380" i="1"/>
  <c r="G2378" i="1"/>
  <c r="G2376" i="1"/>
  <c r="G2374" i="1"/>
  <c r="G2372" i="1"/>
  <c r="G2370" i="1"/>
  <c r="G2368" i="1"/>
  <c r="G2366" i="1"/>
  <c r="G2364" i="1"/>
  <c r="G2362" i="1"/>
  <c r="G2360" i="1"/>
  <c r="G2358" i="1"/>
  <c r="G2356" i="1"/>
  <c r="G2354" i="1"/>
  <c r="G2352" i="1"/>
  <c r="G2350" i="1"/>
  <c r="G2348" i="1"/>
  <c r="G2346" i="1"/>
  <c r="G2344" i="1"/>
  <c r="G2342" i="1"/>
  <c r="G2340" i="1"/>
  <c r="G2338" i="1"/>
  <c r="G2336" i="1"/>
  <c r="G2334" i="1"/>
  <c r="G2332" i="1"/>
  <c r="G2330" i="1"/>
  <c r="G2328" i="1"/>
  <c r="G2326" i="1"/>
  <c r="G2324" i="1"/>
  <c r="G2322" i="1"/>
  <c r="G2320" i="1"/>
  <c r="G2318" i="1"/>
  <c r="G2316" i="1"/>
  <c r="G2314" i="1"/>
  <c r="G2312" i="1"/>
  <c r="G2310" i="1"/>
  <c r="G2308" i="1"/>
  <c r="G2306" i="1"/>
  <c r="G2304" i="1"/>
  <c r="G2302" i="1"/>
  <c r="G2300" i="1"/>
  <c r="G2298" i="1"/>
  <c r="G2296" i="1"/>
  <c r="G2294" i="1"/>
  <c r="G2292" i="1"/>
  <c r="G2290" i="1"/>
  <c r="G2288" i="1"/>
  <c r="G2286" i="1"/>
  <c r="G2284" i="1"/>
  <c r="G2282" i="1"/>
  <c r="G2280" i="1"/>
  <c r="G2278" i="1"/>
  <c r="G2276" i="1"/>
  <c r="G2274" i="1"/>
  <c r="G2272" i="1"/>
  <c r="G2270" i="1"/>
  <c r="G2268" i="1"/>
  <c r="G2266" i="1"/>
  <c r="G2264" i="1"/>
  <c r="G2262" i="1"/>
  <c r="G2260" i="1"/>
  <c r="G2258" i="1"/>
  <c r="G2256" i="1"/>
  <c r="G2254" i="1"/>
  <c r="G2252" i="1"/>
  <c r="G2250" i="1"/>
  <c r="G2248" i="1"/>
  <c r="G2246" i="1"/>
  <c r="G2244" i="1"/>
  <c r="G2242" i="1"/>
  <c r="G2240" i="1"/>
  <c r="G2238" i="1"/>
  <c r="G2236" i="1"/>
  <c r="G2234" i="1"/>
  <c r="G2232" i="1"/>
  <c r="G2230" i="1"/>
  <c r="G2228" i="1"/>
  <c r="G2226" i="1"/>
  <c r="G2224" i="1"/>
  <c r="G2222" i="1"/>
  <c r="G2220" i="1"/>
  <c r="G2218" i="1"/>
  <c r="G2216" i="1"/>
  <c r="G2214" i="1"/>
  <c r="G2212" i="1"/>
  <c r="G2210" i="1"/>
  <c r="G2208" i="1"/>
  <c r="G2206" i="1"/>
  <c r="G2204" i="1"/>
  <c r="G2202" i="1"/>
  <c r="G2200" i="1"/>
  <c r="G2198" i="1"/>
  <c r="G2196" i="1"/>
  <c r="G2194" i="1"/>
  <c r="G2192" i="1"/>
  <c r="G2190" i="1"/>
  <c r="G2188" i="1"/>
  <c r="G2186" i="1"/>
  <c r="G2184" i="1"/>
  <c r="G2182" i="1"/>
  <c r="G2180" i="1"/>
  <c r="G2178" i="1"/>
  <c r="G2176" i="1"/>
  <c r="G2174" i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<sst xmlns="http://schemas.openxmlformats.org/spreadsheetml/2006/main" count="10979" uniqueCount="5958">
  <si>
    <t>ΠΛΗΡΩΣΗ ΘΕΣΕΩΝ ΜΕ ΣΕΙΡΑ ΠΡΟΤΕΡΑΙΟΤΗΤΑΣ (ΑΡΘΡΟ 18/Ν. 2190/1994) ΠΡΟΚΗΡΥΞΗ : 7Κ/2016</t>
  </si>
  <si>
    <t>ΣΕΙΡΑ ΚΑΤΑΤΑΞΗΣ (ΚΥΡΙΟΣ)</t>
  </si>
  <si>
    <t>ΔΕΥΤΕΡΟΒΑΘΜΙΑΣ ΕΚΠΑΙΔΕΥΣΗΣ (ΔΕ)</t>
  </si>
  <si>
    <t>ΓΕΝΙΚΕΣ ΘΕΣΕΙΣ ΧΩΡΙΣ ΕΜΠΕΙΡΙΑ</t>
  </si>
  <si>
    <t>ΔΕ ΒΟΗΘΩΝ ΙΑΤΡΙΚΩΝ &amp; ΒΙΟΛΟΓΙΚΩΝ ΕΡΓΑΣΤΗΡΙΩΝ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</si>
  <si>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</si>
  <si>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</si>
  <si>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</si>
  <si>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</si>
  <si>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</si>
  <si>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</si>
  <si>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</si>
  <si>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</si>
  <si>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ΜΠΟΥΡΝΤΙΓΙΔΟΥ</t>
  </si>
  <si>
    <t>ΑΙΝΤΑ</t>
  </si>
  <si>
    <t>ΣΟΥΛΤΑΝ</t>
  </si>
  <si>
    <t>Τ030880</t>
  </si>
  <si>
    <t>759-791-758-760-789-790-786-793-792-787-788-795-794-757-764</t>
  </si>
  <si>
    <t>ΤΡΙΚΑΛΗ</t>
  </si>
  <si>
    <t>ΧΡΥΣΟΒΑΛΑΝΤΩ</t>
  </si>
  <si>
    <t>ΓΡΗΓΟΡΙΟΣ</t>
  </si>
  <si>
    <t>ΑΖ587529</t>
  </si>
  <si>
    <t>1074,7</t>
  </si>
  <si>
    <t>1284,7</t>
  </si>
  <si>
    <t>801-757-758-759-760-785-786-787-788-789-790-791-792-793-794-795-796</t>
  </si>
  <si>
    <t>ΛΟΓΟΘΕΤΗ</t>
  </si>
  <si>
    <t>ΚΩΝΣΤΑΝΤΙΝΑ</t>
  </si>
  <si>
    <t>ΔΗΜΗΤΡΙΟΣ</t>
  </si>
  <si>
    <t>ΑΗ225732</t>
  </si>
  <si>
    <t>794-791-785-795-786-796-757-772</t>
  </si>
  <si>
    <t>ΣΑΡΑΝΤΟΠΟΥΛΟΥ</t>
  </si>
  <si>
    <t>ΓΑΡΥΦΑΛΙΑ</t>
  </si>
  <si>
    <t>ΛΕΩΝΙΔΑΣ</t>
  </si>
  <si>
    <t>ΑΖ500788</t>
  </si>
  <si>
    <t>765-764-796-795-794-790-757-792-789-760-758-759-793-786-785-787-791-788</t>
  </si>
  <si>
    <t>ΠΑΠΑΙΩΑΝΝΟΥ</t>
  </si>
  <si>
    <t>ΓΕΩΡΓΙΟΣ</t>
  </si>
  <si>
    <t>ΝΙΚΟΛΑΟΣ</t>
  </si>
  <si>
    <t>ΑΗ739452</t>
  </si>
  <si>
    <t>843-860-801-756-832-834-839-841-838-840-837-835-842-836-862-828-825-826-855-854-849-850-871-815-870-847-853-827-829-833-817-822-858-859-872-821-876-877-878-873-874-869-867-866-868-846-844-848-845-830-816-831-863-864-865-857-856-852-851-824-823-818-820-819-875-861-800-763-768-757-759-764-781-782-787-786-794-751-752-753-754-755-758-760-761-762-765-766-767-769-770-771-772-773-774-775-776-777-778-779-780-783-784-785-788-789-790-791-792-793-795-796-797-798-799-802-803-804-805-806-807-808-809-810-811-812-813-814</t>
  </si>
  <si>
    <t>ΤΑΜΙΣΗ</t>
  </si>
  <si>
    <t>ΑΡΙΣΤΟΥΛΑ</t>
  </si>
  <si>
    <t>ΙΩΑΝΝΗΣ</t>
  </si>
  <si>
    <t>Σ972912</t>
  </si>
  <si>
    <t>811-791-787-786-765-764-760-758-788-790-792-795-794-796-793-785-779-780-781-782-789-763</t>
  </si>
  <si>
    <t>ΕΥΡΙΠΙΩΤΗ</t>
  </si>
  <si>
    <t>ΕΥΦΡΟΣΥΝΗ</t>
  </si>
  <si>
    <t>ΑΙ427432</t>
  </si>
  <si>
    <t>783-801-814-761-784-782-781-780-779-778-787-788-789-785-786-790-791-792-793-794-795</t>
  </si>
  <si>
    <t>ΤΣΑΚΥΡΙΔΟΥ</t>
  </si>
  <si>
    <t>ΜΑΡΙΑΝΝΑ</t>
  </si>
  <si>
    <t>ΚΥΡΙΑΚΟΣ</t>
  </si>
  <si>
    <t>ΑΗ894413</t>
  </si>
  <si>
    <t>1065,9</t>
  </si>
  <si>
    <t>1265,9</t>
  </si>
  <si>
    <t>773-774-782-781-780-779-778-801-800-783-784-814-813-796-786-787-794-759-757-764-765-768-756-802-785-788-789-790-791-792-793-795-758-760-769-770-772-751-752-753-754-755-775-776-777-803-805-808-811-762-763-797-798-799-766-771-806-807-809-810-812-804</t>
  </si>
  <si>
    <t>ΣΑΜΟΛΑΔΑ</t>
  </si>
  <si>
    <t>ΑΝΑΣΤΑΣΙΑ</t>
  </si>
  <si>
    <t>ΖΑΦΕΙΡΙΟΣ</t>
  </si>
  <si>
    <t>ΑΜ655077</t>
  </si>
  <si>
    <t>1085,7</t>
  </si>
  <si>
    <t>1265,7</t>
  </si>
  <si>
    <t>835-836-837-838-839-840-841-842-782-778-779-790-780-781-814-773-808-811-799-800-801-774-862-869-876-877-878-860-861-834-833-832-831-843-844-816-763-762-783-784-809-803-802-807-768-769-770-771-772-751-752-753-754-755-756-757-758-805-806-810-812-775-867-868-875-874-873-776-766-767-858-859-864-863-865-866-870-871-872-794-795-796-798-845-846-847-848-849-850-851-852-853-854-855-856-857-759-760-761-764-765-817-818-819-820-821-813-815-937-822-823-824-825-826-827-828-829-830-785-786-787-788-789-791-792-793</t>
  </si>
  <si>
    <t>ΚΑΡΑΝΤΩΝΗ</t>
  </si>
  <si>
    <t>ΜΑΡΙΑ</t>
  </si>
  <si>
    <t>ΕΥΑΓΓΕΛΟΣ</t>
  </si>
  <si>
    <t>Μ856741</t>
  </si>
  <si>
    <t>784-761-768-765-764-801-794</t>
  </si>
  <si>
    <t>ΛΑΖΑΡΙΔΟΥ</t>
  </si>
  <si>
    <t>ΧΑΡΙΚΛΕΙΑ</t>
  </si>
  <si>
    <t>ΑΝΑΣΤΑΣΙΟΣ</t>
  </si>
  <si>
    <t>ΑΙ197178</t>
  </si>
  <si>
    <t>883-884-781-782-779-780-778</t>
  </si>
  <si>
    <t>ΤΣΙΡΩΝΗ</t>
  </si>
  <si>
    <t>ΧΡΥΣΟΥΛΑ</t>
  </si>
  <si>
    <t>ΑΑ380545</t>
  </si>
  <si>
    <t>843-834-842-841-872-782</t>
  </si>
  <si>
    <t>ΧΑΤΖΙΔΟΥ</t>
  </si>
  <si>
    <t>ΣΟΦΙΑ</t>
  </si>
  <si>
    <t>ΤΡΙΑΝΤΑΦΥΛΛΟΣ</t>
  </si>
  <si>
    <t>Χ964734</t>
  </si>
  <si>
    <t>1069,2</t>
  </si>
  <si>
    <t>1249,2</t>
  </si>
  <si>
    <t>809-767-807-783-779-780-781-782-778-763-801-762-768-769-770-771-773-774-784-799-800-805-808-811-814-937-766-757-758-759-760-764-765-785-786-787-788-789-790-791-792-793-794-795-796-751-752-753-754-755-756-772-813-775-776-777-797-798-802-803-804-806-810-812-936</t>
  </si>
  <si>
    <t>ΖΩΤΟΥ</t>
  </si>
  <si>
    <t>ΕΛΕΝΗ</t>
  </si>
  <si>
    <t>ΑΜ784043</t>
  </si>
  <si>
    <t>1095,6</t>
  </si>
  <si>
    <t>1245,6</t>
  </si>
  <si>
    <t>781-782-801</t>
  </si>
  <si>
    <t>ΚΑΤΣΙΚΗ</t>
  </si>
  <si>
    <t>ΣΜΑΡΩ</t>
  </si>
  <si>
    <t>Χ991337</t>
  </si>
  <si>
    <t>781-782-780-779-778-814</t>
  </si>
  <si>
    <t>ΚΡΙΚΟΥ</t>
  </si>
  <si>
    <t>ΒΑΣΙΛΙΚΗ</t>
  </si>
  <si>
    <t>Π543924</t>
  </si>
  <si>
    <t>1094,5</t>
  </si>
  <si>
    <t>1244,5</t>
  </si>
  <si>
    <t>801-784-762</t>
  </si>
  <si>
    <t>ΚΑΛΠΑΚΙΔΟΥ</t>
  </si>
  <si>
    <t>ΠΑΡΘΕΝΑ</t>
  </si>
  <si>
    <t>ΑΗ658104</t>
  </si>
  <si>
    <t>1092,3</t>
  </si>
  <si>
    <t>1242,3</t>
  </si>
  <si>
    <t>779-780-778-781-782</t>
  </si>
  <si>
    <t>ΜΙΧΑΗΛΙΚΟΥ</t>
  </si>
  <si>
    <t>ΑΠΟΣΤΟΛΙΑ ΑΝΑΣΤΑΣΙΑ</t>
  </si>
  <si>
    <t>ΑΖ880903</t>
  </si>
  <si>
    <t>783-778-779-780-781-782-814-773-774-801-813-800-768-769-770-760-759-758-757-764-765-803-775-776-777-785-786-787-788-789-790-791-792-793-794-795-796-756-755-754-753-752-751-772-805-807-767-766-763-806-811-762-797-798-799-804-808-810-812-771-809</t>
  </si>
  <si>
    <t>ΤΟΓΙΑ</t>
  </si>
  <si>
    <t>ΗΛΙΑΝΑ</t>
  </si>
  <si>
    <t>ΑΘΑΝΑΣΙΟΣ</t>
  </si>
  <si>
    <t>Τ863739</t>
  </si>
  <si>
    <t>755-754-756-753</t>
  </si>
  <si>
    <t>ΜΟΣΧΟΠΟΥΛΟΥ</t>
  </si>
  <si>
    <t>ΙΩΑΝΝΑ</t>
  </si>
  <si>
    <t>ΘΕΟΧΑΡΗΣ</t>
  </si>
  <si>
    <t>Φ163511</t>
  </si>
  <si>
    <t>839-837-842-836-841-838-840-835-862-875-868-869-843-844-860-877-878-876-833-864-863-873-874-819-816-830-834-866-867-879-870-871-872-815-820-821-822-823-824-825-826-827-828-829-845-846-847-848-849-850-851-852-853-854-855-856-857-858-859-817-818-831-861-865-832-778-779-780-781-782-773-774-811-808-814-783-799-802-803-752-753-754-756-757-758-759-760-761-762-763-764-765-766-767-768-769-770-771-772-775-776-777-784-785-786-787-788-789-790-791-792-793-794-795-796-797-798-800-801-804-805-806-807-809-810-812-813-751</t>
  </si>
  <si>
    <t>ΚΟΛΥΒΑ</t>
  </si>
  <si>
    <t>ΑΙΚΑΤΕΡΙΝΗ</t>
  </si>
  <si>
    <t>ΚΩΝΣΤΑΝΤΙΝΟΣ</t>
  </si>
  <si>
    <t>Τ200741</t>
  </si>
  <si>
    <t>1086,8</t>
  </si>
  <si>
    <t>1236,8</t>
  </si>
  <si>
    <t>782-779-780-781-778</t>
  </si>
  <si>
    <t>ΑΚΡΙΤΙΔΟΥ</t>
  </si>
  <si>
    <t>ΧΡΙΣΤΙΝΑ</t>
  </si>
  <si>
    <t>ΑΑ276454</t>
  </si>
  <si>
    <t>1052,7</t>
  </si>
  <si>
    <t>1232,7</t>
  </si>
  <si>
    <t>778-780-779-782-781-791-796-788-787-789-790-793-786-785-758-759-794-795-760-757-792-773-774-783-801-814-784-800-756-754-770-813-752-751-771-772-753-776-777-803-802-805-764-769-768-755-765-775</t>
  </si>
  <si>
    <t>ΚΟΝΤΕΛΗ</t>
  </si>
  <si>
    <t>ΠΑΝΑΓΙΩΤΑ</t>
  </si>
  <si>
    <t>ΧΡΗΣΤΟΣ</t>
  </si>
  <si>
    <t>ΑΑ438866</t>
  </si>
  <si>
    <t>1079,1</t>
  </si>
  <si>
    <t>1229,1</t>
  </si>
  <si>
    <t>888-889-890-891-892-788-789-787-786-785-790-791-792-796-761-765-793-795-794-757-760-758-759-764</t>
  </si>
  <si>
    <t>ΑΘΑΝΑΣΙΑΔΟΥ</t>
  </si>
  <si>
    <t>ΕΥΓΕΝΙΑ</t>
  </si>
  <si>
    <t>ΑΒ112566</t>
  </si>
  <si>
    <t>781-782-801-794-796-786-787-757-759-764-756-802-768</t>
  </si>
  <si>
    <t>ΣΙΩΠΗ</t>
  </si>
  <si>
    <t>ΕΙΡΗΝΗ</t>
  </si>
  <si>
    <t>Ρ712846</t>
  </si>
  <si>
    <t>781-782</t>
  </si>
  <si>
    <t>ΜΗΤΟΠΟΥΛΟΥ</t>
  </si>
  <si>
    <t>ΑΙ401110</t>
  </si>
  <si>
    <t>1072,5</t>
  </si>
  <si>
    <t>1222,5</t>
  </si>
  <si>
    <t>767-766-783-778-779-780-781-782-814-773-774-800-785-786-787-788-789-790-791-794-795-796-793-792-757-758-759-760-764-765-801-784-813-770-768-769-776-777-803-802-775-751-752-753-754-755-756-772-805</t>
  </si>
  <si>
    <t>ΚΟΚΚΙΝΗ</t>
  </si>
  <si>
    <t>ΕΛΕΥΘΕΡΙΑ</t>
  </si>
  <si>
    <t>ΗΛΙΑΣ</t>
  </si>
  <si>
    <t>Τ415986</t>
  </si>
  <si>
    <t>751-752-753-754-755-756-757-758-759-760-762-763-764-765-766-767-768-770-769-771-772-773-775-774-776-777-778-779-780-781-783-784-785-786-787-788-789-790-791-792-793-794-795-796-797-798-799-800-801-802-803-805-804-809-806-807-808-810-811-812-813-814</t>
  </si>
  <si>
    <t>ΚΑΜΑΚΑ</t>
  </si>
  <si>
    <t>Χ544257</t>
  </si>
  <si>
    <t>1039,5</t>
  </si>
  <si>
    <t>1219,5</t>
  </si>
  <si>
    <t>801-784-781-782-778-779-780-813-808-794-759-757-764-765-760-758-788-789-790-791-792-793-795-796-785-773-774-800-937-814-928-929-933-914-762-811-771-799</t>
  </si>
  <si>
    <t>ΠΑΠΑΔΟΠΟΥΛΟΥ</t>
  </si>
  <si>
    <t>ΔΕΣΠΟΙΝΑ</t>
  </si>
  <si>
    <t>Μ411802</t>
  </si>
  <si>
    <t>1068,1</t>
  </si>
  <si>
    <t>1218,1</t>
  </si>
  <si>
    <t>786-787-796-794-759-757-764-782-781-801-756-768-763-807-809-802-804</t>
  </si>
  <si>
    <t>ΧΑΤΖΗΝΙΚΟΥ</t>
  </si>
  <si>
    <t>ΑΖ265503</t>
  </si>
  <si>
    <t>862-801-844-784-821-822-823-824-848-849-850-851-852-853-854-855-856-857-858-859-757-758-759-760-761-785-786-787-788-789-790-791-792-793-794-795-796-820-828-825-826-827-829-845-846-847-871-872-764-765-815-870-778-779-780-781-782-835-836-837-838-839-840-841-842-773-774-783-800-808-813-819-875-768-769-770-799-830-843-753-754-755-756-818-831-834-861-865-771-772-775-776-777-802-803-805-817-833-863-864-873-874-876-877-878-751-752-762-763-810-811-812-816-867-879-766-767-797-798-806-807-809-832-860-868-869-866-804-814-936-937</t>
  </si>
  <si>
    <t>ΧΗΝΟΦΩΤΗ</t>
  </si>
  <si>
    <t>ΓΕΩΡΓΙΑ</t>
  </si>
  <si>
    <t>Τ887630</t>
  </si>
  <si>
    <t>1061,5</t>
  </si>
  <si>
    <t>1211,5</t>
  </si>
  <si>
    <t>772-753-754-755-756</t>
  </si>
  <si>
    <t>ΜΕΝΟΥΝΟΥ</t>
  </si>
  <si>
    <t>ΘΕΟΔΩΡΑ</t>
  </si>
  <si>
    <t>ΑΖ762357</t>
  </si>
  <si>
    <t>1060,4</t>
  </si>
  <si>
    <t>1210,4</t>
  </si>
  <si>
    <t>801-780-779-781-782-770-756-754-753-813-773-783-772-752-751-777-776-803-774-787-786-789-793-758-757-788-759-791-790-792-784-814-764-778-800-768-760-802-797-798-808-799-767</t>
  </si>
  <si>
    <t>ΞΕΦΤΕΡΗ</t>
  </si>
  <si>
    <t>ΕΥΑΓΓΕΛΙΑ</t>
  </si>
  <si>
    <t>ΑΑ247622</t>
  </si>
  <si>
    <t>1058,2</t>
  </si>
  <si>
    <t>1208,2</t>
  </si>
  <si>
    <t>779-778-780-781-782</t>
  </si>
  <si>
    <t>ΡΑΔΑΙΟΥ</t>
  </si>
  <si>
    <t>ΧΑΡΑΛΑΜΠΟΣ</t>
  </si>
  <si>
    <t>Ν529403</t>
  </si>
  <si>
    <t>1057,1</t>
  </si>
  <si>
    <t>1207,1</t>
  </si>
  <si>
    <t>772-753-754-755-756-757-758-759-760-761-751-752-762-763-764-765-766-767-768-769-770-771-812-773-774-775-776-777-778-779-780-781-782-783-784-785-786-787-788-789-790-791-805-808-800-811</t>
  </si>
  <si>
    <t>ΔΟΥΚΑ</t>
  </si>
  <si>
    <t>ΑΒ847307</t>
  </si>
  <si>
    <t>862-875-844-837-838-816-817-818-820-821-822-830-840-846-847-848-850-852-854-857-859-871-872-801-768-782-786-787-794-757</t>
  </si>
  <si>
    <t>ΔΡΑΚΟΣ</t>
  </si>
  <si>
    <t>ΘΕΟΦΑΝΗΣ</t>
  </si>
  <si>
    <t>ΑΒ714958</t>
  </si>
  <si>
    <t>781-780-779-778-782</t>
  </si>
  <si>
    <t>ΣΑΛΙΑΡΗ</t>
  </si>
  <si>
    <t>ΑΚ440738</t>
  </si>
  <si>
    <t>779-780-781-778-782-814-836-837-840-835-841-842-838-839</t>
  </si>
  <si>
    <t>ΤΣΑΙΡΗ</t>
  </si>
  <si>
    <t>ΣΤΑΥΡΟΥΛΑ</t>
  </si>
  <si>
    <t>Χ418496</t>
  </si>
  <si>
    <t>1054,9</t>
  </si>
  <si>
    <t>1204,9</t>
  </si>
  <si>
    <t>ΚΑΖΑΖΗ</t>
  </si>
  <si>
    <t>ΦΑΝΗ</t>
  </si>
  <si>
    <t>ΑΕ430825</t>
  </si>
  <si>
    <t>757-759-787-794-796-764-781-782-768-802-756-801-804-807-809</t>
  </si>
  <si>
    <t>ΤΣΕΓΝΕΣΙΔΟΥ</t>
  </si>
  <si>
    <t>ΑΗ185411</t>
  </si>
  <si>
    <t>1202,7</t>
  </si>
  <si>
    <t>840-838-839-842-837-841-836-835-781-782-780-779-778</t>
  </si>
  <si>
    <t>ΣΙΑΠΛΑΟΥΡΑ</t>
  </si>
  <si>
    <t>Σ013099</t>
  </si>
  <si>
    <t>1051,6</t>
  </si>
  <si>
    <t>1201,6</t>
  </si>
  <si>
    <t>796-794-795-786-787-791-792-788-789-790-757-764-765-760-785-759-758-793-770-753-754-756-755</t>
  </si>
  <si>
    <t>ΚΡΟΥΣΤΑΛΛΑΚΗ</t>
  </si>
  <si>
    <t>ΕΜΜΑΝΟΥΗΛ</t>
  </si>
  <si>
    <t>ΑΑ374290</t>
  </si>
  <si>
    <t>1020,8</t>
  </si>
  <si>
    <t>1200,8</t>
  </si>
  <si>
    <t>776-777-775-803-802</t>
  </si>
  <si>
    <t>ΤΣΑΚΝΑΚΗΣ</t>
  </si>
  <si>
    <t>ΜΙΧΑΗΛ</t>
  </si>
  <si>
    <t>ΑΙ293656</t>
  </si>
  <si>
    <t>1050,5</t>
  </si>
  <si>
    <t>1200,5</t>
  </si>
  <si>
    <t>801-784-781-778-782-780-779-813</t>
  </si>
  <si>
    <t>ΜΑΜΟΥΡΗ</t>
  </si>
  <si>
    <t>ΑΗ196248</t>
  </si>
  <si>
    <t>778-780-779-782-781</t>
  </si>
  <si>
    <t>ΛΥΓΟΥΡΑ</t>
  </si>
  <si>
    <t>ΚΩΝΣΤΑΝΤΙΝΙΑ</t>
  </si>
  <si>
    <t>ΑΒ100972</t>
  </si>
  <si>
    <t>801-781-782-768-756-794-764-786-787-796-759-757-802-862-844-875-837-836-840-838-835-842-841-854-858-859-821-856-846-847-850-848-857-822-824-823-826-828-852-853-815-827-870-871-872-816-818-830-861-876-839-843-825-829-855-817</t>
  </si>
  <si>
    <t>ΜΠΑΛΤΖΩΗ</t>
  </si>
  <si>
    <t>ΑΡΧΟΝΤΙΑ ΕΥΑΓΓΕΛΙΑ</t>
  </si>
  <si>
    <t>ΑΚ377673</t>
  </si>
  <si>
    <t>1048,3</t>
  </si>
  <si>
    <t>1198,3</t>
  </si>
  <si>
    <t>900-908-911-928-914-929-901-903-918-921-927-934-932-906-926-925-915-899-898-912-910-909-756-781-782-801-796-794-786-787-757-764-761-759-763-768-754-753-933-916-917-920-919</t>
  </si>
  <si>
    <t>ΠΟΥΛΙΑΝΟΥ</t>
  </si>
  <si>
    <t>ΗΡΑΚΛΗΣ</t>
  </si>
  <si>
    <t>Φ321969</t>
  </si>
  <si>
    <t>751-752-753-754-755-756-757-758-759-760-762-764-765-768-769-770-772-773-774-775-776-777-778-779-780-781-782-783-784-785-786-787-788-789-790-791-792-793-794-795-796-800-801-802-803-805-813-814-898-899-900-901-902-903-904-907-908-909-910-911-912-913-914-916-917-918-919-920-921-922-925-926-927-928-929-933-934-937-939-941-942</t>
  </si>
  <si>
    <t>ΚΑΚΟΥΡΗ</t>
  </si>
  <si>
    <t>ΟΛΥΜΠΙΑ</t>
  </si>
  <si>
    <t>ΕΥΣΤΑΘΙΟΣ</t>
  </si>
  <si>
    <t>Τ065704</t>
  </si>
  <si>
    <t>794-795-787-788-791-785-786-789-790-792-793-757-758-759-760-796</t>
  </si>
  <si>
    <t>ΑΘΑΝΑΣΟΠΟΥΛΟΥ</t>
  </si>
  <si>
    <t>ΑΠΟΣΤΟΛΟΣ</t>
  </si>
  <si>
    <t>Φ066347</t>
  </si>
  <si>
    <t>791-786-787-788-796-785-789-793-761-795-794-790-792-757-764-760-758-759-765</t>
  </si>
  <si>
    <t>ΠΑΝΑΓΟΥ</t>
  </si>
  <si>
    <t>ΦΩΤΙΟΣ</t>
  </si>
  <si>
    <t>Π198199</t>
  </si>
  <si>
    <t>801-796-794-787-786-757-759-764-782-781-768-756-763-807-809-804-802</t>
  </si>
  <si>
    <t>Χαρτιου</t>
  </si>
  <si>
    <t>Χρυσουλα</t>
  </si>
  <si>
    <t>Ιωαννης</t>
  </si>
  <si>
    <t>ΑΗ171274</t>
  </si>
  <si>
    <t>1013,1</t>
  </si>
  <si>
    <t>1193,1</t>
  </si>
  <si>
    <t>782-779-807-812-811-797-798</t>
  </si>
  <si>
    <t>ΓΡΗΓΟΡΙΑΔΟΥ</t>
  </si>
  <si>
    <t>ΧΡΥΣΑ</t>
  </si>
  <si>
    <t>ΑΕ920689</t>
  </si>
  <si>
    <t>1040,6</t>
  </si>
  <si>
    <t>1190,6</t>
  </si>
  <si>
    <t>767-809</t>
  </si>
  <si>
    <t>ΜΑΝΩΛΗ</t>
  </si>
  <si>
    <t>ΠΑΓΩΝΑ</t>
  </si>
  <si>
    <t>ΖΑΧΑΡΙΑΣ</t>
  </si>
  <si>
    <t>ΑΜ989383</t>
  </si>
  <si>
    <t>769-768-770-786-787-788-789-790-791-792-793-794-795-796</t>
  </si>
  <si>
    <t>ΜΑΝΤΖΑΝΑΡΗ</t>
  </si>
  <si>
    <t>ΑΓΓΕΛΙΚΗ</t>
  </si>
  <si>
    <t>ΑΗ681885</t>
  </si>
  <si>
    <t>1189,5</t>
  </si>
  <si>
    <t>ΛΑΜΠΡΟΠΟΥΛΟΥ</t>
  </si>
  <si>
    <t>ΑΝΔΡΙΑΝΑ</t>
  </si>
  <si>
    <t>ΑΒ354346</t>
  </si>
  <si>
    <t>1006,5</t>
  </si>
  <si>
    <t>1186,5</t>
  </si>
  <si>
    <t>782-780-779-778-781-814-937-762-773-774-799-800</t>
  </si>
  <si>
    <t>ΚΟΥΤΣΟΥΝΑΡΗ</t>
  </si>
  <si>
    <t>Χ206389</t>
  </si>
  <si>
    <t>1064,8</t>
  </si>
  <si>
    <t>1184,8</t>
  </si>
  <si>
    <t>757-758-759-760-764-785-786-787-789-790-791-792-794-795-796-788</t>
  </si>
  <si>
    <t>ΜΗΝΑ</t>
  </si>
  <si>
    <t>ΖΟΥΜΠΟΥΛΙΑ</t>
  </si>
  <si>
    <t>ΝΕΡΑΤΖΗΣ</t>
  </si>
  <si>
    <t>Σ489248</t>
  </si>
  <si>
    <t>ΚΥΡΙΑΚΙΔΟΥ</t>
  </si>
  <si>
    <t>ΟΛΓΑ</t>
  </si>
  <si>
    <t>ΑΒ454585</t>
  </si>
  <si>
    <t>781-782-763-807-809-756-757-768-787-794-804</t>
  </si>
  <si>
    <t>ΔΟΥΜΠΑ</t>
  </si>
  <si>
    <t>Χ726603</t>
  </si>
  <si>
    <t>963,6</t>
  </si>
  <si>
    <t>1183,6</t>
  </si>
  <si>
    <t>781-778-782-780-779</t>
  </si>
  <si>
    <t>ΛΙΑΚΟΠΟΥΛΟΥ</t>
  </si>
  <si>
    <t>ΔΗΜΗΤΡΑ</t>
  </si>
  <si>
    <t>Χ582683</t>
  </si>
  <si>
    <t>1083,5</t>
  </si>
  <si>
    <t>1183,5</t>
  </si>
  <si>
    <t>759-757-787-786-794-764-796-768</t>
  </si>
  <si>
    <t>ΓΕΩΡΓΑΚΗ</t>
  </si>
  <si>
    <t>ΕΛΠΙΔΑ</t>
  </si>
  <si>
    <t>ΘΕΟΦΥΛΑΚΤΟΣ</t>
  </si>
  <si>
    <t>Σ550379</t>
  </si>
  <si>
    <t>1031,8</t>
  </si>
  <si>
    <t>1181,8</t>
  </si>
  <si>
    <t>764-786-787-794-757-796-765-788-790-795-793-782-791-789-759-758-760-785</t>
  </si>
  <si>
    <t>ΠΕΤΡΑΚΟΥ</t>
  </si>
  <si>
    <t>ΑΑ46078</t>
  </si>
  <si>
    <t>1030,7</t>
  </si>
  <si>
    <t>1180,7</t>
  </si>
  <si>
    <t>836-837-840-841-835-842-838-839-780-781-782-778-779-773-774</t>
  </si>
  <si>
    <t>ΜΠΟΓΔΑΝΗ</t>
  </si>
  <si>
    <t>ΣΤΥΛΙΑΝΗ</t>
  </si>
  <si>
    <t>ΕΥΣΤΡΑΤΙΟΣ</t>
  </si>
  <si>
    <t>ΑΚ287272</t>
  </si>
  <si>
    <t>1029,6</t>
  </si>
  <si>
    <t>1179,6</t>
  </si>
  <si>
    <t>781-782-779-780-778-838-841-840-835-837-836-839-842-814-783-937-807-809-811-799-767-766</t>
  </si>
  <si>
    <t>ΔΕΚΛΙΩΜΗ</t>
  </si>
  <si>
    <t>ΧΡΥΣΗ</t>
  </si>
  <si>
    <t>ΣΥΜΕΩΝ</t>
  </si>
  <si>
    <t>ΑΕ205110</t>
  </si>
  <si>
    <t>1024,1</t>
  </si>
  <si>
    <t>1174,1</t>
  </si>
  <si>
    <t>779-809-756-757-759-768-764-781-782-794-796-786-787-802-937-751-752-753-754-755-758-760-765-769-770-772-773-774-775-776-777-778-780-783-784-785-789-790-791-792-793-795-803-805-813-814-811</t>
  </si>
  <si>
    <t>ΛΑΣΚΑΡΙΔΟΥ</t>
  </si>
  <si>
    <t>ΑΣΠΑΣΙΑ</t>
  </si>
  <si>
    <t>ΑΖ927111</t>
  </si>
  <si>
    <t>781-780-778-779-782-783-801-791-786-787-759-793-785-758-757-794-795-796-765-764-760-789-790-788-792-784-770-814-813-773-774-800-754-755-756-752-751-753-772-805-769-768-776-777-775-802-803-804-807-763-767-762-810-811-809-808-799-771-766-806-798-797-812</t>
  </si>
  <si>
    <t>ΠΕΤΚΕΛΗ</t>
  </si>
  <si>
    <t>ΕΜΜΑΝΟΥΕΛΑ</t>
  </si>
  <si>
    <t>ΕΛΕΥΘΕΡΙΟΣ</t>
  </si>
  <si>
    <t>ΑΝ225788</t>
  </si>
  <si>
    <t>778-781-782-779-780-814-775-776-777-802-803-783-806-797-798-799-811-812-804-805-801-751-752-773-774-800-772-768-769-770-757-758-759-754-755-756-753-771-760-761-764-765-785-786-787-788-789-790-791-792-793-794-795-796-813-936-784-810-809-808-807</t>
  </si>
  <si>
    <t>ΒΕΝΕΤΗΣ</t>
  </si>
  <si>
    <t>ΔΟΝΑΤΟΣ</t>
  </si>
  <si>
    <t>ΑΒ282107</t>
  </si>
  <si>
    <t>815-854-846-828-858-850-822-853-826-848-857-829-859-852-855-856-827-851-847-821-823-845-849-824-820-825-794-796-790-788-791-787-786-793-795-785-789-759-757-758-760</t>
  </si>
  <si>
    <t>ΓΕΩΡΓΙΤΣΑ</t>
  </si>
  <si>
    <t>Σ341149</t>
  </si>
  <si>
    <t>760-758-757-756-755-754-764-765-768-769-751-752-753-778-779-780-781-782-783-770-772-773-774-775-776-777-802-803-805-813-814-786-787-788-789-790-801-800-796-795-794-793-792-791-759-784-785</t>
  </si>
  <si>
    <t>ΜΠΟΥΡΗ</t>
  </si>
  <si>
    <t>ΕΛΠΙΔΑ ΙΩΑΝΝΑ</t>
  </si>
  <si>
    <t>ΣΠΥΡΙΔΩΝ ΑΙΜΙΛΙΟΣ</t>
  </si>
  <si>
    <t>ΑΗ241143</t>
  </si>
  <si>
    <t>779-781-782-780-778-808-773-799-811-774-800-814-791-792-793-794-795-796-790-789-788-787-786-761-764-765-757-758-759-760-763-762-801-783</t>
  </si>
  <si>
    <t>ΜΙΧΑΗΛΙΔΟΥ</t>
  </si>
  <si>
    <t>ΒΑΣΙΛΕΙΟΣ</t>
  </si>
  <si>
    <t>ΑΒ906855</t>
  </si>
  <si>
    <t>1017,5</t>
  </si>
  <si>
    <t>1167,5</t>
  </si>
  <si>
    <t>809-767-807-780-779-781-782-778-869-837-836-841-840-838-835-842</t>
  </si>
  <si>
    <t>ΚΑΜΠΑΡΜΑΚΗ</t>
  </si>
  <si>
    <t>ΑΝΝΑ</t>
  </si>
  <si>
    <t>ΣΩΤΗΡΙΟΣ</t>
  </si>
  <si>
    <t>ΑΜ677847</t>
  </si>
  <si>
    <t>781-779-780-778-782-811-799-773-774-762-763-783-801-808-807-814-809-767-766-768-769-770-784-800-760-758-759-764-765-785-786-787-788-789-790-791-792-793-794-795-796-757-775-776-777-797-798-802-803-804-806-810-812-754-755-756-753-772-805-751-752-771-813-936</t>
  </si>
  <si>
    <t>ΚΩΝΣΤΑΝΤΙΝΟΥ</t>
  </si>
  <si>
    <t>ΠΗΝΕΛΟΠΗ</t>
  </si>
  <si>
    <t>Τ919644</t>
  </si>
  <si>
    <t>781-782-763-807-809-751-756-757-759-764-768-786-787-794-796-802-804-813-752-753-754-755-812-811-758-760-761-762-810-765-766-767-808-769-770-771-776-772-773-774-775-777-778-779-780-806-783-784-785-788-814-797-798</t>
  </si>
  <si>
    <t>ΓΙΟΥΡΟΥΚΟΥ</t>
  </si>
  <si>
    <t>Χ287937</t>
  </si>
  <si>
    <t>751-752-753-754-755-756-757-758-759-760-761-762-763-764-765-766-767-768-769-770-771-772-773-774-775-776-777-778-779-780-781-782-783-784-785-786-787-788-789-790-791-792-793-794-795-796-797-798-799-800-801-802-803-804-805-806-807-808-809-810-811-812-813-814-936-937</t>
  </si>
  <si>
    <t>ΓΕΡΑΚΟΠΟΥΛΟΥ</t>
  </si>
  <si>
    <t>ΔΙΟΝΥΣΙΑ</t>
  </si>
  <si>
    <t>ΑΖ593136</t>
  </si>
  <si>
    <t>1165,6</t>
  </si>
  <si>
    <t>759-757-794-786-787-796-764</t>
  </si>
  <si>
    <t>ΓΚΑΤΖΟΥΝΗ</t>
  </si>
  <si>
    <t>ΑΖ526733</t>
  </si>
  <si>
    <t>1084,6</t>
  </si>
  <si>
    <t>1164,6</t>
  </si>
  <si>
    <t>794-796-786-787-795-788-791-785-789-793-790-792-757-758-759-760</t>
  </si>
  <si>
    <t>ΜΙΧΑΛΑΚΟΓΛΟΥ</t>
  </si>
  <si>
    <t>ΑΡΓΥΡΩ</t>
  </si>
  <si>
    <t>Τ218783</t>
  </si>
  <si>
    <t>984,5</t>
  </si>
  <si>
    <t>1164,5</t>
  </si>
  <si>
    <t>781-782-838-842-841-840-835-837-836-839-801-862-787-786-794-764-759-757-796-855-828-846-822-850-854-815-826-858-853-852-856-857-847-848-825-821-823-824-859-871-870-872-827-829-843-844-875-756-768-830-816-817-818-861-802-876</t>
  </si>
  <si>
    <t>ΜΠΟΥΓΑΤΣΑ</t>
  </si>
  <si>
    <t>ΑΙ913197</t>
  </si>
  <si>
    <t>1163,1</t>
  </si>
  <si>
    <t>936-804-879-815-822-826-871-828-838-840-841-837-850-854-858</t>
  </si>
  <si>
    <t>ΠΑΠΑΔΟΠΟΥΛΟΣ</t>
  </si>
  <si>
    <t>ΚΑΜΑΛ ΘΩΜΑΣ</t>
  </si>
  <si>
    <t>ΑΚ894194</t>
  </si>
  <si>
    <t>836-841-842-840-838-839-835-837-779-782-781-778-780-799-811-808</t>
  </si>
  <si>
    <t>ΑΖ684403</t>
  </si>
  <si>
    <t>982,3</t>
  </si>
  <si>
    <t>1162,3</t>
  </si>
  <si>
    <t>773-774-781-782-779-780-778-808-800-814-762</t>
  </si>
  <si>
    <t>ΧΑΡΙΤΟΥ</t>
  </si>
  <si>
    <t>ΑΕ252092</t>
  </si>
  <si>
    <t>1010,9</t>
  </si>
  <si>
    <t>1160,9</t>
  </si>
  <si>
    <t>751-752-764-786-805</t>
  </si>
  <si>
    <t>ΠΑΠΑΝΑΣΤΑΣΙΟΥ</t>
  </si>
  <si>
    <t>Φ335371</t>
  </si>
  <si>
    <t>1007,6</t>
  </si>
  <si>
    <t>1157,6</t>
  </si>
  <si>
    <t>784-801-762-813-782-781-780-779-778-773-774-785-786-787-788-789-790-791-792-793-794-795-796-764-765-761-760-759-758-757-814-937-768-769-770-771-800-811-752-756-755-754-753-797-799-783-805-772-763-751-806-812-807-767-766-803-802-777-776-775-808-809-798-810-804-936</t>
  </si>
  <si>
    <t>ΤΡΙΑΝΤΑΦΥΛΛΟΥ</t>
  </si>
  <si>
    <t>ΘΕΟΔΟΣΙΟΣ</t>
  </si>
  <si>
    <t>ΑΚ717251</t>
  </si>
  <si>
    <t>794-761-796-770-757-791-795-752-751-764-754-784-786-787-765-758-759-801-771</t>
  </si>
  <si>
    <t>ΔΕΛΛΑ</t>
  </si>
  <si>
    <t>ΑΜ653272</t>
  </si>
  <si>
    <t>1156,5</t>
  </si>
  <si>
    <t>782-781-780</t>
  </si>
  <si>
    <t>ΣΤΑΥΡΙΔΟΥ</t>
  </si>
  <si>
    <t>ΑΑ275122</t>
  </si>
  <si>
    <t>1155,7</t>
  </si>
  <si>
    <t>800-801-781-782</t>
  </si>
  <si>
    <t>ΔΗΜΑΚΟΠΟΥΛΟΥ</t>
  </si>
  <si>
    <t>ΜΑΡΘΑ</t>
  </si>
  <si>
    <t>ΑΜ746422</t>
  </si>
  <si>
    <t>974,6</t>
  </si>
  <si>
    <t>1154,6</t>
  </si>
  <si>
    <t>ΠΑΠΑΚΩΣΤΑ</t>
  </si>
  <si>
    <t>ΛΑΜΠΡΙΝΗ</t>
  </si>
  <si>
    <t>Ρ440706</t>
  </si>
  <si>
    <t>1004,3</t>
  </si>
  <si>
    <t>1154,3</t>
  </si>
  <si>
    <t>766-809-767-808-762-784-798-801-807-927-906-928-933-932-931-913-914-905</t>
  </si>
  <si>
    <t>ΔΑΓΡΕ</t>
  </si>
  <si>
    <t>ΕΥΘΑΛΙΑ</t>
  </si>
  <si>
    <t>ΑΜ776673</t>
  </si>
  <si>
    <t>751-752-764-765-759-761-760-757-758-786-787-788-789-790-791-792-793-785-794-795-796-805-753-754-755-756-772-781-782-780-778-779-784-801-800-813-814</t>
  </si>
  <si>
    <t>ΚΩΛΕΤΣΗ</t>
  </si>
  <si>
    <t>ΑΝΤΩΝΙΟΣ</t>
  </si>
  <si>
    <t>ΑΗ740276</t>
  </si>
  <si>
    <t>882-889-890-891-883-884-888-894-810-801-794-782-764-759-757-796-795-760-765-785-784-788-789-790-792-793-778-781-780-787-791-770-767-763-808-841-828-838-840-835-842-854-870-871-826-837-850-853-847-858-862-848-822-829-872-857-843-852-856-824-823-827-825-855-820-845-849-851-834-869</t>
  </si>
  <si>
    <t>ΜΠΟΥΡΙΝΑΡΗ</t>
  </si>
  <si>
    <t>ΑΛΕΞΑΝΔΡΑ</t>
  </si>
  <si>
    <t>ΑΗ298354</t>
  </si>
  <si>
    <t>756-757-759-763-764-768-781-782-786-787-794-796-801-802-804-807-809-815-816-817-818-821-822-823-824-825-826-828-829-830-831-835-836-837-838-839-840-841-842-843-844-846-847-848-850-852-853-854-855-856-857-858-859-861-862-869-870-871-872-875-876</t>
  </si>
  <si>
    <t>ΓΙΟΥΒΑΝΟΥΔΗΣ</t>
  </si>
  <si>
    <t>Χ769934</t>
  </si>
  <si>
    <t>841-838-840-842-835-837-839-836-862-781-782-801-763-780-778-779-774-773-808-814-811</t>
  </si>
  <si>
    <t>ΚΙΟΥΤΣΟΥΚΟΥΣΤΑ</t>
  </si>
  <si>
    <t>ΑΗ423754</t>
  </si>
  <si>
    <t>970,2</t>
  </si>
  <si>
    <t>1150,2</t>
  </si>
  <si>
    <t>783-778-779-780-781-782-814-801-773-774-800-784-813-768-769-770-757-758-759-760-764-765-785-786-787-788-789-790-791-792-793-794-795-796-753-754-755-756-751-752-772-805-775-776-777-802-803-762-763-766-767-804-807-808-809-810-811-771-799-797-798-806-812-936-937-761</t>
  </si>
  <si>
    <t>ΠΕΤΡΟΠΟΥΛΟΥ</t>
  </si>
  <si>
    <t>ΑΕ581725</t>
  </si>
  <si>
    <t>794-796-787-786-759-757-890-889-891-888-882-758-785-788-789-790-791-792-793-795</t>
  </si>
  <si>
    <t>ΙΩΣΗΦ</t>
  </si>
  <si>
    <t>ΑΕ678193</t>
  </si>
  <si>
    <t>1090,1</t>
  </si>
  <si>
    <t>1150,1</t>
  </si>
  <si>
    <t>782-780-779-781-778</t>
  </si>
  <si>
    <t>ΓΕΩΡΓΙΑΔΟΥ</t>
  </si>
  <si>
    <t>ΣΟΥΛΤΑΝΑ</t>
  </si>
  <si>
    <t>ΠΕΤΡΟΣ</t>
  </si>
  <si>
    <t>Χ265227</t>
  </si>
  <si>
    <t>ΔΙΑΜΑΝΤΟΥΛΗ</t>
  </si>
  <si>
    <t>Χ501048</t>
  </si>
  <si>
    <t>757-758-759-760-761</t>
  </si>
  <si>
    <t>ΚΟΝΔΥΛΗ</t>
  </si>
  <si>
    <t>ΑΗ076718</t>
  </si>
  <si>
    <t>785-786-787-788-789-790-791-792-793-794-795-796-764-765-757-758-759-760</t>
  </si>
  <si>
    <t>ΠΑΡΑΣΙΔΟΥ</t>
  </si>
  <si>
    <t>Τ097174</t>
  </si>
  <si>
    <t>998,8</t>
  </si>
  <si>
    <t>1148,8</t>
  </si>
  <si>
    <t>787-786-796-757-785-788-789-791-792-793-794-795-765-764-758-760-759-790</t>
  </si>
  <si>
    <t>ΤΡΙΑΝΤΗ</t>
  </si>
  <si>
    <t>ΜΑΡΓΑΡΙΤΑ-ΝΤΟΜΙΝΙΚΑ</t>
  </si>
  <si>
    <t>ΑΕ673882</t>
  </si>
  <si>
    <t>1145,6</t>
  </si>
  <si>
    <t>778-779-780-781-782</t>
  </si>
  <si>
    <t>ΚΙΟΥΠΤΣΗ</t>
  </si>
  <si>
    <t>ΑΚ885037</t>
  </si>
  <si>
    <t>1144,6</t>
  </si>
  <si>
    <t>811-799-780-781-782</t>
  </si>
  <si>
    <t>ΣΑΡΑΛΙΩΤΗ</t>
  </si>
  <si>
    <t>Π829865</t>
  </si>
  <si>
    <t>994,4</t>
  </si>
  <si>
    <t>1144,4</t>
  </si>
  <si>
    <t>801-756-768-781-782-794-786-787-764-757-759-763-802-807-809-813-814-811-808-805-803-800-797-799-795-796-783-784-785-788-789-790-791-792-793-778-779-780-777-776-775-760-761-762-765-766-767-769-770-771-772-773-774-751-752-753-754-755-758-798-804-810-812-806</t>
  </si>
  <si>
    <t>ΚΟΥΡΛΙΑΦΤΟΥ</t>
  </si>
  <si>
    <t>ΦΩΤΕΙΝΗ</t>
  </si>
  <si>
    <t>ΑΚΙΝΔΥΝΟΣ</t>
  </si>
  <si>
    <t>ΑΒ585186</t>
  </si>
  <si>
    <t>1080,2</t>
  </si>
  <si>
    <t>1140,2</t>
  </si>
  <si>
    <t>804-936</t>
  </si>
  <si>
    <t>ΚΑΤΕΒΑΤΗ</t>
  </si>
  <si>
    <t>Φ016851</t>
  </si>
  <si>
    <t>791-786-787-785-788-789-790-792-793-758-759-796-760-794-795-757-764-765</t>
  </si>
  <si>
    <t>ΚΑΝΤΖΑ</t>
  </si>
  <si>
    <t>ΑΓΑΠΗ</t>
  </si>
  <si>
    <t>Χ232629</t>
  </si>
  <si>
    <t>795-794-796-791-787-786-785-788-789-790-793-792-757-758-759-760-761-764-765-782-779-780-781-778-771</t>
  </si>
  <si>
    <t>ΣΑΠΟΥΝΑ</t>
  </si>
  <si>
    <t>ΑΚ315946</t>
  </si>
  <si>
    <t>782-781-801-763-807-809-768-794-786-787-759-764-796-756-757-802</t>
  </si>
  <si>
    <t>ΓΙΟΥΡΤΑΓΙΕΒΑ</t>
  </si>
  <si>
    <t>ΓΙΑΝΤΒΙΓΚΑ</t>
  </si>
  <si>
    <t>ΒΙΚΤΩΡ</t>
  </si>
  <si>
    <t>ΑΙ511487</t>
  </si>
  <si>
    <t>764-794-765-759-757-758-796-795-792-791-786-787-785-789-790-788-793-760-768-769-770-801-813-752-751-777-776-775-780-782-781-779-778-814-802</t>
  </si>
  <si>
    <t>ΚΑΤΗΦΟΡΗ</t>
  </si>
  <si>
    <t>ΑΓΛΑΙΑ</t>
  </si>
  <si>
    <t>ΑΜ135282</t>
  </si>
  <si>
    <t>791-788-786-787-790-789-795-794-796-792-793-758-757-760-761-759-785-764-765-768-769-770-754-755-756-751-752-753-805-772-771-813-801-784-778-779-780-781-782-814-800-773-774-812-810-806-804-799-783-762-811-775-776-777-802-803-763-807-808-809</t>
  </si>
  <si>
    <t>ΚΟΥΤΣΟΛΑΜΠΡΟΥ</t>
  </si>
  <si>
    <t>ΠΑΡΑΣΚΕΥΗ</t>
  </si>
  <si>
    <t>ΑΒ017678</t>
  </si>
  <si>
    <t>803-802-781-782-768-786-787-756-757-759-796-794-764-763-807-804-833-876-877-863-864-818-819-875-815-823-848-820-852-859-856-854-830</t>
  </si>
  <si>
    <t>ΜΠΟΥΡΟΓΙΑΝΝΟΠΟΥΛΟΥ</t>
  </si>
  <si>
    <t>ΑΝΤΩΝΙΑ</t>
  </si>
  <si>
    <t>ΠΑΝΑΓΙΩΤΗΣ</t>
  </si>
  <si>
    <t>Ρ306701</t>
  </si>
  <si>
    <t>772-805-756-759-764-786-787-794-796-801-755-754-753-751-752-757-758-760-765-785-788-789-790-791-795-793-792-770-768-769-813-771-781-782-802-803-784-778-779-780-783-800-762-775-763</t>
  </si>
  <si>
    <t>ΚΩΝΣΤΑΝΤΙΝΕΑ</t>
  </si>
  <si>
    <t>ΑΗ572933</t>
  </si>
  <si>
    <t>785-789-787-786-788-794-795-791-793-790-796-792-757-759-758-760-764-765-805-780-779-778-781-782-752-801-773-774-783-754-755-756-753-751-772-813-768-769-770-775-776-777-802-803-814-784-800-845-851-846-847-858-859-848-853-857-850-854-852-849-855-856-820-823-822-821-824-828-826-827-870-871-872-815-825-829-816-817-818-841-838-840-835-837-842-836-839-843-862-875-865-861-876-877-833-863-819-830-844</t>
  </si>
  <si>
    <t>ΧΑΤΖΗΚΥΡΙΑΚΟΥ</t>
  </si>
  <si>
    <t>EΛΕΥΘΕΡΙΑ</t>
  </si>
  <si>
    <t>ΑΖ644525</t>
  </si>
  <si>
    <t>781-782-779-778-780-814-811-773-774-801</t>
  </si>
  <si>
    <t>ΜΠΟΥΜΠΟΥΝΑΡΑ</t>
  </si>
  <si>
    <t>Π936793</t>
  </si>
  <si>
    <t>ΛΟΥΛΕ</t>
  </si>
  <si>
    <t>ΚΑΤΕΡΙΝΑ</t>
  </si>
  <si>
    <t>ΑΓΗΣΙΛΑΟΣ</t>
  </si>
  <si>
    <t>ΑΜ364451</t>
  </si>
  <si>
    <t>801-784-778-779-780-781-782-783-770-814-757-759-764-787-794-756-777</t>
  </si>
  <si>
    <t>ΚΟΥΤΣΙΑΡΗ</t>
  </si>
  <si>
    <t>ΣΤΑΜΑΤΙΑ</t>
  </si>
  <si>
    <t>Π210912</t>
  </si>
  <si>
    <t>985,6</t>
  </si>
  <si>
    <t>1135,6</t>
  </si>
  <si>
    <t>801-862-778-779-780-781-782-835-836-837-838-839-840-841-842</t>
  </si>
  <si>
    <t>ΤΖΑΓΚΑ</t>
  </si>
  <si>
    <t xml:space="preserve">ΑΘΑΝΑΣΙΑ </t>
  </si>
  <si>
    <t>Τ294200</t>
  </si>
  <si>
    <t>778-779-780-781-782-814-773-774-762-763-777-776-775-783-800-810-812-804-803-802-811-808-806-801-799-798-797-805-807-809-813-784-768-769-770-771-772-766-767-751-752-753-754-755-756-757-758-759-760-764-765-785-786-787-788-789-790-791-792-793-794-795-796</t>
  </si>
  <si>
    <t>ΚΑΛΥΒΑ</t>
  </si>
  <si>
    <t>ΔΙΟΝΥΣΙΟΣ</t>
  </si>
  <si>
    <t>ΑΗ031756</t>
  </si>
  <si>
    <t>954,8</t>
  </si>
  <si>
    <t>1134,8</t>
  </si>
  <si>
    <t>805-772-793-785-787-794-786-791-790-789-788-792-796-764-765-759-760-757-758-753-754-755-756-751-752-801-781-782-778-779-780-775-776-777-768-769-770-774-773-762-798-784-813-814-783-800-807-806-804-808-809-810-811-812-797-771-763-766-767-761-799-937-936</t>
  </si>
  <si>
    <t>ΒΑΓΓΑΛΗΣ</t>
  </si>
  <si>
    <t>Π685230</t>
  </si>
  <si>
    <t>1062,6</t>
  </si>
  <si>
    <t>1132,6</t>
  </si>
  <si>
    <t>757-758-759-760-761-764-765-786-787-788-789-790-791-792-793-794-795-796</t>
  </si>
  <si>
    <t>ΑΝΔΡΕΑΔΑΚΗ</t>
  </si>
  <si>
    <t>ΑΘΗΝΑ</t>
  </si>
  <si>
    <t>ΚΑΡΥΟΦΙΛΛΗΣ</t>
  </si>
  <si>
    <t>Σ519360</t>
  </si>
  <si>
    <t>1132,3</t>
  </si>
  <si>
    <t>757-758-759-760-761-764-766-767-768-769-770-783-785-786-787-788-789-790-791-792-793-794-795-796-807-809</t>
  </si>
  <si>
    <t>ΕΜΜΑΝΟΥΗΛΙΔΟΥ</t>
  </si>
  <si>
    <t>ΑΝΤΙΓΟΝΗ</t>
  </si>
  <si>
    <t>Π863265</t>
  </si>
  <si>
    <t>781-782-801-779-780-778-783-808-773-774-814-763-800-799-811-762</t>
  </si>
  <si>
    <t>ΜΕΛΛΙΟΥ</t>
  </si>
  <si>
    <t>ΘΩΜΑΣ</t>
  </si>
  <si>
    <t>ΑΑ258692</t>
  </si>
  <si>
    <t>ΤΡΑΚΗ</t>
  </si>
  <si>
    <t>ΘΕΟΦΑΝΙΑ</t>
  </si>
  <si>
    <t>Χ750695</t>
  </si>
  <si>
    <t>780-779-781-778-782</t>
  </si>
  <si>
    <t>ΠΑΝΟΥΣΗ</t>
  </si>
  <si>
    <t>ΚΑΛΛΙΟΠΗ</t>
  </si>
  <si>
    <t>ΑΕ852331</t>
  </si>
  <si>
    <t>774-773-800-762-779-778-780-781-782</t>
  </si>
  <si>
    <t>ΚΑΡΚΕΛΗ</t>
  </si>
  <si>
    <t>ΑΜ279224</t>
  </si>
  <si>
    <t>781-782-780-778-773-774-814-800-801-813-784-768-769-757-759-764-786-787-765-794-796-785-788-789-791-792-793-937</t>
  </si>
  <si>
    <t>ΑΛΑΦΟΥΖΟΣ</t>
  </si>
  <si>
    <t>Χ110732</t>
  </si>
  <si>
    <t>757-758-759-760-764-765-785-786-787-788-789-790-791-792-793-794-795-796-812</t>
  </si>
  <si>
    <t>ΤΣΟΥΚΝΑΔΗ</t>
  </si>
  <si>
    <t xml:space="preserve">ΠΑΝΩΡΑΙΑ </t>
  </si>
  <si>
    <t>ΙΩΑΚΕΙΜ</t>
  </si>
  <si>
    <t>ΑΖ417700</t>
  </si>
  <si>
    <t>767-809-807-782-778-781-780-779-783-766-777-776-757-760-758-759-794-795-793-790-791-785-792-788-789-787-786-796-814-811-770-801-773-764-765-763-808-752-751-799-755-754-756-753-797-805-803-802-774-784-813-772-775-762-800-771-804-812-810-798-806-768-769</t>
  </si>
  <si>
    <t>ΣΙΜΟΥ</t>
  </si>
  <si>
    <t>ΒΑΓΙΟΥΛΑ</t>
  </si>
  <si>
    <t>ΑΕ279183</t>
  </si>
  <si>
    <t>801-768-794-761-813-814</t>
  </si>
  <si>
    <t>ΔΙΑΦΑ-ΖΗΣΟΠΟΥΛΟΥ</t>
  </si>
  <si>
    <t>ΑΗ674443</t>
  </si>
  <si>
    <t>782-781-778-780-779-814-773-774-800-799-801-763</t>
  </si>
  <si>
    <t>ΑΓΓΕΛΙΔΟΥ</t>
  </si>
  <si>
    <t>ΑΕ644361</t>
  </si>
  <si>
    <t>ΜΠΑΛΑΟΥΡΑ</t>
  </si>
  <si>
    <t>ΣΠΥΡΙΔΟΥΛΑ</t>
  </si>
  <si>
    <t>ΘΕΟΔΩΡΟΣ</t>
  </si>
  <si>
    <t>ΑΖ477377</t>
  </si>
  <si>
    <t>809-781-782-802-756-801-768-757-759-764-786-787-794-796-812-803-813-778-779-780-775-783-806-810-776-777-763-807-804-751-752-753-754-755-758-760-762-765-766-767-769-770-771-772-773-774-784-785-788-789-790-791-792-793-795-797-798-799-800-805-808-811-814-936</t>
  </si>
  <si>
    <t>ΜΙΧΟΥ</t>
  </si>
  <si>
    <t>ΤΡΙΑΔΑ</t>
  </si>
  <si>
    <t>ΑΙ244707</t>
  </si>
  <si>
    <t>752-751-805-772-753-756-754-755-765-764-757-786-787-788-795-796-789-790-792-793-794-785-758-759-760-791-779-778-782-781-780-801-813-802-803-775-776-777-768-769-770-773-774-783-784-800-814-804-797-771-810-812-806-808-809-811-807-798-799-762-763-766-767</t>
  </si>
  <si>
    <t>ΚΡΙΠΙΝΤΙΡΗ</t>
  </si>
  <si>
    <t>ΥΠΕΡΟΧΗ</t>
  </si>
  <si>
    <t>Ν913473</t>
  </si>
  <si>
    <t>ΑΝΔΡΕΟΠΟΥΛΟΣ</t>
  </si>
  <si>
    <t>ΑΗ719857</t>
  </si>
  <si>
    <t>753-754-755-756-751-752-757-758-759-760-765-764-768-769-770-785-786-787-788-789-790-791-792-793-794-795-796-772-773-774-775-776-777-778-779-780-781-782-783-784-799-800-801-802-803-805-804-806-807-808-809-810-811-812-813-814-898-899-900-934-927-901-902-903-904-916-917-918-919-920-921-922-907-908-909-910-911-912-914-915-913-923-924-925-926-928-929-933-930-931-932-935</t>
  </si>
  <si>
    <t>ΜΗΣΟΥΡΑ</t>
  </si>
  <si>
    <t>ΑΜ167264</t>
  </si>
  <si>
    <t>757-759-764-786-787-794-796</t>
  </si>
  <si>
    <t>ΓΚΟΥΖΟΥ</t>
  </si>
  <si>
    <t>Σ094065</t>
  </si>
  <si>
    <t>1096,7</t>
  </si>
  <si>
    <t>1126,7</t>
  </si>
  <si>
    <t>760-758-759-757-764-765-792-785-786-787-788-789-790-791-793-794-795-796</t>
  </si>
  <si>
    <t>ΔΑΓΚΑ</t>
  </si>
  <si>
    <t>ΦΛΑΒΙΑ</t>
  </si>
  <si>
    <t>ΒΑΣΙΛΗΣ</t>
  </si>
  <si>
    <t>ΑΗ070195</t>
  </si>
  <si>
    <t>786-787-794-796-758-759-764-792-791-760-761-789-790-793-795-765-785-757</t>
  </si>
  <si>
    <t>ΠΡΕΝΤΖΑ</t>
  </si>
  <si>
    <t>ΑΝΘΟΥΛΑ</t>
  </si>
  <si>
    <t>ΑΙ598157</t>
  </si>
  <si>
    <t>1125,6</t>
  </si>
  <si>
    <t>757-758-759-760-761-785-788-789-790-791-792-793-794-795</t>
  </si>
  <si>
    <t>ΕΥΔΑΙΜΩΝ</t>
  </si>
  <si>
    <t>ΚΥΡΙΑΚΗ</t>
  </si>
  <si>
    <t>ΣΤΑΥΡΟΣ</t>
  </si>
  <si>
    <t>ΑΒ551226</t>
  </si>
  <si>
    <t>1124,5</t>
  </si>
  <si>
    <t>786-787-757-794-796-764-759</t>
  </si>
  <si>
    <t>ΤΟΠΑΛΗ</t>
  </si>
  <si>
    <t>ΑΗ769413</t>
  </si>
  <si>
    <t>801-781-782-768-764-759-757-786-787-794-796-756-763-807-809-802-804</t>
  </si>
  <si>
    <t xml:space="preserve">Αθανασοπούλου </t>
  </si>
  <si>
    <t xml:space="preserve">Μαρία </t>
  </si>
  <si>
    <t xml:space="preserve">Νικόλαος </t>
  </si>
  <si>
    <t>ΑΕ260920</t>
  </si>
  <si>
    <t>757-758-759-760-786-785-787-791-792-793-794-795-796</t>
  </si>
  <si>
    <t>ΔΗΜΟΥΛΑ</t>
  </si>
  <si>
    <t>ΑΚ410057</t>
  </si>
  <si>
    <t>1122,5</t>
  </si>
  <si>
    <t>756-765-754-753-775-803-802-777-752-797-806-814-772-758-778-779-780-781-782-768-769-770-771-774-801-798-773-796-810-812-784-783-807-785-786-787-788-789-790-791-792-793-794-795-808-809-813-799-800-804</t>
  </si>
  <si>
    <t>ΚΑΡΑΠΛΙΟΥ</t>
  </si>
  <si>
    <t>ΑΕ478080</t>
  </si>
  <si>
    <t>1122,3</t>
  </si>
  <si>
    <t>ΚΟΥΛΕΡΙΔΟΥ</t>
  </si>
  <si>
    <t>ΛΟΥΚΙΑ</t>
  </si>
  <si>
    <t>ΙΟΡΔΑΝΗΣ</t>
  </si>
  <si>
    <t>ΑΒ887496</t>
  </si>
  <si>
    <t>921,8</t>
  </si>
  <si>
    <t>1121,8</t>
  </si>
  <si>
    <t>778-779-780-781-782-763-811-783</t>
  </si>
  <si>
    <t>ΘΩΜΑΖΟΥ</t>
  </si>
  <si>
    <t>ΑΜ252276</t>
  </si>
  <si>
    <t>1091,2</t>
  </si>
  <si>
    <t>1121,2</t>
  </si>
  <si>
    <t>779-780-778-782-781-799-811-814</t>
  </si>
  <si>
    <t>ΨΥΡΟΥΚΗ</t>
  </si>
  <si>
    <t>ΑΒ065920</t>
  </si>
  <si>
    <t>786-794-759-757-787-764-796</t>
  </si>
  <si>
    <t>Ζιάκα</t>
  </si>
  <si>
    <t>Μαριάνθη</t>
  </si>
  <si>
    <t>ΓΕΏΡΓΙΟΣ</t>
  </si>
  <si>
    <t>ΑΜ267502</t>
  </si>
  <si>
    <t>778-779-780-781-782-799</t>
  </si>
  <si>
    <t>ΟΡΕΛΗ</t>
  </si>
  <si>
    <t>ΕΥΤΕΡΠΗ</t>
  </si>
  <si>
    <t>ΧΑΡΙΛΑΟΣ</t>
  </si>
  <si>
    <t>Τ096346</t>
  </si>
  <si>
    <t>757-758-759-760-764-765-785-786-787-790-791-792-793-794-795-796</t>
  </si>
  <si>
    <t>ΧΡΙΣΤΟΦΟΡΙΔΟΥ</t>
  </si>
  <si>
    <t>ΜΕΛΠΟΜΕΝΗ</t>
  </si>
  <si>
    <t>Ρ204930</t>
  </si>
  <si>
    <t>779-780-782-781-778-808-799-773-814-774-811-800-783-762</t>
  </si>
  <si>
    <t>ΝΑΣΤΟΥ</t>
  </si>
  <si>
    <t>ΑΛΕΞΑΝΔΡΟΣ</t>
  </si>
  <si>
    <t>Χ363308</t>
  </si>
  <si>
    <t>768-801-794-761-762-773-774-778-779-780-781-782-769-770-797-798-800-814-813-753-754-755-756-771-775-776-777-751-752-806-757-758-759-760-802-803-805-784-785-786-787-788-789-790-791-792-793-795-796-807-808-811-812-799-772-764-763-783-810-809-765-766-767-804</t>
  </si>
  <si>
    <t>ΒΑΡΒΕΡΗ</t>
  </si>
  <si>
    <t>ΒΙΚΤΩΡΙΑ ΗΛΙΑΝΑ</t>
  </si>
  <si>
    <t>ΑΙ260785</t>
  </si>
  <si>
    <t>940,5</t>
  </si>
  <si>
    <t>1120,5</t>
  </si>
  <si>
    <t>801-796-756-787-786-792-754-785-793-757-789-760-788-790-791-758-759-794-795-813-752-751-774-773-770-769-764-768-800-772-753-755-783-784-802-803-805-814-804-806-810-812-766-767-777-776-775-778-780-779-782-781-807-771-809-763-811-799-808-936-797-762</t>
  </si>
  <si>
    <t>Κωνσταντοπούλου</t>
  </si>
  <si>
    <t>Σταυρούλα</t>
  </si>
  <si>
    <t>Αθανάσιος</t>
  </si>
  <si>
    <t>Ρ635648</t>
  </si>
  <si>
    <t>1120,2</t>
  </si>
  <si>
    <t>784-801</t>
  </si>
  <si>
    <t>ΠΑΝΤΑΖΗ</t>
  </si>
  <si>
    <t>Σ723878</t>
  </si>
  <si>
    <t>757-758-759-760-791-786-787-794-795-796-785-792-788-789-790-793-764-765</t>
  </si>
  <si>
    <t>ΛΕΥΚΟΠΟΥΛΟΥ</t>
  </si>
  <si>
    <t>ΑΒ167236</t>
  </si>
  <si>
    <t>781-782-763-807</t>
  </si>
  <si>
    <t>ΚΟΥΚΟΥΛΗΣ</t>
  </si>
  <si>
    <t>ΑΙ172970</t>
  </si>
  <si>
    <t>779-780-781-782-778-773-774-937</t>
  </si>
  <si>
    <t>ΜΠΟΥΡΣΙΑΚΗ</t>
  </si>
  <si>
    <t>ΒΑΓΙΑ</t>
  </si>
  <si>
    <t>Σ643425</t>
  </si>
  <si>
    <t>794-787-786-795-791-790-789-785-796-788-792-793-757-760-759-758-761-764-765-770</t>
  </si>
  <si>
    <t>ΑΡΝΑΚΗΣ</t>
  </si>
  <si>
    <t>ΑΙ705327</t>
  </si>
  <si>
    <t>778-779-780-781-782-799-808-773-814</t>
  </si>
  <si>
    <t>ΤΗΓΑΝΑΣ</t>
  </si>
  <si>
    <t>ΑΗ193923</t>
  </si>
  <si>
    <t>779-780-781-782-778-814</t>
  </si>
  <si>
    <t>ΧΑΤΖΗΠΑΝΑΓΙΩΤΗ</t>
  </si>
  <si>
    <t>ΤΑΞΙΑΡΧΟΥΛΑ</t>
  </si>
  <si>
    <t>ΑΙ409803</t>
  </si>
  <si>
    <t>936-804-751-752-753-754-755-756-757-758-759-760-761-762-763-764-765-766-767-768-769-770-771-772-773-774-775-776-777-778-779-780-781-782-783-784-785-786-787-788-789-790-791-792-793-794-795-796-797-798-799-800-801-802-803-805-806-807-808-809-810-811-812-813-814-937</t>
  </si>
  <si>
    <t>ΓΙΑΚΟΥΜΗ</t>
  </si>
  <si>
    <t>Ν924005</t>
  </si>
  <si>
    <t>1087,9</t>
  </si>
  <si>
    <t>1117,9</t>
  </si>
  <si>
    <t>ΤΣΟΥΤΣΗ</t>
  </si>
  <si>
    <t>ΑΝ027683</t>
  </si>
  <si>
    <t>794-787-786-759-757-796-764-795-793-789-788-791-785-760-758-792-790-765-768</t>
  </si>
  <si>
    <t>ΣΤΕΦΑΝΙΔΟΥ</t>
  </si>
  <si>
    <t>ΡΕΒΕΚΑ</t>
  </si>
  <si>
    <t>ΑΖ659461</t>
  </si>
  <si>
    <t>1115,7</t>
  </si>
  <si>
    <t>781-782-779-780-778-799-814-937-773-774-808-811-783-763-801-784-800-762-807-809-767-766-813-771-757-758-759-760-785-786-787-788-789-790-791-792-793-794-795-796-764-765-777-776-775-803-802-797-770-768-769-798-752-751-754-755-756-753-772-804-936-805-806-810-812</t>
  </si>
  <si>
    <t>ΑΔΑΜΙΔΟΥ</t>
  </si>
  <si>
    <t>ΠΕΛΑΓΙΑ</t>
  </si>
  <si>
    <t>Φ310563</t>
  </si>
  <si>
    <t>807-809-783-782-781-780-779-778-763-808-762-773-811-800-774-814-767-801-804</t>
  </si>
  <si>
    <t>Π594100</t>
  </si>
  <si>
    <t>786-787-788-794-795-785-789-791-793-796-790-792-758-757-759-760-805-813-768-769-770-764</t>
  </si>
  <si>
    <t>ΑΝΥΦΑΝΤΑΚΗ</t>
  </si>
  <si>
    <t>ΑΒ954181</t>
  </si>
  <si>
    <t>775-776-777-802-803</t>
  </si>
  <si>
    <t>ΙΩΑΝΝΟΥ</t>
  </si>
  <si>
    <t>ΑΙ500923</t>
  </si>
  <si>
    <t>761-785-786-787-788-789-790-791-792-793-794-795-796-757-758-759-760-764-765</t>
  </si>
  <si>
    <t>ΜΑΚΡΙΔΟΥ</t>
  </si>
  <si>
    <t>ΜΑΡΙΝΑ</t>
  </si>
  <si>
    <t>ΒΛΑΔΙΜΗΡΟΣ</t>
  </si>
  <si>
    <t>Φ464110</t>
  </si>
  <si>
    <t>783-763-807</t>
  </si>
  <si>
    <t>ΜΠΡΕΝΤΑΣ</t>
  </si>
  <si>
    <t>ΣΠΥΡΙΔΩΝ</t>
  </si>
  <si>
    <t>ΑΑ968353</t>
  </si>
  <si>
    <t>801-784-782-781-778-779-780-786-787</t>
  </si>
  <si>
    <t>ΑΓΡΑΦΙΩΤΟΥ</t>
  </si>
  <si>
    <t>ΣΤΕΦΑΝΙΑ</t>
  </si>
  <si>
    <t>ΣΤΕΡΓΙΟΣ</t>
  </si>
  <si>
    <t>ΑΒ370098</t>
  </si>
  <si>
    <t>781-782-778-779</t>
  </si>
  <si>
    <t>ΤΑΓΑΡΗ</t>
  </si>
  <si>
    <t>ΑΝΔΡΕΑΣ</t>
  </si>
  <si>
    <t>Ξ981942</t>
  </si>
  <si>
    <t>794-787-786-757-759-796-756-764-804-781-782-801-768-807-802-763-809-788-791-795-790-789-792-758-785-793-760-772-805-755-754-753-765-812-751-752-769-770-778-779-780-767-771-784-776-777-775-762-813-773-774-800-783-799-808-811-797-798-803-766-936-814-806-810</t>
  </si>
  <si>
    <t>ΚΑΨΟΥΛΗ</t>
  </si>
  <si>
    <t>ΑΖ530745</t>
  </si>
  <si>
    <t>1113,6</t>
  </si>
  <si>
    <t>757-758-759-760-761-764-765-785-786-787-788-789-790-791-792-793-794-795-796-770-769</t>
  </si>
  <si>
    <t>ΔΡΕΜΠΕΝΤΕΡΗ</t>
  </si>
  <si>
    <t>ΕΥΤΥΧΙΑ</t>
  </si>
  <si>
    <t>ΦΡΑΓΚΙΣΚΟΣ</t>
  </si>
  <si>
    <t>ΑΗ636307</t>
  </si>
  <si>
    <t>1113,5</t>
  </si>
  <si>
    <t>794-796-786-787-757-759-764-756-801-781-782-768-802-763-807-809-804</t>
  </si>
  <si>
    <t>ΚΟΥΤΛΑ</t>
  </si>
  <si>
    <t xml:space="preserve">ΚΑΤΕΡΙΝΑ </t>
  </si>
  <si>
    <t>ΑΑ381857</t>
  </si>
  <si>
    <t>781-782-801-762</t>
  </si>
  <si>
    <t>ΣΠΗΛΙΟΠΟΥΛΟΥ</t>
  </si>
  <si>
    <t>ΑΖ136881</t>
  </si>
  <si>
    <t>962,5</t>
  </si>
  <si>
    <t>1112,5</t>
  </si>
  <si>
    <t>757-758-759-760-761-764-765-785-786-787-788-789-790-791-792-793-768-769-770-772-805</t>
  </si>
  <si>
    <t>ΜΑΡΓΙΟΥΛΑ</t>
  </si>
  <si>
    <t>ΑΝ199864</t>
  </si>
  <si>
    <t>1081,3</t>
  </si>
  <si>
    <t>1111,3</t>
  </si>
  <si>
    <t>778-779-780-781-782-773-774-814</t>
  </si>
  <si>
    <t>ΓΙΑΝΝΟΥΛΗ</t>
  </si>
  <si>
    <t>ΑΜ812893</t>
  </si>
  <si>
    <t>801-784-781-782-779-780-778-773-774-808-813-792-800-811-771-770-769-799-783-807-797-763-754-756-753-752-751-755</t>
  </si>
  <si>
    <t>ΑΛΕΞΙΟΥ</t>
  </si>
  <si>
    <t>ΑΕ277819</t>
  </si>
  <si>
    <t>762-800-801-773-774-797-779-780-781-782-778-784-756-755-754-753-808-783-799-771-813-814-811-785-786-787-788-789-790-791-792-793-794-795-796-757-758-759-760-761-764-765-772-752-751-809-763-807-767-766-805-768-769-770-798-812-775-776-777-802-803-804-810-806</t>
  </si>
  <si>
    <t>ΧΡΟΝΟΠΟΥΛΟΥ</t>
  </si>
  <si>
    <t>ΑΗ580554</t>
  </si>
  <si>
    <t>930,6</t>
  </si>
  <si>
    <t>1110,6</t>
  </si>
  <si>
    <t>805-751-752-791-796-794-795-790-788-786-787-793-785-792-757-758-759-760-765-764</t>
  </si>
  <si>
    <t>ΠΕΤΡΗ</t>
  </si>
  <si>
    <t>ΕΙΡΗΝΗ-ΑΓΓΕΛΙΚΗ</t>
  </si>
  <si>
    <t>Χ108551</t>
  </si>
  <si>
    <t>929,5</t>
  </si>
  <si>
    <t>1109,5</t>
  </si>
  <si>
    <t>786-761-794-796-787-764-765-788-789-785-793-795</t>
  </si>
  <si>
    <t>ΑΠΟΣΤΟΛΟΥ</t>
  </si>
  <si>
    <t>ΚΩΝΣΤΑΝΤΙΑ</t>
  </si>
  <si>
    <t>Ρ719946</t>
  </si>
  <si>
    <t>1109,1</t>
  </si>
  <si>
    <t>782-781-780-779-778-814-761-774-773-783-801-800-784-757-758-759-760-764-765-751-752-753-754-755-756-805-802-803-796-795-794-777-785-776-775-772-768-769-770-813</t>
  </si>
  <si>
    <t>ΖΑΦΕΙΡΟΥΛΗ</t>
  </si>
  <si>
    <t>ΑΑ427644</t>
  </si>
  <si>
    <t>958,1</t>
  </si>
  <si>
    <t>1108,1</t>
  </si>
  <si>
    <t>801-928-784-929-933-914-813-782-781-780-779-778-908-909-910-911-912-934-939-814-926-800-925-773-774-770-783-913-757-758-759-760-764-765-785-786-787-788-789-790-791-792-793-794-795-796-901-902-903-904-916-917-918-919-920-921-922-927-754-755-756-899-900-753-898-752-751-772-805-777-776-907-775-803-802-768-769-937-941-942</t>
  </si>
  <si>
    <t>ΔΙΑΜΑΝΤΗ</t>
  </si>
  <si>
    <t>ΑΖ060713</t>
  </si>
  <si>
    <t>760-757-759-758-764-792-791-786-785-787-788-789-790-793-794-795-796</t>
  </si>
  <si>
    <t>ΛΑΖΑΡΟΠΟΥΛΟΥ</t>
  </si>
  <si>
    <t>ΧΡΥΣΟΒΑΛΑΝΤΟΥ ΜΕΛΠΟΜ</t>
  </si>
  <si>
    <t>ΣΟΛΩΝ</t>
  </si>
  <si>
    <t>ΑΚ941786</t>
  </si>
  <si>
    <t>ΑΝΔΡΕΟΥ</t>
  </si>
  <si>
    <t>ΑΡΙΣΤΕΙΔΗΣ</t>
  </si>
  <si>
    <t>787-790-788-789-792-793-794-795-760-759-764-765-757-785-796</t>
  </si>
  <si>
    <t>ΒΟΥΡΟΥ</t>
  </si>
  <si>
    <t>ΑΕ933224</t>
  </si>
  <si>
    <t>ΚΟΡΖΙΤΣΑ</t>
  </si>
  <si>
    <t>ΑΗ816376</t>
  </si>
  <si>
    <t>897-862-844-868-869-835-836-837-838-839-840-937-936-814-763-784-799-783-830</t>
  </si>
  <si>
    <t>ΠΕΤΕΙΝΕΛΗ</t>
  </si>
  <si>
    <t>ΒΛΩΤΙΝΑ</t>
  </si>
  <si>
    <t>Χ920130</t>
  </si>
  <si>
    <t>955,9</t>
  </si>
  <si>
    <t>1105,9</t>
  </si>
  <si>
    <t>796-791-787-788-786-794-795-793-790</t>
  </si>
  <si>
    <t>ΑΣΔΡΕ</t>
  </si>
  <si>
    <t>ΑΚ888224</t>
  </si>
  <si>
    <t>778-779-780-781-782-773</t>
  </si>
  <si>
    <t>ΚΑΡΑΜΗΤΣΟΣ</t>
  </si>
  <si>
    <t>ΠΑΝΤΕΛΗΣ</t>
  </si>
  <si>
    <t>ΑΚ408661</t>
  </si>
  <si>
    <t>1075,8</t>
  </si>
  <si>
    <t>1105,8</t>
  </si>
  <si>
    <t>801-784-813-762-800</t>
  </si>
  <si>
    <t>ΛΩΤΤΑ</t>
  </si>
  <si>
    <t>ΟΥΡΑΝΙΑ</t>
  </si>
  <si>
    <t>ΝΑΠΟΛΕΩΝ</t>
  </si>
  <si>
    <t>ΑΗ239226</t>
  </si>
  <si>
    <t>907-762-773-929-933-801-928-800-925-926-935-813-774-784-914-913-751-752-910-911-912-909-908-778-779-780-782-781-814-939-941-942-900-755-754-756-899-927-898-753-772-805-903-758-759-904-917-916-918-919-921-920-901-757-765-796-785-786-787-788-789-790-791-792-793-768-769-770</t>
  </si>
  <si>
    <t>ΚΕΛΙΔΟΥ</t>
  </si>
  <si>
    <t>ΑΗ192906</t>
  </si>
  <si>
    <t>925,1</t>
  </si>
  <si>
    <t>1105,1</t>
  </si>
  <si>
    <t>781-782-801-757-759-764-768</t>
  </si>
  <si>
    <t>ΔΗΜΑ</t>
  </si>
  <si>
    <t>Ρ662214</t>
  </si>
  <si>
    <t>1104,7</t>
  </si>
  <si>
    <t>793-794-795-788-786-787-785-789-790-791-792-796-757-758-759-760-765-764</t>
  </si>
  <si>
    <t>ΚΛΗΡΟΝΟΜΟΥ</t>
  </si>
  <si>
    <t>Ρ029563</t>
  </si>
  <si>
    <t>759-760-761-764-765-772-785-786-787-788-789-790-791-792-793-794-795-796-798-805</t>
  </si>
  <si>
    <t>ΚΛΑΡΙΤΗ</t>
  </si>
  <si>
    <t>ΑΙ762239</t>
  </si>
  <si>
    <t>1102,7</t>
  </si>
  <si>
    <t>ΒΑΒΛΙΑΡΑ</t>
  </si>
  <si>
    <t>ΑΗ793945</t>
  </si>
  <si>
    <t>1102,5</t>
  </si>
  <si>
    <t>800-773-762-781-780-774-808-779-782-801</t>
  </si>
  <si>
    <t>ΓΑΒΡΙΛΟΠΟΥΛΟΥ</t>
  </si>
  <si>
    <t>ΜΑΡΙΑ ΛΕΜΟΝΙΑ</t>
  </si>
  <si>
    <t>ΑΓΓΕΛΗΣ</t>
  </si>
  <si>
    <t>Χ338210</t>
  </si>
  <si>
    <t>813-934-771-772-928-929-773-774-775-776-777-913-914-925-926-927-751-752-753-907-933-783-784-754-755-756-800-801-802-803-805-898-899-900-768-769-770-931-809-808-807-935-905-906-766-767-923-932-915-762-763-806-811-812-810-804-799-798-797-757-758-759-760-764-765-785-786-787-788-789-790-791-792-793-794-795-796-901-902-903-904-778-779-780-781-782-908-909-910-814-911-912-916-917-918-919-920-921-922-930-924-761</t>
  </si>
  <si>
    <t>ΛΕΠΕΝΙΩΤΗ</t>
  </si>
  <si>
    <t>ΑΜ102000</t>
  </si>
  <si>
    <t>1101,6</t>
  </si>
  <si>
    <t>757-794-795-786-787-764-758-759-760-785-788-789-790</t>
  </si>
  <si>
    <t>ΣΚΡΙΜΠΑ</t>
  </si>
  <si>
    <t>ΠΟΛΥΧΡΟΝΙΑ</t>
  </si>
  <si>
    <t>ΑΕ656448</t>
  </si>
  <si>
    <t>951,5</t>
  </si>
  <si>
    <t>1101,5</t>
  </si>
  <si>
    <t>778-781-782-780-779-835-842-841-840-837-836-838-839-812-798-797-810-806-775-776-777-802-803-804-866-867-832-860-833-863-876-877-879</t>
  </si>
  <si>
    <t>ΑΡΒΑΝΙΤΑΚΗ</t>
  </si>
  <si>
    <t>Τ796238</t>
  </si>
  <si>
    <t>840-841-842-839-838-837-836-835-814-778-779-780-781-782-800-801-807-762-763-766-767-784-799-862</t>
  </si>
  <si>
    <t>ΔΕΛΗΚΩΝΣΤΑΝΤΗ</t>
  </si>
  <si>
    <t>ΑΙ270863</t>
  </si>
  <si>
    <t>801-786-796-790-791</t>
  </si>
  <si>
    <t>ΜΟΥΛΑ</t>
  </si>
  <si>
    <t>Φ176715</t>
  </si>
  <si>
    <t>778-781-782-779-780</t>
  </si>
  <si>
    <t>ΠΑΝΑΓΙΩΤΙΔΟΥ</t>
  </si>
  <si>
    <t>ΕΛΙΣΣΑΒΕΤ</t>
  </si>
  <si>
    <t>ΑΝΕΣΤΗΣ</t>
  </si>
  <si>
    <t>ΑΝ384570</t>
  </si>
  <si>
    <t>811-782-781-814-783-763</t>
  </si>
  <si>
    <t>ΘΕΟΦΑΝΙΔΟΥ</t>
  </si>
  <si>
    <t>ΠΟΛΥΞΕΝΗ</t>
  </si>
  <si>
    <t>ΑΜ395668</t>
  </si>
  <si>
    <t>800-773-774-762-791-783-807-811-770-812-806-798-776-777</t>
  </si>
  <si>
    <t>ΒΑΣΙΛΑΚΑΚΗ</t>
  </si>
  <si>
    <t>ΑΗ159427</t>
  </si>
  <si>
    <t>ΣΤΟΥΠΗ</t>
  </si>
  <si>
    <t>ΑΙ345182</t>
  </si>
  <si>
    <t>808-801-800-774-773-780-779-782-781-778-783-784-814-813-797-791-785-786-787-788-789-790-792-793-794-795-796-764-765-760-761-759-758-757-756-755-754-753-752-751-805-802-803-777-776-775-770-769-768-799-798-772-767-766-763-762-811-812-810-809-807-806-804-937-936-771</t>
  </si>
  <si>
    <t>ΚΟΥΤΣΙΟΓΓΟΥΛΟΥ</t>
  </si>
  <si>
    <t>ΑΖ187155</t>
  </si>
  <si>
    <t>781-782-780-778-779</t>
  </si>
  <si>
    <t>ΑΒ183867</t>
  </si>
  <si>
    <t>782-781-780-778-779-777-776-814</t>
  </si>
  <si>
    <t>ΚΥΡΚΟΣ</t>
  </si>
  <si>
    <t>ΑΜ692101</t>
  </si>
  <si>
    <t>807-783-782-781-937</t>
  </si>
  <si>
    <t>ΚΟΥΚΟΥΛΗ</t>
  </si>
  <si>
    <t>Π454219</t>
  </si>
  <si>
    <t>756-754-755</t>
  </si>
  <si>
    <t>ΖΑΒΡΗ</t>
  </si>
  <si>
    <t>ΑΓΓΕΛΑ-ΑΝΤΖΕΛΑ</t>
  </si>
  <si>
    <t>Ρ348450</t>
  </si>
  <si>
    <t>784-757-760-792-785-793-791-787-789-794-795-790-788-796-786-759-758-765-764-801-813-753-755-756-754-772-812-751-752-805-762-777-803-773-774-776-775-802-771-808-783-781-780-782-779-778-811-763-807-809-799-814-800-806-761-798-797-768-769-770-766-767-810-804-937-936</t>
  </si>
  <si>
    <t>ΜΠΟΛΟΥΔΑΚΗ</t>
  </si>
  <si>
    <t>ΑΗ526969</t>
  </si>
  <si>
    <t>791-796-789-790-788-787-786-792-758-759-794-795-785-757-760-764-765-768-769-770-776-777</t>
  </si>
  <si>
    <t>ΜΑΡΟΥΛΑΚΟΥ</t>
  </si>
  <si>
    <t>ΑΜ206688</t>
  </si>
  <si>
    <t>765-789-786-787-792-794-795-785-788-791-793-796-764-757-760-758-759</t>
  </si>
  <si>
    <t>ΜΑΛΙΑΚΑ</t>
  </si>
  <si>
    <t>ΠΙΠΙΝΑ</t>
  </si>
  <si>
    <t>ΑΒ584915</t>
  </si>
  <si>
    <t>804-936-757-759-786-787-794-764-756-781-782-801-768-802</t>
  </si>
  <si>
    <t>ΜΠΑΛΩΜΕΝΟΥ</t>
  </si>
  <si>
    <t>Ρ774724</t>
  </si>
  <si>
    <t>792-757-787-796-794-795-788-786-785-789-791-790-793-758-759-760-764-765-770</t>
  </si>
  <si>
    <t>ΓΚΟΓΚΑ</t>
  </si>
  <si>
    <t>ΑΕ861135</t>
  </si>
  <si>
    <t>811-763-781-778-779-780-782-807-814-756-753-754-755</t>
  </si>
  <si>
    <t>ΓΚΑΓΚΑΣΟΥΛΗ</t>
  </si>
  <si>
    <t>ΜΑΛΑΜΑΤΗ</t>
  </si>
  <si>
    <t>ΑΡΓΥΡΙΟΣ</t>
  </si>
  <si>
    <t>Φ278208</t>
  </si>
  <si>
    <t>783-778-779-780-781-782-800</t>
  </si>
  <si>
    <t>ΚΑΡΑΜΠΙΝΗ</t>
  </si>
  <si>
    <t>ΒΗΣΣΑΡΙΩΝ</t>
  </si>
  <si>
    <t>ΑΗ077709</t>
  </si>
  <si>
    <t>918,5</t>
  </si>
  <si>
    <t>1098,5</t>
  </si>
  <si>
    <t>788-791-793-786-787-794-795-796-792-761-785-789-790-757-758-759-760</t>
  </si>
  <si>
    <t>ΖΑΠΑΡΤΙΔΗ</t>
  </si>
  <si>
    <t>Τ105125</t>
  </si>
  <si>
    <t>757-758-761-764-787-788-791-794-793-790-785-796-821-822-823-824-825-826-827-846-847-853-857-858-859-870</t>
  </si>
  <si>
    <t>ΝΙΣΥΡΙΟΥ</t>
  </si>
  <si>
    <t>Φ014711</t>
  </si>
  <si>
    <t>786-787-794-796-757-759-760-788-789-792-793-795-791-790-758-785-764</t>
  </si>
  <si>
    <t>ΤΖΕΚΗ</t>
  </si>
  <si>
    <t>ΑΒ356187</t>
  </si>
  <si>
    <t>777-814-806-803-799-781-782-783</t>
  </si>
  <si>
    <t>ΑΛΙΜΠΕΡΤΗ</t>
  </si>
  <si>
    <t>ΑΙ577636</t>
  </si>
  <si>
    <t>757-758-759-760-764-785-786-787-788-789-790-791-792-793-794-795-796</t>
  </si>
  <si>
    <t>ΠΕΤΡΙΔΟΥ</t>
  </si>
  <si>
    <t>ΘΗΡΕΣΙΑ</t>
  </si>
  <si>
    <t>ΑΓΓΕΛΟΣ</t>
  </si>
  <si>
    <t>Φ989215</t>
  </si>
  <si>
    <t>778-781-782-779-780-814-801-813-764-765-757-758-759-760-761-785-786-787-788-789-790-791-792-793-794-795-796-775-776-777-803-802-755-754-756-753-751-752-768-769-770-772-773-774-783-784-800-805</t>
  </si>
  <si>
    <t>ΚΟΥΜΕΝΤΑΚΟΣ</t>
  </si>
  <si>
    <t>ΑΚ556348</t>
  </si>
  <si>
    <t>757-786-764</t>
  </si>
  <si>
    <t>ΝΟΥΡΑΓΑ</t>
  </si>
  <si>
    <t>ANNA</t>
  </si>
  <si>
    <t>ΑΜ854260</t>
  </si>
  <si>
    <t>800-762-773-774-808-801-796-795-794-793-792-791-790-789-788-787-786-785-784-783-782-781-780-779-778-760-759-758-757</t>
  </si>
  <si>
    <t>ΒΕΡΡΑ</t>
  </si>
  <si>
    <t>ΑΙ336289</t>
  </si>
  <si>
    <t>781-782-763-801-807-809-768-804-756-759-764-786-787-794-796-757-802</t>
  </si>
  <si>
    <t>Θυσιάδου</t>
  </si>
  <si>
    <t xml:space="preserve">Παύλος </t>
  </si>
  <si>
    <t>766-767-806-811-778-779-780-781-782-809-814-797-799-783-762-775-776-777-813-807-802-803-757-758-759-760-761-764-765-786-787-788-789-790-791-792-793-794-795-796</t>
  </si>
  <si>
    <t>Κοκοβίδου</t>
  </si>
  <si>
    <t xml:space="preserve">Δήμητρα </t>
  </si>
  <si>
    <t>Αλέξιος</t>
  </si>
  <si>
    <t>Χ453361</t>
  </si>
  <si>
    <t>944,9</t>
  </si>
  <si>
    <t>1094,9</t>
  </si>
  <si>
    <t>781-780-779-782-778-801-773-774</t>
  </si>
  <si>
    <t>ΚΑΡΒΟΥΝΗ</t>
  </si>
  <si>
    <t>ΡΟΔΟΥΛΑ</t>
  </si>
  <si>
    <t>ΜΑΡΚΟΣ</t>
  </si>
  <si>
    <t>ΑΒ299746</t>
  </si>
  <si>
    <t>1094,8</t>
  </si>
  <si>
    <t>764-786-787-796-794-759-757-788-790-791-792-793-795-760-758</t>
  </si>
  <si>
    <t>ΚΑΤΙΡΤΖΟΓΛΟΥ</t>
  </si>
  <si>
    <t>ΣΤΕΦΑΝΟΣ</t>
  </si>
  <si>
    <t>Ρ576272</t>
  </si>
  <si>
    <t>791-786-787-788-789-785-757-790-793-796-792-794-795-758-759-760-764-765</t>
  </si>
  <si>
    <t>ΚΟΖΙΔΟΥ</t>
  </si>
  <si>
    <t>Χ231603</t>
  </si>
  <si>
    <t>773-782-778-779-780-781-808</t>
  </si>
  <si>
    <t>ΠΙΠΙΝΗ</t>
  </si>
  <si>
    <t>ΑΦΡΟΔΙΤΗ</t>
  </si>
  <si>
    <t>ΑΗ644386</t>
  </si>
  <si>
    <t>ΝΤΑΒΡΑΖΟΥ</t>
  </si>
  <si>
    <t>ΑΚ206107</t>
  </si>
  <si>
    <t>757-796-759-786-787-794-764-781-782-802-768-756-801-792-760-789-790-795-793-788-791-758-785-765-780-779-778-752-803-775-777-776-805-814-783-773-770-769-751-754-755-753-813-784-774-772-800-812-763-797-807-811-798-806-767-771-809-804-936-810-762-808-799-766</t>
  </si>
  <si>
    <t>ΒΑΡΜΑΖΗ</t>
  </si>
  <si>
    <t>ΑΗ817151</t>
  </si>
  <si>
    <t>782-781-780-779-778-801-800-783-773-774-784-813-770-769-768-751-752-753-754-756-755-802-803-777-776-775-794-796-786-787-757-759-764-765-760-785-788-789-790-791-792-793-795-758-805-772</t>
  </si>
  <si>
    <t>ΑΒΡΑΜΙΔΟΥ</t>
  </si>
  <si>
    <t>Ν602044</t>
  </si>
  <si>
    <t>783-763-807-752-782-780-781-779-778-814-812-768-769-770-797-798-801-776-803-802-759-757-786-787-794-796-764-756-809-804</t>
  </si>
  <si>
    <t>ΑΔΑΜΟΥ</t>
  </si>
  <si>
    <t>ΑΝΔΡΟΜΑΧΗ</t>
  </si>
  <si>
    <t>ΑΖ321686</t>
  </si>
  <si>
    <t>786-787-794-757-796-759-768-756-781-782-801-804-802-809-807-763-780-779-778-785-788-789-790-791-792-793-795</t>
  </si>
  <si>
    <t>ΜΟΝΤΑΛΗ</t>
  </si>
  <si>
    <t>ΛΟΥΙΖΟΣ</t>
  </si>
  <si>
    <t>Χ046973</t>
  </si>
  <si>
    <t>942,7</t>
  </si>
  <si>
    <t>1092,7</t>
  </si>
  <si>
    <t>791-757-760-786-787-788-789-790-792-793-794-795-796-765-785-764-758-759</t>
  </si>
  <si>
    <t>ΚΩΛΕΤΗ</t>
  </si>
  <si>
    <t>ΑΒ397690</t>
  </si>
  <si>
    <t>764-765</t>
  </si>
  <si>
    <t>ΧΙΩΤΗ</t>
  </si>
  <si>
    <t>ΒΙΟΛΕΤΑ-ΚΩΝΣΤΑΝΤΙΑ</t>
  </si>
  <si>
    <t>ΖΗΣΗΣ</t>
  </si>
  <si>
    <t>ΑΕ671653</t>
  </si>
  <si>
    <t>783-779-778-780-781-782</t>
  </si>
  <si>
    <t>ΔΡΙΒΑ</t>
  </si>
  <si>
    <t>ΑΙ210798</t>
  </si>
  <si>
    <t>ΠΑΣΑΛΙΔΟΥ</t>
  </si>
  <si>
    <t>ΕΥΘΥΜΙΟΣ</t>
  </si>
  <si>
    <t>ΑΒ169449</t>
  </si>
  <si>
    <t>782-781-780-779-778</t>
  </si>
  <si>
    <t>ΑΝΑΝΙΑΔΟΥ</t>
  </si>
  <si>
    <t>ΠΑΙΣΙΟΣ</t>
  </si>
  <si>
    <t>Τ792744</t>
  </si>
  <si>
    <t>ΠΑΡΛΑΝΤΖΑ</t>
  </si>
  <si>
    <t>ΑΜ840839</t>
  </si>
  <si>
    <t>801-751-752-753-754-755-756-757-758-759-760-761-762-763-764-765-766-767-768-769-770-771-772-773-774-775-776-777-778-779-780-781-782-783-784-785-786-787-788-789-790-791-792-793-794-795-796-797-798-799-800-802-803-804-805-806-807-808-809-810-811-812-813-814</t>
  </si>
  <si>
    <t>ΤΣΑΤΣΟΥ</t>
  </si>
  <si>
    <t>ΖΩΓΡΑΦΩ</t>
  </si>
  <si>
    <t>ΑΗ262154</t>
  </si>
  <si>
    <t>801-784-813-800-782-781-780-779-778-773-762-808-799-763-774-811-814-807-809</t>
  </si>
  <si>
    <t>ΝΙΚΟΛΑΚΟΠΟΥΛΟΥ</t>
  </si>
  <si>
    <t>ΓΕΡΑΣΙΜΟΣ</t>
  </si>
  <si>
    <t>ΑΙ200924</t>
  </si>
  <si>
    <t>755-754-756-772-753</t>
  </si>
  <si>
    <t>ΣΤΑΙΟΣ</t>
  </si>
  <si>
    <t>Χ988271</t>
  </si>
  <si>
    <t>779-780-778-781-782-773-774-799-814-800-763-768</t>
  </si>
  <si>
    <t>ΣΤΑΥΡΟΠΟΥΛΟΥ</t>
  </si>
  <si>
    <t>ΓΙΑΝΝΟΥΛΑ</t>
  </si>
  <si>
    <t>ΑΒ075920</t>
  </si>
  <si>
    <t>1090,5</t>
  </si>
  <si>
    <t>828-871-870-854-815-826-850-853-847-858-822-846-829-848-862-872-857-859-817-818-841-838-840-839-842-835-837-836-856-861-852-830-827-843-875-876-823-824-825-844-816-821-820-863-851-865-845-833-772-756-755-754-753-761-764-759-787-786-794-796-792-791-790-789-795-758-765-760-757-785-788-793-751-777-776-771-781-782-780-778-779-769-770-774-773-784-783-814-813</t>
  </si>
  <si>
    <t>ΜΕΝΕΓΑ</t>
  </si>
  <si>
    <t>ΛΥΓΕΡΗ</t>
  </si>
  <si>
    <t>ΑΗ570644</t>
  </si>
  <si>
    <t>890-889-888-891-760-757-758-759</t>
  </si>
  <si>
    <t>ΔΕΛΗΓΙΑΝΝΗ</t>
  </si>
  <si>
    <t>ΑΒ431726</t>
  </si>
  <si>
    <t>780-782-779-781-814-808-773-799-801-813-774-770-811-783-763-807-809-767-812-797-762-771-755-756-754-752-805-772-800-777-776</t>
  </si>
  <si>
    <t>ΤΑΚΟΡΗ</t>
  </si>
  <si>
    <t>ΑΡΜΕΝ</t>
  </si>
  <si>
    <t>ΑΒ534455</t>
  </si>
  <si>
    <t>757-786-787-791-788-785-794</t>
  </si>
  <si>
    <t xml:space="preserve">Λαγου </t>
  </si>
  <si>
    <t>Ουρανια</t>
  </si>
  <si>
    <t xml:space="preserve">Κωνσταντίνος </t>
  </si>
  <si>
    <t>ΑΖ257800</t>
  </si>
  <si>
    <t>938,3</t>
  </si>
  <si>
    <t>1088,3</t>
  </si>
  <si>
    <t>794-793-795-796-792-791-779-790-789-788-787-786-785-759-760-757-758</t>
  </si>
  <si>
    <t>ΜΑΝΟΥΣΑΚΗΣ</t>
  </si>
  <si>
    <t>ΛΕΑΝΔΡΟΣ</t>
  </si>
  <si>
    <t>ΑΚ244001</t>
  </si>
  <si>
    <t>1088,2</t>
  </si>
  <si>
    <t>757-759-787-786-794-764-822-823-751-848-847-846-857-815-821-826-853-856-871-872-854-828-827-820-858-859-870-845-824-852-849-825-855-829-876-833-819-874-875</t>
  </si>
  <si>
    <t>ΡΟΔΗ</t>
  </si>
  <si>
    <t>ΕΥΑΝΘΙΑ</t>
  </si>
  <si>
    <t>ΑΜ177703</t>
  </si>
  <si>
    <t>759-787-786-794-796-757-792-789-791-790-793-795-788-785-758-760-764-765</t>
  </si>
  <si>
    <t>ΤΣΙΑΟΥΣΗ</t>
  </si>
  <si>
    <t>ΧΡΥΣΑΥΓΗ</t>
  </si>
  <si>
    <t>ΑΖ156498</t>
  </si>
  <si>
    <t>779-780-782-781-778-799-814-811-773-808-774-783-800-772</t>
  </si>
  <si>
    <t>ΣΤΕΦΑΝΗ</t>
  </si>
  <si>
    <t>Ξ905885</t>
  </si>
  <si>
    <t>781-782-780-779-778-814-773-774-799-808-811-801-785-786-787-788-789-790-791-792-793-794-795-796-757-758-759-760-761-762-763-764-765-800</t>
  </si>
  <si>
    <t>ΚΟΝΤΑΞΗ</t>
  </si>
  <si>
    <t>ΑΚ917453</t>
  </si>
  <si>
    <t>907,5</t>
  </si>
  <si>
    <t>1087,5</t>
  </si>
  <si>
    <t>751-752-753-754-755-756-757-758-759-760-761-762-763-764-765-766-767-768-769-770-771-772-773-774-775-776-777-778-779-780-781-782-784-783-785-786-787-788-789-790-791-792-793-794-795-796-797-798-799-800-801-802-803-804-805-806-807-808-809-810-811-812-813-814-815-816-817-818-819-820-821-822-823-824-825-826-827-828-829-830-831-832-833-834-835-836-837-838-839-840-841-842-843-844-845-846-847-848-849-850-851-852-853-854-855-856-857-858-859-860-861-862-863-864-865-866-867-868-869-870-871-872-873-874-875-876-877-878-879-936-937</t>
  </si>
  <si>
    <t>ΛΥΚΟΥ</t>
  </si>
  <si>
    <t>ΑΖ345077</t>
  </si>
  <si>
    <t>1087,1</t>
  </si>
  <si>
    <t>811-801-773-774-800-799-763-767-783-784-807-808-809-814-779-780-781</t>
  </si>
  <si>
    <t>ΑΚΡΙΤΟΠΟΥΛΟΥ</t>
  </si>
  <si>
    <t xml:space="preserve">ΧΑΡΙΚΛΕΙΑ </t>
  </si>
  <si>
    <t>ΑΜ708931</t>
  </si>
  <si>
    <t>ΧΙΩΤΕΡΗΣ</t>
  </si>
  <si>
    <t>ΑΖ183717</t>
  </si>
  <si>
    <t>782-779-780-781-778-811-814-937-799-773-775</t>
  </si>
  <si>
    <t>ΒΙΑΝΝΗ</t>
  </si>
  <si>
    <t>ΑΗ340448</t>
  </si>
  <si>
    <t>811-763-783-814-778-779-780-781-782</t>
  </si>
  <si>
    <t>ΤΥΧΑΛΑ</t>
  </si>
  <si>
    <t>Ρ279721</t>
  </si>
  <si>
    <t>ΧΡΙΣΤΟΔΟΥΛΟΥ</t>
  </si>
  <si>
    <t>ΑΜ192830</t>
  </si>
  <si>
    <t>757-785-794-795-786-787-788-789-790-791-793-792-796-758-759-760-764</t>
  </si>
  <si>
    <t>ΤΣΙΛΙΚΟΧΡΥΣΟΥ</t>
  </si>
  <si>
    <t>ΙΟΥΛΙΑ</t>
  </si>
  <si>
    <t>ΑΜ112517</t>
  </si>
  <si>
    <t>768-792-794-796-786-787-791-788-785-761-760-757-759-758</t>
  </si>
  <si>
    <t>ΓΙΑΝΝΟΠΟΥΛΟΥ</t>
  </si>
  <si>
    <t>ΑΘΑΝΑΣΙΑ</t>
  </si>
  <si>
    <t>ΔΗΜΟΣΘΕΝΗΣ</t>
  </si>
  <si>
    <t>Ξ520659</t>
  </si>
  <si>
    <t>Π475350</t>
  </si>
  <si>
    <t>ΜΑΥΡΟΥ</t>
  </si>
  <si>
    <t>ΠΑΥΛΟΣ</t>
  </si>
  <si>
    <t>Π500165</t>
  </si>
  <si>
    <t>801-784</t>
  </si>
  <si>
    <t>ΜΠΑΜΝΑΡΑ</t>
  </si>
  <si>
    <t>ΑΜ823482</t>
  </si>
  <si>
    <t>1015,3</t>
  </si>
  <si>
    <t>1085,3</t>
  </si>
  <si>
    <t>ΑΣΜΑΝΗ</t>
  </si>
  <si>
    <t>Χ768834</t>
  </si>
  <si>
    <t>781-782-778-779-780-783-814-801-773-774-800-757-758-759-760-761-764-765-785-786-787-788-789-790-791-792-793-794-795-796-751-752-753-754-755-756-768-769-770-772-775-776-777-784-802-803-805-813-804-806-807-808-809-810-811-812-762-763-766-767-797-798-799-936</t>
  </si>
  <si>
    <t>ΤΣΙΤΣΙΚΑ</t>
  </si>
  <si>
    <t>Π445704</t>
  </si>
  <si>
    <t>751-752-753-754-755-756-797-798-810-812-806-757-758-759-760-764-765-768-769-770-772-773-774-778-779-780-781-782-783-784-785-786-787-788-789-790-791-792-793-794-795-796-800-801-805-813-814</t>
  </si>
  <si>
    <t>ΑΣΗΜΑΚΑΚΗ</t>
  </si>
  <si>
    <t>Φ337390</t>
  </si>
  <si>
    <t>813-771-784-801-773-770-794-796-795-782-779-781-780-791-787-793-786-778</t>
  </si>
  <si>
    <t>ΒΑΛΗΛΗ</t>
  </si>
  <si>
    <t>Φ914529</t>
  </si>
  <si>
    <t>804-801-768-794-936-786-787-796-757-759-764-783-782-781-802-756-791-785-788-793-789-792-790-795-758-760-765-769-770-800-803-805-784-755-775-751-752-772-813-814-778-779-780-776-777-773-774-753-754-937</t>
  </si>
  <si>
    <t>Χ803048</t>
  </si>
  <si>
    <t>754-755-756-753-772-757-785-786-787-788-791-792-793-795-796-751-752-758-759-760-764-765-768-769-770-789-790-794-762-763-766-767-773-774-771-775-776-777-778-779-780-781-782-783-784-797-798-799-800-801-802-803-804-805-806-807-808-809-810-811-812-813-814</t>
  </si>
  <si>
    <t>ΤΡΙΑΝΤΑΦΥΛΛΑΚΗ ΤΙΛ</t>
  </si>
  <si>
    <t>ΜΑΡΚΟΥΣ</t>
  </si>
  <si>
    <t>ΑΜ313234</t>
  </si>
  <si>
    <t>ΔΑΜΙΑΝΙΔΟΥ</t>
  </si>
  <si>
    <t>ΔΕΣΠΟΙΝΑ-ΔΑΝΙΕΛΑ</t>
  </si>
  <si>
    <t>ΑΙ151488</t>
  </si>
  <si>
    <t>781-778-779-780-782-799-808-773</t>
  </si>
  <si>
    <t>ΛΙΟΥΔΑΚΗ</t>
  </si>
  <si>
    <t>ΑΙ563077</t>
  </si>
  <si>
    <t>757-758-759-760-764-765-768-769-770-775-776-777-785-786-787-788-789-790-791-792-793-794-795-796</t>
  </si>
  <si>
    <t>ΜΑΡΓΑΡΙΤΟΠΟΥΛΟΥ</t>
  </si>
  <si>
    <t>ΛΑΜΠΡΙΝΟΣ</t>
  </si>
  <si>
    <t>ΑΗ359339</t>
  </si>
  <si>
    <t>799-782-781-778-780-779</t>
  </si>
  <si>
    <t>ΣΚΑΡΜΟΥΤΣΟΥ</t>
  </si>
  <si>
    <t>Ν513649</t>
  </si>
  <si>
    <t>1082,7</t>
  </si>
  <si>
    <t>796-795-794-787-759-758-757-786-793-792-791-790-789-788-785-764-761-760</t>
  </si>
  <si>
    <t>ΕΥΓΕΝΙΔΟΥ</t>
  </si>
  <si>
    <t>ΑΕ169454</t>
  </si>
  <si>
    <t>782-781-780-779-778-799-814-808-773-774-804-936-757-758-759-761-764-765-786-787-788-789-790-791-792-793-796</t>
  </si>
  <si>
    <t>ΧΑΤΖΗΕΥΣΤΡΑΤΙΟΥ</t>
  </si>
  <si>
    <t>Ρ585562</t>
  </si>
  <si>
    <t>794-795-796-761-786-787-791-788-789-790-792-793-785</t>
  </si>
  <si>
    <t>ΜΑΡΚΟΠΟΥΛΟΥ</t>
  </si>
  <si>
    <t>ΑΛΙΚΗ</t>
  </si>
  <si>
    <t>ΑΜ735764</t>
  </si>
  <si>
    <t>1082,4</t>
  </si>
  <si>
    <t>753-756-755-754-772-757-758-759-786-787-794</t>
  </si>
  <si>
    <t>ΨΑΡΑΚΗ</t>
  </si>
  <si>
    <t>ΑΑ359607</t>
  </si>
  <si>
    <t>1081,6</t>
  </si>
  <si>
    <t>794-796-787-786-795-791-793-788-789-785-790-792-757-759-760-758-764-765</t>
  </si>
  <si>
    <t>ΙΩΝΑ</t>
  </si>
  <si>
    <t>Τ357066</t>
  </si>
  <si>
    <t>797-788-787-791-794-795-796-786-792-789-790-757-758-759-760-793-785-764-765-768-769-770-781-782-780-779-778-801-756-754-755-753-752-800-773-774-784-813-751-772-805-808-762-771-798-799-811-763-783-807-809-767-812</t>
  </si>
  <si>
    <t>ΛΕΜΟΝΙΔΟΥ</t>
  </si>
  <si>
    <t>ΑΛΕΞΙΑ</t>
  </si>
  <si>
    <t>ΑΕ998482</t>
  </si>
  <si>
    <t>757-759-758-760-786-787-794-796-795-793-792-791-790-789-788-785-764-765</t>
  </si>
  <si>
    <t>ΚΙΟΣΕ</t>
  </si>
  <si>
    <t>Π489790</t>
  </si>
  <si>
    <t>803-777-776-781-782-780-779-773-774-797</t>
  </si>
  <si>
    <t>ΡΟΥΣΟΠΟΥΛΟΥ</t>
  </si>
  <si>
    <t>ΑΕ332593</t>
  </si>
  <si>
    <t>800-773-774-762-783-775-776-777-802-803-804-810-812-806-814-768-769-770-797-798-807-808-809-784-763-766-767-811-799-801-779-780-781-782-778-751-752-753-754-755-756-805-813-771-772-758-757-759-760-764-765-785-786-787-788-789-790-791-792-793-796-795-794</t>
  </si>
  <si>
    <t>ΤΑΖΙΔΟΥ</t>
  </si>
  <si>
    <t>ΑΗ293676</t>
  </si>
  <si>
    <t>1080,5</t>
  </si>
  <si>
    <t>751-756-752-753-754-755-757-758-759-760-762-763-764-765-766-767-768-769-770-771-772-773-774-814-813-937-800-802-805-806-807-808-812-811-810-801-898-899-900-938-939-940-941-942-901-902</t>
  </si>
  <si>
    <t>ΜΟΥΖΑΙ</t>
  </si>
  <si>
    <t>ΧΕΚΤΟΡ</t>
  </si>
  <si>
    <t>ΑΜ210713</t>
  </si>
  <si>
    <t>757-758-759-761-764-765-785-786-787-788-789-790-791-792-793-794-795-796</t>
  </si>
  <si>
    <t>ΛΑΜΠΡΙΑΝΙΔΗ</t>
  </si>
  <si>
    <t>ΑΚ384358</t>
  </si>
  <si>
    <t>782-781-780-779-778-757-758-759-760-794-795-786-787-788-791-790-792-793-789-785-796-801-800-762-764-756-755-752-753-754-751-773-774-784-783-813-814-937-797-798-799-809-806-805-807-812-811-808-802-803-804-810-770-769-768-772-771-776-775-777-936-761</t>
  </si>
  <si>
    <t>ΜΗΤΣΟΥ</t>
  </si>
  <si>
    <t>ΑΙ478151</t>
  </si>
  <si>
    <t>813-757-758-759-760-761-764-765-768-769-770-778-779-780-781-782-783-784-785-786-787-788-789-790-791-792-793-794-795-796-801-814-751-753-752-754-755-756-762-763-766-767-771-772-773-774-775-776-777-797-798-799-800-802-803-804-805-806-807-808-809-810-811-812</t>
  </si>
  <si>
    <t>ΠΑΛΑΔΑ</t>
  </si>
  <si>
    <t>ΔΙΑΜΑΝΤΩ</t>
  </si>
  <si>
    <t>ΑΕ760025</t>
  </si>
  <si>
    <t>775-776-777-802-803-778-779-780-781-782-811-773-774-814-769-770-810-812-797-805-804</t>
  </si>
  <si>
    <t>ΕΥΘΥΜΙΟΥ</t>
  </si>
  <si>
    <t>ΑΗ747801</t>
  </si>
  <si>
    <t>1009,8</t>
  </si>
  <si>
    <t>1079,8</t>
  </si>
  <si>
    <t>778-779-780-781-782-757-758-794-795-796-759-760-785-786-787-789-790-791-792-793-764-765-800-801-783-784-813-814-768-769-770-772-773-774-802-803-805-751-752-753-754-755-756-775-776-777-806-812</t>
  </si>
  <si>
    <t>ΠΟΛΙΤΗ</t>
  </si>
  <si>
    <t>Ν714831</t>
  </si>
  <si>
    <t>801-784-782-781-779-778-797-768-769-770-780</t>
  </si>
  <si>
    <t>ΜΠΕΦΑΝΗ</t>
  </si>
  <si>
    <t>ΑΗ281280</t>
  </si>
  <si>
    <t>801-784-778-779-780-781-782-768-769-770</t>
  </si>
  <si>
    <t>ΛΑΖΑΡΟΣ</t>
  </si>
  <si>
    <t>ΑΖ262472</t>
  </si>
  <si>
    <t>801-784-778-779-780-781-782-800</t>
  </si>
  <si>
    <t>ΠΕΙΡΑΛΗΣ</t>
  </si>
  <si>
    <t>ΑΜ690166</t>
  </si>
  <si>
    <t>751-752-753-754-755-756-757-758-759-760-762-763-764-765-766-767-768-769-770-771-772-773-774-775-776-777-778-779-780-781-782-783-784-785-786-787-788-789-790-791-792-793-794-795-796-797-798-799-800-801-802-803-804-805-806-807-808-809-810-811-812-813-814</t>
  </si>
  <si>
    <t>ΚΟΥΒΑΤΗ</t>
  </si>
  <si>
    <t>Χ770852</t>
  </si>
  <si>
    <t>ΚΩΤΣΙΟΥ</t>
  </si>
  <si>
    <t>ΑΜΑΛΙΑ</t>
  </si>
  <si>
    <t>ΧΡΙΣΤΟΔΟΥΛΟΣ</t>
  </si>
  <si>
    <t>ΑΖ251583</t>
  </si>
  <si>
    <t>778-782-757-761-785-796-764-765-753-754-755-756-813-814-800-801-803-805-783-784-771-797-798-799-804-806-807-808-809-810-811-812-762-763-766-767-768</t>
  </si>
  <si>
    <t>ΚΑΡΑΓΙΑΝΝΗ</t>
  </si>
  <si>
    <t>ΑΑ229188</t>
  </si>
  <si>
    <t>757-786-787-788-789-791-792-794-795-793-758-759-760-785-790-764-765-781-782-779-780-778</t>
  </si>
  <si>
    <t>ΡΙΖΟΥ</t>
  </si>
  <si>
    <t>ΠΑΡΜΕΝΙΩΝ</t>
  </si>
  <si>
    <t>Ξ715097</t>
  </si>
  <si>
    <t>1077,6</t>
  </si>
  <si>
    <t>786-787-757-794-796-759-764-768-801-804-781-782</t>
  </si>
  <si>
    <t>ΓΚΙΑΟΥΡΙΔΟΥ</t>
  </si>
  <si>
    <t>ΑΡΕΤΗ</t>
  </si>
  <si>
    <t>ΑΚ308066</t>
  </si>
  <si>
    <t>1076,5</t>
  </si>
  <si>
    <t>781-782-780-779-778-909-910-911-912-908</t>
  </si>
  <si>
    <t>ΚΑΤΣΑΦΥΛΛΙΔΟΥ</t>
  </si>
  <si>
    <t>ΑΗ358188</t>
  </si>
  <si>
    <t>799-800-801-773-774-814-783-784</t>
  </si>
  <si>
    <t>ΛΑΖΙΔΟΥ</t>
  </si>
  <si>
    <t>ΣΜΑΡΑΓΔΗ</t>
  </si>
  <si>
    <t>ΑΗ913481</t>
  </si>
  <si>
    <t>1075,1</t>
  </si>
  <si>
    <t>767-766-809</t>
  </si>
  <si>
    <t>ΚΛΙΝΑΚΗ</t>
  </si>
  <si>
    <t>ΑΗ464558</t>
  </si>
  <si>
    <t>776-777-803-802</t>
  </si>
  <si>
    <t>ΓΑΒΑΘΑ</t>
  </si>
  <si>
    <t>Σ062129</t>
  </si>
  <si>
    <t>ΚΑΣΙΜΑΤΗ</t>
  </si>
  <si>
    <t>ΣΤΑΜΑΤΙΝΑ</t>
  </si>
  <si>
    <t>ΑΒ618273</t>
  </si>
  <si>
    <t>761-786-787-796-791-790-788-785-789-764-765-757-760-758-759-792-793-794-795</t>
  </si>
  <si>
    <t>ΚΑΡΑΜΟΥΤΣΟΥ</t>
  </si>
  <si>
    <t>ΑΑ228503</t>
  </si>
  <si>
    <t>781-782-780-779-778-799-773-800</t>
  </si>
  <si>
    <t>ΚΑΛΑΜΑΤΑ</t>
  </si>
  <si>
    <t>Σ454566</t>
  </si>
  <si>
    <t>801-784-781-782-778-780-779-768-769-770-771-773-774-799-800-808-762-763-772-766-767-783-807-809-811-759-761-760-764-765-786-787-785-788-789-790-791-792-793-794-795-796-797-798-802-803-804-805-806-810-812-775-776-751-752-753-754-755-756-757-758-813-814</t>
  </si>
  <si>
    <t>ΚΑΡΑΤΑΣΙΟΥ</t>
  </si>
  <si>
    <t>ΑΙ514685</t>
  </si>
  <si>
    <t>787-786-788-791-796-793-794-795-789-790-785-758-759-757-760-792-764-765-768-769-770-813</t>
  </si>
  <si>
    <t>ΤΟΥΛΑΤΟΥ</t>
  </si>
  <si>
    <t>ΕΛΕΑΝΑ</t>
  </si>
  <si>
    <t>Ν535389</t>
  </si>
  <si>
    <t>798-759-786-787-794-796-757-756-781-782-764-768-801-802-804-803-805-785-788-789-790-791-792-793-795-758-760-755-753-754-751-752-772-769-770-765-778-779-780-783-775-776-777-784-773-774-813-814-800-797-810-771-806-807-808-799-811-812-809-762-763-766-767-936-937</t>
  </si>
  <si>
    <t>ΤΟΥΛΗ</t>
  </si>
  <si>
    <t>ΑΗ203218</t>
  </si>
  <si>
    <t>756-801-781-782-764-768-796-786-787-794-759-757-802</t>
  </si>
  <si>
    <t>ΚΑΣΣΗ</t>
  </si>
  <si>
    <t>Χ179658</t>
  </si>
  <si>
    <t>787-786-791-788-793-794-759-758-785-760-790-789-792-757-795-796</t>
  </si>
  <si>
    <t>ΜΙΣΙΑ ΚΑΡΑΚΟΥ</t>
  </si>
  <si>
    <t>ΑΙ900798</t>
  </si>
  <si>
    <t>883-884-885-778-779-780-781</t>
  </si>
  <si>
    <t>ΠΑΦΙΛΗ</t>
  </si>
  <si>
    <t>ΚΩΝ/ΝΟΣ</t>
  </si>
  <si>
    <t>Χ 222579</t>
  </si>
  <si>
    <t>ΚΑΡΑΜΑΝΛΗ</t>
  </si>
  <si>
    <t>ΑΗ913066</t>
  </si>
  <si>
    <t>767-766-783-781-782-787-764-757-786-759-794-796-801</t>
  </si>
  <si>
    <t>ΑΝΑΣΤΟΠΟΥΛΟΥ</t>
  </si>
  <si>
    <t>ΑΙ552666</t>
  </si>
  <si>
    <t>804-936-772-794-795-791-786-758</t>
  </si>
  <si>
    <t>ΣΑΒΒΑ</t>
  </si>
  <si>
    <t>ΑΦΡΟΔΙΤΗ ΑΝΔΡΙΑΝΗ</t>
  </si>
  <si>
    <t>Χ864494</t>
  </si>
  <si>
    <t>1014,2</t>
  </si>
  <si>
    <t>1074,2</t>
  </si>
  <si>
    <t>794-786-787-757-759-796-764-768-756-801-781-782-802</t>
  </si>
  <si>
    <t>ΒΕΝΙΖΕΛΟΥ</t>
  </si>
  <si>
    <t>Ξ994838</t>
  </si>
  <si>
    <t>1074,1</t>
  </si>
  <si>
    <t>757-758-759-760-764-765-768-769-770-785-786-787-788-789-790-791-792-793-794-795-796</t>
  </si>
  <si>
    <t>ΟΥΡΔΑ</t>
  </si>
  <si>
    <t>ΑΕ316201</t>
  </si>
  <si>
    <t>768-769-770-801-800-799-814-783-782-779-780-781-778-809-813-811-797-798-808-812-806-784-772-771-756-755-754-753-752-751-763-767-766-762-776-775-777-802-803-805-807-804-810-773-774-760-759-758-757-764-765-785-786-787-788-789-790-791-792-793-794-795-796-936</t>
  </si>
  <si>
    <t>ΖΕΡΒΑ</t>
  </si>
  <si>
    <t>Χ377396</t>
  </si>
  <si>
    <t>844-862-843-828-815-858-859-854-853-857-850-848-849-855-847-846-845-856-826-825-829-822-827-824-823-820-821-841-838-835-837-836-840-839-842-870-871-872-816-875-784-819-801-757-759-764-794-796</t>
  </si>
  <si>
    <t>ΣΕΒΑΣΤ</t>
  </si>
  <si>
    <t>ΑΖ876358</t>
  </si>
  <si>
    <t>1073,6</t>
  </si>
  <si>
    <t>783-763-807-781-780-779-782-778-773-774-811-801</t>
  </si>
  <si>
    <t>ΝΙΚΟΛΙΤΣΑ</t>
  </si>
  <si>
    <t>ΚΩΣΤΟΠΟΥΛΟΥ</t>
  </si>
  <si>
    <t>ΑΕ701144</t>
  </si>
  <si>
    <t>922,9</t>
  </si>
  <si>
    <t>1072,9</t>
  </si>
  <si>
    <t>899-754-755-900-756-898-753-772-812-930-806-798-797</t>
  </si>
  <si>
    <t>ΣΚΟΜΠΑ</t>
  </si>
  <si>
    <t>ΕΥΑΓΓΕΛΗ</t>
  </si>
  <si>
    <t>ΑΜ366429</t>
  </si>
  <si>
    <t>801-784-800-813-773-774-782-781-780-779-778-768-769-770-814-783-757-758-764-765-759-760-785-786-787-788-789-790-791-792-793-794-795-796-805-751-752-753-754-755-756-802-803-775-776-762-763-771-799-808-797-798-811-812-810-809-807-806-804-766-767</t>
  </si>
  <si>
    <t>ΛΑΜΠΙΡΗ</t>
  </si>
  <si>
    <t>Ρ918692</t>
  </si>
  <si>
    <t>805-772-753-754-755-756-751-752-757-758-759-760-761-764-765-786-787-788-789-791-792-793-794-795-796-797-798-785-768-769-770-775-776-777-778-779-780-781-782-812</t>
  </si>
  <si>
    <t>ΑΒ838163</t>
  </si>
  <si>
    <t>801-784-813-800-778-779-780-781-782-773-774-808-799-811-814-937-761-757-758-759-760-785-786-787-788-789-790-791-792-793-794-795-796-768-769-770-762-751-752-764-765</t>
  </si>
  <si>
    <t>ΚΩΝΣΤΑΝΤΙΝΙΔΟΥ</t>
  </si>
  <si>
    <t>Π977769</t>
  </si>
  <si>
    <t>811-778-779-780-781-782-763-799</t>
  </si>
  <si>
    <t>ΜΑΔΕΜΤΖΗΣ</t>
  </si>
  <si>
    <t>Ρ749031</t>
  </si>
  <si>
    <t>782-781-779-780-778</t>
  </si>
  <si>
    <t>ΤΟΥΛΟΥΜΕΝΙΔΟΥ</t>
  </si>
  <si>
    <t>ΣΩΤΗΡΙΑ</t>
  </si>
  <si>
    <t>Ρ877008</t>
  </si>
  <si>
    <t>779-761-778-780-781-782-783-800-801-802-803-805-773-774-768-769-770-775</t>
  </si>
  <si>
    <t>ΚΑΛΤΣΟΥ</t>
  </si>
  <si>
    <t>ΑΙ383322</t>
  </si>
  <si>
    <t>1071,8</t>
  </si>
  <si>
    <t>ΛΑΜΠΡΙΑΝΙΔΟΥ</t>
  </si>
  <si>
    <t>ΠΑΡΑΣΚΕΥΑΣ</t>
  </si>
  <si>
    <t>ΑΜ137352</t>
  </si>
  <si>
    <t>1070,3</t>
  </si>
  <si>
    <t>759-786-787-794-796</t>
  </si>
  <si>
    <t>ΤΣΑΚΟΥΡΙΔΗΣ</t>
  </si>
  <si>
    <t>ΑΒ361509</t>
  </si>
  <si>
    <t>781-782-763-801-807-756-757-759-764-768-786-787-794-796-809-804-802</t>
  </si>
  <si>
    <t>ΑΒ716917</t>
  </si>
  <si>
    <t>1019,7</t>
  </si>
  <si>
    <t>1069,7</t>
  </si>
  <si>
    <t>780-779-782-781-778</t>
  </si>
  <si>
    <t>ΡΑΦΑΗΛΙΔΗΣ</t>
  </si>
  <si>
    <t>ΑΑ943004</t>
  </si>
  <si>
    <t>919,6</t>
  </si>
  <si>
    <t>1069,6</t>
  </si>
  <si>
    <t>801-768-802-764-786-787-794-796-781-782-757-763-804-807-809-761-751-752-753-754-755-756-758-759-760-765-769-770-772-773-774-775-776-777-778-779-780-783-784-785-788-789-790-791-792-793-795-800-803-813-814-762-771-797-798-799-806-808-810-811-812</t>
  </si>
  <si>
    <t>ΓΕΝΗΚΟΜΣΑΚΗ</t>
  </si>
  <si>
    <t>Ρ248601</t>
  </si>
  <si>
    <t>888,8</t>
  </si>
  <si>
    <t>1068,8</t>
  </si>
  <si>
    <t>766-767-809</t>
  </si>
  <si>
    <t>ΛΕΚΟΜΠΛΕ</t>
  </si>
  <si>
    <t>ΑΚ869948</t>
  </si>
  <si>
    <t>1038,4</t>
  </si>
  <si>
    <t>1068,4</t>
  </si>
  <si>
    <t>780-779-778-781-782-783-811-773-774-807-801-814-799-763</t>
  </si>
  <si>
    <t>ΚΟΛΙΟΠΑΝΟΥ</t>
  </si>
  <si>
    <t>Μ790573</t>
  </si>
  <si>
    <t>794-786-787-796-795-788-791-793-789-757-764-759-792-785-760-790</t>
  </si>
  <si>
    <t>ΧΑΤΖΑΚΗ</t>
  </si>
  <si>
    <t>ΒΑΙΑ</t>
  </si>
  <si>
    <t>ΑΝ319430</t>
  </si>
  <si>
    <t>801-781-782-784-764-768-773-774-813-814</t>
  </si>
  <si>
    <t>ΚΟΨΑΧΕΙΛΗ</t>
  </si>
  <si>
    <t>ΑΙ845872</t>
  </si>
  <si>
    <t>ΑΖ393877</t>
  </si>
  <si>
    <t>801-763-781-782-757-759-764-786-787-794-795-768-802-756</t>
  </si>
  <si>
    <t>ΒΑΣΙΛΕΙΟΥ</t>
  </si>
  <si>
    <t>Φ162639</t>
  </si>
  <si>
    <t>841-840-838-835-842-837-839-836-782-781-828-854-870-871-862-872-858-857-853-850-848-847-846-826-815-822-801-807-763-796-794-787-786-759-757-764-768-802-756-804-844-869-859-856-852-824-823-821-830-875-809-816-818-861-876-829-817-843-855-827-825</t>
  </si>
  <si>
    <t>ΠΑΝΕΛΛΑ</t>
  </si>
  <si>
    <t>ΑΓΑΘΗ</t>
  </si>
  <si>
    <t>ΑΚ276650</t>
  </si>
  <si>
    <t>781-782-801-763-784-796-794-786-787-764-807-809-804-768-756</t>
  </si>
  <si>
    <t>ΠΛΙΑΚΑ</t>
  </si>
  <si>
    <t>ΑΒ990984</t>
  </si>
  <si>
    <t>1066,5</t>
  </si>
  <si>
    <t>812-806-810-798-768-769</t>
  </si>
  <si>
    <t>ΣΤΕΦΑΝΟΠΟΥΛΟΥ</t>
  </si>
  <si>
    <t>ΑΕ807402</t>
  </si>
  <si>
    <t>1035,1</t>
  </si>
  <si>
    <t>1065,1</t>
  </si>
  <si>
    <t>801-751-752-754</t>
  </si>
  <si>
    <t>ΛΥΚΟΜΗΤΡΟΥ</t>
  </si>
  <si>
    <t>ΑΒ404826</t>
  </si>
  <si>
    <t>752-751-764-765</t>
  </si>
  <si>
    <t>ΚΟΛΛΙΑ</t>
  </si>
  <si>
    <t>Μ468228</t>
  </si>
  <si>
    <t>ΚΟΣΜΑ</t>
  </si>
  <si>
    <t>ΑΚ123229</t>
  </si>
  <si>
    <t>759-758-757-771-764-765-760-761-785-786-787-788-789-790-791-792-793-794-795-796-768-769-770-751-752-753-754-755-756-772-778-779-780-781-782-783-784-801-813-814-800-799-798-797-805-806-807-808-809-811-803-766-767-762-763-775-773-774-802-804-810-812</t>
  </si>
  <si>
    <t>ΝΑΤΣΙΚΟΥ</t>
  </si>
  <si>
    <t>ΜΑΡΙΑ-ΙΩΑΝΝΑ</t>
  </si>
  <si>
    <t>ΑΖ243662</t>
  </si>
  <si>
    <t>1064,4</t>
  </si>
  <si>
    <t>835-836-837-838-839-840-841-842-815-816-817-818-821-822-823-824-825-826-827-828-829-830-843-844-846-847-848-850-852-853-854-855-856-857-858-859-861-862-869-870-871-872-875-876-908-909-910-911-912-939-898-899-900-901-902-903-904-905-906-907-913-914-915-916-917-918-919-920-921-922-923-924-925-926-927-928-929-930-931-932-933-934-935-938-940-941-942-781-782-756-757-763-764-768-786-787-794-796-801-802-803-804-809</t>
  </si>
  <si>
    <t>ΑΚ258591</t>
  </si>
  <si>
    <t>884,4</t>
  </si>
  <si>
    <t>778-779-780-781-782-799-773-774-814-808-811-763-783-807-809-800-762-801-784-813-766-767-768-769-770-797-798-775-776-777-802-803-804-806-810-812-757-758-759-760-761-764-765-785-786-787-788-789-790-791-792-793-794-795-796-805-751-752-753-754-755-756-771-772</t>
  </si>
  <si>
    <t>ΜΠΟΥΣΚΑ</t>
  </si>
  <si>
    <t>Ξ878302</t>
  </si>
  <si>
    <t>914,1</t>
  </si>
  <si>
    <t>1064,1</t>
  </si>
  <si>
    <t>836-837-840-841-842-843-844-862-763-781-782-801-802-804-807-809</t>
  </si>
  <si>
    <t>ΛΟΥΠΟΥ</t>
  </si>
  <si>
    <t>ΑΖ927460</t>
  </si>
  <si>
    <t>ΠΑΣΤΡΟΥΜΑ</t>
  </si>
  <si>
    <t>ΑΗ123615</t>
  </si>
  <si>
    <t>793-785-791-790-789-788-786-787-796-794-795-758-759-760-792-765-757-764-770-769-768-752-751-813-805-754-755-756-778-779-780-781-782-753-772-814-776-777-802-803-783-784-801-773-774-800-775</t>
  </si>
  <si>
    <t>ΤΣΙΤΣΙΛΗ</t>
  </si>
  <si>
    <t>ΕΛΙΣΑΒΕΤ</t>
  </si>
  <si>
    <t>ΧΡΙΣΤΟΦΟΡΟΣ</t>
  </si>
  <si>
    <t>ΑΙ873648</t>
  </si>
  <si>
    <t>800-762-773-774-797-778-779-780-781-782-753-754-755-756-808-811-783-799-814-798-763</t>
  </si>
  <si>
    <t>Σ489207</t>
  </si>
  <si>
    <t>1063,7</t>
  </si>
  <si>
    <t>778-779-780-781-782-773-783-801-784-774-757-758-759-760-764-765-785-787-788-789-790-791-792-793-794-795-814-796-813</t>
  </si>
  <si>
    <t>ΝΤΟΥΓΙΑ</t>
  </si>
  <si>
    <t>Τ910223</t>
  </si>
  <si>
    <t>863,5</t>
  </si>
  <si>
    <t>1063,5</t>
  </si>
  <si>
    <t>801-781</t>
  </si>
  <si>
    <t>ΒΡΑΝΟΥ</t>
  </si>
  <si>
    <t>Χ796938</t>
  </si>
  <si>
    <t>756-781-782-759-764-786-787-794-796-757-768-809-763-807-801</t>
  </si>
  <si>
    <t>ΛΙΑΡΟΥ</t>
  </si>
  <si>
    <t>ΑΖ221314</t>
  </si>
  <si>
    <t>828-824-823-827-845-871-870-854-850-826-847-853-858-846-822-829-848-872-857-859-856-852-821-855-825-820-849-851-757-758-759-760-761-764-765-786-787-788-789-790-791-792-793-794-795-796</t>
  </si>
  <si>
    <t>ΜΕΣΕΡΔΗ</t>
  </si>
  <si>
    <t>ΑΙ376812</t>
  </si>
  <si>
    <t>811-783-779-780-781-782-814</t>
  </si>
  <si>
    <t>ΤΣΙΑΚΑΡΑ</t>
  </si>
  <si>
    <t>ΑΚ412606</t>
  </si>
  <si>
    <t>ΧΑΤΖΗΚΩΝΣΤΑΝΤΙΝΟΥ</t>
  </si>
  <si>
    <t>Χ068789</t>
  </si>
  <si>
    <t>1061,8</t>
  </si>
  <si>
    <t>757-759-786-787-794-796-764</t>
  </si>
  <si>
    <t>ΖΕΛΙΛΙΔΟΥ</t>
  </si>
  <si>
    <t>ΕΥΘΥΜΙΑ</t>
  </si>
  <si>
    <t>Ξ910528</t>
  </si>
  <si>
    <t>781-782-780-779-778</t>
  </si>
  <si>
    <t>ΙΩΑΝΝΙΔΟΥ</t>
  </si>
  <si>
    <t>ΕΥΡΙΔΙΚΗ</t>
  </si>
  <si>
    <t>ΑΗ388929</t>
  </si>
  <si>
    <t>763-783</t>
  </si>
  <si>
    <t>ΛΕΜΟΝΗΣ</t>
  </si>
  <si>
    <t>ΤΡΥΦΩΝ</t>
  </si>
  <si>
    <t>Χ750663</t>
  </si>
  <si>
    <t>ΖΑΜΠΑΚΑ</t>
  </si>
  <si>
    <t>ΧΡΥΣΟΒΑΛΑΝΤΟΥ</t>
  </si>
  <si>
    <t>ΑΗ291255</t>
  </si>
  <si>
    <t>762-773-774-778-779-780-781-782-800-808</t>
  </si>
  <si>
    <t>ΣΑΒΒΑΣ</t>
  </si>
  <si>
    <t>ΑΗ161485</t>
  </si>
  <si>
    <t>ΚΟΤΡΩΝΗ</t>
  </si>
  <si>
    <t>ΑΖ494691</t>
  </si>
  <si>
    <t>794-764-765-758-757-759-795-786-787-792-789-790-791-788-793-796-760-785-754-755-756</t>
  </si>
  <si>
    <t>ΚΥΡΙΑΚΑΤΟΥ</t>
  </si>
  <si>
    <t>ΝΑΥΣΙΚΑ</t>
  </si>
  <si>
    <t>Σ142843</t>
  </si>
  <si>
    <t>1060,7</t>
  </si>
  <si>
    <t>798-752-758-753-751-759-768-772-783-786-791-792-789-785-796-793-790-770-794-795-788-801-781-780-776-782-805-803-802-784-754-755-812</t>
  </si>
  <si>
    <t>ΑΡΓΥΡΟΠΟΥΛΟΥ</t>
  </si>
  <si>
    <t>Χ480194</t>
  </si>
  <si>
    <t>809-807-804-802-801-768-756-763-757-759-764-781-782-786-787-794-796</t>
  </si>
  <si>
    <t>ΧΑΤΖΗΑΝΤΩΝΙΟΥ</t>
  </si>
  <si>
    <t>ΑΗ573439</t>
  </si>
  <si>
    <t>761-796-792-794-795-787-786-790-789-793-785-788-791</t>
  </si>
  <si>
    <t>ΜΠΕΛΛΑ</t>
  </si>
  <si>
    <t>ΑΖ024127</t>
  </si>
  <si>
    <t>787-791-786-788-793-796-759-757-758-785-760-764-765-794-795</t>
  </si>
  <si>
    <t>ΣΑΛΟΝΙΚΙΔΟΥ</t>
  </si>
  <si>
    <t>ΑΜ174716</t>
  </si>
  <si>
    <t>1059,6</t>
  </si>
  <si>
    <t>787-794-786-796-757-759-764</t>
  </si>
  <si>
    <t>ΚΑΛΕΝΤΖΗ</t>
  </si>
  <si>
    <t>ΣΤΥΛΙΑΝΟΣ</t>
  </si>
  <si>
    <t>ΑΒ381667</t>
  </si>
  <si>
    <t>1059,3</t>
  </si>
  <si>
    <t>756-755-754-753-772</t>
  </si>
  <si>
    <t>ΔΕΒΡΑ</t>
  </si>
  <si>
    <t>ΦΙΛΙΠΠΟΣ</t>
  </si>
  <si>
    <t>ΑΖ847653</t>
  </si>
  <si>
    <t>811-763-799-782-781-778-779-780</t>
  </si>
  <si>
    <t>ΧΝΑΡΑΚΗ</t>
  </si>
  <si>
    <t>Ν970981</t>
  </si>
  <si>
    <t>756-757-759-763-764-768-781-782-786-787-794-796-801-802-804-807-809</t>
  </si>
  <si>
    <t>ΑΙ001047</t>
  </si>
  <si>
    <t>757-793-790-758-759-760-764-765-786-787-785-788-789-792-796-794-795</t>
  </si>
  <si>
    <t>ΤΑΝΤΑΛΙΔΟΥ</t>
  </si>
  <si>
    <t>ΑΗ704079</t>
  </si>
  <si>
    <t>755-756-754-753-796-759-758-787-786-789-760-792-790-793-791-788-757-785-794-795-765-764-752-751-772-801-813-778-780-779-781-782-805-770-768-769-775-777-776-784-802-803-774-773-783-814-797-798-812-806-771-810-800</t>
  </si>
  <si>
    <t>ΖΗΣΙΜΟΠΟΥΛΟΥ</t>
  </si>
  <si>
    <t>ΑΜ589533</t>
  </si>
  <si>
    <t>796-795-794-785-786-787-788-789-790-791-792-793-757-758-759-760-761-764-765-755-756-754-753-768-769-770-771-778-779-780-781-782-801-772-805-783-814-812-810-807-808-806-775-776-777-751-752-802-803-804-811-813-809-800-773-797-798-799-784-762-763-766-767</t>
  </si>
  <si>
    <t>ΤΡΙΑΝΤΑΦΥΛΛΙΔΟΥ</t>
  </si>
  <si>
    <t>ΑΜ604290</t>
  </si>
  <si>
    <t>786-787-791-794-795-785-789-788-765-764-790-757-760-758-759-792-793-796</t>
  </si>
  <si>
    <t>ΜΑΚΡΗ</t>
  </si>
  <si>
    <t>ΑΚΡΙΒΗ</t>
  </si>
  <si>
    <t>ΑΜ411231</t>
  </si>
  <si>
    <t>1057,5</t>
  </si>
  <si>
    <t>782-794-809-802-804-807-759-768-756-757-787-796-786-761-775-776-777-778-779-780-783-784-785-788-789-790-791-792-793-795-797-798-799-800-803-805-808-810-811-812-814-813-774-773-771-772-770-769-765-766-767-762-760-758-755-754-753-752-751</t>
  </si>
  <si>
    <t>ΚΛΗΤΗΡΑ</t>
  </si>
  <si>
    <t>Ρ894258</t>
  </si>
  <si>
    <t>1027,4</t>
  </si>
  <si>
    <t>1057,4</t>
  </si>
  <si>
    <t>801-787-786-790-794-795-796-793-788-789-791-792-785-758-759-757-760-764-765-781-782-780-779-778-814-773-811-783-784-768-769-770-797-799-752-804-812-810-806</t>
  </si>
  <si>
    <t>ΣΤΑΜΑΤΙΑΔΟΥ</t>
  </si>
  <si>
    <t>ΑΙ722953</t>
  </si>
  <si>
    <t>780-782-779-781-778</t>
  </si>
  <si>
    <t>ΣΤΕΡΓΙΟΥ</t>
  </si>
  <si>
    <t>ΑΖ271370</t>
  </si>
  <si>
    <t>801-784-800-808-780-810</t>
  </si>
  <si>
    <t>ΚΟΝΤΟΓΙΩΡΓΟΥ</t>
  </si>
  <si>
    <t xml:space="preserve">ΕΛΕΝΗ </t>
  </si>
  <si>
    <t>Σ257675</t>
  </si>
  <si>
    <t>786-788-787-796-795-789-791-793-790-792-785-757-759-758</t>
  </si>
  <si>
    <t>ΝΙΚΗΤΟΠΟΥΛΟΥ</t>
  </si>
  <si>
    <t>Φ029675</t>
  </si>
  <si>
    <t>794-795-796-793-792-791-790-789-788-787-786-785-757-758-759-760-761-783-764-765-766-767-809-811-763-807-781-782-780-779-778-808-762-799-800-773-774-806-812-810-813-936-814-801-805-804-803-802-775-776-777-797-798-772-753-754-755-756-771-751-752-768-769-770-784</t>
  </si>
  <si>
    <t>ΜΟΥΡΑΤΙΔΟΥ</t>
  </si>
  <si>
    <t>ΓΑΛΗΝΗ</t>
  </si>
  <si>
    <t>ΑΗ298094</t>
  </si>
  <si>
    <t>780-781-782-779-937-778-762-777-775-776-800-791-761-794-795-796-801-814-799-765-757-758-759-773-783-785-790-806-807-809-813-763-767-811-797-793</t>
  </si>
  <si>
    <t>ΚΑΜΑΝΑΤΖΗ</t>
  </si>
  <si>
    <t>ΚΟΣΜΑΣ</t>
  </si>
  <si>
    <t>ΑΕ841786</t>
  </si>
  <si>
    <t>905,3</t>
  </si>
  <si>
    <t>1055,3</t>
  </si>
  <si>
    <t>815-819-820-823-824-825-826-827-828-829-830-833-845-846-847-848-849-850-851-852-853-854-856-857-858-859-863-870-871-872-876-877-816-818-861-865-875-843-844-862-839-838-837-836-835-842-840-841-855-817-821-822-768-802-796-794-787-786-764-757-756-801-781-782-759</t>
  </si>
  <si>
    <t>ΚΟΤΣΙΟΥ</t>
  </si>
  <si>
    <t>ΑΝΙΤΑ</t>
  </si>
  <si>
    <t>ΑΧΙΛΛΕΑΣ</t>
  </si>
  <si>
    <t>ΑΚ637434</t>
  </si>
  <si>
    <t>874,5</t>
  </si>
  <si>
    <t>1054,5</t>
  </si>
  <si>
    <t>761-794-795-796-787-791-785-786-788-790-793-792-757-758-759-789-760-764-765</t>
  </si>
  <si>
    <t>ΘΕΟΔΩΡΟΥ</t>
  </si>
  <si>
    <t>ΑΚ666271</t>
  </si>
  <si>
    <t>904,2</t>
  </si>
  <si>
    <t>1054,2</t>
  </si>
  <si>
    <t>757-758-759-760-785-786-787-791-789-790-792-793-794-795-796-788-764-765-761-751-752-753-754-755-756-768-769-770-805-801-772-773-774-775-776-777-778-779-780-781-782-783-784-814-813-800-802-803</t>
  </si>
  <si>
    <t>ΔΟΥΒΛΗ</t>
  </si>
  <si>
    <t>ΔΗΜΗΤΡΟΥΛΑ</t>
  </si>
  <si>
    <t>ΑΜ595079</t>
  </si>
  <si>
    <t>1054,1</t>
  </si>
  <si>
    <t>761-757-758-759-786-787-788-789-790-791-792-794-795-796-793-760-785-765-764-782-781-779-778-814-811-797-806-801-756-755-754-753-752-751-762-763-774-784-812-800-799-768-769-770-773-776-777-775-802-803-805-804-807-808-809-813-810-798-772-771-783-767-766</t>
  </si>
  <si>
    <t>ΘΕΟΥ</t>
  </si>
  <si>
    <t>ΑΙ654758</t>
  </si>
  <si>
    <t>757-759-764-765-787-786-794-796-791-760-758-788-789-790-792-793-795</t>
  </si>
  <si>
    <t>ΣΠΑΝΟΥ</t>
  </si>
  <si>
    <t>ΑΕ767084</t>
  </si>
  <si>
    <t>1053,8</t>
  </si>
  <si>
    <t>ΗΛΟΥΣΗ</t>
  </si>
  <si>
    <t>ΑΑ794232</t>
  </si>
  <si>
    <t>763-781-782-787-756-757-759-764-768-786-794-796-801-802</t>
  </si>
  <si>
    <t>ΚΟΥΡΕΜΕΝΟΥ</t>
  </si>
  <si>
    <t>ΑΕ277980</t>
  </si>
  <si>
    <t>761-797-801-778-766-781-782-780-779-762-759-758</t>
  </si>
  <si>
    <t>ΚΑΡΓΑΤΖΗ</t>
  </si>
  <si>
    <t>ΡΟΔΑΝΘΗ</t>
  </si>
  <si>
    <t>ΑΙ456188</t>
  </si>
  <si>
    <t>803-802-777-776</t>
  </si>
  <si>
    <t>ΑΝΤΩΝΟΠΟΥΛΟΥ</t>
  </si>
  <si>
    <t>ΑΚ733443</t>
  </si>
  <si>
    <t>772-756-755-754-787-786-785-788-789-790-791-792-793-764-765-761-760-759-794-795-796-927-805-751-752-929-801-928-933-782-781-780-779-778-937-804-936-775-776-777-802-803</t>
  </si>
  <si>
    <t>ΖΟΥΜΑ</t>
  </si>
  <si>
    <t>ΗΛΙΟΥΛΑ</t>
  </si>
  <si>
    <t>Ν889425</t>
  </si>
  <si>
    <t>813-772-773-774-779-780-781-782-784-757-759-764-765-768-770-795-794-792-791-800-801-805-814-783-751-752-755-756</t>
  </si>
  <si>
    <t>ΤΖΩΡΤΖΗ</t>
  </si>
  <si>
    <t>ΠΟΛΥΤΙΜΗ</t>
  </si>
  <si>
    <t>ΑΙ007681</t>
  </si>
  <si>
    <t>771-804-936-809-807-763-762-773-774-808-811-814-937-766-767-778-779-780-781-782-799-800-802-803-775-776-777-810-806-812-798-751-752-753-754-756-813-784-768-769-770-794-795-796-757-758-760-785-786-787-788-789-790-791-792-793-764-765</t>
  </si>
  <si>
    <t>ΝΑΚΑ</t>
  </si>
  <si>
    <t>ΑΖ021268</t>
  </si>
  <si>
    <t>1050,8</t>
  </si>
  <si>
    <t>791-786-787-785-789-795-794-788-790-792-793-796-760-757-764-765</t>
  </si>
  <si>
    <t>ΓΙΑΝΝΑΚΗ</t>
  </si>
  <si>
    <t>ΧΡΥΣΑΝΘΗ</t>
  </si>
  <si>
    <t>Χ722963</t>
  </si>
  <si>
    <t>787-786-791-793-788-789-785-792-794-795-764-765-796-760-759-758-757</t>
  </si>
  <si>
    <t>ΚΟΥΤΣΙΛΟΠΟΥΛΟΣ</t>
  </si>
  <si>
    <t>ΑΚ430293</t>
  </si>
  <si>
    <t>801-757-759-761-762-768-769-781-782-786-787-794-796-804-807-809-784</t>
  </si>
  <si>
    <t>ΤΟΥΡΛΗ</t>
  </si>
  <si>
    <t>ΑΜ761591</t>
  </si>
  <si>
    <t>786-787-758-796-795-794-788-791-793-759-785-789-792-757-760-753-754-756-755-752-751-764-765-781-778-782-779-780-814-801-784-798-797-768-769-770-771-772-773-774-762-800-799-811-805-808-812-810-806-803-802-775-776-777-813-807-783-809-763-767-766-804</t>
  </si>
  <si>
    <t>ΣΑΚΕΛΛΑΡΙΟΥ</t>
  </si>
  <si>
    <t>Π615424</t>
  </si>
  <si>
    <t>899,8</t>
  </si>
  <si>
    <t>1049,8</t>
  </si>
  <si>
    <t>759-758-757-760-790-791-788-787-786-793-785-789</t>
  </si>
  <si>
    <t>ΓΟΥΣΙΟΥ</t>
  </si>
  <si>
    <t>ΧΡΥΣΟΒΑΛΑΝΤΟΥ ΕΛΠΙΝΙΚΗ</t>
  </si>
  <si>
    <t>ΑΕ862469</t>
  </si>
  <si>
    <t>1049,7</t>
  </si>
  <si>
    <t>811-778-779-780-781-782-797-799-801-806-807-810-812-814-813-808-809-805-804-803-802-800-798-783-777-776-775-751-752-753-754-755-756-762-763-766-767-768-769-770-771-772-773-774</t>
  </si>
  <si>
    <t>ΕΥΘΥΜΙΑΔΟΥ</t>
  </si>
  <si>
    <t>ΒΑΡΒΑΡΑ</t>
  </si>
  <si>
    <t>Φ470412</t>
  </si>
  <si>
    <t>1049,4</t>
  </si>
  <si>
    <t>800-773-774-778-779-780-781-782-801-814-783-784-768-769-770-751-752-753-754-755-756-757-758-759-760-762-763-764-765-766-767-771-772-775-776-777-785-786-787-788-789-790-791-792-793-794-795-796-797-798-799-802-803-804-805-806-807-808-809-810-811-812-813</t>
  </si>
  <si>
    <t>ΖΑΧΑΡΑΚΗ</t>
  </si>
  <si>
    <t>ΑΑ431109</t>
  </si>
  <si>
    <t>801-794-781-782-786-787-757-759-768-764-796-756-811-813-800-814-775-776-777-785-788-789-790-791-792-793-769-770-772-773-774-751-753-754-755-758-760-762-763-766-767-783-804-805-806-807-808-809-810-795-797-798-799-752</t>
  </si>
  <si>
    <t>ΔΑΛΑΜΑΓΚΑ</t>
  </si>
  <si>
    <t>ΑΗ562549</t>
  </si>
  <si>
    <t>890-889-891-888-882-759-757-786-787-794-796-764-758-793-790-788-795-791-789-785-760-792-765</t>
  </si>
  <si>
    <t>ΚΑΡΥΩΤΟΥ</t>
  </si>
  <si>
    <t>ΟΔΥΣΣΕΑΣ</t>
  </si>
  <si>
    <t>Χ265432</t>
  </si>
  <si>
    <t>ΚΑΤΣΟΥΛΑΚΗ</t>
  </si>
  <si>
    <t>ΑΗ463648</t>
  </si>
  <si>
    <t>794-791-785-786-787-788-789-790-792-793-795-796-757-758-759-760-764-765</t>
  </si>
  <si>
    <t>ΗΛΙΟΚΑΥΤΟΥ</t>
  </si>
  <si>
    <t>ΑΡΣΙΝΟΗ</t>
  </si>
  <si>
    <t>ΑΕ700821</t>
  </si>
  <si>
    <t>848,1</t>
  </si>
  <si>
    <t>1048,1</t>
  </si>
  <si>
    <t>751-752-753-754-755-756-757-758-759-760-762-763-764</t>
  </si>
  <si>
    <t>ΜΠΟΥΓΑ</t>
  </si>
  <si>
    <t>Τ269249</t>
  </si>
  <si>
    <t>1047,5</t>
  </si>
  <si>
    <t>ΓΚΑΙΤΑΤΖΗ</t>
  </si>
  <si>
    <t>ΑΕ201156</t>
  </si>
  <si>
    <t>767-781-782-778-779-780-801-761-794-814-766-809</t>
  </si>
  <si>
    <t>ΙΓΓΛΕΖΟΥ</t>
  </si>
  <si>
    <t>ΑΙ840863</t>
  </si>
  <si>
    <t>896,5</t>
  </si>
  <si>
    <t>1046,5</t>
  </si>
  <si>
    <t>862-844-801-784-780-782-781-778-779</t>
  </si>
  <si>
    <t>ΜΑΥΡΑΤΖΑ</t>
  </si>
  <si>
    <t>ΚΑΛΛΙΠΟΛΙΤΗΣ</t>
  </si>
  <si>
    <t>ΑΙ395730</t>
  </si>
  <si>
    <t>783-763-807-811-809-766-767-782-781-780-779-778-799-814-937-773-774-808-801-800-784-762-771-813-785-786-787-788-789-790-791-792-793-794-795-796-757-758-759-760-761-764-765-768-769-770-751-752-753-754-755-756-772-805-797-798-804-936-806-810-812-775-776-777-802-803</t>
  </si>
  <si>
    <t>ΚΟΥΡΚΟΥΡΙΚΗ</t>
  </si>
  <si>
    <t>ΑΜ868422</t>
  </si>
  <si>
    <t>808-779-780-781-782-778-800-773-774-814-783-801-784-768-769-770-813-805-775-776-777-802-803-751-752-753-754-755-756</t>
  </si>
  <si>
    <t>ΦΑΝΤΑΟΥΤΣΑΚΗ</t>
  </si>
  <si>
    <t>ΑΖ104258</t>
  </si>
  <si>
    <t>794-795-796-786-787-788-792-793-789-790</t>
  </si>
  <si>
    <t>ΠΑΡΑΣΚΕΥΟΠΟΥΛΟΥ</t>
  </si>
  <si>
    <t>ΑΒ764943</t>
  </si>
  <si>
    <t>753-754-755-756-757-758-759-760-761-772-785-786-787-788-789-790-791-792-793-794-795-796</t>
  </si>
  <si>
    <t xml:space="preserve">ΣΠΗΛΙΩΤΗ </t>
  </si>
  <si>
    <t xml:space="preserve">ΜΙΧΑΛΙΤΣΑ </t>
  </si>
  <si>
    <t xml:space="preserve">ΑΝΑΣΤΑΣΙΟΣ </t>
  </si>
  <si>
    <t>ΑΙ212934</t>
  </si>
  <si>
    <t>754-753-755-756-772</t>
  </si>
  <si>
    <t>ΜΠΙΚΕΡΗΣ</t>
  </si>
  <si>
    <t>ΑΕ338565</t>
  </si>
  <si>
    <t>801-784-782-775-813-803-802-794-787-781-777-776-768</t>
  </si>
  <si>
    <t>ΒΑΡΣΑΜΗ</t>
  </si>
  <si>
    <t>ΑΙ318014</t>
  </si>
  <si>
    <t>801-768-781-782-786-787-796-780-784-794</t>
  </si>
  <si>
    <t>ΓΡΑΜΜΕΝΟΥ</t>
  </si>
  <si>
    <t>ΕΥΜΟΡΦΙΑ</t>
  </si>
  <si>
    <t>ΠΟΛΥΧΡΟΝΗΣ</t>
  </si>
  <si>
    <t>ΑΜ884730</t>
  </si>
  <si>
    <t>814-778-779-780-781-782-799-783-773-774-811-784-801-800-808-807-809-758-759-760-785-786-787-788-789-790-791-792-793-794-795-796-764-765-768-769-770-805-772-776-777-802-803-763-762-766-767-771-797-798</t>
  </si>
  <si>
    <t>ΚΛΩΤΣΟΤΥΡΑ</t>
  </si>
  <si>
    <t>Π870638</t>
  </si>
  <si>
    <t>768-769-770-800-802-764</t>
  </si>
  <si>
    <t>ΤΖΟΥΜΑ</t>
  </si>
  <si>
    <t>ΓΑΡΥΦΑΛΛΙΑ</t>
  </si>
  <si>
    <t>ΑΖ176366</t>
  </si>
  <si>
    <t>778-779-780-781-782-801-786-787-794-757-759</t>
  </si>
  <si>
    <t>ΜΑΚΑΝΙΚΑ</t>
  </si>
  <si>
    <t>ΑΚ931195</t>
  </si>
  <si>
    <t>778-779-780-781-782-773-774-762-811-763-766-767-808-809-813-814-807-757-758-759-760-761-764-765-768-769-770-771-772-775-776-777-783-784-785-786-787-788-789-790-791-792-793-794-795-796-797-798-799-800-801-802-803-804-805-806-810-751-752-753-754-755-756</t>
  </si>
  <si>
    <t>ΚΟΥΡΚΟΥΛΙΩΤΗ</t>
  </si>
  <si>
    <t>ΘΕΜΙΣΤΟΚΛΗΣ</t>
  </si>
  <si>
    <t>Χ647801</t>
  </si>
  <si>
    <t>791-792-793-794-795-796-789-790-788-787-786-785-757-759-758-764-765-760-770-768</t>
  </si>
  <si>
    <t>ΣΑΛΙΓΚΑΡΑ</t>
  </si>
  <si>
    <t>ΑΑ427965</t>
  </si>
  <si>
    <t>801-791-781-794-782-795-785-786-788-784-787</t>
  </si>
  <si>
    <t>ΠΑΠΑΒΑΣΙΛΕΙΟΥ</t>
  </si>
  <si>
    <t>ΑΝΑΣΤΑΣΙΑ ΜΑΡΓΑΡΙΤΑ</t>
  </si>
  <si>
    <t>ΑΕ075909</t>
  </si>
  <si>
    <t>ΛΙΑΜΕΤΗ</t>
  </si>
  <si>
    <t>Ρ775883</t>
  </si>
  <si>
    <t>797-756-755-754-772-751-752-781-782-786-787-764</t>
  </si>
  <si>
    <t>ΑΓΓΑΝΗΣ</t>
  </si>
  <si>
    <t>ΑΗ235306</t>
  </si>
  <si>
    <t>794-795-786-787-793-789-791-790-796-788-785-757-758-805-759-760-764-765-753-754-755-756-751-752</t>
  </si>
  <si>
    <t>ΗΛΙΑΔΟΥ</t>
  </si>
  <si>
    <t>ΑΗ820064</t>
  </si>
  <si>
    <t>782-781-801-768-802</t>
  </si>
  <si>
    <t>ΑΗ761657</t>
  </si>
  <si>
    <t>801-928</t>
  </si>
  <si>
    <t>ΚΑΡΟΥΣΟΥ</t>
  </si>
  <si>
    <t>Φ272759</t>
  </si>
  <si>
    <t>798-785-791-787-793-794-786-789-792-796-790-795-758-759-763-800-776-779-774-768-772-781-773-764-765-769-770-780-775-777-778</t>
  </si>
  <si>
    <t>ΚΟΥΛΙΖΟΥ</t>
  </si>
  <si>
    <t>Χ673104</t>
  </si>
  <si>
    <t>785-786-787-788-789-790-791-792-793-794-795-796-759-760-761-764-765-757-758</t>
  </si>
  <si>
    <t>ΙΩΣΗΦΙΔΟΥ</t>
  </si>
  <si>
    <t>ΕΥΑ</t>
  </si>
  <si>
    <t>ΑΕ582743</t>
  </si>
  <si>
    <t>ΣΙΜΟΓΛΑΚΗ</t>
  </si>
  <si>
    <t>ΑΚ303380</t>
  </si>
  <si>
    <t>788-786-787-791-757-794-759-796-758-765-785-795-793-760-789-790-792-764</t>
  </si>
  <si>
    <t>ΠΑΤΣΑΡΟΥΧΑΣ</t>
  </si>
  <si>
    <t>ΑΖ979655</t>
  </si>
  <si>
    <t>1044,9</t>
  </si>
  <si>
    <t>ΤΟΖΟΥ</t>
  </si>
  <si>
    <t>ΑΕ041563</t>
  </si>
  <si>
    <t>993,3</t>
  </si>
  <si>
    <t>1043,3</t>
  </si>
  <si>
    <t>786-787-794</t>
  </si>
  <si>
    <t>ΝΥΧΤΕΡΙΔΑ</t>
  </si>
  <si>
    <t>ΖΩΓΡΑΦΙΑ</t>
  </si>
  <si>
    <t>ΑΖ637225</t>
  </si>
  <si>
    <t>1043,1</t>
  </si>
  <si>
    <t>786-787-788-791-795-794-789-790-793-785-792-796-758-759-757-760-764-765-784-801-781-782-780-778-779-768-769-770-772-751-752-753-754-755-756-805-775-776-777-813-814-802-803-800-783-773-774-762-763-797-798-799-771-766-767-804-807-808-809-810-811-812</t>
  </si>
  <si>
    <t>ΔΑΡΕΛΛΑ</t>
  </si>
  <si>
    <t>ΔΑΜΙΑΝΟΣ</t>
  </si>
  <si>
    <t>ΑΕ916957</t>
  </si>
  <si>
    <t>767-766-809-807-783-811-763-810-778-779-780-781-782-814-812-797-798-799-773-774-775-776-777-802-803-806-813</t>
  </si>
  <si>
    <t>ΚΟΤΙΔΟΥ</t>
  </si>
  <si>
    <t>ΑΙ726504</t>
  </si>
  <si>
    <t>892,1</t>
  </si>
  <si>
    <t>1042,1</t>
  </si>
  <si>
    <t>835-836-837-838-840-841-842-778-779-780-781-782-808</t>
  </si>
  <si>
    <t>ΧΑΝΔΟΛΙΑΣ</t>
  </si>
  <si>
    <t>ΑΚ390514</t>
  </si>
  <si>
    <t>784-773-774-756-755-754-782-781-780-779-778-753-772-787-796-757-759-761-764-768-800-813-785-786-788-789-790-791-792-793-794-795-805-814-801-752-751-758-760-765-783-769-770-775-776-777-802-803-797-762-771-808-798-799-807-763-811-809-767-812-806-810-804-766</t>
  </si>
  <si>
    <t>ΚΑΤΡΑ</t>
  </si>
  <si>
    <t>ΑΕ460532</t>
  </si>
  <si>
    <t>775-777-776-802-803-778-779-780-781-782-806</t>
  </si>
  <si>
    <t>ΑΜ131091</t>
  </si>
  <si>
    <t>1040,9</t>
  </si>
  <si>
    <t>794-757-759-786-787-788-785-789-790-791-792-795-796-760-764-765-758-761-768</t>
  </si>
  <si>
    <t>ΖΑΦΕΙΡΟΠΟΥΛΟΥ</t>
  </si>
  <si>
    <t>ΑΒ226008</t>
  </si>
  <si>
    <t>757-758-759-760-761-764-765-785-786-787-788-789-790-791-792-793-794-795-796</t>
  </si>
  <si>
    <t>ΤΑΝΤΣΗΣ</t>
  </si>
  <si>
    <t>Χ181966</t>
  </si>
  <si>
    <t>761-786-796-794-795-785-788-787-789-790-792-791-793</t>
  </si>
  <si>
    <t>ΝΙΚΟΛΑΙΔΟΥ</t>
  </si>
  <si>
    <t>ΑΚ276371</t>
  </si>
  <si>
    <t>782-780-779-781-778-799-808-773-811-774</t>
  </si>
  <si>
    <t>ΜΥΛΩΝΑ</t>
  </si>
  <si>
    <t>Σ590745</t>
  </si>
  <si>
    <t>789-790-791-793-794-795-796-785-792-759-761</t>
  </si>
  <si>
    <t>ΠΟΔΑΡΑ</t>
  </si>
  <si>
    <t>ΑΒ104497</t>
  </si>
  <si>
    <t>844-862-875-839-840-841-842-819-835-837-838-801-784-781-782-773-774</t>
  </si>
  <si>
    <t>ΑΝΑΓΝΩΣΤΟΥ</t>
  </si>
  <si>
    <t>ΑΒ337357</t>
  </si>
  <si>
    <t>1039,8</t>
  </si>
  <si>
    <t>786-787-794-796-764</t>
  </si>
  <si>
    <t>ΤΣΟΚΑ</t>
  </si>
  <si>
    <t>ΑΒ034623</t>
  </si>
  <si>
    <t>757-760-785-787-788-790-792-793-794-796-795-789-786-758-759</t>
  </si>
  <si>
    <t>ΜΠΙΘΙΓΚΟΤΖΗ</t>
  </si>
  <si>
    <t>ΑΜ558205</t>
  </si>
  <si>
    <t>787-786-791-789-788-760-792-764-790-794-795-796-785-793-759-758-757</t>
  </si>
  <si>
    <t>ΑΘΟΥΣΑ</t>
  </si>
  <si>
    <t>ΑΖ430648</t>
  </si>
  <si>
    <t>ΖΗΦΚΑΣ</t>
  </si>
  <si>
    <t>ΜΗΝΑΣ</t>
  </si>
  <si>
    <t>ΑΖ310912</t>
  </si>
  <si>
    <t>ΚΛΕΟΠΑΤΡΑ</t>
  </si>
  <si>
    <t>ΑΒ367990</t>
  </si>
  <si>
    <t>781-782-908-911-778-779-780-909-910-912-939-808-814-799-940-941-924-923-773-801-783-807-811-913-925-928-938-809-914-929-931-933-784-800-926-935-762-763-774-797-798-802-803-804-805-751-752-753-754-755-756-757-758-759-760-764-765-766-767-768-769-770-772-775-776-777-785-786-787-788-789-790-791-792-793-794-795-796-806-810-812-813-898-899-900-901-902-903-904-905-907-906-915-916-917-918-920-921-922-927-930-934-936</t>
  </si>
  <si>
    <t>ΤΣΩΛΑ</t>
  </si>
  <si>
    <t>ΑΚ387583</t>
  </si>
  <si>
    <t>755-754-756-797-781-782-778-779-780-768-769-770-757-758-759-760-761-785-786-787-788-789-790-791-792-793-794-795-796-798-813-764-765-752</t>
  </si>
  <si>
    <t>ΧΟΝΔΡΟΓΙΑΝΝΗ</t>
  </si>
  <si>
    <t>Σ981170</t>
  </si>
  <si>
    <t>887,7</t>
  </si>
  <si>
    <t>1037,7</t>
  </si>
  <si>
    <t>799-813-808-771-778-779-780-781-782-766-767-819-801-807-809-768-769-770-784-783-763-762-773-774-772-805-811-800-816-817-818-751-752-753-754-755-756-814-757-758-815-820-821-794-795-796-785-786-787-788-789-790-791-792-793-759-760-761-764-765-775-776-777-802-803-797-798-804-810-812-806-875-862-831-865-830-835-836-837-838-839-840-841-842-870-871-858-859-822-823-824-825-826-828-829-845-846-847-848-849-850-851-852-853-854-855-856-857-868-869-861-843-844-872-873-874-876-877-878-863-867-832-833-834-860-864-866-879</t>
  </si>
  <si>
    <t>ΛΙΟΛΙΟΥ</t>
  </si>
  <si>
    <t>ΛΟΥΙΖΑ</t>
  </si>
  <si>
    <t>ΑΚ234097</t>
  </si>
  <si>
    <t>794-795-793-796-791-792-790-789-788-787-786-785-760-761-758-757-759-764-765</t>
  </si>
  <si>
    <t>ΑΜ872035</t>
  </si>
  <si>
    <t>1037,6</t>
  </si>
  <si>
    <t>801-809-807-802-804-768-763-764-781-782-786-787-794-796-759-757-756</t>
  </si>
  <si>
    <t>ΤΣΑΔΗΜΑ</t>
  </si>
  <si>
    <t>Τ060418</t>
  </si>
  <si>
    <t>1037,3</t>
  </si>
  <si>
    <t>785-788-791-792-793-789-790-796-786-787-757-794-795-759-758-760-765</t>
  </si>
  <si>
    <t>ΤΣΟΛΑΚΗ</t>
  </si>
  <si>
    <t>ΑΗ157920</t>
  </si>
  <si>
    <t>757-773-774-778-779-780-781-782-786-787-791-796-799-801-808-814</t>
  </si>
  <si>
    <t>ΚΑΛΑΜΠΑΛΙΚΗ</t>
  </si>
  <si>
    <t>Ρ347562</t>
  </si>
  <si>
    <t>778-779-780-782-781-783-773-774-814-800-801-813-784-768-769-770-796-789-787-788-786-792-785-791-790-759-760-764-765-754-753-755-756-752-751-757-758-793-772-775-776-777-802-803-805</t>
  </si>
  <si>
    <t>ΤΣΑΠΙΚΟΥΝΗ</t>
  </si>
  <si>
    <t>ΑΛΕΞΙΟΣ</t>
  </si>
  <si>
    <t>ΑΚ135668</t>
  </si>
  <si>
    <t>1036,5</t>
  </si>
  <si>
    <t>794-795-786-787-789-793-791-792-785-796-788-764-757-758-759-760-922-917-921-920-918-919-901-902-903</t>
  </si>
  <si>
    <t>ΑΕ151054</t>
  </si>
  <si>
    <t>1036,2</t>
  </si>
  <si>
    <t>764-761-792-760-757-789-785-787-791-788-793</t>
  </si>
  <si>
    <t>ΤΕΚΟΥ</t>
  </si>
  <si>
    <t>ΑΒ508391</t>
  </si>
  <si>
    <t>757-759-764-786-787-794-796-761-765-785-788-789-790-791-792-793-795-758</t>
  </si>
  <si>
    <t>ΝΤΑΚΟΥΜΗ</t>
  </si>
  <si>
    <t>Ν860940</t>
  </si>
  <si>
    <t>ΦΩΤΟΠΟΥΛΟΥ</t>
  </si>
  <si>
    <t>Ξ998577</t>
  </si>
  <si>
    <t>771-813-756-754-753-751-752-801-795-794-792</t>
  </si>
  <si>
    <t>ΓΑΛΗ</t>
  </si>
  <si>
    <t>ΔΗΜΗΤΡΗΣ</t>
  </si>
  <si>
    <t>Τ406006</t>
  </si>
  <si>
    <t>885,5</t>
  </si>
  <si>
    <t>1035,5</t>
  </si>
  <si>
    <t>ΝΙΚΟΛΑΟΥ</t>
  </si>
  <si>
    <t>ΑΣΗΜΙΝΑ</t>
  </si>
  <si>
    <t>Σ915197</t>
  </si>
  <si>
    <t>785-786-787-788-789-791-792-793-795-796-790-764-765</t>
  </si>
  <si>
    <t>ΝΑΣΗ</t>
  </si>
  <si>
    <t>ΑΙ165683</t>
  </si>
  <si>
    <t>782-781-780-779-778-773-774-814-800-801-783</t>
  </si>
  <si>
    <t>ΘΩΜΑΙΔΟΥ</t>
  </si>
  <si>
    <t>ΑΚ282149</t>
  </si>
  <si>
    <t>ΡΗΓΑ</t>
  </si>
  <si>
    <t>Χ681320</t>
  </si>
  <si>
    <t>786-787-794-796-757-759-764</t>
  </si>
  <si>
    <t>ΠΑΤΣΑΤΖΗΣ</t>
  </si>
  <si>
    <t>ΑΖ930671</t>
  </si>
  <si>
    <t>1034,4</t>
  </si>
  <si>
    <t>820-821-822-823-824-825-826-827-828-829-848-849-850-851-852-853-854-855-856-857-858-859-871-872-757-758-759-760-764-765-785-786-788-789-790-791-792-793-794-795</t>
  </si>
  <si>
    <t>ΓΚΕΣΟΥΛΗ</t>
  </si>
  <si>
    <t>ΚΑΣΣΙΑΝΗ</t>
  </si>
  <si>
    <t>ΑΒ088667</t>
  </si>
  <si>
    <t>800-778-779-780-781-782-801-784-755-756-754-753-759-760-785-786-787-788-789-790-791-792-793-794-795-796-762-797-811</t>
  </si>
  <si>
    <t>ΝΤΑΓΚΑΛΗ</t>
  </si>
  <si>
    <t>Χ037387</t>
  </si>
  <si>
    <t>973,5</t>
  </si>
  <si>
    <t>1033,5</t>
  </si>
  <si>
    <t>757-794-795-796-801-784-758-759-760-785-786-787-788-789-790-791-792-793-764-765-813-768-769-770-781-782-778-779-780-783-800</t>
  </si>
  <si>
    <t>ΜΠΟΤΣΑΡΗ</t>
  </si>
  <si>
    <t>Τ014177</t>
  </si>
  <si>
    <t>883,3</t>
  </si>
  <si>
    <t>1033,3</t>
  </si>
  <si>
    <t>757-761-789-790-758-759-787-760-786-791-792-793-788-794-795-796-785-764-765-813</t>
  </si>
  <si>
    <t>ΑΝΔΡΙΟΠΟΥΛΟΥ</t>
  </si>
  <si>
    <t>Σ363623</t>
  </si>
  <si>
    <t>1032,9</t>
  </si>
  <si>
    <t>ΑΜΠΛΙΑΝΙΤΗ</t>
  </si>
  <si>
    <t>Ξ622382</t>
  </si>
  <si>
    <t>892-882-888-890-891-885-883-889-884-893-886-887-894-895-896-756-754-755-753-752-805-751-801-796-794-757-759-764-786-787-782-781-769-770-771-772-795-791-813-792-793-758-760-762-789-790-788-785-765-778-779-780-783-784-774-773-812-797-798-799-800-807-808-809-810-811-775-776-777-766-767-814-802-803-804-806-763</t>
  </si>
  <si>
    <t>BAIA</t>
  </si>
  <si>
    <t>ΑΚ899347</t>
  </si>
  <si>
    <t>1032,3</t>
  </si>
  <si>
    <t>781-782-780-779-778-774-773-800-801</t>
  </si>
  <si>
    <t>ΒΥΘΟΥΛΚΑΣ</t>
  </si>
  <si>
    <t>ΑΚ568366</t>
  </si>
  <si>
    <t>786-787-791-794-795-789-788-785-796-793-790-792-757-758-759</t>
  </si>
  <si>
    <t>ΦΙΛΙΠΠΟΥ</t>
  </si>
  <si>
    <t>Σ040967</t>
  </si>
  <si>
    <t>757-759-764-794-796-782-786-787-937-751-752-753-756-760-768-769-781-801-785-788-790-789-791-792-793</t>
  </si>
  <si>
    <t>ΝΙΚΑΚΗ</t>
  </si>
  <si>
    <t>ΔΗΜΟΚΛΕΙΑ</t>
  </si>
  <si>
    <t>Π103165</t>
  </si>
  <si>
    <t>757-759-764-786-787-794-796-756</t>
  </si>
  <si>
    <t>Ν439289</t>
  </si>
  <si>
    <t>ΝΤΟΣΙΔΗΣ</t>
  </si>
  <si>
    <t>ΑΕ191526</t>
  </si>
  <si>
    <t>762-800-773-774-799-782-781-780-779-778</t>
  </si>
  <si>
    <t>ΤΖΑΓΚΟΥΡΝΗ</t>
  </si>
  <si>
    <t>Ρ619874</t>
  </si>
  <si>
    <t>794-786-787-757-796-759-764</t>
  </si>
  <si>
    <t>ΚΑΝΑΤΑ</t>
  </si>
  <si>
    <t xml:space="preserve"> ΑΝΑΣΤΑΣΙΑ</t>
  </si>
  <si>
    <t>ΑΕ169397</t>
  </si>
  <si>
    <t>ΡΟΔΟΠΟΥΛΟΥ</t>
  </si>
  <si>
    <t>Τ279458</t>
  </si>
  <si>
    <t>756-754-755-753</t>
  </si>
  <si>
    <t>ΑΘΑΝΑΣΙΟΥ</t>
  </si>
  <si>
    <t>ΠΕΡΙΚΛΗΣ</t>
  </si>
  <si>
    <t>Σ539806</t>
  </si>
  <si>
    <t>757-787-790-794-796</t>
  </si>
  <si>
    <t>ΓΕΡΟΥ</t>
  </si>
  <si>
    <t>ΑΖ494203</t>
  </si>
  <si>
    <t>764-765-757-758-759-760</t>
  </si>
  <si>
    <t>ΠΑΠΑΔΗΜΗΤΡΙΟΥ</t>
  </si>
  <si>
    <t>Φ470529</t>
  </si>
  <si>
    <t>800-773-774-801-782-781-778-779-780-776-777-783-803-775-787-789-792-790-791-793-795-757-758-759-760-764-765-786-784-814-754-755-756-813-794-753-752-770-769-768-767-772-751-805-802-762-763-766-771-797-798-799-804-806-807-808-809-810-811-812</t>
  </si>
  <si>
    <t>ΒΑΡΕΛΑΚΗ</t>
  </si>
  <si>
    <t>ΑΖ472540</t>
  </si>
  <si>
    <t>782-781-780-779-778-814-773-774-783-800-801-775-776-777-802-803-754-755-756-753-752-751-770-769-768-771-772-784-795-794-785-786-787-788-789-790-791-792-793-813-759-760-764-765-757-758-796-797-805-811-808-799-763-762-807-809-812-810-806-804-766-767</t>
  </si>
  <si>
    <t>ΠΕΡΙΒΟΛΟΠΟΥΛΟΥ</t>
  </si>
  <si>
    <t>Σ918424</t>
  </si>
  <si>
    <t>801-784-805-782-779-778-780-781-783-800-775</t>
  </si>
  <si>
    <t>ΓΑΛΑΝΟΠΟΥΛΟΥ</t>
  </si>
  <si>
    <t>ΑΚ110704</t>
  </si>
  <si>
    <t>791-785-786-787-789-788-794-795-796-793-790-792-870-872-871-829-828-854-855-845-846-847-851-848-853-858-859-857-850-849-852-856-823-757-764-765-759-758-815-827-826-825-822-821-760-824-820</t>
  </si>
  <si>
    <t>ΚΟΣΜΑ ΝΙΚΟΛΑΟΥ</t>
  </si>
  <si>
    <t>Φ268063</t>
  </si>
  <si>
    <t>800-801-783-781-782-778-780-779-814-813-806-784</t>
  </si>
  <si>
    <t>ΝΕΟΝΑΚΗ</t>
  </si>
  <si>
    <t>ΕΥΣΕΒΙΑ</t>
  </si>
  <si>
    <t>ΑΖ959123</t>
  </si>
  <si>
    <t>ΚΑΡΑΜΗΤΣΟΥ</t>
  </si>
  <si>
    <t>ΑΗ190810</t>
  </si>
  <si>
    <t>809-781-782-780-779-778-773-774-783-800-801-814-784-754-755-753-756-751-752-813-758-759-760-770-764-765-785-786-787-788-789-790-791-792-793-794-795-796-757-768-761-769-772-802-803-805-776-777-775-767-808-807-811-766-806-804-810-812-762-771-797-798</t>
  </si>
  <si>
    <t>ΓΑΛΑΝΗ</t>
  </si>
  <si>
    <t>ΑΖ183686</t>
  </si>
  <si>
    <t>781-782-779-778-780-799-814-811</t>
  </si>
  <si>
    <t>ΑΗ630242</t>
  </si>
  <si>
    <t>796-757-786-787-794-764-759-793-788-795-785-789-760-791-792-758-765-790</t>
  </si>
  <si>
    <t>ΦΟΥΡΦΟΥΡΗΣ</t>
  </si>
  <si>
    <t>ΑΗ208165</t>
  </si>
  <si>
    <t>1028,5</t>
  </si>
  <si>
    <t>756-755</t>
  </si>
  <si>
    <t>ΠΑΜΠΟΥΡΑ</t>
  </si>
  <si>
    <t>ΑΣΤΕΡΙΟΣ</t>
  </si>
  <si>
    <t>Π515939</t>
  </si>
  <si>
    <t>801-781-782</t>
  </si>
  <si>
    <t>ΝΙΚΟΛΟΠΟΥΛΟΥ</t>
  </si>
  <si>
    <t>ΑΗ213575</t>
  </si>
  <si>
    <t>753-756-755-754-787-789-786-788-791-794-796-795-785-790-793-805-751-757-758-759-760-779-780-778-781-782-802-803-776-777-775-814-764-765-772-806-797-798-770-769-768-812</t>
  </si>
  <si>
    <t>ΓΚΡΕΜΟΥ</t>
  </si>
  <si>
    <t>ΣΤΕΛΛΑ</t>
  </si>
  <si>
    <t>ΑΕ275743</t>
  </si>
  <si>
    <t>800-773-774-783-753-784-754-755-756-778-779-780-781-782-801-814-790-752-796-789-805-760-764-786-776-777-803-802-775-757-758-759-768-769-765-785-770-787-788-751-813-791-792-793-794-795-772-797-804-807-808-809-811-799-762-763-771-766-767-798-806-812-810-936-937-761</t>
  </si>
  <si>
    <t>ΜΠΟΚΟΛΑ</t>
  </si>
  <si>
    <t>ΑΚ784735</t>
  </si>
  <si>
    <t>996,6</t>
  </si>
  <si>
    <t>1026,6</t>
  </si>
  <si>
    <t>789-785-786-787-788-792-793-791-790-757-794-795-796-759-758-760-764-765</t>
  </si>
  <si>
    <t>ΑΜ646568</t>
  </si>
  <si>
    <t>1026,3</t>
  </si>
  <si>
    <t>757-758-759-760-785-786-787-788-789-790-791-792-793-794-795-796-764-765</t>
  </si>
  <si>
    <t>ΚΑΡΑΚΙΤΣΙΟΥ</t>
  </si>
  <si>
    <t>Π802917</t>
  </si>
  <si>
    <t>811-782-781-780-783-778-779-814-773-774-800-784-801-813-937</t>
  </si>
  <si>
    <t>Π111818</t>
  </si>
  <si>
    <t>975,7</t>
  </si>
  <si>
    <t>1025,7</t>
  </si>
  <si>
    <t>767-766-807-778-779-780-781-782</t>
  </si>
  <si>
    <t>ΛΟΥΛΑΚΗ</t>
  </si>
  <si>
    <t>Π887860</t>
  </si>
  <si>
    <t>875,6</t>
  </si>
  <si>
    <t>1025,6</t>
  </si>
  <si>
    <t>776-777-803-802-775</t>
  </si>
  <si>
    <t>ΜΑΤΣΑ</t>
  </si>
  <si>
    <t>ΕΥΣΤΑΘΙΑ</t>
  </si>
  <si>
    <t>Τ313206</t>
  </si>
  <si>
    <t>772-755-756-754-805-753-759-760-757-758-786-796-794-795-788-785-791-790-792-793-789-787-823-817-818-822-821-820-824-847-845-848-850-853-854-855-852-849-857-856-858-859-871-872-870-846-827-828-829-851</t>
  </si>
  <si>
    <t>ΜΑΚΡΗΣ</t>
  </si>
  <si>
    <t>Χ430577</t>
  </si>
  <si>
    <t>1024,5</t>
  </si>
  <si>
    <t>801-784-862-844-800-843-775-776-777-876-877-833-778-782-781-830-841-840</t>
  </si>
  <si>
    <t>ΚΟΜΜΑΤΑ</t>
  </si>
  <si>
    <t>Χ753153</t>
  </si>
  <si>
    <t>841-838-840-842-837-835-862-781-782-789-780-783</t>
  </si>
  <si>
    <t>ΔΗΜΟΛΚΑ</t>
  </si>
  <si>
    <t>ΑΗ806518</t>
  </si>
  <si>
    <t>808-781-782-779-780-778-773-774-762-763-799-800-801-814-813-812-811-810-809-807-804-751-752-753-754-755-756-757-758-759-760-761-764-765-766-767-768-769-770-771-772-783-784-785-786-787-788-789-790-791-792-793-794-795-796-797-798-805-806-775-776-777-802-803</t>
  </si>
  <si>
    <t>ΤΣΙΑΚΑ</t>
  </si>
  <si>
    <t>Χ754913</t>
  </si>
  <si>
    <t>778-779-780-781-782-799-814-808</t>
  </si>
  <si>
    <t>ΣΤΑΥΡΙΑΝΟΠΟΥΛΟΥ</t>
  </si>
  <si>
    <t>ΑΙ623686</t>
  </si>
  <si>
    <t>1023,3</t>
  </si>
  <si>
    <t>761-788-785-793-796-789-791-790-792-787-786-757-794-795-760-764-765-758-759</t>
  </si>
  <si>
    <t>ΚΑΛΕΝΤΖΙΟΥ</t>
  </si>
  <si>
    <t>ΑΙ187383</t>
  </si>
  <si>
    <t>911-782-912-910-781-909-780-779-908-778-808-799-923-924-773-774-783-931-814-932-807</t>
  </si>
  <si>
    <t>ΣΙΩΜΟΥ</t>
  </si>
  <si>
    <t>ΑΒ720732</t>
  </si>
  <si>
    <t>799-779-780-781-782-778-801-808-773-811-814-783-763-807-774-809-767-800-784-762-813-770-768-769-794-795-786-787-788-789-790-791-792-793-757-758-759-760-796-765-764-785-766-771-755-754-756-752-751-753-805-772-797-777-776-775-802-803-804-936-798-806-812-810</t>
  </si>
  <si>
    <t>ΣΚΟΔΡΑ</t>
  </si>
  <si>
    <t>ΓΑΛΑΤΕΙΑ</t>
  </si>
  <si>
    <t>ΑΙ331257</t>
  </si>
  <si>
    <t>762-800-773-778-779-780-781-782-783-774-799-811-814-784-785-786-787-788-789-790-791-792-793-794-795-796-801-757-758-759-760-761-764-765-813-819-768-751-752-753-754-755</t>
  </si>
  <si>
    <t>ΣΔΡΟΛΙΑ</t>
  </si>
  <si>
    <t>ΕΛΠΙΝΙΚΗ</t>
  </si>
  <si>
    <t>ΑΑ851311</t>
  </si>
  <si>
    <t>ΜΟΣΧΟΠΟΥΛΙΔΗΣ</t>
  </si>
  <si>
    <t>ΑΒ684247</t>
  </si>
  <si>
    <t>937-806-757-758-759-760-764-765-785-786-787-788-789-790-791-792-793-794-795-796-783-763-773-774-778-779-780-781-782-799-800-801-807-808-809-811-814-813-936-775-776-777-772-766-767-768-769-770-771-762-751-752-753-754-755-756-784-797-798-802-803-805-804-810</t>
  </si>
  <si>
    <t>ΚΟΤΣΟΠΟΔΗ</t>
  </si>
  <si>
    <t>ΕΡΜΙΟΝΗ</t>
  </si>
  <si>
    <t>Τ316443</t>
  </si>
  <si>
    <t>ΒΑΣΙΛΕΙΑΔΟΥ</t>
  </si>
  <si>
    <t>ΑΖ807997</t>
  </si>
  <si>
    <t>808-774-773-780-781-779-782</t>
  </si>
  <si>
    <t>ΚΑΤΙΚΟΓΛΟΥ</t>
  </si>
  <si>
    <t>ΑΖ056360</t>
  </si>
  <si>
    <t>756-757-759-764-768-781-782-786-787-794-796-801-802-900-901-903-908-911-914-918-921-927-928-929-934</t>
  </si>
  <si>
    <t>ΔΑΡΔΑΜΑΝΗ</t>
  </si>
  <si>
    <t>ΜΙΛΤΙΑΔΗ</t>
  </si>
  <si>
    <t>ΑΖ575390</t>
  </si>
  <si>
    <t>786-787-757-794-796-759-764-792-788-789-790-791-785-793-795-765-760-758-770</t>
  </si>
  <si>
    <t>ΓΡΗΓΟΡΙΑΔΗ</t>
  </si>
  <si>
    <t>ΡΕΓΓΙΝΑ</t>
  </si>
  <si>
    <t>ΑΜ503775</t>
  </si>
  <si>
    <t>764-796-757-759-794-786-787-756</t>
  </si>
  <si>
    <t>ΣΥΜΕΛΑ</t>
  </si>
  <si>
    <t>Τ447226</t>
  </si>
  <si>
    <t>842,6</t>
  </si>
  <si>
    <t>1022,6</t>
  </si>
  <si>
    <t>781-782-778-779-780-801-773-774-814</t>
  </si>
  <si>
    <t>ΛΑΜΠΡΙΝΙΔΗ</t>
  </si>
  <si>
    <t>ΓΡΑΜΜΑΤΙΚΗ</t>
  </si>
  <si>
    <t>ΑΚ752508</t>
  </si>
  <si>
    <t>972,4</t>
  </si>
  <si>
    <t>1022,4</t>
  </si>
  <si>
    <t>ΣΑΚΟΛΗ</t>
  </si>
  <si>
    <t>ΙΩΑΝΝΑ-ΖΩΗ</t>
  </si>
  <si>
    <t>ΑΖ888071</t>
  </si>
  <si>
    <t>1021,9</t>
  </si>
  <si>
    <t>763-783-807-811-799-809-808-802-803-775-777-797-798-810-812-801-784-800-773-774-768-769-770-771-762-767-805-814-813-785-786-787-788-772-778-779-780-781-782-792-793-794-795-796-757-758-764-765-766-751-752-753-754-755-756</t>
  </si>
  <si>
    <t>ΤΑΜΟΥΤΣΕΛΗ</t>
  </si>
  <si>
    <t>ΑΜ273754</t>
  </si>
  <si>
    <t>841,5</t>
  </si>
  <si>
    <t>1021,5</t>
  </si>
  <si>
    <t>783-782-781-780-779-778-799-896-924-935-930-923-915-912-911-910-909-908-887-800-806-808-835-836-837-838-839-840-841-842-936-937</t>
  </si>
  <si>
    <t>ΜΠΑΣΔΑΝΗ ΝΤΟΓΟΥΛΙΑ</t>
  </si>
  <si>
    <t>ΣΤΕΡΓΙΑΝΗ</t>
  </si>
  <si>
    <t>ΑΜ289534</t>
  </si>
  <si>
    <t>871,2</t>
  </si>
  <si>
    <t>1021,2</t>
  </si>
  <si>
    <t>ΑΚ342320</t>
  </si>
  <si>
    <t>ΜΟΥΡΤΗΣ</t>
  </si>
  <si>
    <t>Τ104554</t>
  </si>
  <si>
    <t>815-820-821-822-823-824-825-826-827-828-829-845-846-847-848-849-850-851-852-853-854-855-856-857-858-859-870-871-872-757-758-759-760-764-765-785-786-787-788-789-790-791-792-793-794-795-796</t>
  </si>
  <si>
    <t>ΧΑΛΚΙΑ</t>
  </si>
  <si>
    <t>ΑΒ833469</t>
  </si>
  <si>
    <t>ΠΕΡΙΣΤΕΡΗ</t>
  </si>
  <si>
    <t>ΔΗΜΗΤΡΙΟ</t>
  </si>
  <si>
    <t>Π037534</t>
  </si>
  <si>
    <t>786-787-791-788-790-794-795-785-796-789-792-793</t>
  </si>
  <si>
    <t>ΓΙΑΓΤΖΙΔΟΥ</t>
  </si>
  <si>
    <t>ΕΥΑΓΓΕΛΟ</t>
  </si>
  <si>
    <t>Ρ735753</t>
  </si>
  <si>
    <t>782-781-780-779-778-814-808-811-799-773-774-783-800-801-784-763-809-767-766-807-762-770-768-769-813-757-758-759-760-764-765-785-786-787-788-789-790-791-792-793-794-795-796-751-752-753-754-755-756-771-772-805-775-776-777-802-803-797-798-804-810-812-806</t>
  </si>
  <si>
    <t xml:space="preserve">ΚΕΤΣΕΛΙΔΟΥ </t>
  </si>
  <si>
    <t xml:space="preserve">ΕΛΕΥΘΕΡΙΑ </t>
  </si>
  <si>
    <t xml:space="preserve">ΛΆΖΑΡΟΣ </t>
  </si>
  <si>
    <t>Σ225297</t>
  </si>
  <si>
    <t>757-759-786-787-794-796</t>
  </si>
  <si>
    <t>ΚΑΡΑΓΚΟΥΝΗ</t>
  </si>
  <si>
    <t>ΑΑ428307</t>
  </si>
  <si>
    <t>801-768-763-761-809-807-756-764-781-782-757-759-786-787-794-796-799-800-771-766-767-784-813-808-774-814-783-773-811-772-762-805-752-751-753-765-760-758-755-754-780-779-778-788-789-790-791-812-792-793-795-806-785-803-937-769-797-798</t>
  </si>
  <si>
    <t>ΧΑΝΤΖΟΓΛΟΥ</t>
  </si>
  <si>
    <t>ΑΙ756469</t>
  </si>
  <si>
    <t>756-794-759-757-768-764-786-787-796-801</t>
  </si>
  <si>
    <t>ΣΤΥΛΙΑΝΙΔΗ</t>
  </si>
  <si>
    <t>ΕΥΔΟΞΙΑ</t>
  </si>
  <si>
    <t>ΑΙ222995</t>
  </si>
  <si>
    <t>756-764-759-757-786-787-794-796-768</t>
  </si>
  <si>
    <t>ΧΑΛΚΙΔΟΥ</t>
  </si>
  <si>
    <t>Ρ690373</t>
  </si>
  <si>
    <t>785-786-787-788-789-790-791-792-793-794-795-796</t>
  </si>
  <si>
    <t>ΒΑΛΙΟΥ</t>
  </si>
  <si>
    <t>ΠΑΡΑΣΧΟΣ</t>
  </si>
  <si>
    <t>ΑΗ932374</t>
  </si>
  <si>
    <t>804-936-794-795-796-786-787-788-789-759-760-761-791-790-792-793-780-781-782-785</t>
  </si>
  <si>
    <t>ΚΥΡΙΑΖΟΠΟΥΛΟΥ</t>
  </si>
  <si>
    <t>ΑΒ257302</t>
  </si>
  <si>
    <t>794-786-787-796-757-764-759-795-785-790-791-793-789-788-792-765-766-758-770</t>
  </si>
  <si>
    <t>ΚΑΒΒΑΔΙΑ</t>
  </si>
  <si>
    <t>ΑΚ614210</t>
  </si>
  <si>
    <t>760-759-758-790-792-787-786-795-794-785-796-788-791-789-757-793-765-764-761-770-779-781-780-782-778-805-776-777-775-937-756-755-754-753-768-769-803-802-751-752-801-797-783-773-774-772-784-771-812-810-798-806-808-807-811-800-799-762-763-809-936-804-766-767</t>
  </si>
  <si>
    <t>ΒΑΡΔΟΥΝΙΩΤΗΣ</t>
  </si>
  <si>
    <t>ΑΗ279581</t>
  </si>
  <si>
    <t>ΚΟΚΚΙΝΟΥ</t>
  </si>
  <si>
    <t>ΑΕ676556</t>
  </si>
  <si>
    <t>782-781-778-779-780-773-774</t>
  </si>
  <si>
    <t>ΑΝΤΩΝΑΚΗ</t>
  </si>
  <si>
    <t>Φ254602</t>
  </si>
  <si>
    <t>787-794-786-796-757-782-781-801-802-761-788-791-790-785-789-795-793-776-777-803-779-778-813-783-797</t>
  </si>
  <si>
    <t>ΧΡΥΣΟΧΟΟΥ</t>
  </si>
  <si>
    <t>ΑΖ572546</t>
  </si>
  <si>
    <t>792-791-785-786-788-787-789-793-790-795-794-796-757-758-759-760-765-764</t>
  </si>
  <si>
    <t>ΜΠΟΥΡΜΑ</t>
  </si>
  <si>
    <t>ΑΒ413178</t>
  </si>
  <si>
    <t>797-773-794-761-787-788-789-791-790</t>
  </si>
  <si>
    <t>ΚΩΣΤΑΝΑΣΙΟΥ</t>
  </si>
  <si>
    <t>ΝΙΚΟΛΕΤΑ</t>
  </si>
  <si>
    <t>ΑΗ239816</t>
  </si>
  <si>
    <t>778-779-780-781-782-800-757-758-759-760-761-764-765-785-786-787-788-789-790-791-792-793-794-795-796</t>
  </si>
  <si>
    <t>ΠΑΡΘΕΝΑΚΗ</t>
  </si>
  <si>
    <t>ΑΖ969141</t>
  </si>
  <si>
    <t>ΑΓΓΕΛΙΝΑ</t>
  </si>
  <si>
    <t>Φ305344</t>
  </si>
  <si>
    <t>772-756-754-753-805-752-751-794-795-786-787-788-791-758-757-759-790-789-793-792-796-760-785-755-764-770-813-801-784-782-814-777-776-778-779-780-781-937-802-803-765-775-783-773-774-768-769-800</t>
  </si>
  <si>
    <t>ΜΑΝΟΥΣΗ</t>
  </si>
  <si>
    <t>ΑΙ474215</t>
  </si>
  <si>
    <t>762-800-773-774-797-781-782-780-779-778</t>
  </si>
  <si>
    <t>ΚΙΟΥΠΤΣΙΔΟΥ</t>
  </si>
  <si>
    <t>ΑΙ004295</t>
  </si>
  <si>
    <t>791-794-795-788-787-786-785-789-790-796-764-765-761-792-793-760-758-759-757</t>
  </si>
  <si>
    <t>ΚΑΡΡΑ</t>
  </si>
  <si>
    <t>Ξ008700</t>
  </si>
  <si>
    <t>754-755-756-753-772-798</t>
  </si>
  <si>
    <t>ΣΤΕΡΓΙΟΠΟΥΛΟΥ</t>
  </si>
  <si>
    <t>Χ843800</t>
  </si>
  <si>
    <t>768-804-802-801-763-807-809-756-781-782-764</t>
  </si>
  <si>
    <t>ΔΗΜΗΤΡΙΟΥ</t>
  </si>
  <si>
    <t>ΑΜ900702</t>
  </si>
  <si>
    <t>799-792-757-759-786-787-796-785-758-760-788-790-789-791-793-795-794-764-765</t>
  </si>
  <si>
    <t>ΚΟΝΤΟΓΙΑΝΝΑΚΟΥΔΗ</t>
  </si>
  <si>
    <t>ΣΟΦΟΚΛΗΣ</t>
  </si>
  <si>
    <t>AM660394/27-04-2015</t>
  </si>
  <si>
    <t>779-781-780-782-778-814-763-799-811-800-808-801-773-774-783-809-807-775-776-777-766-767</t>
  </si>
  <si>
    <t>ΣΩΤΗΡΙΑΔΟΥ</t>
  </si>
  <si>
    <t>Π280649</t>
  </si>
  <si>
    <t>785-786-787-788-789-790-791-792-793-794-795-796-757-758-759-760-761-764-765</t>
  </si>
  <si>
    <t>ΕΞΑΡΧΟΥ</t>
  </si>
  <si>
    <t>ΑΗ578559</t>
  </si>
  <si>
    <t>757-758-759-760-761-785-786-787-788-789-790-791-792-793-794-795-796</t>
  </si>
  <si>
    <t>ΑΝΤΩΝΙΑΔΟΥ</t>
  </si>
  <si>
    <t>Φ432404</t>
  </si>
  <si>
    <t>767-809-807-783-781-782-778-779-780-814-763-811-799-808-757-758-759-760-764-765-785-786-787-788-789-790-791-792-793-794-795-796-768-769-770-773-774-800-801-813-762-784-766</t>
  </si>
  <si>
    <t>ΜΑΥΡΟΓΓΕΛΙΔΟΥ</t>
  </si>
  <si>
    <t>ΣΝΕΖΑΝΑ</t>
  </si>
  <si>
    <t>ΓΙΟΥΡΙ</t>
  </si>
  <si>
    <t>ΑΕ684510</t>
  </si>
  <si>
    <t>780-779-782-778-781-836-838-839-837-841-840-842-835</t>
  </si>
  <si>
    <t>ΑΙ764180</t>
  </si>
  <si>
    <t>ΜΟΥΤΖΟΥΡΗ</t>
  </si>
  <si>
    <t>Χ920768</t>
  </si>
  <si>
    <t>ΜΠΟΤΟΝΑΚΗ</t>
  </si>
  <si>
    <t>ΦΩΤΕΙΝΗ-ΤΡΙΑΣ</t>
  </si>
  <si>
    <t>ΑΙ306937</t>
  </si>
  <si>
    <t>965,8</t>
  </si>
  <si>
    <t>1015,8</t>
  </si>
  <si>
    <t>801-778-779-780-781-782</t>
  </si>
  <si>
    <t>ΑΜ290861</t>
  </si>
  <si>
    <t>865,7</t>
  </si>
  <si>
    <t>1015,7</t>
  </si>
  <si>
    <t>835-836-837-838-839-840-841-842-778-779-780-781-782-799-811-766-767-773-937</t>
  </si>
  <si>
    <t>ΒΑΚΑΚΗ</t>
  </si>
  <si>
    <t>ΦΛΩΡΑ</t>
  </si>
  <si>
    <t>Μ903304</t>
  </si>
  <si>
    <t>810-751-770-768-802-769-775-800-806-776-777-781-782-778-779-780-787-794-801-756-783-784-785-757</t>
  </si>
  <si>
    <t>ΠΑΡΑΣΧΑΚΗ</t>
  </si>
  <si>
    <t>ΔΙΑΛΕΧΤΗ</t>
  </si>
  <si>
    <t>ΑΖ888515</t>
  </si>
  <si>
    <t>757-781-763-759-782-786-787-796-794-764-807-801-802-804-809-756-768</t>
  </si>
  <si>
    <t>ΔΑΡΑΒΕΛΙΑ</t>
  </si>
  <si>
    <t>ΑΗ233022</t>
  </si>
  <si>
    <t>752-751-805-753-772-754-755-756</t>
  </si>
  <si>
    <t>ΤΣΙΟΥΜΠΛΕΚΗ</t>
  </si>
  <si>
    <t>ΑΜ266013</t>
  </si>
  <si>
    <t>779-780-782-781-778-808</t>
  </si>
  <si>
    <t>ΠΑΠΑΓΕΩΡΓΑΚΟΠΟΥΛΟΥ</t>
  </si>
  <si>
    <t>Π212000</t>
  </si>
  <si>
    <t>794-759-757-786-787-796-764-805</t>
  </si>
  <si>
    <t>ΑΜ126906</t>
  </si>
  <si>
    <t>796-785-786-787-788-791-792-757-789-790-793-794-795-759-758-760-764-765-770</t>
  </si>
  <si>
    <t>ΦΩΤΕΙΝΑΚΗΣ</t>
  </si>
  <si>
    <t>ΑΒ527003</t>
  </si>
  <si>
    <t>864,6</t>
  </si>
  <si>
    <t>1014,6</t>
  </si>
  <si>
    <t>ΚΟΤΑΛΑΚΙΔΟΥ</t>
  </si>
  <si>
    <t>ΑΗ354705</t>
  </si>
  <si>
    <t>1014,5</t>
  </si>
  <si>
    <t>811-779-780-781-782-778-799-763-807-783-806</t>
  </si>
  <si>
    <t>ΠΑΡΑΣΥΡΗΣ</t>
  </si>
  <si>
    <t>ΑΙ518946</t>
  </si>
  <si>
    <t>758-759-757-760-788-790-785-786-787-789-791-792-793-794-795-796-764-765-782-781-780-779-778-756-754-755-772-805-753-752-751-775-777-776-803-802-770-768-769-813-801-784-800-773-774-783-814-937-771-762-763-808-811-767-766-798-799-797-804-807-809-810-806-812</t>
  </si>
  <si>
    <t>ΚΤΙΣΤΑΚΗΣ</t>
  </si>
  <si>
    <t>ΑΕ459372</t>
  </si>
  <si>
    <t>777-776-803-802</t>
  </si>
  <si>
    <t>ΠΑΝΤΟΣ</t>
  </si>
  <si>
    <t>ΑΙ341344</t>
  </si>
  <si>
    <t>943,8</t>
  </si>
  <si>
    <t>1013,8</t>
  </si>
  <si>
    <t>781-782-908-911-800-768-801-914-929-928-934-757-759-764-786-787-794-796-903-901-918-921-802-900-927</t>
  </si>
  <si>
    <t>ΒΟΥΝΑΤΣΟΥ</t>
  </si>
  <si>
    <t>ΧΡΥΣΟΒΑΛΑΝΤΗ</t>
  </si>
  <si>
    <t>Χ419875</t>
  </si>
  <si>
    <t>1013,5</t>
  </si>
  <si>
    <t>Χ551821</t>
  </si>
  <si>
    <t>983,4</t>
  </si>
  <si>
    <t>1013,4</t>
  </si>
  <si>
    <t>794-786-787-796-795-788-791-790-785-789-792-793</t>
  </si>
  <si>
    <t>ΛΟΥΚΑ</t>
  </si>
  <si>
    <t>ΑΒ053902</t>
  </si>
  <si>
    <t>758-759-793-794-795-757-785-786-787-788-789-790-791-792</t>
  </si>
  <si>
    <t>ΞΕΝΙΤΙΑΔΟΥ</t>
  </si>
  <si>
    <t>ΘΕΩΝΗ</t>
  </si>
  <si>
    <t>ΑΑ956049</t>
  </si>
  <si>
    <t>ΛΟΥΚΙΔΗ</t>
  </si>
  <si>
    <t>ΑΗ022284</t>
  </si>
  <si>
    <t>759-758-757-761-760-786-787-785-788-789-790-791-792-793-794-795-796-764-805-765</t>
  </si>
  <si>
    <t>ΚΑΛΑIΔΟΥ</t>
  </si>
  <si>
    <t>Χ766078</t>
  </si>
  <si>
    <t>781-782-814-763-807-809-801-779-780-768-802-806</t>
  </si>
  <si>
    <t>ΧΑΤΖΗΠΑΠΑ</t>
  </si>
  <si>
    <t>ΚΩΝΣΤΑΝΤΙΝΗ</t>
  </si>
  <si>
    <t>ΑΙ375228</t>
  </si>
  <si>
    <t>981,2</t>
  </si>
  <si>
    <t>1011,2</t>
  </si>
  <si>
    <t>781-782-801-757-759-764-786-787-794-796-768-802-756-778-779-780-814-773-774-937-752-751-777-775-776-788-789-790-791-792-793-795-805-813-803-784-785-753-754-755-758-760-765-769-770</t>
  </si>
  <si>
    <t>ΚΩΝΣΤΑΝΤΙΝΟΠΟΥΛΟΥ</t>
  </si>
  <si>
    <t>ΑΙ615413</t>
  </si>
  <si>
    <t>ΚΙΤΣΟΥ</t>
  </si>
  <si>
    <t>ΑΕ906533</t>
  </si>
  <si>
    <t>783-807-931</t>
  </si>
  <si>
    <t>ΚΑΝΔΥΛΑΚΗ</t>
  </si>
  <si>
    <t>ΑΒ040070</t>
  </si>
  <si>
    <t>758-759-793-757-786-787-791-788-785-789-792-794-795-796-790-760</t>
  </si>
  <si>
    <t>ΣΟΥΛΙΩΤΗ</t>
  </si>
  <si>
    <t>ΒΙΚΤΩΡΙΑ</t>
  </si>
  <si>
    <t>ΑΕ925972</t>
  </si>
  <si>
    <t>766-767-778-779-780-781-782-801-784-785-761-760-759-758-757-786-787-788-789-790-791-792-793-794-795-796-809-807-799-800-763-762-783-814-811-773-774-764-765-768-769-770-771-772-775-776-777-797-798-802-803-804-805-806-808-810-812-813-751-752-753-754-755-756-936-937</t>
  </si>
  <si>
    <t>ΠΑΣΧΑΛΙΔΟΥ</t>
  </si>
  <si>
    <t>ΑΙ630634</t>
  </si>
  <si>
    <t>860,2</t>
  </si>
  <si>
    <t>1010,2</t>
  </si>
  <si>
    <t>761-795-757-758-759-760-765-785-786-787-788-789-790-791-792-793-794-796-764</t>
  </si>
  <si>
    <t>ΨΥΧΟΓΙΟΥ</t>
  </si>
  <si>
    <t>ΜΑΡΙΑ ΕΡΡΙΚΑ</t>
  </si>
  <si>
    <t>Ρ683173</t>
  </si>
  <si>
    <t>796-791-793-788-786-787-785-794-795-792-789-790-760-757-758-759-764-765-813-771</t>
  </si>
  <si>
    <t>ΚΟΤΡΩΤΣΙΟΥ</t>
  </si>
  <si>
    <t>ΕΥΤΑΞΙΑ</t>
  </si>
  <si>
    <t>ΑΒ645344</t>
  </si>
  <si>
    <t>757-759-758-786-787-794-796-788-789-790-751-814-936-937-791-792-793-795</t>
  </si>
  <si>
    <t>ΤΣΑΜΠΑΝΑΚΗ</t>
  </si>
  <si>
    <t>Ν999214</t>
  </si>
  <si>
    <t>ΒΛΑΧΟΠΟΥΛΟΥ</t>
  </si>
  <si>
    <t>ΑΜ004804</t>
  </si>
  <si>
    <t>786-787-794-795-796</t>
  </si>
  <si>
    <t>ΚΑΡΑΓΙΩΡΓΟΥ</t>
  </si>
  <si>
    <t>ΑΒ323029</t>
  </si>
  <si>
    <t>796-795-794-785-786-787-788-789-790-793-791-792-758-759-760-764</t>
  </si>
  <si>
    <t>ΚΑΛΤΣΑ</t>
  </si>
  <si>
    <t>ΑΖ199889</t>
  </si>
  <si>
    <t>782-781-778-779-780-799-808-773-814</t>
  </si>
  <si>
    <t>ΜΠΑΞΑ</t>
  </si>
  <si>
    <t>ΑΑ400705</t>
  </si>
  <si>
    <t>798-756-753-755-790-788-786</t>
  </si>
  <si>
    <t>ΟΙΚΟΝΟΜΟΥ</t>
  </si>
  <si>
    <t>ΠΟΠΗ</t>
  </si>
  <si>
    <t>ΝΙΚΗΤΑΣ</t>
  </si>
  <si>
    <t>Μ949722</t>
  </si>
  <si>
    <t>757-759-764-768-786-787-794-802-803-806-807-810-812-813</t>
  </si>
  <si>
    <t>ΚΥΡΙΚΟΣ</t>
  </si>
  <si>
    <t>Τ351332</t>
  </si>
  <si>
    <t>784-801-813-761-758-759-760-757-764-778-779-780-781-782-785-786-787-788-789-790-791-792-793-794-795-796-814-800-774-773-768-769-770-751-752-753-754-755-756</t>
  </si>
  <si>
    <t>ΦΕΡΜΑΝΟΓΛΟΥ</t>
  </si>
  <si>
    <t>ΑΙ725288</t>
  </si>
  <si>
    <t>782-781-779-780-778-814-801-783-773-802-800-756-768-774-775-776-777-805-754-755-753-751-752-769-770-772-803-784-813</t>
  </si>
  <si>
    <t>ΦΩΤΙΑΔΟΥ</t>
  </si>
  <si>
    <t>Χ595099</t>
  </si>
  <si>
    <t>758-761-785-786-787-788-789-790-791-793-794-795-796</t>
  </si>
  <si>
    <t>ΔΗΜΟΥ</t>
  </si>
  <si>
    <t>ΑΙ256532</t>
  </si>
  <si>
    <t>757-758-759-760-764-765-785-786-787-788-789-790-791-792-793-794-795-796</t>
  </si>
  <si>
    <t>ΓΑΛΟΓΑΥΡΟΥ</t>
  </si>
  <si>
    <t>Ρ364064</t>
  </si>
  <si>
    <t>1008,7</t>
  </si>
  <si>
    <t>800-773-774-779-780-781-782-778-801-814-813-783-784-770-769-768-757-758-759-760-764-765-785-786-787-788-789-790-791-792-793-794-795-796-754-753-755-756-751-752-802-803-805</t>
  </si>
  <si>
    <t>ΑΙ059177</t>
  </si>
  <si>
    <t>977,9</t>
  </si>
  <si>
    <t>1007,9</t>
  </si>
  <si>
    <t>761-796-791-787-786-760-788-793-790-789-757-759-758-794-795-792</t>
  </si>
  <si>
    <t>ΓΚΟΥΡΓΙΩΤΗ</t>
  </si>
  <si>
    <t>ΑΡΓΥΡΟΥΛΑ</t>
  </si>
  <si>
    <t>Τ062163</t>
  </si>
  <si>
    <t>784-785-786-787-788-789-790-791-792-794-795-796-757-769-801-753-754</t>
  </si>
  <si>
    <t>ΠΕΤΣΑ</t>
  </si>
  <si>
    <t>ΑΜ610789</t>
  </si>
  <si>
    <t>794-786-787-796-791-795-789-790-788-792-793-785-757-759-760-758</t>
  </si>
  <si>
    <t>ΒΛΑΧΟΥ</t>
  </si>
  <si>
    <t>ΑΖ189654</t>
  </si>
  <si>
    <t>778-779-780-781-782-799-808-814</t>
  </si>
  <si>
    <t>ΧΙΩΝΗΣ</t>
  </si>
  <si>
    <t>ΑΗ210284</t>
  </si>
  <si>
    <t>754-755-756-779-778-781-782-772</t>
  </si>
  <si>
    <t>ΒΛΑΧΙΩΤΗ</t>
  </si>
  <si>
    <t>ΣΙΓΟΥΡΟΣ-ΕΥΣΤΑΘΙΟΣ</t>
  </si>
  <si>
    <t>Μ557106</t>
  </si>
  <si>
    <t>756-757-759-786-787-794-796-772-765-764</t>
  </si>
  <si>
    <t>ΠΑΣΕΤΣΙΝΙΚΟΒ</t>
  </si>
  <si>
    <t>ΕΛΕΝΗ ΕΥΑΝΘΙΑ</t>
  </si>
  <si>
    <t>Φ092053</t>
  </si>
  <si>
    <t>804-936-786-787-796-791-790-788-794-795-785-793-789-792-759-758-757-760-764-765</t>
  </si>
  <si>
    <t>ΓΑΛΑΝΗΣ</t>
  </si>
  <si>
    <t>ΑΖ812051</t>
  </si>
  <si>
    <t>773-774-801-778-779-780-781-782-783-799-800-808-807-811-814-784-763-762-766-767-757-758-759-760-764-765-785-786-787-788-789-790-791-792-793-794-795-796-769-770-771-753-754-755-756-772-775-776-777-802-803-804-805-806-810-812-751-752</t>
  </si>
  <si>
    <t>ΧΑΤΖΗΔΕΛΛΙΟΥ</t>
  </si>
  <si>
    <t>ΑΝ456857</t>
  </si>
  <si>
    <t>777-776-775-803-802-801-761-808-767</t>
  </si>
  <si>
    <t>ΠΕΤΣΕΤΑ</t>
  </si>
  <si>
    <t>ΑΜ368343</t>
  </si>
  <si>
    <t>1005,4</t>
  </si>
  <si>
    <t>801-773-774-783-784-800-779-780-781-782-778-814-768-769-770</t>
  </si>
  <si>
    <t>ΖΟΥΜΠΑ</t>
  </si>
  <si>
    <t>ΒΑΣΙΛΙΚΗ-ΜΑΡΙΑ</t>
  </si>
  <si>
    <t>ΑΚ600381</t>
  </si>
  <si>
    <t>786-787-791-794-757</t>
  </si>
  <si>
    <t>ΚΑΣΤΑΝΙΩΤΗ</t>
  </si>
  <si>
    <t>ΑΗ599282</t>
  </si>
  <si>
    <t>813-771-768-769-770-757-758-759-760-761-764-765-785-786-787-788-789-790-791-792-793-794-795-796-751-752-753-754-755-762-767-766-772-773-774-775-776-777-778-779-780-781-782-783-784-797-798-799-800-801-802-803-804-805-806-807-808-809-810-811-812-814-936-937</t>
  </si>
  <si>
    <t>ΠΑΛΙΑΧΑΝΗ</t>
  </si>
  <si>
    <t>ΕΒΕΛΙΝΑ</t>
  </si>
  <si>
    <t>Ν416379</t>
  </si>
  <si>
    <t>780-779-782-778-781</t>
  </si>
  <si>
    <t>ΔΑΜΟΥΤΣΙΔΟΥ</t>
  </si>
  <si>
    <t>ΝΙΝΑ</t>
  </si>
  <si>
    <t>ΙΩΑΝΝΗΣΑΝΤΟΝΟΒΑ</t>
  </si>
  <si>
    <t>ΑΙ893877</t>
  </si>
  <si>
    <t>799-778-781-782-779-780-814</t>
  </si>
  <si>
    <t>ΠΑΝΑΓΙΩΤΟΠΟΥΛΟΥ</t>
  </si>
  <si>
    <t>ΑΚ368188</t>
  </si>
  <si>
    <t>805-756-755-754-794-795-796-793-792-791-789-788-787-786-785-760-761-759-758-757-772-751-752-798-797-812-804</t>
  </si>
  <si>
    <t>ΜΑΝΕΤΑ</t>
  </si>
  <si>
    <t>ΑΗ567582</t>
  </si>
  <si>
    <t>1003,5</t>
  </si>
  <si>
    <t>794-795-787-786-789-785-791-790-788-796-793-792-757-764-765-768-769-770</t>
  </si>
  <si>
    <t>ΤΑΡΑΤΣΑ</t>
  </si>
  <si>
    <t>ΑΙ200135</t>
  </si>
  <si>
    <t>1003,2</t>
  </si>
  <si>
    <t>756-753-754-755-786-787-794-796-757-758-759-760-764-768-803-802-804-751-752-769-765-788-790-806-812</t>
  </si>
  <si>
    <t>ΚΑΠΕΤΗ</t>
  </si>
  <si>
    <t>ΑΖ795327</t>
  </si>
  <si>
    <t>762-800-773-774-778-779-780-781-782-801-784-785-786-787-788-789-790-791-792-793-794-795-796-814</t>
  </si>
  <si>
    <t>ΜΑΡΚΑΚΗ</t>
  </si>
  <si>
    <t>Χ351255</t>
  </si>
  <si>
    <t>776-777-803-775-802</t>
  </si>
  <si>
    <t>ΓΚΕΡΣΑΝΗ</t>
  </si>
  <si>
    <t>Π773975</t>
  </si>
  <si>
    <t>784-762-766-807-785-757-758-759-760-786-787-788-789-790-791-792-793-794-795-798-796-797</t>
  </si>
  <si>
    <t>ΜΠΑΡΚΟΥΛΗ</t>
  </si>
  <si>
    <t>Π700345</t>
  </si>
  <si>
    <t>752-789-751-792-786-770-803-801-800-775-802-776-777-814-768-769-813-805-753-787-788-790-791-793-785-757-758-759-760-772-794-795-796-778-779-780-781-782-783-784-754-755-756-764-765-773-774-771-812-806-804-810-797-798-811-762-763-807-808-809-799-766-767</t>
  </si>
  <si>
    <t>ΑΣΛΑΝΙΔΟΥ</t>
  </si>
  <si>
    <t>ΑΜ767745</t>
  </si>
  <si>
    <t>805-772-756-755-754-753-752-751</t>
  </si>
  <si>
    <t>ΜΠΑΜΠΑΤΣΙΑ</t>
  </si>
  <si>
    <t>Χ646077</t>
  </si>
  <si>
    <t>757-759-758-760-764-784-785-786-787-788-789-790-791-792-793-794-795-796-801</t>
  </si>
  <si>
    <t>ΠΙΣΤΙΚΟΥ</t>
  </si>
  <si>
    <t>ΑΙ928595</t>
  </si>
  <si>
    <t>756-754-755-753-771-772-813-798-757-758-759-760-764-765-785-786-787-788-789-790-791-792-793-794-795-796-797-778-779-780-781-782-801-775-776-777-810</t>
  </si>
  <si>
    <t>ΑΝΔΡΟΝΙΚΙΔΟΥ</t>
  </si>
  <si>
    <t>ΑΕ890525</t>
  </si>
  <si>
    <t>1002,4</t>
  </si>
  <si>
    <t>783-784-800-801-802-803-805-813-814-768-769-770-772-773-774-775-776-777-778-779-780-781-782-785-786-787-788-789-790-791-792-793-794-796</t>
  </si>
  <si>
    <t>ΣΟΦΙΑΝΟΥ</t>
  </si>
  <si>
    <t>ΑΕ203653</t>
  </si>
  <si>
    <t>ΤΣΟΥΜΑΙΔΟΥ</t>
  </si>
  <si>
    <t>ΝΙΚΟΛΕΤΤΑ</t>
  </si>
  <si>
    <t>Σ320863</t>
  </si>
  <si>
    <t>1002,1</t>
  </si>
  <si>
    <t>778-779-780-781-782-814-773-774-783-800-801-777-775-776-802-803</t>
  </si>
  <si>
    <t>ΚΟΙΝΟΥ</t>
  </si>
  <si>
    <t>ΑΒ101445</t>
  </si>
  <si>
    <t>Ρ649693</t>
  </si>
  <si>
    <t>757-759-764-786-787-792-794-796</t>
  </si>
  <si>
    <t>ΚΟΙΛΙΑ</t>
  </si>
  <si>
    <t>ΒΕΛΗΣΣΑΡΙΑ</t>
  </si>
  <si>
    <t>ΑΕ519823</t>
  </si>
  <si>
    <t>971,3</t>
  </si>
  <si>
    <t>1001,3</t>
  </si>
  <si>
    <t>ΠΛΑΤΑΝΙΑ</t>
  </si>
  <si>
    <t>ΝΙΚΗ</t>
  </si>
  <si>
    <t>ΑΜ038556</t>
  </si>
  <si>
    <t>787-786-785-788-789-790-791-792-793-901-902-903-904-917</t>
  </si>
  <si>
    <t>ΚΑΡΚΑΛΗ</t>
  </si>
  <si>
    <t>ΑΗ434188</t>
  </si>
  <si>
    <t>782-779-780-781-773-774-801-799-763-811-814-808-800-807-809-783-762-767-766-785-786-787-788-789-790-791-792-794-795-796-813-769-770-768-764-765-759-760-761-758-757-751-752-753-754-755-756-771-772-775-776-777-802-803-784-805-806-810-812</t>
  </si>
  <si>
    <t>ΜΠΑΛΑΣΚΑ</t>
  </si>
  <si>
    <t>ΑΗ358786</t>
  </si>
  <si>
    <t>799-781-782-780-779-778</t>
  </si>
  <si>
    <t>ΚΟΤΣΙΑΝΗ</t>
  </si>
  <si>
    <t>ΑΑ271376</t>
  </si>
  <si>
    <t>850,3</t>
  </si>
  <si>
    <t>1000,3</t>
  </si>
  <si>
    <t>814-842-841-837-840-838-835-836-839-782-781-780-779-778</t>
  </si>
  <si>
    <t>ΑΡΜΥΡΑΣ</t>
  </si>
  <si>
    <t>Χ580654</t>
  </si>
  <si>
    <t>758-759-757-779-780-785-796-778-781-782-795-786-791-793</t>
  </si>
  <si>
    <t>ΠΑΠΑΓΕΩΡΓΙΟΥ</t>
  </si>
  <si>
    <t>ΑΚ326529</t>
  </si>
  <si>
    <t>849,2</t>
  </si>
  <si>
    <t>999,2</t>
  </si>
  <si>
    <t>781-778-782-779-780-814-799-800-808-773-774-811-763-807-809-783-757-758-794-795-796-759-760-764-765-785-786-787-788-789-790-791-792-793-801-797-798-772-770-769-768-784-802-803-812-751-752-753-754-755-756-805-771-813</t>
  </si>
  <si>
    <t>ΔΑΡΑΜΟΥΣΚΑ</t>
  </si>
  <si>
    <t>ΚΑΛΥΨΩ</t>
  </si>
  <si>
    <t>Ρ254241</t>
  </si>
  <si>
    <t>969,1</t>
  </si>
  <si>
    <t>999,1</t>
  </si>
  <si>
    <t>756-757-759-761-786-787-794-796-768-764-802-781-782-801-754-755-753-758-760-765-775-777-776-803-805-770-772-751-752-813-785-795-788-789-790-791-792-793</t>
  </si>
  <si>
    <t>Ρ268404</t>
  </si>
  <si>
    <t>998,1</t>
  </si>
  <si>
    <t>756-755-754-753-818-772-752-751-816-865-805-861-828-826-822-829-854-850-853-847-846-815-817-768-821-823-824-825-827-848-845-852-856-857-858-859-855-851-849-820-757-758-759-760-764-765-786-785-787-788-789-790-791-792-793-794-795-796-769-770-801-819-830-843-862-870-871-872-838-835-841-840-839-842-875-844-837-836-813-800-784-783-781-782-780-779-778-814-773-774-775-776-777-798-797-802-803-832-831-833-876-877-771-812-806-860-863-866-867-879-762-763-766-767-799-804-807-808-809-810-811-834-868-869</t>
  </si>
  <si>
    <t>ΑΖ855150</t>
  </si>
  <si>
    <t>799-782-781-780-778-779-811</t>
  </si>
  <si>
    <t>ΠΟΛΥΜΕΡΙΔΗΣ</t>
  </si>
  <si>
    <t>ΑΜ298647</t>
  </si>
  <si>
    <t>997,7</t>
  </si>
  <si>
    <t>807-809-763-801-802-768-756-781-782-804-757-759-764-786-787-794-796</t>
  </si>
  <si>
    <t>ΓΚΑΒΟΓΙΑΝΝΗ</t>
  </si>
  <si>
    <t>ΑΗ115618</t>
  </si>
  <si>
    <t>765-764-761-788-786-787-791-785-792-790-796-759-793-795-794-758-760-757-789</t>
  </si>
  <si>
    <t>ΚΕΜΙΤΖΟΠΟΥΛΟΥ</t>
  </si>
  <si>
    <t>ΤΑΡΣΗ</t>
  </si>
  <si>
    <t>ΑΗ355928</t>
  </si>
  <si>
    <t>799-768-802-803-761-801-794-775-776-777-756-784-813-751-752-753-754-769-770-772-774-773-783-800-805-814-782-781-778-779-755-759-760-764-765-785-786-787-788-789-790-791-792-793-795-796-757-758-806-797-798-804-807-808-809-810-811-812-766-767-936-937-780</t>
  </si>
  <si>
    <t>ΣΤΑΘΗ</t>
  </si>
  <si>
    <t>ΣΥΡΜΑΤΕΝΙΑ</t>
  </si>
  <si>
    <t>ΑΒ374624</t>
  </si>
  <si>
    <t>ΧΟΝΔΡΟΥΛΗ</t>
  </si>
  <si>
    <t>ΑΒ083780</t>
  </si>
  <si>
    <t>808-781-782-778-779-780-761-791-786-787-788-789-790-792-793-785-758-759-760-764-765</t>
  </si>
  <si>
    <t>ΚΟΚΑΝΗ</t>
  </si>
  <si>
    <t>ΕΡΗΝΗ</t>
  </si>
  <si>
    <t>ΑΗ786124</t>
  </si>
  <si>
    <t>800-782-781-780-779-778-773-762-801-783-774-814-784-811-763-797-799-776-777-775-807-809-805-802-803-813-754-755-756-752-772-751-812-806-804-785-786-787-788-789-790</t>
  </si>
  <si>
    <t>ΧΡΥΣΙΚΟΥ</t>
  </si>
  <si>
    <t>ΑΙ204755</t>
  </si>
  <si>
    <t>757-756-755-754-753-752-751-761-763-759-764-758-760-762-765-766-768-767-769-770-771-772-773-778-779-777-774-775-776-781-782-786-787-788-785-784-783-780-796-794-789-790-791-792-793-795-797-801-802-804-805-803-800-799-798-815-809-807-806-808-810-811-812-813-814-822-817-816-818-821-819-820-828-826-829-830-823-824-825-827-838-835-837-836-834-833-832-831-841-840-839-842-846-843-844-845-854-850-847-848-852-855-849-851-853-862-863-864-870-871-872-869-865-866-867-868-873-874-875-876-877-878-879</t>
  </si>
  <si>
    <t>ΣΤΑΙΚΟΥ</t>
  </si>
  <si>
    <t>Ξ136337</t>
  </si>
  <si>
    <t>966,9</t>
  </si>
  <si>
    <t>996,9</t>
  </si>
  <si>
    <t>794-787-786-757-759-764-802-803</t>
  </si>
  <si>
    <t>Ν908975</t>
  </si>
  <si>
    <t>ΧΑΤΖΗΑΒΡΑΑΜ</t>
  </si>
  <si>
    <t>ΘΕΑΝΩ</t>
  </si>
  <si>
    <t>ΑΙ732664</t>
  </si>
  <si>
    <t>782-781-780-779-778-814</t>
  </si>
  <si>
    <t>ΠΑΓΩΝΑΚΗ</t>
  </si>
  <si>
    <t>Ν970960</t>
  </si>
  <si>
    <t>777-776-775-803-802-785-786-787-788-789-790-791-792-793-794-795</t>
  </si>
  <si>
    <t>ΝΙΚΟΚΑΒΟΥΡΑ</t>
  </si>
  <si>
    <t>Φ876811</t>
  </si>
  <si>
    <t>797-798-774-773-800-784-814-783-762-763-809</t>
  </si>
  <si>
    <t>ΓΙΑΝΝΑΡΑΚΗ</t>
  </si>
  <si>
    <t>ΑΗΟ30723</t>
  </si>
  <si>
    <t>793-791-758-789-790-757-759-760-761-785-786-787-792-794-795-796</t>
  </si>
  <si>
    <t>ΓΚΙΟΜΙΣΗ</t>
  </si>
  <si>
    <t>ΑΝ191549</t>
  </si>
  <si>
    <t>845,9</t>
  </si>
  <si>
    <t>995,9</t>
  </si>
  <si>
    <t>778-779-780-781-782-783-784-799-800-801-814-802-803-775-776-777-762-763-766-767-768-769-770-771-804-807-808-809-811-813-797-798-773-774</t>
  </si>
  <si>
    <t>ΚΑΜΠΑΝΟΠΟΥΛΟΥ</t>
  </si>
  <si>
    <t>Φ133066</t>
  </si>
  <si>
    <t>794-795-787-786-796-759-764-757-802-768-756-801-781-782-812-775-776-777-774-803-752-769-770-793-792-791-790-789-788-785-758-760-765-761-783-784-778-779-780-753-754-755-751-797-798-804-805-806-807-810-814-813-808-762-763-766-771-767-773-772-809-811-800-799-936-937</t>
  </si>
  <si>
    <t>ΠΛΑΣΤΗΡΑ</t>
  </si>
  <si>
    <t>ΑΗ737317</t>
  </si>
  <si>
    <t>995,8</t>
  </si>
  <si>
    <t>756-754-755-761-753-762-800-778-779-781-782-785-786-787-788-789-790-791-792-793-794-795-796-764-757-758-759-760-801</t>
  </si>
  <si>
    <t>ΧΑΡΟΥ</t>
  </si>
  <si>
    <t>Π936541</t>
  </si>
  <si>
    <t>995,5</t>
  </si>
  <si>
    <t>ΠΑΠΑΝΤΗ</t>
  </si>
  <si>
    <t>ΑΒ584138</t>
  </si>
  <si>
    <t>ΚΡΑΛΛΗ</t>
  </si>
  <si>
    <t>ΖΩΗ</t>
  </si>
  <si>
    <t>ΑΖ426890</t>
  </si>
  <si>
    <t>767-766-781-782-778-780-779-757-759-760-764-765-785-786-787-788-789-790-791-792-783-793-794-795-796-801</t>
  </si>
  <si>
    <t>ΑΙΚΑΤΕΡΙΝΗ ΕΙΡΗΝΗ</t>
  </si>
  <si>
    <t>ΑΖ241454</t>
  </si>
  <si>
    <t>779-780-782-781-778</t>
  </si>
  <si>
    <t>ΔΑΜΑΛΗ</t>
  </si>
  <si>
    <t>ΑΖ765360</t>
  </si>
  <si>
    <t>ΜΕΛΙΓΚΑΚΟΣ</t>
  </si>
  <si>
    <t>ΑΙ643842</t>
  </si>
  <si>
    <t>917-921-793-791-920-916-918-792-787-786-785-760-759-758-788-789-790-794-795-796-902-903-904-922-919-901-757-764-765</t>
  </si>
  <si>
    <t>ΤΣΕΛΑ</t>
  </si>
  <si>
    <t>ΧΑΛΙΛ</t>
  </si>
  <si>
    <t>ΑΚ434648</t>
  </si>
  <si>
    <t>783-782-781-780-779-778-773-774-808-785-788-789-790-791-792-793-807-809-811-757-758-759-760-763-764</t>
  </si>
  <si>
    <t>ΚΟΛΟΜΠΑΤΣΟΣ</t>
  </si>
  <si>
    <t>Χ108557</t>
  </si>
  <si>
    <t>844,8</t>
  </si>
  <si>
    <t>994,8</t>
  </si>
  <si>
    <t>ΓΑΒΡΙΗΛΙΔΟΥ</t>
  </si>
  <si>
    <t>ΑΡΙΣΤΟΦΑΝΗΣ</t>
  </si>
  <si>
    <t>ΑΚ443638</t>
  </si>
  <si>
    <t>808-773-774-780-779-781-782-778-800-799-784-801-813-783-805-775-802-803-777-776-751-752-772-768-769-770-786-789-790-787-791-792-793-794-795-765-764-760-759-758-796-785-757-788-811-807-762-810-812-809-767-766-797</t>
  </si>
  <si>
    <t>Λ546962</t>
  </si>
  <si>
    <t>752-753-754-755-756-757-759-760-764-765-772-785-786-787-788-789-790-791-792-793-794-795</t>
  </si>
  <si>
    <t>ΜΙΝΤΖΑ</t>
  </si>
  <si>
    <t>ΑΕ264884</t>
  </si>
  <si>
    <t>751-752-753-756-757-764-781-786-787-782-789-790-791-792-793-794-796-801-802-803-813-814</t>
  </si>
  <si>
    <t>ΔΕΝΕΡΙΚΟΥ</t>
  </si>
  <si>
    <t>Ρ126787</t>
  </si>
  <si>
    <t>843,7</t>
  </si>
  <si>
    <t>993,7</t>
  </si>
  <si>
    <t>757-758-759-760-761-765-785-786-787-788-789-790-791-792-793-794-795-796</t>
  </si>
  <si>
    <t>ΑΜΠΑΤΖΟΠΟΥΛΟΥ</t>
  </si>
  <si>
    <t>Χ689554</t>
  </si>
  <si>
    <t>757-786-787-788-789-790-791-792-793-794-795-796-758-759-760</t>
  </si>
  <si>
    <t>ΛΙΟΝΤΟΥ</t>
  </si>
  <si>
    <t>ΑΕ792695</t>
  </si>
  <si>
    <t>801-781-782-807-809-763-794-796-757-759-784-800-768-797-798</t>
  </si>
  <si>
    <t xml:space="preserve"> 763- 807- 809</t>
  </si>
  <si>
    <t>ΑΓΓΕΛΟΠΟΥΛΟΥ</t>
  </si>
  <si>
    <t>Σ809596</t>
  </si>
  <si>
    <t>754-755-756-753-760-757-772-765-764-796-795-794-793-792-790-789-788-787-786-782-781-780-779-778-770-769-768</t>
  </si>
  <si>
    <t>ΛΑΓΙΟΥ</t>
  </si>
  <si>
    <t>Π439932</t>
  </si>
  <si>
    <t>992,5</t>
  </si>
  <si>
    <t>751-752-757-758-759-760-761-764-765-786-787-788-789-790-791-792-793-794-795-796-753-754-755-756-768-769-770-772-773-774-775-776-777-778-779-780-781-782-783-784-785-800-801-802-803-805-813-814-816</t>
  </si>
  <si>
    <t>ΧΑΡΑΛΑΜΠΙΔΟΥ</t>
  </si>
  <si>
    <t xml:space="preserve">ΑΘΗΝΑ </t>
  </si>
  <si>
    <t>Σ145250</t>
  </si>
  <si>
    <t>787-786-794-796-757-759-764</t>
  </si>
  <si>
    <t>ΛΙΟΝΤΑ</t>
  </si>
  <si>
    <t>ΑΗ814805</t>
  </si>
  <si>
    <t>801-781-782-780-779-778-773-774-783-784-814-813-770-768-769-755-756-754-753-752-751-805-800-772-757-758-759-765-764-786-787-790-788-789-791-792-793-796-760-785-794-795-761-775-776-777-803-802-808-799-811-763-762-767-807-809-766-771-810-812-798-797-804-806-937</t>
  </si>
  <si>
    <t>ΑΗ871373</t>
  </si>
  <si>
    <t>992,2</t>
  </si>
  <si>
    <t>ΚΑΡΑΓΙΑΝΝΗΣ</t>
  </si>
  <si>
    <t>ΑΖ178355</t>
  </si>
  <si>
    <t>778-779-780-781-782-908-909-910-911-912-939-808-932-811-814-937-941-942-923-940-924-799-773-774-763-938-913-783-931-807-925-926-915-933-762-929-928-809-935-784-914-785-786-787-788-789-790-791-792-793-794-795-796-901-902-903-904-916-917-918-919-921-920-922-757-758-759-760-764-765-927-813-934-771-768-769-770-751-752-753-754-755-756-898-899-900-805-907-775-776-777-802-803-766-767-905-906-797-798-930-806-936-804-810</t>
  </si>
  <si>
    <t>ΜΩΥΣΙΔΗ</t>
  </si>
  <si>
    <t>ΕΛΕΝΗ-ΝΙΚΟΛΕΤΤΑ</t>
  </si>
  <si>
    <t>ΑΚ110506</t>
  </si>
  <si>
    <t>990,5</t>
  </si>
  <si>
    <t>ΚΑΖΑΚΟΥ</t>
  </si>
  <si>
    <t>Φ241404</t>
  </si>
  <si>
    <t>960,3</t>
  </si>
  <si>
    <t>990,3</t>
  </si>
  <si>
    <t>772-754-755-756-753-757-758-759-760-761-764-765</t>
  </si>
  <si>
    <t>ΖΑΠΑΤΕΤΑ</t>
  </si>
  <si>
    <t>ΑΚ927125</t>
  </si>
  <si>
    <t>782-781</t>
  </si>
  <si>
    <t>ΤΣΑΝΤΗΛΑ</t>
  </si>
  <si>
    <t>Σ906196</t>
  </si>
  <si>
    <t>ΜΠΑΝΤΟΥΔΗ</t>
  </si>
  <si>
    <t>ΑΕ875721</t>
  </si>
  <si>
    <t>ΣΤΑΤΥΡΟΥΛΑ</t>
  </si>
  <si>
    <t>ΑΙ739262</t>
  </si>
  <si>
    <t>ΧΟΥΝΤΑΣΗ</t>
  </si>
  <si>
    <t>Π870079</t>
  </si>
  <si>
    <t>791-788-794-795-796-785-786-787-789-790-792-793-757-758-759-760-764-765-768-769-770</t>
  </si>
  <si>
    <t>ΨΑΡΡΑΚΗ</t>
  </si>
  <si>
    <t>Μ500372</t>
  </si>
  <si>
    <t>791-790-787-786-792-788-789-793-785-795-794-764-765</t>
  </si>
  <si>
    <t>ΝΤΑΝΑΚΟΥ</t>
  </si>
  <si>
    <t>ΑΕ835856</t>
  </si>
  <si>
    <t>768-769-770-801-813-775-776-777-783-784-772-804-805-806-809-810-812-814</t>
  </si>
  <si>
    <t>ΣΤΟΦΟΡΙΔΟΥ</t>
  </si>
  <si>
    <t>ΑΗ310496</t>
  </si>
  <si>
    <t>808-773-774-778-779-780-781-782-806-802-803-775-776-777-799-783-800-801-811-814-807</t>
  </si>
  <si>
    <t>ΚΑΡΑΓΙΑΝΝΙΔΟΥ</t>
  </si>
  <si>
    <t>Φ226319</t>
  </si>
  <si>
    <t>807-783-809-763</t>
  </si>
  <si>
    <t>ΠΕΤΡΑΚΗΣ</t>
  </si>
  <si>
    <t>ΑΜ967259</t>
  </si>
  <si>
    <t>802-803-775-776-777</t>
  </si>
  <si>
    <t>ΧΟΥΛΗ</t>
  </si>
  <si>
    <t>ΑΕ577326</t>
  </si>
  <si>
    <t>759-758-757-760-787-794-795-796-788-789-790-791-792-793-785-786-765-764-761</t>
  </si>
  <si>
    <t>Φ086957</t>
  </si>
  <si>
    <t>765-764-787-786-791-788-785-794-795-789-790-757-793-792-796-760-759-758-770</t>
  </si>
  <si>
    <t>ΖΜΠΑΡΑ</t>
  </si>
  <si>
    <t>ΜΠΑΣΣΑΜ</t>
  </si>
  <si>
    <t>ΑΒ554796</t>
  </si>
  <si>
    <t>759-760-785-786-787-788-789-790-791-792-793-794-795-796</t>
  </si>
  <si>
    <t>ΜΠΑΜΠΑΙΤΟΥ</t>
  </si>
  <si>
    <t>ΑΗ832094</t>
  </si>
  <si>
    <t>779-782-781-814-799-783-762-809-773-774-794-776-806</t>
  </si>
  <si>
    <t>ΖΑΦΕΙΡΟΥΛΗΣ</t>
  </si>
  <si>
    <t>ΛΑΜΠΡΟΣ</t>
  </si>
  <si>
    <t>ΑΝ022642</t>
  </si>
  <si>
    <t>787-786-796-794-757-764-759-756-800-770-769-768-814-773-774-783-803-802-775-777-776-778-779-780-781-782-801-813-772-784-805-753-755-754-751-752-765-795-793-791-760-785-789-788-790-792-806-798-797-762-763-766-807-811-812-809-810-799-804-771-767</t>
  </si>
  <si>
    <t>ΛΥΚΟΤΡΑΦΙΤΗ</t>
  </si>
  <si>
    <t>ΑΑ033286</t>
  </si>
  <si>
    <t>764-765-785-786-787-788-789-790-791-792-793-794-795-796-757-758-759-760-814-778-779-780-781-782</t>
  </si>
  <si>
    <t>ΛΑΖΑΡΑΚΗ</t>
  </si>
  <si>
    <t>ΑΜ 470207</t>
  </si>
  <si>
    <t>803-802-776-777-775-761-759-760-764-765-758-757-778-779-780-781-782-787-786-788-789-790-791-792-793-794-795-796-813-814-751-752-753-754-755-756-768-769-770-772-773-774-783-784-785-800-805-806-807-808-809-810-811-812-937-936</t>
  </si>
  <si>
    <t>ΑΖ080913</t>
  </si>
  <si>
    <t>809,6</t>
  </si>
  <si>
    <t>989,6</t>
  </si>
  <si>
    <t>879-823-856-828-850-846-858-854-822-847-859-853-824-848-852-872-870-815-871-857-827-821-845-792-786-787-791-794-795-790-760-757</t>
  </si>
  <si>
    <t>ΜΑΓΟΥΛΑΚΗ</t>
  </si>
  <si>
    <t>ΑΙ438620</t>
  </si>
  <si>
    <t>808,5</t>
  </si>
  <si>
    <t>988,5</t>
  </si>
  <si>
    <t>841-838-828-776-777-804-803-802</t>
  </si>
  <si>
    <t>ΝΤΟΥΣΗ</t>
  </si>
  <si>
    <t>ΑΙ095959</t>
  </si>
  <si>
    <t>792-760-791-758-794-795-786-787-788-789-790-796-785-759-757-752-751-805-768-770-753-784-769-772-813-755</t>
  </si>
  <si>
    <t>ΜΑΓΔΑΛΗΝΗ</t>
  </si>
  <si>
    <t>ΑΗ477341</t>
  </si>
  <si>
    <t>813-757-758-759-760-761-764-765-785-786-787-788-789-790-791-792-793-794-795-796-801</t>
  </si>
  <si>
    <t>ΜΑΝΩΛΑΚΕΛΛΗ</t>
  </si>
  <si>
    <t>ΑΖ557457</t>
  </si>
  <si>
    <t>786,5</t>
  </si>
  <si>
    <t>986,5</t>
  </si>
  <si>
    <t>757-794-795-793-790-788-789-792-787</t>
  </si>
  <si>
    <t>ΑΛΙΡΗ</t>
  </si>
  <si>
    <t>ΑΑ257559</t>
  </si>
  <si>
    <t>763-773-774-778-779-780-781-782-797-799-804-806-808-810-812-811-814-832-835-836-837-838-839-840-841-842-860-866-867</t>
  </si>
  <si>
    <t>ΑΕ168827</t>
  </si>
  <si>
    <t>ΜΩΡΑΙΤΟΥ</t>
  </si>
  <si>
    <t>ΑΕ903222</t>
  </si>
  <si>
    <t>763-778-779-780-781-782-783-773-774-800-814-801-770-769-768-751-752-753-754-755-756-784-805-775-776-777-937-936</t>
  </si>
  <si>
    <t>ΞΥΔΑΚΗ</t>
  </si>
  <si>
    <t>ΜΑΤΘΑΙΟΣ</t>
  </si>
  <si>
    <t>Ρ318134</t>
  </si>
  <si>
    <t>893-777-776-775-803-802</t>
  </si>
  <si>
    <t>ΤΣΑΜΠΑΖΟΓΛΟΥ</t>
  </si>
  <si>
    <t>ΑΒ690973</t>
  </si>
  <si>
    <t>785,4</t>
  </si>
  <si>
    <t>985,4</t>
  </si>
  <si>
    <t>768-801-756-757-759-802-764-786-787-794-796-781-782-751-752-753-754-755-758-760-765-769-770-772-775-776-777-783-784-785-788-789-790-791-792-793-795-803-805-813-814-774-773-800</t>
  </si>
  <si>
    <t>ΧΑΛΕΠΟΥΔΗ</t>
  </si>
  <si>
    <t>ΑΕ833311</t>
  </si>
  <si>
    <t>915,2</t>
  </si>
  <si>
    <t>985,2</t>
  </si>
  <si>
    <t>808-773-799-778-781-782-774</t>
  </si>
  <si>
    <t>ΜΗΤΣΗ</t>
  </si>
  <si>
    <t>ΚΩΣΤΑΣ</t>
  </si>
  <si>
    <t>ΑΖ772507</t>
  </si>
  <si>
    <t>787-791-788-786-794-795-796-789-793-785-790-792-757-760-758-759</t>
  </si>
  <si>
    <t>ΦΙΛΕΡΗ</t>
  </si>
  <si>
    <t>ΑΚ338491</t>
  </si>
  <si>
    <t>984,8</t>
  </si>
  <si>
    <t>756-754-755-753-787-788-789-790-791-792-793-794-795-796</t>
  </si>
  <si>
    <t>ΤΣΕΓΓΕΝΕ</t>
  </si>
  <si>
    <t>ΑΙ211525</t>
  </si>
  <si>
    <t>753-754-755-756-772-794-795-796-785-786-787-788-789-790-791-792-793-759-760-757-758</t>
  </si>
  <si>
    <t>ΚΟΝΤΟΧΡΗΣΤΟΥ</t>
  </si>
  <si>
    <t>ΧΡΥΣΑΝΘΟΣ</t>
  </si>
  <si>
    <t>Χ218778</t>
  </si>
  <si>
    <t>794-796-771-787-786-764-759-757-756-755-754-753-760-765-785-788-789-790-791-792-793-795</t>
  </si>
  <si>
    <t>ΜΠΑΤΣΙΑΡΗ</t>
  </si>
  <si>
    <t>Χ528939</t>
  </si>
  <si>
    <t>790-786-787-788-761-785-789-791-793-794-795-796-757-792-758-759-760-764-765</t>
  </si>
  <si>
    <t>ΤΣΙΓΑΡΙΔΑ</t>
  </si>
  <si>
    <t xml:space="preserve">ΔΗΜΗΤΡΙΟΣ </t>
  </si>
  <si>
    <t>ΑΚ058616</t>
  </si>
  <si>
    <t>804,1</t>
  </si>
  <si>
    <t>984,1</t>
  </si>
  <si>
    <t>757-758-759-760-761-785-786-787-788-789-790-791-792-793-794-795-796-764-765-753-754-755-756-751-752-770-768-772-762-801-813-771-769-805-797-798-784-778-779-780-781-782-773-767-763-774-808-783-775-776-777-800-802-803-807-809-811-814-799-766-812-810-806-804</t>
  </si>
  <si>
    <t>ΚΥΡΙΑΚΟΥΛΑ</t>
  </si>
  <si>
    <t>Ρ922727</t>
  </si>
  <si>
    <t>833,8</t>
  </si>
  <si>
    <t>983,8</t>
  </si>
  <si>
    <t>813-801-784-805-770</t>
  </si>
  <si>
    <t>ΚΟΥΚΟΥΤΣΗ</t>
  </si>
  <si>
    <t>ΑΕ977219</t>
  </si>
  <si>
    <t>832,7</t>
  </si>
  <si>
    <t>982,7</t>
  </si>
  <si>
    <t>875-831-813-771-862-801-819-844-784-770-822-823-824-825-826-827-828-829-845-846-847-848-849-850-851-852-853-854-855-856-857-858-859-870-871-872-815-757-758-759-760-761-764-765-785-786-787-788-789-790-791-792-793-794-795-796-835-836-837-838-839-840-841-842-778-779-780-781-782-843-834-830-816-817-818-751-752-753-754-755-756-769-772-805-832-860-861-865-876-877-878-873-874-863-864-833-802-803-775-776-777-773-774-797-798-799-800-804-806-807-808-809-810-811-812-866-867-868-869-879-814-762-763-766-767</t>
  </si>
  <si>
    <t>ΦΑΤΟΥΡΟΥ</t>
  </si>
  <si>
    <t>ΑΖ595865</t>
  </si>
  <si>
    <t>952,6</t>
  </si>
  <si>
    <t>982,6</t>
  </si>
  <si>
    <t>793-788-789-791-792-787-786-785-794-795-796-790-757-758-759-760-764-765</t>
  </si>
  <si>
    <t>ΜΑΡΚΟΥ</t>
  </si>
  <si>
    <t>ΑΖ483727</t>
  </si>
  <si>
    <t>ΒΕΝΤΖΗ</t>
  </si>
  <si>
    <t>Π165039</t>
  </si>
  <si>
    <t>768-769-810-812-806-808-811-809-801-799-798-797-796-794-786-800-795-787-781-782-802-803-805-807</t>
  </si>
  <si>
    <t>ΔΡΑΓΑΤΣΟΥΛΗ</t>
  </si>
  <si>
    <t>ΑΙ805450</t>
  </si>
  <si>
    <t>781-782-780-779-762-801-784-800-808-773-774-756-755-754-753-752-783-751-797-799-798-763-771-772-778-813-814-807-811-809-805-775-776-777-802-803-767-786-787-788-789-790-791-792-793-794-795-796-757-758-759-760-764-765-804-812-768-769-770-810</t>
  </si>
  <si>
    <t>ΚΑΡΚΑΤΖΟΥΝΗ</t>
  </si>
  <si>
    <t>ΜΑΛΑΜΑ</t>
  </si>
  <si>
    <t>ΑΚ945286</t>
  </si>
  <si>
    <t>981,5</t>
  </si>
  <si>
    <t>779-780-781-782-778-808-811-814</t>
  </si>
  <si>
    <t>ΜΠΑΡΤΣΩΚΑ</t>
  </si>
  <si>
    <t>ΑΙ002049</t>
  </si>
  <si>
    <t>794-795-791-787-786-793-788-789-785-790-796-758-759-757-760-764-765-754-755-756-753-772-784-771-752-813-801-768-769-770-780-781-782-779-805-814-783-800-773-774-777-776-775-811-806-762-802-803-799-807-808-809-812-810-797-798-766-767</t>
  </si>
  <si>
    <t>ΚΟΥΝΤΟΥΡΙΑΝΟΣ</t>
  </si>
  <si>
    <t>Ν697300</t>
  </si>
  <si>
    <t>779-780-782-781-778-773-774-801-814-769-770-768-771-783-800-813-757-758-759-760-761-764-765-784-785-786-787-788-789-790-791-792-793-794-795-796-802-803-805-811-812-751-752-753-754-755-756-762-763-766-767-772-775-776-777-797-798-799-806-807-808-809-810-936-937</t>
  </si>
  <si>
    <t>ΜΠΛΑΝΤΖΟΥΚΑ</t>
  </si>
  <si>
    <t>Ρ777199</t>
  </si>
  <si>
    <t>ΑΖ023235</t>
  </si>
  <si>
    <t>830,5</t>
  </si>
  <si>
    <t>980,5</t>
  </si>
  <si>
    <t>757-785-786-787-788-789-790-791-792-793-794-795-815-822-828-829-846-847-848-849-850-851-852-853-854-855-856-857-858-859</t>
  </si>
  <si>
    <t>ΟΡΦΑΝΕΛΛΗ</t>
  </si>
  <si>
    <t>ΑΑ440522</t>
  </si>
  <si>
    <t>829,4</t>
  </si>
  <si>
    <t>979,4</t>
  </si>
  <si>
    <t>804-936-801-794-757-756-759-764-768-781-782-786-787-796-802-751-752-753-754-755-758-760-765-769-770-772-773-774-775-776-777-778-779-780</t>
  </si>
  <si>
    <t>ΜΑΚΡΟΠΟΥΛΟΥ</t>
  </si>
  <si>
    <t>ΑΑ318671</t>
  </si>
  <si>
    <t>949,3</t>
  </si>
  <si>
    <t>979,3</t>
  </si>
  <si>
    <t>754-755-756-753-757-758-759-760-761-768-769-770-772-751-752-762-763-764-765-766-767-771-773-774-775-776-777-778-779-780-781-782-783-784-785-786-787-788-789-790-791-792-793-794-795-796-797-798-799-800-801-802-803-804-805-806-807-808-809-810-811-812-813-814</t>
  </si>
  <si>
    <t>ΜΑΓΚΟΥ</t>
  </si>
  <si>
    <t>ΚΑΤΙΝΑ</t>
  </si>
  <si>
    <t>ΑΙ879507</t>
  </si>
  <si>
    <t>800-762-808-773-774-782-781-780-779-778-802-814-799-783-763-801-784-811-807-809-766-767-813-771-770-777-776-775-803-754-755-756-753-752-751-772-805-768-769-797-798-812-804-806-810-757-758-759-760-764-765-785-786-787-788-790-791-792-793-794-795-796</t>
  </si>
  <si>
    <t>ΜΠΑΓΓΕΑ</t>
  </si>
  <si>
    <t>ΑΚ437820</t>
  </si>
  <si>
    <t>828,3</t>
  </si>
  <si>
    <t>978,3</t>
  </si>
  <si>
    <t>835-836-837-838-839-840-841-842-773-778-779-780-781-782-774</t>
  </si>
  <si>
    <t>ΚΩΣΤΟΥΛΑΣ</t>
  </si>
  <si>
    <t>ΑΑ378437</t>
  </si>
  <si>
    <t>882-888-889-890-891-892-893-883-884-885-760-759-758-757-765-785-786-787-788-789-790-791-792-793-794-795-796-751-752-753-754-755-756-768-769-770-778-779-780-781-782-772-773-774-775-776-777-783-784-800-801-802-803-805-813-814</t>
  </si>
  <si>
    <t>ΓΚΟΥΒΑΣ</t>
  </si>
  <si>
    <t>ΑΖ221587</t>
  </si>
  <si>
    <t>948,2</t>
  </si>
  <si>
    <t>978,2</t>
  </si>
  <si>
    <t>801-914-928-784-933</t>
  </si>
  <si>
    <t>ΤΑΧΜΙΝΤΖΗ</t>
  </si>
  <si>
    <t>ΑΑ048679</t>
  </si>
  <si>
    <t>795-794-793-791-789-787-788-796-786</t>
  </si>
  <si>
    <t>ΑΔΑΜΟΠΟΥΛΟΥ</t>
  </si>
  <si>
    <t>Τ273714</t>
  </si>
  <si>
    <t>797,5</t>
  </si>
  <si>
    <t>977,5</t>
  </si>
  <si>
    <t>755-754-756</t>
  </si>
  <si>
    <t>ΜΠΑΝΤΟΥΝΑ</t>
  </si>
  <si>
    <t>ΑΕ711598</t>
  </si>
  <si>
    <t>976,8</t>
  </si>
  <si>
    <t>755-754-756-753-772</t>
  </si>
  <si>
    <t>ΤΑΛΤΑΠΑΝΙΔΟΥ</t>
  </si>
  <si>
    <t>ΑΙ394435</t>
  </si>
  <si>
    <t>783-807-763-811-778-779-780-781-782-808-773-774-801</t>
  </si>
  <si>
    <t>ΝΕΟΦΥΤΟΥ</t>
  </si>
  <si>
    <t>ΣΩΚΡΑΤΗΣ</t>
  </si>
  <si>
    <t>Ν552588</t>
  </si>
  <si>
    <t>798-761-794-785-796-793-792-790-791-789-788-787-786-795-759-760-754-755-756-757-758</t>
  </si>
  <si>
    <t>ΚΑΡΑΜΑΝΛΑΚΗ</t>
  </si>
  <si>
    <t>ΑΖ853438</t>
  </si>
  <si>
    <t>799-782-780-779-778-781</t>
  </si>
  <si>
    <t>ΣΕΜΕΛΑ</t>
  </si>
  <si>
    <t>ΘΕΟΔΩΡΟΣ ΠΑΝΩΓΙΩΤΗΣ</t>
  </si>
  <si>
    <t>ΑΚ819935</t>
  </si>
  <si>
    <t>764-794-757-786-787-759-796-792-789-795-791-785-765-760-758-788-790-793</t>
  </si>
  <si>
    <t>ΠΑΝΟΠΟΥΛΟΥ</t>
  </si>
  <si>
    <t>ΑΗ801521</t>
  </si>
  <si>
    <t>800-773-774-782-781-780-779-801-808-814-768-762-763-784-799-797-807-811-794-787-786-757-759-791-788-789-790-792-793-764-765-767-770-754-758-756-771-769-798-795-783-755-813-772-753-752-751-809-766</t>
  </si>
  <si>
    <t>ΠΟΤΟΥΡΙΔΟΥ</t>
  </si>
  <si>
    <t>ΑΖ807900</t>
  </si>
  <si>
    <t>757-758-759-760-764-765-786-788-789-790-791-792-793-794-795-768-769-770-772-773-774-775-776-777-778-779-780-781-782-783-784-800-801-802-803-805-808-813-814</t>
  </si>
  <si>
    <t>ΜΑΓΔΑΛΙΑΝΙΔΔΟΥ</t>
  </si>
  <si>
    <t>ΑΖ689992</t>
  </si>
  <si>
    <t>781-782-780-779-778-814-799-783-811</t>
  </si>
  <si>
    <t>ΠΙΤΣΙΝΕΛΗΣ</t>
  </si>
  <si>
    <t>ΑΙ269712</t>
  </si>
  <si>
    <t>756-757-759-763-764-768-781-782-786-787-794-796-801-802-807-809</t>
  </si>
  <si>
    <t>ΡΟΜΠΟΤΗ</t>
  </si>
  <si>
    <t>ΚΟΝΔΥΛΙΑ</t>
  </si>
  <si>
    <t>ΑΜ602823</t>
  </si>
  <si>
    <t>815-820-858-859-848-849-851-852-853-854-856-855-857-845-846-847-825-826-827-828-829-870-871-872-764-765-757-758-785-786-787-788-789-790-791-792-793-794-795-796</t>
  </si>
  <si>
    <t>ΝΤΟΥΝΑΣ</t>
  </si>
  <si>
    <t xml:space="preserve">ΣΠΥΡΙΔΩΝ </t>
  </si>
  <si>
    <t>ΑΜ164593</t>
  </si>
  <si>
    <t>ΤΕΤΡΑΔΗ</t>
  </si>
  <si>
    <t>Π480078</t>
  </si>
  <si>
    <t>973,8</t>
  </si>
  <si>
    <t>785-786-787-792-788-789-790-791-793-794-795-796-757-758-759-760-764-765-768-769-770-751-752-753-754-755-756-771-801-805-797-798-778-779-780-781-802-773-774-772-806-775-776-777-812-783-814</t>
  </si>
  <si>
    <t>ΠΑΠΑΠΑΥΛΟΥ</t>
  </si>
  <si>
    <t>ΑΗ424501</t>
  </si>
  <si>
    <t>766-767-801-794-768-781-782-786-787-769-783-800-814-813-937-784-770-757-759-764-802-756-753-754-755-760-765-773-774-778-779-780-805-785-788-789-790-791-792-793-795-758-751-752-772-775-776-777-803-797-804-936-812-798-806-810-762-763-807-799-808-809-811-771</t>
  </si>
  <si>
    <t>ΣΤΑΚΑ</t>
  </si>
  <si>
    <t>ΑΡΙΑΝΑ</t>
  </si>
  <si>
    <t>ΠΑΣΚΟΣ</t>
  </si>
  <si>
    <t>ΑΙ762743</t>
  </si>
  <si>
    <t>756-755-754</t>
  </si>
  <si>
    <t>ΚΟΛΟΒΕΡΟΥ</t>
  </si>
  <si>
    <t>Ρ037668</t>
  </si>
  <si>
    <t>805-772-752-751-753-754-755-756-757-758-761-759-760-786-787-788-789-790-791-792-793</t>
  </si>
  <si>
    <t>ΤΣΕΝΤΕΡΙΔΟΥ</t>
  </si>
  <si>
    <t>ΠΑΣΧΑΛΙΝΑ</t>
  </si>
  <si>
    <t>ΑΖ356205</t>
  </si>
  <si>
    <t>799-808-778-779-780-781-782</t>
  </si>
  <si>
    <t>ΤΣΟΥΜΑΝΗΣ</t>
  </si>
  <si>
    <t>ΑΒ090639</t>
  </si>
  <si>
    <t>ΚΟΥΓΙΑ</t>
  </si>
  <si>
    <t>ΑΜ852463</t>
  </si>
  <si>
    <t>970,5</t>
  </si>
  <si>
    <t>925-926-800-914-929-803-933-801-773-774-772-928-934-751-752-805-802-927-814-813-768-753-769-754-770-755-756-898-775-899-783-900-777-776-907-778-779-780-781-782-908-909-910-911-912-901-902-903-904-916-917-918-919-920-921-922-757-758-759-760-761-764-765-785-786-787-788-789-790-791-792-793-794-795-796-937</t>
  </si>
  <si>
    <t>ΛΑΚΙΩΤΗ</t>
  </si>
  <si>
    <t>ΔΙΟΜΗΔΗΣ</t>
  </si>
  <si>
    <t>Ξ377970</t>
  </si>
  <si>
    <t>764-765-786-787-788-794-795</t>
  </si>
  <si>
    <t>ΧΡΙΣΤΟΔΟΥΛΟΠΟΥΛΟΥ</t>
  </si>
  <si>
    <t>ΑΕ769594</t>
  </si>
  <si>
    <t>762-797-798-753-754-755-756-774-778-779-780-781-782-800-812</t>
  </si>
  <si>
    <t>Π160759</t>
  </si>
  <si>
    <t>775-777-776-803-802</t>
  </si>
  <si>
    <t>ΣΑΜΑΡΑ</t>
  </si>
  <si>
    <t>ΑΒ103835</t>
  </si>
  <si>
    <t>784-801-757-758-759-761-762-764-765-768-769-770-778-779-780-781-782-786-787-788-789-790-791-792-794-795-806-813-814-937</t>
  </si>
  <si>
    <t>ΜΑΥΡΟΥΔΗ</t>
  </si>
  <si>
    <t>ΜΑΡΓΑΡΙΤΑ</t>
  </si>
  <si>
    <t>ΑΗ383312</t>
  </si>
  <si>
    <t>968,3</t>
  </si>
  <si>
    <t>783-763</t>
  </si>
  <si>
    <t>ΤΡΟΜΠΟΥΚΗΣ</t>
  </si>
  <si>
    <t>ΑΜ060759</t>
  </si>
  <si>
    <t>761-757-760</t>
  </si>
  <si>
    <t>ΜΠΟΤΣΑ</t>
  </si>
  <si>
    <t>ΑΚ661644</t>
  </si>
  <si>
    <t>828-856-871-820-823-829-846-847-848-858-859-850-849-851-853-852-854-855-857-821-827-822-824-826-825-870-872-815-845-753-754-755-756-757-758-759-760-761-764-765-772-785-786-787-788-789-790-791-792-793-794-795-796-805-812</t>
  </si>
  <si>
    <t>Σ722049</t>
  </si>
  <si>
    <t>ΑΜΑΝΑΤΙΔΟΥ</t>
  </si>
  <si>
    <t>ΑΜ820856</t>
  </si>
  <si>
    <t>801-781-782-768-786-787-794-796-764-757-759-756-763-807-809-804-802</t>
  </si>
  <si>
    <t>ΚΟΦΙΝΑΚΗ</t>
  </si>
  <si>
    <t xml:space="preserve">ΝΙΚΟΛΑΟΣ </t>
  </si>
  <si>
    <t>Ν992454</t>
  </si>
  <si>
    <t>802-803-776-777</t>
  </si>
  <si>
    <t>Παπαδοπούλου</t>
  </si>
  <si>
    <t>Μαρία</t>
  </si>
  <si>
    <t>Σάββας</t>
  </si>
  <si>
    <t>ΑΒ720491</t>
  </si>
  <si>
    <t>799-780-779-781-782-778-808-801-773-814-783-800-784</t>
  </si>
  <si>
    <t>ΣΚΟΥΜΗ</t>
  </si>
  <si>
    <t>ΑΕ796517</t>
  </si>
  <si>
    <t>801-782-781-796-794-787-786-757-759-764-756-768-802-762</t>
  </si>
  <si>
    <t>ΝΙΚΟΛΗ</t>
  </si>
  <si>
    <t>Σ516510</t>
  </si>
  <si>
    <t>779-780-781-782-778-752-751-754-755-756-757-758-759-760-786-787-788-789-790-791-792-793-794-795-796-785-801-800-764-765-813-814-783-784-772-773-774-770-768-769-775-776-777-802-803-753-805-762-763-766-767-771-797-798-799-807-808-809-811-810-804-812-806</t>
  </si>
  <si>
    <t>ΛΑΓΟΥΜΙΤΖΗ</t>
  </si>
  <si>
    <t>Τ275459</t>
  </si>
  <si>
    <t>753-754-755-756</t>
  </si>
  <si>
    <t>ΤΑΝΑΓΡΑ</t>
  </si>
  <si>
    <t>ΑΖ983785</t>
  </si>
  <si>
    <t>937,2</t>
  </si>
  <si>
    <t>967,2</t>
  </si>
  <si>
    <t>784-770-768-769</t>
  </si>
  <si>
    <t>ΔΑΦΝΗ</t>
  </si>
  <si>
    <t>ΧΑΡΙΣΗΣ</t>
  </si>
  <si>
    <t>ΑΒ314732</t>
  </si>
  <si>
    <t>760-794-795-786-787-757-758-759-792-791-788-789-790-785-793-796</t>
  </si>
  <si>
    <t>ΚΟΚΛΑ</t>
  </si>
  <si>
    <t>ΑΗ205458</t>
  </si>
  <si>
    <t>756-757-759-764-786-787-794-796-801-782</t>
  </si>
  <si>
    <t>ΤΡΟΣΙΔΗ</t>
  </si>
  <si>
    <t>ΑΗ867238</t>
  </si>
  <si>
    <t>809-807-781-780-779-778-777-767-766-763</t>
  </si>
  <si>
    <t xml:space="preserve">ΝΤΕΡΜΠΕΝΤΕΡΗ </t>
  </si>
  <si>
    <t>Χ069926</t>
  </si>
  <si>
    <t>916,3</t>
  </si>
  <si>
    <t>966,3</t>
  </si>
  <si>
    <t>759-758-794-795-760-757-785-788-793-787-786-790-789-792-796-791</t>
  </si>
  <si>
    <t>ΨΑΡΟΠΟΥΛΟΥ</t>
  </si>
  <si>
    <t>ΑΡΓΥΡΗ</t>
  </si>
  <si>
    <t>ΑΖ658880</t>
  </si>
  <si>
    <t>816,2</t>
  </si>
  <si>
    <t>966,2</t>
  </si>
  <si>
    <t>781-779-780-782-778-840-836-837-842-841-835-838</t>
  </si>
  <si>
    <t>ΚΩΣΤΟΥΛΑ</t>
  </si>
  <si>
    <t>Ρ172854</t>
  </si>
  <si>
    <t>822-828-847-850-854-794-846-787-824-823-858-848-796</t>
  </si>
  <si>
    <t>ΝΑΟΥΜΗ</t>
  </si>
  <si>
    <t>ΑΗ916959</t>
  </si>
  <si>
    <t>781-782-780-779-778-814-773-774-800-783-801-757-758-759-760-764-765-785-786-787-788-789-790-791-792-793-794-795-796-768-769-770-753-754-755-756-751-752-772-775-776-777-802-803-813-784-805</t>
  </si>
  <si>
    <t>ΠΑΝΗ</t>
  </si>
  <si>
    <t>ΑΕ087667</t>
  </si>
  <si>
    <t>751-752-753-754-755-756-757-758-759-760-761-764-765-768-769-770-772-773-774-775-776-777-778-779-780-781-782-783-784-785-786-787-788-789-790-791-792-793-794-795-796-800-801-802-803-805-813-814-937</t>
  </si>
  <si>
    <t>ΚΑΠΕΤΑΝΟΥ</t>
  </si>
  <si>
    <t>ΑΜ341425</t>
  </si>
  <si>
    <t>751-752-759-786-787-801-788-764-794-765-796-795-789-790-791-792-793-760-758-785-757-805-756-755-754-753-772-806-813-812-782-768-769-770-778-779-780-781-783-784-814-800-762-763-773-774-775-777-776-797-798-799-811-802-803-808-810-809-766-767</t>
  </si>
  <si>
    <t>ΚΑΤΣΗ</t>
  </si>
  <si>
    <t>ΙΩΑΝΗΣ</t>
  </si>
  <si>
    <t>ΑΚ032669</t>
  </si>
  <si>
    <t>787-786-794-795-790-791-793-788-792-785-789-758-757-759-760-796</t>
  </si>
  <si>
    <t>ΤΣΟΥΜΑΚΗ</t>
  </si>
  <si>
    <t>ΕΥΣΤΡΑΤΙΑ</t>
  </si>
  <si>
    <t>ΑΖ381381</t>
  </si>
  <si>
    <t>783-807</t>
  </si>
  <si>
    <t>ΜΠΗΤΡΟΥ</t>
  </si>
  <si>
    <t>Σ144644</t>
  </si>
  <si>
    <t>882-888-891-889-890-787-786-789-791-788-785-793-764-796</t>
  </si>
  <si>
    <t>ΤΖΑΤΣΟΥ</t>
  </si>
  <si>
    <t>ΑΗ793393</t>
  </si>
  <si>
    <t>800-762-781-779-780-782-778-801-773-774-799-808-811-809-807-767-763-755-754-756-783-784-813-797-798</t>
  </si>
  <si>
    <t>ΔΑΜΙΑΝΑΚΗ</t>
  </si>
  <si>
    <t>ΑΒ482237</t>
  </si>
  <si>
    <t>775-776-777-802-803-751-752-753-754-755-756-757-758-759-760-761-762-763-764-765-766-767-768-769-770-771-772-773-774-778-779-780-781-782-783-784-785-786-787-788-789-790-791-792-794-795-796-797-798-799-800-801-804-805-806-807-808-809-810-811-812-813-814</t>
  </si>
  <si>
    <t>ΧΡΟΝΟΠΟΥΛΟΣ</t>
  </si>
  <si>
    <t>ΑΗ206401</t>
  </si>
  <si>
    <t>754-755-756-753-772-759-760-761-764-765-757-758-785-786-787-788-789-790-791-792-793-794-795-796-798-751-752-805-771-768-769-770-801-813-778-779-780-781-782-800-797-783-762-763-773-774-784-808-809-811-814-812-810-807-799-806-766-767-776-777-775-802-803-936-937</t>
  </si>
  <si>
    <t>ΜΠΑΖΑΚΑ</t>
  </si>
  <si>
    <t>ΑΚ436796</t>
  </si>
  <si>
    <t>782-781-780-779-778-801</t>
  </si>
  <si>
    <t>ΚΟΥΤΣΟΝΙΚΟΛΗ</t>
  </si>
  <si>
    <t>ΣΑΝΤΡΑ</t>
  </si>
  <si>
    <t>Χ720919</t>
  </si>
  <si>
    <t>794-795-791-788-786-787-789-793-792-790-796-785-765-764-757-758-759-760</t>
  </si>
  <si>
    <t>ΓΕΡΕΝΤΕ</t>
  </si>
  <si>
    <t xml:space="preserve">ΜΑΡΙΑ </t>
  </si>
  <si>
    <t>ΑΖ665882</t>
  </si>
  <si>
    <t>781-782-763-768-803-786-787-757-794-796</t>
  </si>
  <si>
    <t>ΑΖ654460</t>
  </si>
  <si>
    <t>782-781-778-779-780-799-773-808-814-811-774-783-763-800-801-768-769-770-792-785-786-787-788-789-790-791-793-794-795-796-797-798-757-758-759-760-761-751-752-753-754-755-756-764-765-771-772-775-776-777-784-802-803-804-805-812-813-762-807-810</t>
  </si>
  <si>
    <t>ΑΖ614860</t>
  </si>
  <si>
    <t>795-786-787-788-789-790-791-792-793-794-796</t>
  </si>
  <si>
    <t>ΑΗ204767</t>
  </si>
  <si>
    <t>964,7</t>
  </si>
  <si>
    <t>755-754-756-753-772-764-765-785-786-787-788-789-790-791-792-793-794-795-796-757-758-759-760</t>
  </si>
  <si>
    <t>ΤΣΙΑΜΟΥΡΑ</t>
  </si>
  <si>
    <t>ΒΑΝΝΑ</t>
  </si>
  <si>
    <t>ΑΗ781675</t>
  </si>
  <si>
    <t>784-801-778-781-782-780-779-768-769-813-776-777</t>
  </si>
  <si>
    <t>ΒΟΝΟΡΤΑ</t>
  </si>
  <si>
    <t>ΑΖ013962</t>
  </si>
  <si>
    <t>771-760-786-796-794-795-787-785-788-791-793-790-789-759-757-758-764-765-792-752-751-813-770-769-768-753-754-755-756-772-805-784-801-775-776-777-802-803-800-783-778-779-780-781-782-773-774-814-937-762-763-797-798-799-806-804-936-810-812-811-808-807-809-767-766-761</t>
  </si>
  <si>
    <t>ΙΟΝΕΛΑ-ΠΑΡΘΕΝΑ</t>
  </si>
  <si>
    <t>ΝΙΚΟΣ</t>
  </si>
  <si>
    <t>ΑΚ201904</t>
  </si>
  <si>
    <t>ΜΕΡΟΠΗ</t>
  </si>
  <si>
    <t>Ρ988567</t>
  </si>
  <si>
    <t>893,2</t>
  </si>
  <si>
    <t>963,2</t>
  </si>
  <si>
    <t>801-794-759</t>
  </si>
  <si>
    <t>ΒΡΥΖΑ</t>
  </si>
  <si>
    <t>Χ759643</t>
  </si>
  <si>
    <t>ΧΑΜΟΥΛΙΑ</t>
  </si>
  <si>
    <t>ΑΙ288132</t>
  </si>
  <si>
    <t>801-784-813-779-780-800-778-781-782-773-768-757</t>
  </si>
  <si>
    <t>ΛΙΑΠΙΔΟΥ</t>
  </si>
  <si>
    <t>ΚΩΣΤΑΝΤΙΝΟΣ</t>
  </si>
  <si>
    <t>ΑΒ933012</t>
  </si>
  <si>
    <t>ΛΩΛΗΣ</t>
  </si>
  <si>
    <t>ΑΚ042008</t>
  </si>
  <si>
    <t>ΝΑΚΟΥΛΑ</t>
  </si>
  <si>
    <t>Χ915827</t>
  </si>
  <si>
    <t>ΡΗΓΟΠΟΥΛΟΥ</t>
  </si>
  <si>
    <t>ΑΚ670065</t>
  </si>
  <si>
    <t>810,7</t>
  </si>
  <si>
    <t>960,7</t>
  </si>
  <si>
    <t>786-787-794-796-759-764-788-789-790-757-758-760-765-785-791-792-793-795-768-769-770</t>
  </si>
  <si>
    <t>ΜΩΡΑΙΤΗ</t>
  </si>
  <si>
    <t>ΑΧΙΛΛΕΥΣ</t>
  </si>
  <si>
    <t>ΑΖ738241</t>
  </si>
  <si>
    <t>762-778-779-780-781-782-808-773-774-784-797-800-801-814-753-754-755-756</t>
  </si>
  <si>
    <t>ΓΥΦΤΑΚΗ</t>
  </si>
  <si>
    <t>Χ122152</t>
  </si>
  <si>
    <t>761-757-758-759-760-793-794-795-786-787-788-790-791-789-792-785-796-765-764-805-798</t>
  </si>
  <si>
    <t>ΚΑΛΟΓΕΡΟΠΟΥΛΟΥ</t>
  </si>
  <si>
    <t>Χ336898</t>
  </si>
  <si>
    <t>959,2</t>
  </si>
  <si>
    <t>772-754-755-756</t>
  </si>
  <si>
    <t>ΚΡΙΟΥΣΗ</t>
  </si>
  <si>
    <t>Π226914</t>
  </si>
  <si>
    <t>927,3</t>
  </si>
  <si>
    <t>957,3</t>
  </si>
  <si>
    <t>801-808-773-774-778-779-780-781-782-784-751-752-753-754-755-756-757-758-759-760-761-762-763-764-765-766-767-768-769-770-771-772-775-776-777-783-785-786-787-788-789-790-791-792-793-794-795-796-797-798-799-800-802-803-804-805-806-807-809-810-811-812-813-814-936-937</t>
  </si>
  <si>
    <t>ΚΗΙΜΙΚΗ</t>
  </si>
  <si>
    <t>ΚΛΕΟΝΙΚΗ</t>
  </si>
  <si>
    <t>ΑΜ417839</t>
  </si>
  <si>
    <t>773-774-779-780-782-778-800-808-763-807-762-783-801</t>
  </si>
  <si>
    <t>ΚΟΥΡΗ</t>
  </si>
  <si>
    <t>Τ016051</t>
  </si>
  <si>
    <t>785-786-787-788-789-790-791-792-793-794-795-796-757-758-759-760-764-765-778-779-780-781-782-753-754-755-756-751-752-768-769-770-772-805-773-774-775-777-783-784-800-801-802-803-813-814</t>
  </si>
  <si>
    <t>ΚΑΡΑΛΗΣ</t>
  </si>
  <si>
    <t>Χ470152</t>
  </si>
  <si>
    <t>932-752-753-754-755-756-757-758-759-760-761-764-765-768-769-770-772-773-774-775-776-777-778-779-780-781-782-783-784-785-786-787-788-789-790-751-791-792-793-794-795-796-800-801-802-803-805-813-814-898-899-900-901-902-903-904-907-908-909-910-911-912-913-914-916-917-918-919-920-921-922-925-926-927-928-929-934-933-937-939-941-942</t>
  </si>
  <si>
    <t>ΑΘΑΝΑΣΑΚΟΠΟΥΛΟΥ</t>
  </si>
  <si>
    <t>ΑΖ709511</t>
  </si>
  <si>
    <t>ΑΗ503158</t>
  </si>
  <si>
    <t>796-791-785-786-787-788-789-790-792-793-794-795-757-758-759-760-764-765-761-805</t>
  </si>
  <si>
    <t>ΚΑΡΑΜΠΙΝΑ</t>
  </si>
  <si>
    <t>ΑΖ241864</t>
  </si>
  <si>
    <t>754-755-756-773-774-778-779-780-781-782-800-801-764</t>
  </si>
  <si>
    <t>ΔΗΜΗΤΡΗ</t>
  </si>
  <si>
    <t>ΣΠΥΡΟΣ</t>
  </si>
  <si>
    <t>ΑΗ086220</t>
  </si>
  <si>
    <t>955,5</t>
  </si>
  <si>
    <t>764-794-795-765-761-791-787-786-757-788-789</t>
  </si>
  <si>
    <t>ΓΚΟΥΓΚΟΥΣΤΑΜΟΥ</t>
  </si>
  <si>
    <t>ΑΖ095361</t>
  </si>
  <si>
    <t>786-787-794-796-757-759-801-781-782-768-764-756-807-809-763-804-802</t>
  </si>
  <si>
    <t>ΓΚΙΝΗ</t>
  </si>
  <si>
    <t>ΑΗ895481</t>
  </si>
  <si>
    <t>811-763-778-779-780-781-782-783-799</t>
  </si>
  <si>
    <t>Χ913753</t>
  </si>
  <si>
    <t>813-751-752-753-754-755-756-757-758-759-760-761-762-763-764-765-766-767-768-769-770-771-772-773-774-775-776-777-778-779-780-781-782-783-784-785-786-787-788-789-790-791-792-793-794-795-796-797-798-799-800-801-802-803-804-805-806-807-808-809-810-811-812-814</t>
  </si>
  <si>
    <t>ΚΕΚΡΙΔΟΥ</t>
  </si>
  <si>
    <t>ΑΒ459251</t>
  </si>
  <si>
    <t>ΛΙΑΠΗ</t>
  </si>
  <si>
    <t>ΧΑΙΜΑΔΗ</t>
  </si>
  <si>
    <t>ΑΙ840499</t>
  </si>
  <si>
    <t>778-779-780-781-782-784-801-813-800</t>
  </si>
  <si>
    <t>ΤΙΛΚΕΡΙΔΟΥ</t>
  </si>
  <si>
    <t>ΑΖ887681</t>
  </si>
  <si>
    <t>ΜΠΑΛΟΥ</t>
  </si>
  <si>
    <t>Φ056542</t>
  </si>
  <si>
    <t>801,9</t>
  </si>
  <si>
    <t>951,9</t>
  </si>
  <si>
    <t>789-794-795-785-787-786-792-791-788-796-790-793-757-758-759-760-761-764-765-805</t>
  </si>
  <si>
    <t>ΤΣΟΓΚΟΥ</t>
  </si>
  <si>
    <t>ΑΗ519719</t>
  </si>
  <si>
    <t>758-757-759-760-786-787-788-789-790-791-792-793-794-795-796-764-765-770-772-783-784-785-773-774-801-800-802-803-813-814-768-769-777-751-752</t>
  </si>
  <si>
    <t>ΣΤΑΜΟΥ</t>
  </si>
  <si>
    <t>ΑΙ 240236</t>
  </si>
  <si>
    <t>805-753-754-755-756-775-776-777-751-752-802-803-813-814-783-784-800-778-779-780-781-782-801-773-774-768-769-770</t>
  </si>
  <si>
    <t>ΚΙΟΡΑΠΟΣΤΟΛΟΥ</t>
  </si>
  <si>
    <t>ΑΒ354225</t>
  </si>
  <si>
    <t>782-779-781-778-780</t>
  </si>
  <si>
    <t>ΑΝΤΩΝΙΟΥ</t>
  </si>
  <si>
    <t>ΑΚ420885</t>
  </si>
  <si>
    <t>801-757-758-759-760-761-785-786-787-788-789-790-791-792-793-794-795-796-778-779-780-781-782-784</t>
  </si>
  <si>
    <t>ΤΣΑΡΑ</t>
  </si>
  <si>
    <t>ΑΒ374369</t>
  </si>
  <si>
    <t>763-807-783-811-809-767-766-814-799-778-779-780-781-782-808-773-774-762-801-800-784-813-771-751-752-753-755-754-756-772-777-776-775-803-802-805-770-769-768-804-812-810-806-797-798-757-759-758-760-786-787-788-785-791-789-790-792-793-794-795-796-764-765</t>
  </si>
  <si>
    <t>ΚΑΡΑ ΧΟΤΖΑ ΙΣΜΑΗΛ</t>
  </si>
  <si>
    <t>ΧΑΛΗΛ</t>
  </si>
  <si>
    <t>ΡΑΧΗΜ</t>
  </si>
  <si>
    <t>ΑΖ373203</t>
  </si>
  <si>
    <t>ΑΣΦΗ</t>
  </si>
  <si>
    <t>Σ247054</t>
  </si>
  <si>
    <t>800,8</t>
  </si>
  <si>
    <t>950,8</t>
  </si>
  <si>
    <t>850-857-852-847-848-854-858-859-853-856-846-794-757-787-756-822-821-818</t>
  </si>
  <si>
    <t>ΑΒ811117</t>
  </si>
  <si>
    <t>950,4</t>
  </si>
  <si>
    <t>759-764-796-792-786-757-794-787-760-758-788-790-795-765-781-782-793-791-789-785-780-779-778-801-768-753-754-755-756-773-774-800-814-784-769-770-813-751-752-805-772-775-783-776-777-802-803-797-804-806-798-810-812-808-771-811-762-763-799-807-809-766-767</t>
  </si>
  <si>
    <t>ΚΑΛΟΜΕΝΙΔΗ</t>
  </si>
  <si>
    <t>ΑΒ486639</t>
  </si>
  <si>
    <t>764-765-794-786-787-757-795-796-785-788-789-790-791-792-793</t>
  </si>
  <si>
    <t>ΑΖ692586</t>
  </si>
  <si>
    <t>781-782-768-763-801-807-809</t>
  </si>
  <si>
    <t>ΑΖ192957</t>
  </si>
  <si>
    <t>779-782-780-781-778-808-799-773-774-814-763-783-811</t>
  </si>
  <si>
    <t>ΚΙΤΣΙΟΠΟΥΛΟΥ</t>
  </si>
  <si>
    <t>ΕΥΔΟΚΙΑ</t>
  </si>
  <si>
    <t>Φ320605</t>
  </si>
  <si>
    <t>762-763-773-774-778-779-780-781-782-801-806-808-811-814-807-805-800-799-783-784</t>
  </si>
  <si>
    <t>ΤΣΙΛΙΠΑΚΟΥ</t>
  </si>
  <si>
    <t>ΕΥΣ</t>
  </si>
  <si>
    <t>Χ234560</t>
  </si>
  <si>
    <t>898,7</t>
  </si>
  <si>
    <t>948,7</t>
  </si>
  <si>
    <t>779-780-781-782-778-773-774</t>
  </si>
  <si>
    <t>ΚΑΤΣΑΡΟΥ</t>
  </si>
  <si>
    <t>Σ067141</t>
  </si>
  <si>
    <t>948,5</t>
  </si>
  <si>
    <t>757-759-786-787-760-794-792-788-758-795-791-789-793-796-802</t>
  </si>
  <si>
    <t>ΘΕΣΣΑΛΟΝΙΚΕΩΣ</t>
  </si>
  <si>
    <t>ΜΑΡΘΑ-ΜΑΡΙΑ</t>
  </si>
  <si>
    <t>ΑΗ172933</t>
  </si>
  <si>
    <t>781-782-779-780-778-808-774-773</t>
  </si>
  <si>
    <t>ΔΡΑΓΟΤΕΝΛΗ</t>
  </si>
  <si>
    <t>ΑΖ166300</t>
  </si>
  <si>
    <t>814-783-778-779-780-781-782-801-800-813-802-803-775-776-777-768-769-770-773-774-772-771-764-765-761-760-759-751-752-753-754-755-756-757-758-785-786-787-788-789-790-791-792-793-794-795-796-808-809-811-812-810-807-805-804-806-763-762-766-767-799-936</t>
  </si>
  <si>
    <t>ΓΕΩΡΓΙΑΔΗ</t>
  </si>
  <si>
    <t>ΑΕ287574</t>
  </si>
  <si>
    <t>758-759-760-761-764-765-785-786-787-788-789-790-791-792-793-794-796-778-779-780-781-782-783-811-814-808-809-805-799-800-801-784-807-813-762-763-768-769-770-771-773-772-766-767-797-798-806-812-775-776-777-802-810-804</t>
  </si>
  <si>
    <t>ΔΡΕΛΛΑ</t>
  </si>
  <si>
    <t>Φ125900</t>
  </si>
  <si>
    <t>947,5</t>
  </si>
  <si>
    <t>791-792-796-788-760-787-785-790-789-786-793-757-794-795-759-758-764-765-770-751-752</t>
  </si>
  <si>
    <t>Σ031937</t>
  </si>
  <si>
    <t>947,1</t>
  </si>
  <si>
    <t>ΓΑΡΔΟΥΝΗ</t>
  </si>
  <si>
    <t>Ν189823</t>
  </si>
  <si>
    <t>794-795-796-785-786-787-788-789-790-791-792-793-757-758-759-760-764-765</t>
  </si>
  <si>
    <t>ΛΑΔΑ</t>
  </si>
  <si>
    <t>ΑΒ607686</t>
  </si>
  <si>
    <t>786-787-788-789-793-791-790-792-796-785-757-758-794-795-759-760-764-765-768-769-770-779-780-781-782-778-813-751-752-753-754-755-756-772-805-771-801-802-803-775-776-777-812-797-810-806-798-773-774-784-762-763-800-783-808-807-809-804-814-811-799-766-767</t>
  </si>
  <si>
    <t>ΛΑΜΠΡΟΥΛΗΣ</t>
  </si>
  <si>
    <t>ΑΙ839979</t>
  </si>
  <si>
    <t>801-768-794</t>
  </si>
  <si>
    <t>ΔΕΛΗΜΙΧΑΛΗ</t>
  </si>
  <si>
    <t>ΑΙ444093</t>
  </si>
  <si>
    <t>802-794-759-757-796-786-787-764-801-781-782-756</t>
  </si>
  <si>
    <t>ΧΑΤΖΗ</t>
  </si>
  <si>
    <t>ΑΕ062702</t>
  </si>
  <si>
    <t>757-758-759-760-761-764-765-785-786-787-788-789-790-791-792-793-794-795-796-815-820-821-822-823-824-825-826-827-828-829-845-846-847-848-849-850-851-852-853-854-855-856-857-858-859-870-871-872</t>
  </si>
  <si>
    <t>ΑΝΤΖΑΡΑ</t>
  </si>
  <si>
    <t>ΑΝΤΑ</t>
  </si>
  <si>
    <t>ΑΠΟΣΤΟΛ</t>
  </si>
  <si>
    <t>Χ563721</t>
  </si>
  <si>
    <t>764,5</t>
  </si>
  <si>
    <t>944,5</t>
  </si>
  <si>
    <t>757-758-759-760-764-786-787-788-789-790-791-792-793-794-795-796</t>
  </si>
  <si>
    <t>ΚΑΣΤΡΙΝΟΥ</t>
  </si>
  <si>
    <t>ΙΦΙΓΕΝΕΙΑ</t>
  </si>
  <si>
    <t>ΑΒ420963</t>
  </si>
  <si>
    <t>794,2</t>
  </si>
  <si>
    <t>944,2</t>
  </si>
  <si>
    <t>801-784-782-781-780-779-778-814-813-800-774-773-770-768-769-783-787-786-794-796-795-793-788-792-791-790-789-785-759-758-757-760-764-765-756-754-755-752-805-772-751-753-777-776-775-803-802-928-929-933-914-911-908-909-910-912-934-926-925-918-921-917-922-920-916-919-903-901-902-904-913-900-899-927-898-907</t>
  </si>
  <si>
    <t>ΓΑΡΕΛΛΑ</t>
  </si>
  <si>
    <t>ΑΚ094750</t>
  </si>
  <si>
    <t>778-779-780-781-782-785-786-787-788-789-790-791-792-793-794-795-796</t>
  </si>
  <si>
    <t>ΕΥΣΤΡΑΤΙΟΥ</t>
  </si>
  <si>
    <t>ΔΑΡΕΙΑ</t>
  </si>
  <si>
    <t>ΑΙ565119</t>
  </si>
  <si>
    <t>ΜΠΑΛΑΒΗ</t>
  </si>
  <si>
    <t>ΑΙ353036</t>
  </si>
  <si>
    <t>800-801-768-773-774-762-778-781-782-814-761-783-802</t>
  </si>
  <si>
    <t>ΤΑΤΙΑΝΗ</t>
  </si>
  <si>
    <t>ΑΖ800587</t>
  </si>
  <si>
    <t>781-782-756-757-759-764-768-786-787-794-796-801-802-800-780-779-778-773-774-783-784-788-760-765-789-790-791-792-793-795-758-751-752-753-754-755-769-770-772-776-777-775-803-805-785</t>
  </si>
  <si>
    <t>ΣΕΡΕΤΗ</t>
  </si>
  <si>
    <t>Τ465221</t>
  </si>
  <si>
    <t>763-811-783-814-773-774-800-784-778-779-780-781-782-813-768-769-770-772-751-752-753-754-756-775-776-777-757-758-759-760-764-765-785-786-787-789-790-791-793-792-794-795-796-802-803</t>
  </si>
  <si>
    <t>ΤΣΟΝΙΑ</t>
  </si>
  <si>
    <t>ΑΖ600302</t>
  </si>
  <si>
    <t>760-757-764-791-788-789-792-794-795-793-790-761</t>
  </si>
  <si>
    <t>ΧΑΤΖΗΦΩΤΙΟΥ</t>
  </si>
  <si>
    <t>Χ308586</t>
  </si>
  <si>
    <t>ΜΠΑΝΤΑ ΣΑΛΗ</t>
  </si>
  <si>
    <t>ΓΙΟΥΝΟΥΣ</t>
  </si>
  <si>
    <t>ΣΑΛΗ</t>
  </si>
  <si>
    <t>ΑΜ719588</t>
  </si>
  <si>
    <t>931-807</t>
  </si>
  <si>
    <t>ΛΕΣΚΟΒΙΚΗΣ</t>
  </si>
  <si>
    <t>ΔΗΜΟΚΡΑΤΗΣ</t>
  </si>
  <si>
    <t>Ν714812</t>
  </si>
  <si>
    <t>941,6</t>
  </si>
  <si>
    <t>762-800-801-784-774-773-799-808-813-782-781-780-779-778-763-783-814-811-807-797-771-770-769-768-753-754-755-756-752-751-757-758-759-760-761-764-765-785-786-787-788-789-790-791-792-793-794-795-796-767-766-809-798-805-772-810-812-776-777-802-803-804-806-775</t>
  </si>
  <si>
    <t>ΤΣΑΡΑΜΙΡΣΗ</t>
  </si>
  <si>
    <t>ΑΒ607467</t>
  </si>
  <si>
    <t>761-793-791-786-787-785-789-788-795-794-790-792-796-758-759-757-760-764-765-768-769-770-753-754-755-756-812-805-813-804-775-776-777-802-803-772-771-801-806-797-798-810-782-778-780-781-779</t>
  </si>
  <si>
    <t>ΠΑΠΑΛΙΑΚΟΥ</t>
  </si>
  <si>
    <t>Ξ996873</t>
  </si>
  <si>
    <t>813-801-771-770-754-757-758-759-760-793-791-788-789-787-786-785-784-790-795-794-792-797</t>
  </si>
  <si>
    <t>ΓΡΗΓΟΡΙΔΟΥ</t>
  </si>
  <si>
    <t>ΑΚ861830</t>
  </si>
  <si>
    <t>790,9</t>
  </si>
  <si>
    <t>940,9</t>
  </si>
  <si>
    <t>841-840-836-837-838-842-839-835-782-781-779-780-778-799-773-774-808-811-862-801-812-814-845-846-847-848-849-850-851-852-853-854-855-856-857-858-859-785-786-787-788-789-790-791-792-793-794-795-796-823-822-821-824-820-828-760-759-758-757-872-871-827-826-825-765-815-829-806-866-767-809-762-807-783</t>
  </si>
  <si>
    <t>ΜΕΡΚΟΥΡΗ</t>
  </si>
  <si>
    <t>Π734984</t>
  </si>
  <si>
    <t>Τσούλη</t>
  </si>
  <si>
    <t xml:space="preserve">Αικατερίνη-Χριστίνα </t>
  </si>
  <si>
    <t>ΑΖ716774</t>
  </si>
  <si>
    <t>772-805-753-754-755-756</t>
  </si>
  <si>
    <t>ΠΟΡΓΙΑΖΗ</t>
  </si>
  <si>
    <t>ΜΩΥΣΗΣ</t>
  </si>
  <si>
    <t>ΑΗ699586</t>
  </si>
  <si>
    <t>781-782-780-779-778-811-783-794-765-764-801-799-787-773-774-767-763-762-795-796-766-784-788</t>
  </si>
  <si>
    <t>ΓΚΙΟΛΔΕΛΗ</t>
  </si>
  <si>
    <t>Φ 422062</t>
  </si>
  <si>
    <t>ΤΣΕΛΕΜΠΗ</t>
  </si>
  <si>
    <t>ΚΛΕΑΝΘΗ</t>
  </si>
  <si>
    <t>ΑΙ897020</t>
  </si>
  <si>
    <t>939,4</t>
  </si>
  <si>
    <t>809-801-766-767-781-782-783</t>
  </si>
  <si>
    <t>ΚΟΝΤΑ</t>
  </si>
  <si>
    <t>Φ227203</t>
  </si>
  <si>
    <t xml:space="preserve"> 763- 804</t>
  </si>
  <si>
    <t>763-783-811-807-809-814-804-799-766-767-778-779-780-781-782-801-784-751-752-753-754-755-756-757-758-759-760-762-764-765-770-771-772-773-777-785-786-787-788-789-790-791-792-793-794-795-796-798-800-803-805-806-808-810-812-813-774-775-776-802</t>
  </si>
  <si>
    <t>ΧΥΤΑ</t>
  </si>
  <si>
    <t>Ξ802841</t>
  </si>
  <si>
    <t>801-781-782-778-779-780-799-800-811-762-768</t>
  </si>
  <si>
    <t>ΤΣΑΤΣΟΠΟΥΛΟΥ</t>
  </si>
  <si>
    <t>ΑΡΤΕΜΙΣ</t>
  </si>
  <si>
    <t>ΑΗ175024</t>
  </si>
  <si>
    <t>778-779-780-781-782-814-773-774-800-801-783</t>
  </si>
  <si>
    <t>ΑΕ828066</t>
  </si>
  <si>
    <t>768-802-756-801-781-782-804-807-809-763-773-774-800-803-772-769-770-784-783-805-814-813-751-752-775-753-754-755-762-771-810-812-776-777-778-779-780-766-799-798-797-808-811-806-767-937-936</t>
  </si>
  <si>
    <t>ΓΛΥΚΕΡΙΑ</t>
  </si>
  <si>
    <t>ΟΔΥΣΣΕΥΣ</t>
  </si>
  <si>
    <t>ΑΒ302461</t>
  </si>
  <si>
    <t>ΖΗΣΑΚΗ</t>
  </si>
  <si>
    <t>Π470391</t>
  </si>
  <si>
    <t>786-787-796-795-793-792-791-790-789-788-759-758-760</t>
  </si>
  <si>
    <t>ΚΟΥΓΙΟΥΜΤΖΗ</t>
  </si>
  <si>
    <t>ΑΒ559249</t>
  </si>
  <si>
    <t>761-786-787-788-791-793-794-795-785-789-790-796-792</t>
  </si>
  <si>
    <t>ΒΑΣΙΛΟΠΟΥΛΟΥ</t>
  </si>
  <si>
    <t>Χ722262</t>
  </si>
  <si>
    <t>937,5</t>
  </si>
  <si>
    <t>815-828-871-829-857-845-846-847-849-850-853-854-858-859-870-872-851-852-791-793-788-796-794-795-786-789-758-757-759-790-785</t>
  </si>
  <si>
    <t>ΛΟΙΖΙΔΟΥ</t>
  </si>
  <si>
    <t>ΑΖ374115</t>
  </si>
  <si>
    <t>ΘΩΜΑΗ</t>
  </si>
  <si>
    <t>ΑΙ873680</t>
  </si>
  <si>
    <t>762-800-773-774-778-779-780-781-782-808-763-799-814-797-783-753-754</t>
  </si>
  <si>
    <t>ΧΑΙΚΟΥ</t>
  </si>
  <si>
    <t>Τ136217</t>
  </si>
  <si>
    <t>935,3</t>
  </si>
  <si>
    <t>792-791-786-787-785-788-794-795-796-760-757-758-759-790-793</t>
  </si>
  <si>
    <t>ΚΕΦΑΛΑ</t>
  </si>
  <si>
    <t>ΑΖ162972</t>
  </si>
  <si>
    <t>778-779-780-781-782-773-774-752-814</t>
  </si>
  <si>
    <t>ΠΑΠΑΝΔΡΟΥΔΗ</t>
  </si>
  <si>
    <t>ΠΟΛΥΖΩΗΣ</t>
  </si>
  <si>
    <t>ΑΗ920548</t>
  </si>
  <si>
    <t>767-766-809-807-783-801-784-802-803-775-776-777-757-758-764-765-785-786-787-788-789-790-791-792-793-796-778-779-780-781-782</t>
  </si>
  <si>
    <t>ΚΟΝΤΟΠΟΥΛΟΥ</t>
  </si>
  <si>
    <t>Χ099427</t>
  </si>
  <si>
    <t>794-795-757-793-759-785-789-796</t>
  </si>
  <si>
    <t>ΙΑΚΩΒΙΔΟΥ</t>
  </si>
  <si>
    <t>ΑΒ916896</t>
  </si>
  <si>
    <t>783-781-782-761-757-759-814-764-774-786-787-794-796-760-758-765-773-778-779-780-802-768-788-789-790-791-792-793-795-756-775-776-777-803-785-769-770-751-752-753-754-755-813-800-801-805-784-772-763</t>
  </si>
  <si>
    <t>ΑΒΡΑΜΗ</t>
  </si>
  <si>
    <t>ΠΑΝΟΣ</t>
  </si>
  <si>
    <t>Π876827</t>
  </si>
  <si>
    <t>751-772-752-753-754-755-756-797-798-801-805-775-776-777-778-779-780-781-782-800-799-802-803-813-806-807-808-809-810-811-812-771-773-774-768-769-770-759-760-761-762-763-764-765-766-767-783-784-785-786-787-788-789-790-791-792-793-794-795-796-814-758-757-804</t>
  </si>
  <si>
    <t>ΚΑΡΑΝΑΣΙΟΥ</t>
  </si>
  <si>
    <t>Π283131</t>
  </si>
  <si>
    <t>757-758-759-760-761-764-765-768-769-770-785-786-787-788-789-790-791-792-793-794-795-796-814</t>
  </si>
  <si>
    <t>ΑΕ986989</t>
  </si>
  <si>
    <t>ΓΙΔΑ</t>
  </si>
  <si>
    <t>Σ482527</t>
  </si>
  <si>
    <t>773-774-808-801-782-780-779-781-778-814-811-799-800-784-783-807-762-767-766-809-813-805</t>
  </si>
  <si>
    <t>ΚΥΡΙΛΛΙΔΟΥ</t>
  </si>
  <si>
    <t>ΑΝΑΤΟΛΗ</t>
  </si>
  <si>
    <t>ΑΚ865113</t>
  </si>
  <si>
    <t>ΑΑ339449</t>
  </si>
  <si>
    <t>763-783-807-811-809-814-781-782-780-779-778-775-776-777-797-798-803-802-804-806-810-812-808-799-800-801-762-768-769-770-771-773-774-772-784-813</t>
  </si>
  <si>
    <t>ΧΑΤΙΑ</t>
  </si>
  <si>
    <t>ΝΑΓΙΑΝΤΑ</t>
  </si>
  <si>
    <t>ΜΠΙΛΜΠΙΛ</t>
  </si>
  <si>
    <t>ΑΜ016305</t>
  </si>
  <si>
    <t>ΚΑΤΗ</t>
  </si>
  <si>
    <t>ΑΜ713568</t>
  </si>
  <si>
    <t>781-782-801-800-814-813-768-787</t>
  </si>
  <si>
    <t>ΣΠΑΝΟΣ</t>
  </si>
  <si>
    <t>ΑΙ2002437</t>
  </si>
  <si>
    <t>753-754-755-756-757-758-759-760-761-764-765-772-778-782-818-825-826-835-836-837-838-839-840-841-842-846-847-848-849-850-851-852-853-854-855-856-857-858</t>
  </si>
  <si>
    <t>ΑΝΤΩΝΑΡΑ</t>
  </si>
  <si>
    <t>ΑΙ725015</t>
  </si>
  <si>
    <t>781-780-778-779-782-811-814-773-774-808-800-783-807-762-801-809-813-763-784-797-771-768-769-770-757-758-759-760-761-785-786-787-788-789-790-791-792-793-794-795-796-764-765-798-751-752-772-812-805-775-776-777-802-803-753-754-755-756-799-806-766-767-810-804</t>
  </si>
  <si>
    <t>ΖΑΧΑΡΗ</t>
  </si>
  <si>
    <t>ΑΖ271393</t>
  </si>
  <si>
    <t>ΒΡΑΝΑ</t>
  </si>
  <si>
    <t>Α Β 472665</t>
  </si>
  <si>
    <t>784,3</t>
  </si>
  <si>
    <t>934,3</t>
  </si>
  <si>
    <t>757-758-759-760-761-764-765-785-786-787-789-790-791-792-793-794-795-796-768-769-770-801-784-813-753-754-755-756-778-779-780-781-782-775-776-777-802-803-751-752-805-772-773-774-800-814-771-783-810-797-798-806-812-804</t>
  </si>
  <si>
    <t>ΝΟΜΙΚΟΥ</t>
  </si>
  <si>
    <t>ΜΑΡΙΑ-ΠΑΣΧΑΛΙΑ</t>
  </si>
  <si>
    <t>Χ103363</t>
  </si>
  <si>
    <t>852,5</t>
  </si>
  <si>
    <t>932,5</t>
  </si>
  <si>
    <t>757-760-764-769-770-772-785-786-787-788-789-790-791-792-793-794-795-796-812</t>
  </si>
  <si>
    <t>ΧΡΑΝΤΑΣ</t>
  </si>
  <si>
    <t>ΑΑ452529</t>
  </si>
  <si>
    <t>807-783-768-802</t>
  </si>
  <si>
    <t>ΝΤΑΓΙΑΝΤΑ</t>
  </si>
  <si>
    <t>ΑΕ520030</t>
  </si>
  <si>
    <t>900,9</t>
  </si>
  <si>
    <t>930,9</t>
  </si>
  <si>
    <t>804-936-785-788-786-792-794-795-796-757-758-759-789-790-791-787-793-760-764-765-754-755-756</t>
  </si>
  <si>
    <t>ΑΖ745381</t>
  </si>
  <si>
    <t>753-754-755-756-772-798-761-757-758-769-764-765-771-779-778-782-780-781-760-768-773</t>
  </si>
  <si>
    <t>ΜΑΛΑΜΑΤΑΡΗ</t>
  </si>
  <si>
    <t>ΑΒ357165</t>
  </si>
  <si>
    <t>782-781-780-779-778-783-773-774-814-800-801-799-808-811-763-807-762-809-767</t>
  </si>
  <si>
    <t>ΑΠΟΣΤΟΛΟΠΟΥΛΟΥ</t>
  </si>
  <si>
    <t>ΑΑ318456</t>
  </si>
  <si>
    <t>756-754-755-753-768-794-801-757-759-764-787-796-781-782-763-802-772-805-758-760-765-785-788-789-790-791-792-793-795-779-778-780-751-752-769-770-762-773-774-775-776-777-783-784-800-803-813-814-939-941</t>
  </si>
  <si>
    <t>ΑΓΑΛΛΟΠΟΥΛΟΥ</t>
  </si>
  <si>
    <t>ΑΗ432888</t>
  </si>
  <si>
    <t>751-752-753-754-755-756-757-758-759-760-761-764-765-768-769-770-772-773-774-775-776-777-778-779-780-781-782-783-784-785-786-787-788-789-790-791-792-793-794-795-796-800-801-802-803-805-813-814</t>
  </si>
  <si>
    <t>ΚΟΥΤΣΟΥΚΟΥ</t>
  </si>
  <si>
    <t>ΝΕΚΤΑΡΙΑ-ΦΩΤΕΙΝΗ</t>
  </si>
  <si>
    <t>ΑΒ784511</t>
  </si>
  <si>
    <t>751-752-765-764-757-785-786-787-788-791-793-794</t>
  </si>
  <si>
    <t>ΛΙΑΠΑ</t>
  </si>
  <si>
    <t>ΑΠΟΣΤΟΛΙΑ</t>
  </si>
  <si>
    <t>Ρ600461</t>
  </si>
  <si>
    <t>786-787-785-791-793-788-790-796-794-795-792-789-757-759-758-760-753-754-755-756-752-751-813-768-769-770-784-801-805-772-778-779-780-781-782-814-783-774-773-800-775-776-777-802-803</t>
  </si>
  <si>
    <t>ΠΑΡΑΣΚΕΥΑ</t>
  </si>
  <si>
    <t>ΑΗ597501</t>
  </si>
  <si>
    <t>757-758-759-760-761-764-765-785-786-787-788-789-790-791-792-793-794-795-796-813-768-769-770-751</t>
  </si>
  <si>
    <t>ΤΣΙΩΛΗ</t>
  </si>
  <si>
    <t>ΑΑ432941</t>
  </si>
  <si>
    <t>801-784-800-778-779-780-781-782-762-813-768-769-770-773-774-785-786-787-788-789-790-791-792-793-794-795-796-757-758-759-760-761-764-765-814-811-763-783-799-772-771-753-754-755-756-805-751-752-807-808-809-775-776-777-802-803-806-797-798-812-804-810-766-767</t>
  </si>
  <si>
    <t>ΧΑΡΙΣΤΕΙΔΟΥ</t>
  </si>
  <si>
    <t>ΑΖ892440</t>
  </si>
  <si>
    <t>778,8</t>
  </si>
  <si>
    <t>928,8</t>
  </si>
  <si>
    <t>763-804-807-809-781-782-801-768-796-794-787-786-764-759-757-756-802</t>
  </si>
  <si>
    <t>ΜΑΡΑΓΚΟΥ</t>
  </si>
  <si>
    <t>Χ223599</t>
  </si>
  <si>
    <t>751-752-753-754-755-757-758-759-760-762-763-764-765-766-767-768-769-770-771-772-773-774-775-776-777-778-779-780-781-782-783-784-785-786-787-788-789-790-791-792-793-794-795-796-797-798-799-800-801-802-803-804-805-806-807-808-809-810-811-812-813-814</t>
  </si>
  <si>
    <t>ΤΖΙΩΡΤΖΙΟΥΔΑ</t>
  </si>
  <si>
    <t>ΑΖ681451</t>
  </si>
  <si>
    <t>ΤΑΓΚΑ</t>
  </si>
  <si>
    <t>Ρ952518</t>
  </si>
  <si>
    <t>926,5</t>
  </si>
  <si>
    <t>778-779-780-781-782-754-755-756-753-775-776-777-801-802-803-797-784-772-805-783-799-807-811-763-751-752-814-813-773-774-762-800</t>
  </si>
  <si>
    <t>ΕΥΘΥΜΙΑΔΗ</t>
  </si>
  <si>
    <t>ΑΒ806293</t>
  </si>
  <si>
    <t>762-778-779-780-781-782-784-800-801-797-813-814-783-808-764-765-785-759-786-787-788-789-790-791-792-793-794-795-796-760-757-758-763-751-752-753-754-755-756-766-767-768-769-770-771-772-773-774-799-809-807-805-811-775-776-777-798-802-803-812-806-810-804-936</t>
  </si>
  <si>
    <t>ΑΜ814787</t>
  </si>
  <si>
    <t>926,2</t>
  </si>
  <si>
    <t>801-800-778-779-780-781-782-784-783-799-814-813-774-773-770-769-768-771-772-808-807-805-809-806-811-812-810-802-803-804-798-797-777-776-775-785-763-762-764-765-751-752-753-754-755-756-757</t>
  </si>
  <si>
    <t>ΤΖΙΑΜΟΥΡΑΝΗ</t>
  </si>
  <si>
    <t>ΑΕ575365</t>
  </si>
  <si>
    <t>764-765-805-757-758-759-760-751-814-936-937</t>
  </si>
  <si>
    <t>ΕΜΜΑΝΟΥΗΛΙΔΗ</t>
  </si>
  <si>
    <t>ΑΒ666476</t>
  </si>
  <si>
    <t>791-787-757-794-795-796</t>
  </si>
  <si>
    <t>ΑΝΑΓΝΩΣΤΟΠΟΥΛΟΥ</t>
  </si>
  <si>
    <t>ΣΠΥΡΟΥΛΑ</t>
  </si>
  <si>
    <t>ΑΙ217436</t>
  </si>
  <si>
    <t>832-858-859-818-817-816-865-861-820-821-822-823-824-825-828-826-827-830-829-831-833-834-843-846-847-848-849-850-851-852-853-854-855-856-857-867-871-872-876-877-878-873-874-815-819-835-836-837-838-839-840-841-842-845-844-860-863-864-866-862-875-870-868-869-772-805-755-753-754-756-798-752-757-764-751-758-759-760-765-771-775-777-776-787-786-789-790-792-793-794-795-796-791-788-797-761-778-779-780-781-782-784-785-801-802-803-804-806-810-812-814-813-773-774-762-768-769-770-808-809-807-766-767-800-799-811</t>
  </si>
  <si>
    <t>ΚΕΦΑΛΛΗΝΟΥ</t>
  </si>
  <si>
    <t>ΣΤΑΜΑΤΙΟΣ</t>
  </si>
  <si>
    <t>ΑΗ620495</t>
  </si>
  <si>
    <t>794-757-759-764-786-787-796-758-760-765-785-788-789-790-791-792-793-795</t>
  </si>
  <si>
    <t>ΠΑΝΑΓΙΩΤΑΚΗΣ-ΓΑΓΑΚΗΣ</t>
  </si>
  <si>
    <t>ΑΗ769054</t>
  </si>
  <si>
    <t>775,5</t>
  </si>
  <si>
    <t>925,5</t>
  </si>
  <si>
    <t>751-752-753-754-755-756-757-758-759-760-761-762-763-764-765-766-767-768-769-770-771-772-773-774-775-776-777-778-779-780-781-782-783-784-785-786-787-788-789-790-791-792-793-794-795-796-797-798-799-800-801-802-803-804-805-806-807-808-809-810-811-812-813-814</t>
  </si>
  <si>
    <t>ΜΑΝΔΑΛΑΚΗ</t>
  </si>
  <si>
    <t>Χ552377</t>
  </si>
  <si>
    <t>794-761-786-757-759-764-758-787-788-789-791</t>
  </si>
  <si>
    <t>ΚΑΣΑΠΗΣ</t>
  </si>
  <si>
    <t>Ξ535744</t>
  </si>
  <si>
    <t>751-752-753-754-755-756-757-758-759-760-761-762-763-764-765-766-767-768-769-770-771-772-773-774-775-776-777-778-779-780-781-782-783-784-785-786-787-788-789-790-791-792-793-794-795-796-797-798-799-800-801-802-803-804-805-806-807-808-809-810-811-812-813-936-937</t>
  </si>
  <si>
    <t>ΚΑΡΑΒΙΤΣΗ</t>
  </si>
  <si>
    <t>ΕΥΝΙΚΗ</t>
  </si>
  <si>
    <t>ΙΩΗΛ</t>
  </si>
  <si>
    <t>ΑΑ271851</t>
  </si>
  <si>
    <t>744,7</t>
  </si>
  <si>
    <t>924,7</t>
  </si>
  <si>
    <t>915-926-925-800-908-910-911-909-778-781-780-779-782-912-773-774-814-783-801-761</t>
  </si>
  <si>
    <t>ΒΟΛΑΝΑΚΗ</t>
  </si>
  <si>
    <t>ΧΑΡΙΔΗΜΟΣ</t>
  </si>
  <si>
    <t>Χ150202</t>
  </si>
  <si>
    <t>894,3</t>
  </si>
  <si>
    <t>924,3</t>
  </si>
  <si>
    <t>792-790-788-787-786-785-789-791-793-758-757-759-760-794-795-796-770-764-765-752-775-776-777-802-803-778-779-780-781-782-813-801-805-756-768-769-753-754-755-772</t>
  </si>
  <si>
    <t>ΓΙΑΚΟΥΜΕΛΟΥ</t>
  </si>
  <si>
    <t>ΠΗΓΗ</t>
  </si>
  <si>
    <t>Τ313690</t>
  </si>
  <si>
    <t>ΠΟΥΛΙΟΥ</t>
  </si>
  <si>
    <t>ΑΖ341266</t>
  </si>
  <si>
    <t>811-779-780-782-781-778-783-775-776-777-801-802-803-768-769-770-772-773-774-751-752-753-754-755-756-784-805-813-814-757-758-759-760-764-765-785-786-787-788-789-790-791-792-793-794-795-796-807-806-809-808-763-762-810-812-804-767-799-797-798-766-771-936-937</t>
  </si>
  <si>
    <t>ΞΕΥΓΕΝΗ</t>
  </si>
  <si>
    <t>ΑΜ047288</t>
  </si>
  <si>
    <t>804-763-810-812-764-767-768-777-781-794-801-787-807-809-936-937</t>
  </si>
  <si>
    <t>ΓΚΑΛΙΜΑΝΗ</t>
  </si>
  <si>
    <t>ΑΕ623878</t>
  </si>
  <si>
    <t>771-794-795-796-785-786-788-791-793-757-787</t>
  </si>
  <si>
    <t>ΑΒ708604</t>
  </si>
  <si>
    <t>779-780-778-781-782-814</t>
  </si>
  <si>
    <t>ΔΕΒΛΕΤΟΓΛΟΥ</t>
  </si>
  <si>
    <t>ΚΥΠΡΙΑΝΟΣ</t>
  </si>
  <si>
    <t>Φ189671</t>
  </si>
  <si>
    <t>922,1</t>
  </si>
  <si>
    <t>778-779-780-782-781-811-808-763-773-774-783-784-799-801-800-771-768-769-770-810-812-814-937-936-806-804-802-803-813-753-754-755-756-751-752-764-765-766-767-807-798-797-775-776-777-757-758-759-760-809-805-786-787-788-789-790-791-792-793-794-795-796</t>
  </si>
  <si>
    <t>ΚΡΙΕΚΟΥΚΗ</t>
  </si>
  <si>
    <t>ΑΙ520149</t>
  </si>
  <si>
    <t>ΚΟΥΦΟΤΑΧΗ</t>
  </si>
  <si>
    <t>ΑΙ194805</t>
  </si>
  <si>
    <t>781-778-779-780-783-773-774-799-800-814-763</t>
  </si>
  <si>
    <t>ΣΗΜΕΛΑ</t>
  </si>
  <si>
    <t>ΑΕ363619</t>
  </si>
  <si>
    <t>773-774-808-800-778-779-780-781-782-762</t>
  </si>
  <si>
    <t>ΠΡΟΒΑΤΑΡΗ</t>
  </si>
  <si>
    <t>Τ144329</t>
  </si>
  <si>
    <t>794-795-796-793-757-758-792-791-790-789-788-787-786-785-759-760-764-765</t>
  </si>
  <si>
    <t>ΠΑΝΑΓΙΩΤΑΚΟΠΟΥΛΟΥ</t>
  </si>
  <si>
    <t>ΑΗ554682</t>
  </si>
  <si>
    <t>757-761-760-759-758-764-765-785-786-787-788-789-790-791-792-794-793-795-796-817-815</t>
  </si>
  <si>
    <t>ΠΕΦΤΙΤΣΕΛΗ</t>
  </si>
  <si>
    <t>ΔΩΡΟΘΕΑ</t>
  </si>
  <si>
    <t>ΠΑΝΑΓΗΣ</t>
  </si>
  <si>
    <t>ΑΚ263638</t>
  </si>
  <si>
    <t>920,7</t>
  </si>
  <si>
    <t>ΝΤΑΛΗ</t>
  </si>
  <si>
    <t>Ξ801065</t>
  </si>
  <si>
    <t>813-801-782-781-794-764-768-759-796-787-786-757-756-780-779-778-765-755-775-802-805-773-783-784-814-771-800-795-793-788-789-790-791-792-785-770-769-760-776-758-777-751-752-753-754</t>
  </si>
  <si>
    <t>ΚΟΥΖΕΛΗ</t>
  </si>
  <si>
    <t>ΑΕ242148</t>
  </si>
  <si>
    <t>ΤΖΑΝΟΥ</t>
  </si>
  <si>
    <t>ΑΙ798778</t>
  </si>
  <si>
    <t>752-751-794-795</t>
  </si>
  <si>
    <t>ΦΩΤΟΠΟΥΛΟΣ</t>
  </si>
  <si>
    <t>ΑΛΚΙΒΙΑΔΗΣ</t>
  </si>
  <si>
    <t>Σ694014</t>
  </si>
  <si>
    <t>785-786-787-788-791-794-795-793-789-790-792-796-764-765-758-759-760-757</t>
  </si>
  <si>
    <t>ΓΚΕΛΕΒΕ</t>
  </si>
  <si>
    <t>ΑΗ841242</t>
  </si>
  <si>
    <t>811-783-782-779-780-781-778-773-774-800-814-801-768-769-770-784-813-751-757-758-759-760-786-785-787-788-789-790-791-792-793-794-795-764-765-753-754-755-752-772-775-776-777-802-803-805-841-840-838-837-842-835-836-862-875-844-828-830-815-822-826-846-850-854-858-870-871-847-848-852-853-856-857-859-872-876-824-823-821-818-816-861</t>
  </si>
  <si>
    <t>ΙΣΜΗΝΗ</t>
  </si>
  <si>
    <t>ΑΙ563119</t>
  </si>
  <si>
    <t>764-765-760-806-812-757-758-759-766-767-768-770-769-785-786-787-788-789-790-791-792-793-752-753-751-754-755-756-762-763-772-773-774-783-784-794-795-796-797-798-802-803-805-810-813-814-775-776-777-778-779-780-781-782-800-801-804-807-808-809-771-811-799</t>
  </si>
  <si>
    <t>ΜΑΡΚΑΤΑΤΟΥ</t>
  </si>
  <si>
    <t>ΑΑ369624</t>
  </si>
  <si>
    <t>776-777-775-803-802-833-863-864-874-873-876-877-878</t>
  </si>
  <si>
    <t>ΚΟΥΝΤΟΥΡΗ</t>
  </si>
  <si>
    <t>ΑΙΚΑΤΕΡΙΝΑ</t>
  </si>
  <si>
    <t>ΑΙ009920</t>
  </si>
  <si>
    <t>794-796-786-787-757-759-764-758-760-765-785-788-789-790-792-793-795</t>
  </si>
  <si>
    <t>ΣΤΕΦΟΥΔΗΣ</t>
  </si>
  <si>
    <t>ΑΜ822109</t>
  </si>
  <si>
    <t>801-784-813-800-781-782-780-779-778-773-774-783-770-814-761-791-787-796-795-794-788-757-758-759-760-786-789-790-785-764-765-792-793-797-798-752-754-755-756-753-751-772-777-776-775-803-802-769-768-808-807-806-809-811-805-762-763-767-766-771-812-810-804-937-936</t>
  </si>
  <si>
    <t>ΖΑΦΡΑΝΟΠΟΥΛΟΥ</t>
  </si>
  <si>
    <t>ΑΙ039699</t>
  </si>
  <si>
    <t>901-902-903-904-768-769-770-916-917-918-919-920-921-922-755-758-759-760-761-764-765-785-786-787-788-789-790-791-792-793-794-795-796</t>
  </si>
  <si>
    <t>ΡΕΤΖΙΟΥ</t>
  </si>
  <si>
    <t>ΑΖ284947</t>
  </si>
  <si>
    <t>ΖΑΡΚΑΔΑ</t>
  </si>
  <si>
    <t>ΑΑ401033</t>
  </si>
  <si>
    <t>918,8</t>
  </si>
  <si>
    <t>798-805-772-752-751-755-756-754-753-794-757-761-764-765-786-783-778-801-768-792-793-788-787-790-791-795-796-800-758-759-769-770-773-774-775-776-777-779-780-781-782-784-785-802-803-813-814</t>
  </si>
  <si>
    <t>ΔΗΜΗΤΡΑ ΜΑΡΙΑ</t>
  </si>
  <si>
    <t>ΑΗ221203</t>
  </si>
  <si>
    <t>801-761-768-786-787-794-752-756-757-759</t>
  </si>
  <si>
    <t>ΤΣΙΓΚΑ</t>
  </si>
  <si>
    <t>ΑΖ676987</t>
  </si>
  <si>
    <t>917,4</t>
  </si>
  <si>
    <t>801-768-794-778-779-780-781-782-773-774-783-784-814-813-785-786-787-788-789-790-791-792-793-795-796-764-765-769-770-757-758-759-760-775-776-777-802-803-805-753-754-755-756-752-751-772</t>
  </si>
  <si>
    <t>ΚΑΛΟΓΡΑΝΗ</t>
  </si>
  <si>
    <t>ΑΒ569966</t>
  </si>
  <si>
    <t>757-794-759-758-786-787-796</t>
  </si>
  <si>
    <t>ΜΟΥΦΛΟΥΖΕΛΛΗ</t>
  </si>
  <si>
    <t>ΑΗ927321</t>
  </si>
  <si>
    <t>ΣΙΑΨΑΛΑΚΗ</t>
  </si>
  <si>
    <t>ΑΖ369642</t>
  </si>
  <si>
    <t>809-807-767</t>
  </si>
  <si>
    <t>ΚΟΥΤΣΟΔΗΜΟΥ</t>
  </si>
  <si>
    <t>ΑΝΘΗ</t>
  </si>
  <si>
    <t>ΑΕ792104</t>
  </si>
  <si>
    <t>915,5</t>
  </si>
  <si>
    <t>ΝΙΚΑ</t>
  </si>
  <si>
    <t>ΑΕ772900</t>
  </si>
  <si>
    <t>802-801-782-781-814-756-768-778-779-780-783-800-773-774-784-805-775-776-777-803-797-798-806-812-810-751-752-813-754-753-755-772-769-770-796-794-786-787-759-761-764-757-785-760-788-789-790-791-792-793-758-765-795-809-807-762-808-811-771-799-804-766-767-937-763-936</t>
  </si>
  <si>
    <t>ΞΕΝΑΡΙΟΥ</t>
  </si>
  <si>
    <t>ΑΚ018997</t>
  </si>
  <si>
    <t>786-787-757-758-759-760-761-764-765-785-788-789-790-791-792-793-794-795-796</t>
  </si>
  <si>
    <t>ΜΠΑΤΣΑΡΑ</t>
  </si>
  <si>
    <t>ΧΑΙΔΩ</t>
  </si>
  <si>
    <t>ΑΚ982237</t>
  </si>
  <si>
    <t>778-779-780-781-782-800-814-768-769-770-773-774-775-776-777-783-784-805-813-937-752-753-754-755-756-757-758-759-760-764-765</t>
  </si>
  <si>
    <t>ΑΖ204765</t>
  </si>
  <si>
    <t>914,4</t>
  </si>
  <si>
    <t>754-756-755-753-805-772-752-751-776-777-775-797-798-803-802-806-812-757-758-759-760-761-764-765-778-779-780-781-782-937-785-786-787-788-789-790-791-792-793-794-795-936-804-814</t>
  </si>
  <si>
    <t>ΠΑΣΑΡΙΒΑΚΗ</t>
  </si>
  <si>
    <t>ΑΜ008137</t>
  </si>
  <si>
    <t>786-787-785-788-789-790-791-792-793-794-795-796-757-758-759-760-764-765-778-779-780-781-782</t>
  </si>
  <si>
    <t>ΓΙΑΜΑΚΙΔΟΥ</t>
  </si>
  <si>
    <t>ΑΑ034927</t>
  </si>
  <si>
    <t>828-826-824-848-870-823-847-846-850-853-854-822-858-857-821-859-856-852-827-829-820-855-825-849-851-815-764-757-760-765-794-786-787-796-785-788-791-792-793-790-789-759-795</t>
  </si>
  <si>
    <t>ΚΑΛΟΚΥΡΗ</t>
  </si>
  <si>
    <t>Ν625721</t>
  </si>
  <si>
    <t>782-779-780-778-781-811</t>
  </si>
  <si>
    <t>ΚΟΙΝΑ</t>
  </si>
  <si>
    <t>ΕΜΜΑΝΟΥΗ</t>
  </si>
  <si>
    <t>Μ998375</t>
  </si>
  <si>
    <t>802-803-764-765-785-786-787-788-790-791-793</t>
  </si>
  <si>
    <t>ΜΑΡΙΟΣ</t>
  </si>
  <si>
    <t>ΑΙ509541</t>
  </si>
  <si>
    <t>757-758-759-760-764-765-785-786-787-788-789-790-791-792-793-794-795-796-768-769-779-805-801-778-770-780-781-782-751-752-753-754-755-756</t>
  </si>
  <si>
    <t>ΖΟΡΜΠΑ</t>
  </si>
  <si>
    <t>Ν778014</t>
  </si>
  <si>
    <t>911,9</t>
  </si>
  <si>
    <t>782-781-780-779-778-801-756-753-754-755-773-774-800</t>
  </si>
  <si>
    <t>ΠΑΤΡΟΚΛΟΣ</t>
  </si>
  <si>
    <t>ΑΜ308122</t>
  </si>
  <si>
    <t>910,8</t>
  </si>
  <si>
    <t>753-754-755-756-757-758-759-760-785-786-787-788-789-790-791-792-793-794-795-796-764-765-780-781-782-814-775-776-777-751-752-768-769-770-772-805-802-803-801-773-774-762-783-800-784-813-766-767-771-763-812-810-806-811-809-808-807-797-798-799-804</t>
  </si>
  <si>
    <t>ΜΑΓΔΑΛΙΝΗ</t>
  </si>
  <si>
    <t>ΑΜ155818</t>
  </si>
  <si>
    <t>730,4</t>
  </si>
  <si>
    <t>910,4</t>
  </si>
  <si>
    <t>796-786-787-788-789-790-791-792-793-758-759-760-761-757-764-765-785-794-795-752</t>
  </si>
  <si>
    <t>ΜΠΑΡΑΜΠΟΥΤΗ</t>
  </si>
  <si>
    <t>ΑΗ594840</t>
  </si>
  <si>
    <t>791-796-790-787-786-788-789-764-765-758-759-760-792-793-785-794-795-757</t>
  </si>
  <si>
    <t>ΚΥΡΙΑΚΟΥ</t>
  </si>
  <si>
    <t>ΑΗ661607</t>
  </si>
  <si>
    <t>781-782-778-779-780-814-799-773-774-801</t>
  </si>
  <si>
    <t>ΠΑΠΑΕΜΜΑΝΟΥΗΛ</t>
  </si>
  <si>
    <t>ΑΚ051491</t>
  </si>
  <si>
    <t>794-795-796-786-787-790-791-793-789-788-761-759-760-764-765-757-758-785</t>
  </si>
  <si>
    <t>ΣΟΥΡΒΙΝΟΥ</t>
  </si>
  <si>
    <t>ΑΗ066208</t>
  </si>
  <si>
    <t>812-775-776-777-802-803-804-783-751-752-794-795-796-786-771-768-769-770-805-806-807-808-798-797-787-788-778-779-780-781-782-772-773-774-810-811-809-784-785-789-790-791-792-793-759-760-753-754-755-756-757-758-799-813-814-801-800-762-763-764-765-766-767</t>
  </si>
  <si>
    <t>ΜΗΤΡΟΥ</t>
  </si>
  <si>
    <t>ΑΙ148026</t>
  </si>
  <si>
    <t>791-796-794-795-786-787-788</t>
  </si>
  <si>
    <t>ΝΑΚΟΥ</t>
  </si>
  <si>
    <t>Χ211173</t>
  </si>
  <si>
    <t>ΔΗΜΗΤΡΟΠΟΥΛΟΥ</t>
  </si>
  <si>
    <t>Χ537962</t>
  </si>
  <si>
    <t>792-757-758-759-760-785-786-787-788-789-790-791-793-794-795</t>
  </si>
  <si>
    <t>ΒΕΛΒΕΛΙΔΟΥ</t>
  </si>
  <si>
    <t>ΑΒ901003</t>
  </si>
  <si>
    <t>799-763-811-814-812-767-778-783-800-804-801-807-809-808-810</t>
  </si>
  <si>
    <t>ΑΕ219242</t>
  </si>
  <si>
    <t>883-884-885-778-779-780-781-782-811-814-937-882-888-889-890-891-786-787-788-789-790-791-792-793-794-795-761-764-765-785-796-757-758-759-760-783-763-801-766-767-807-800-799-808-809-762-784-887-894-895-896-768-769-770-804-936-812-810-806-813-805-893-775-776-777-802-803-892-771-751-752-773-774-753-754-755-756-798-797-886-772</t>
  </si>
  <si>
    <t>ΚΟΥΤΑΚΗ</t>
  </si>
  <si>
    <t>Χ377085</t>
  </si>
  <si>
    <t>784-801-813-794-786-787-778-779-780-781-782-756-757-758-759-761-764-762-788-789-751-752-754-790-791-792-793-783-796-800-760-763-795-769-770-772-773-774-814-765-753-768-771-766-767-775-776-777-797-798-799-802-803-804-805-807-808-809-810-811-812</t>
  </si>
  <si>
    <t>ΚΑΡΑΔΗΜΑ</t>
  </si>
  <si>
    <t>ΝΕΚΤΑΡΙΑ</t>
  </si>
  <si>
    <t>Χ109073</t>
  </si>
  <si>
    <t>787-786-791-794-795-796-789-788-785-790-760-757-764-765-792-758-759-793</t>
  </si>
  <si>
    <t>ΤΕΝΕΚΕΤΖΗ</t>
  </si>
  <si>
    <t>ΑΕ404066</t>
  </si>
  <si>
    <t>841-840-838-835-842-811-783-763-782-781</t>
  </si>
  <si>
    <t>ΛΕΜΠΟΤΕΣΗ</t>
  </si>
  <si>
    <t>ΑΜ746277</t>
  </si>
  <si>
    <t>908,6</t>
  </si>
  <si>
    <t>772-754-755-756-753-757-758-759-760-764-805-785-786-787-788-789-790-791-792-793-765-782-781-780-779-778</t>
  </si>
  <si>
    <t>ΣΤΑΜΑΤΟΥΛΑ</t>
  </si>
  <si>
    <t>Ξ968795</t>
  </si>
  <si>
    <t>794-795-796-789-787-786-785-788-790-792-793-791-760-757-758-759-765-764-770</t>
  </si>
  <si>
    <t>ΡΟΥΠΑΚΑ</t>
  </si>
  <si>
    <t>Π134010</t>
  </si>
  <si>
    <t>751-752-753-754-755-756-757-758-759-760-764-765-768-769-770-772-773-774-775-776-777-778-779-780-781-782-783-784-785-786-787-788-789-790-791-792-793-794-795-796-800-801-802-803-805-813-814</t>
  </si>
  <si>
    <t>ΧΑΤΖΗΜΑΝΩΛΗ</t>
  </si>
  <si>
    <t>Χ174801</t>
  </si>
  <si>
    <t>901-757-903-759-918-921-794-796-787-786-764</t>
  </si>
  <si>
    <t>Ρ159969</t>
  </si>
  <si>
    <t>757,9</t>
  </si>
  <si>
    <t>907,9</t>
  </si>
  <si>
    <t>778-781-779-780-782-814-939-912-908-911-910-909-941-933-773-774-775-776-777-802-803</t>
  </si>
  <si>
    <t>ΑΕ035411</t>
  </si>
  <si>
    <t>785-786-788-789-790-791-793-794-795-796</t>
  </si>
  <si>
    <t>ΚΟΝΤΟΥ</t>
  </si>
  <si>
    <t>ΘΕΟΔΟΤΗ</t>
  </si>
  <si>
    <t>Π115843</t>
  </si>
  <si>
    <t>794-796-759-786-787-757-764-795-785-788-789-791-790-792-793-760-765-758-751-752-756-753-754-755-813</t>
  </si>
  <si>
    <t>ΤΣΑΚΑΛΗΣ</t>
  </si>
  <si>
    <t>Ρ777668</t>
  </si>
  <si>
    <t>768-801-794-781-782-756-757-759-786-787-796-764-802-804-763-807-809-806-758-760-785-788-789-790-791-792-793-795-778-779-780-753-754-755-765-814-937-800-773-774-751-752-805-769-770-783-784-813-772-775-776-777-812-810-803-936-797-771-808-798-811-762-799-766-767</t>
  </si>
  <si>
    <t>ΑΖ341530</t>
  </si>
  <si>
    <t>802-803-768-769-770-775-776-777-801-781-782-778-779-780-814-813-800-757-759-772-751-752-811-805</t>
  </si>
  <si>
    <t>ΚΟΥΡΤΕΛΗ</t>
  </si>
  <si>
    <t>ΘΕΟΦΑΝΗ</t>
  </si>
  <si>
    <t>Φ316692</t>
  </si>
  <si>
    <t>779-780-778-781-782-808-814-773-774-777-776-775-802-803-805-807-809-797-798-800-801-799-766-767-811-812-810-804-813-763-762-751-752-753-754-755-756-772-771-770-769-768-796-795-794-765-764-761-760-759-757-758-936-937-783-784-785-786-787-788-789-790-791-792-793-806</t>
  </si>
  <si>
    <t>ΑΝΘΟΠΟΥΛΟΥ</t>
  </si>
  <si>
    <t>Φ014953</t>
  </si>
  <si>
    <t>792-793-791-790-789-788-787-786-785-757-758-759-760-761-794-795-796-764-765-768-769-770-813</t>
  </si>
  <si>
    <t>ΜΠΙΣΚΙΝΗ</t>
  </si>
  <si>
    <t>Σ149704</t>
  </si>
  <si>
    <t>794-786-787-757-759-796-764-768-801</t>
  </si>
  <si>
    <t>ΚΟΥΜΠΟΥΝΗ</t>
  </si>
  <si>
    <t>ΑΕ505761</t>
  </si>
  <si>
    <t>794-795-785-791-796-793-786-787-788-757-758-759-792-790-760-764-789-805-752-778-779-780-781-782-801-754</t>
  </si>
  <si>
    <t>ΑΙ293905</t>
  </si>
  <si>
    <t>801-753-754-755-756-768-769-770-778-779-780-781-782-783-784-797-798-808-802-803-806-811-810-812-813-814-799-800-804-805-751-752-757-758-759-760-761-936-937</t>
  </si>
  <si>
    <t>ΛΙΜΠΑΡΗ</t>
  </si>
  <si>
    <t>ΑΙ344182</t>
  </si>
  <si>
    <t xml:space="preserve">ΜΑΥΡΙΔΟΥ </t>
  </si>
  <si>
    <t xml:space="preserve">ΡΑΧΗΛ </t>
  </si>
  <si>
    <t>ΑΖ891100</t>
  </si>
  <si>
    <t>781-782-801-768-802</t>
  </si>
  <si>
    <t>ΣΙΔΗΡΟΠΟΥΛΟΥ</t>
  </si>
  <si>
    <t>Λ524785</t>
  </si>
  <si>
    <t>756,8</t>
  </si>
  <si>
    <t>906,8</t>
  </si>
  <si>
    <t>801-800-782-781-768-767-757-758-764-765-786-787-796-814-802</t>
  </si>
  <si>
    <t>ΤΟΛΙΑ</t>
  </si>
  <si>
    <t>Χ978301</t>
  </si>
  <si>
    <t>855,8</t>
  </si>
  <si>
    <t>905,8</t>
  </si>
  <si>
    <t>801-768-784-794</t>
  </si>
  <si>
    <t>ΣΙΩΖΟΣ</t>
  </si>
  <si>
    <t>ΑΚ770734</t>
  </si>
  <si>
    <t>793-791-785-787-789-786-790-788-792-794-795-796-757-758-759-760</t>
  </si>
  <si>
    <t>ΤΗΛΚΕΡΙΔΟΥ</t>
  </si>
  <si>
    <t>ΑΔΑΜ</t>
  </si>
  <si>
    <t>ΑΚ433250</t>
  </si>
  <si>
    <t>808-773-774-779-781-782-780-814</t>
  </si>
  <si>
    <t>ΓΚΟΥΜΑ</t>
  </si>
  <si>
    <t>ΑΖ081518</t>
  </si>
  <si>
    <t>757-761-794-764-759-786-787-796-758-760-765-780-789-790-791-792-793-795-801</t>
  </si>
  <si>
    <t>ΠΑΠΠΑ</t>
  </si>
  <si>
    <t>ΑΗ272165</t>
  </si>
  <si>
    <t>784-801-762-800-795-791-780-781-779-774-751</t>
  </si>
  <si>
    <t>ΤΣΙΛΟΦΥΤΗ</t>
  </si>
  <si>
    <t>Φ338705</t>
  </si>
  <si>
    <t>813-801-771-759-758-768-769-770-784-791-794-786-787-796-785-788-812-806-763-789-790-792-793-795-761-757-764-760-765-781-782-779-780-778-814-783-807-808-809-799-766-767-774-773-756-754-755-753-752-751-762-772-805-811-800-775-777-776-804-797-802-798-803</t>
  </si>
  <si>
    <t>ΡΙΤΚΟΥ</t>
  </si>
  <si>
    <t>ΑΖ846623</t>
  </si>
  <si>
    <t>903,1</t>
  </si>
  <si>
    <t>811-781-782-801-786-787-794-796</t>
  </si>
  <si>
    <t>ΔΡΙΜΑΛΑΣ</t>
  </si>
  <si>
    <t>Χ295195</t>
  </si>
  <si>
    <t>Χ022266</t>
  </si>
  <si>
    <t>793-788-791-786-787-790-785-789-794-795-796-758-759-757-792-760</t>
  </si>
  <si>
    <t>ΜΩΡΑΙΤΗΣ</t>
  </si>
  <si>
    <t>ΜΙΛΤΙΑΔΗΣ</t>
  </si>
  <si>
    <t>ΑΗ433987</t>
  </si>
  <si>
    <t>764-765-785-786-787-788-789-790-791-792-793-794-795-796-757-758-759-760-768-769-770-778-779-780-781-782-753-754-755-756-771-772-773-774-751-752-783-784-802-803-805-813-814</t>
  </si>
  <si>
    <t>ΤΑΡΠΑΝΗ</t>
  </si>
  <si>
    <t>ΖΑΧΑΡΟΥΛΑ</t>
  </si>
  <si>
    <t>ΑΖ809013</t>
  </si>
  <si>
    <t>808-773-774-800-778-779-811-814-937-801-783-763-762-807-809-813-766-767-771-772-768-769-770-775-776-777-802-803-806-810-753-754-755-756-751-752-784-798-804-936-805-812-757-758-759-760-761-764-765-785-786-787-788-789-790-791-792-793-794-795-796</t>
  </si>
  <si>
    <t>ΜΑΝΤΑΓΑΡΗ</t>
  </si>
  <si>
    <t>ΑΙ056819</t>
  </si>
  <si>
    <t>ΠΑΠΑΔΑΚΗ</t>
  </si>
  <si>
    <t>Σ040080</t>
  </si>
  <si>
    <t>794-787-796-788-790-785-789-792-791-793-795-786-757-759-760-764</t>
  </si>
  <si>
    <t>ΜΑΤΖΙΡΗ</t>
  </si>
  <si>
    <t>ΕΥΚΛΕΙΑ</t>
  </si>
  <si>
    <t>ΑΒ165928</t>
  </si>
  <si>
    <t>763-783-764-765-760-757-758-759-795-788-785-786-787-789-790-791-792-793-794-796-806-769-770-768-767-777-776-778</t>
  </si>
  <si>
    <t>ΤΣΟΥΛΗΣ</t>
  </si>
  <si>
    <t>ΑΗ802619</t>
  </si>
  <si>
    <t>719,4</t>
  </si>
  <si>
    <t>899,4</t>
  </si>
  <si>
    <t>935-896-907-912-911-910-909-908-913-914-926-925-924-923-928-934-933-930-777-776-775-779-778-774-773-782-783-781-780-784-756-755-754-752-751-753-772-762-900-899-898-800-804-803-802-810-814-813-812-801-799-805-770-769-768-929-927-806-915-808-807-760-771-797-766-767-798-809-811-905-906-931-932-922-921-920-919-918-917-916-761-759-758-757-904-903-902-901-765-764-763-796-795-794-793-792-791-790-789-942-941-787-788-786-785-866-867-837-835-836-838-833-830-879-878-862-861-863-865-874-842-841-840-839-843-873-877-876-875-940-939-938-937-936-872-871-870-869-864-860-824-823-832-831-834-822-821-844-868-820</t>
  </si>
  <si>
    <t>ΑΛΙΑΓΑΣ</t>
  </si>
  <si>
    <t>ΑΒ512319</t>
  </si>
  <si>
    <t>749,1</t>
  </si>
  <si>
    <t>899,1</t>
  </si>
  <si>
    <t>757-759-760-786-787-788-789-790-791-792-793-794-795-796-797</t>
  </si>
  <si>
    <t>ΝΙΚΟΛΟΥΛΗ</t>
  </si>
  <si>
    <t>ΑΖ056477</t>
  </si>
  <si>
    <t>784-801-760-757-759-758-792-794-795-764-765-796-793-791-785-786-787-788-789-790</t>
  </si>
  <si>
    <t>ΣΑΒΒΟΥΛΙΔΟΥ</t>
  </si>
  <si>
    <t>ΓΙΡΖΗ</t>
  </si>
  <si>
    <t>ΑΚ947836</t>
  </si>
  <si>
    <t>898,3</t>
  </si>
  <si>
    <t>Χ912632</t>
  </si>
  <si>
    <t>897,6</t>
  </si>
  <si>
    <t>801-928-929-914-784-933-934-813</t>
  </si>
  <si>
    <t>ΤΣΙΑΒΟΥ</t>
  </si>
  <si>
    <t>Φ337401</t>
  </si>
  <si>
    <t>746,9</t>
  </si>
  <si>
    <t>896,9</t>
  </si>
  <si>
    <t>816-817-818-819-820-830-831-832-833-834-836-837-843-844-845-846-847-854-858-860-861-862-863-864-865-866-867-868-871-873-874-876-877-878-879-751-752-753-754-755-756-768-769-770-771-772-773-774-762-763-766-767-783-784-775-776-777-797-798-799-800-801-802-803-804-805-806-807-808-809-810-811-812-813-814</t>
  </si>
  <si>
    <t>ΖΑΔΕΛΗ</t>
  </si>
  <si>
    <t>ΑΕ929821</t>
  </si>
  <si>
    <t>866,8</t>
  </si>
  <si>
    <t>896,8</t>
  </si>
  <si>
    <t>ΑΚ538091</t>
  </si>
  <si>
    <t>789-791-764-765-794-795-796-792-793-786-787-785-788-790-758-759-757-760-761-805-751-752-753-754-755-756-772-768-769-770-784-813-778-779-780-781-782</t>
  </si>
  <si>
    <t>ΦΙΛΙΠΠΙΔΟΥ</t>
  </si>
  <si>
    <t>Ξ052438</t>
  </si>
  <si>
    <t>761-796-795-794-790-791-792-793-788-787-786-785-789-757-758-759-760-764-765-770-769-768</t>
  </si>
  <si>
    <t>ΚΟΚΟΛΑΚΗ</t>
  </si>
  <si>
    <t>ΑΒ014484</t>
  </si>
  <si>
    <t>791-793-796-789-786-787-785-788-790-792-757-758-759-764-765-794-795-760</t>
  </si>
  <si>
    <t>ΜΑΝΔΩΡΑ</t>
  </si>
  <si>
    <t>ΑΗ164710</t>
  </si>
  <si>
    <t>782-781-780-779-778-814-773-774-808-811-799-793-792-791-790-789-788-787-786-785-794-795-796-757-758-759-760-761-764-765-813-801-783-784-763-800-762-772-756-755-754-753-752-751-771-770-769-768-805-807-809-777-776-775-803-802-797-798-812-810-806-804-767-766</t>
  </si>
  <si>
    <t>ΦΥΤΟΠΟΥΛΟΣ</t>
  </si>
  <si>
    <t>ΑΕ729840</t>
  </si>
  <si>
    <t>801-794-754-755-756-757-758-759-761-765-785-786-787-789-790-792-793-796-797-778-779-780-781-782</t>
  </si>
  <si>
    <t>ΣΩΤΗΡΟΠΟΥΛΟΥ</t>
  </si>
  <si>
    <t>ΑΒ072758</t>
  </si>
  <si>
    <t>755-756-753-754</t>
  </si>
  <si>
    <t>ΠΕΤΡΑΚΗ</t>
  </si>
  <si>
    <t>ΑΕ605183</t>
  </si>
  <si>
    <t>764-794-787-786-795-804-757-796</t>
  </si>
  <si>
    <t>ΜΠΟΥΧΟΥΤΣΟΥ</t>
  </si>
  <si>
    <t>ΑΕ267355</t>
  </si>
  <si>
    <t>752-751-785-786-787-788-789-790-791-792-793-794-795-796-757-758-759-760-764-765-775-776-777-802-803-753-754-755-756-772-805-813-768-769-770-771-762-784-801-778-779-780-781-782-783-800-773-774-814-763-808-807-809-766-767-799-797-798-804-810-806-812</t>
  </si>
  <si>
    <t>ΛΑΜΠΡΟΥ</t>
  </si>
  <si>
    <t>Χ729134</t>
  </si>
  <si>
    <t>ΝΑΝΟΥΛΗΣ</t>
  </si>
  <si>
    <t>ΑΗ262743</t>
  </si>
  <si>
    <t>ΚΩΣΤΑΝΤΙΝΑ</t>
  </si>
  <si>
    <t>ΑΙ655138</t>
  </si>
  <si>
    <t>786-787-794-795-788-789-790-791-792-793-796-764-757-758-759-760-785-813-804-801-797-802-803-778-779-780-781-782-776-777-775-774-768-769-770-771-772-773-762-763-765-751-752-753-754-755-756-766-767-784-798-799-800-805-806-807-808-809-810-811-812-814</t>
  </si>
  <si>
    <t>ΛΑΜΑΡΗ</t>
  </si>
  <si>
    <t>ΝΙΚΗΦΟΡΟΣ</t>
  </si>
  <si>
    <t>Σ641501</t>
  </si>
  <si>
    <t>895,4</t>
  </si>
  <si>
    <t>794-795-796-792-791-785-788-787-786-789-790-793-757-758-759-760-764-765-813-770</t>
  </si>
  <si>
    <t>ΑΝΑΣΤΑΣΙΟΥ</t>
  </si>
  <si>
    <t>ΑΚ733204</t>
  </si>
  <si>
    <t>772-756-755-754-753-757-758-759-760-764-765-785-786-787-788-789-790-791-792-793-794-795-796</t>
  </si>
  <si>
    <t>ΚΑΡΑΜΠΟΥΝΑΡΓΙΩΤΗ</t>
  </si>
  <si>
    <t>ΑΖ417148</t>
  </si>
  <si>
    <t>767-809-766-807-783-763-778-781-782-811-814-799-779-780-757-758-759-760-785-786-787-788-789-790-791-792-793-794-795-796-801-784-762-773-808-774-800-797-776-777-802-803-769-804-770-771-764-765-751-810-752-753-754-755-805-756-798-772-812-813</t>
  </si>
  <si>
    <t>ΠΑΠΑΣΤΡΑΤΑΚΟΥ</t>
  </si>
  <si>
    <t>ΑΕ273176</t>
  </si>
  <si>
    <t>791-793-790-785-787-788-789-794-795-792-757-758-759-760-764-765-806-810-751-752-753-754-755-756-814-813-812-811-809-808-807-805-803-802-801-797-798-799-800-762-763-766-767-768-769-770-771-772-773-774-775-776-777-778-779-780-781-782-783-784</t>
  </si>
  <si>
    <t>ΚΑΡΑΠΑΣΙΑ</t>
  </si>
  <si>
    <t>ΣΜΑΡΑΓΔΑ</t>
  </si>
  <si>
    <t>Χ005888</t>
  </si>
  <si>
    <t>794-786-787-796-759-757</t>
  </si>
  <si>
    <t>ΧΑΡΙΤΟΠΟΥΛΟΥ</t>
  </si>
  <si>
    <t>ΑΗ052452</t>
  </si>
  <si>
    <t>794-796-764-786-787-759-757-795-790-789-793-791-758-785-760-792</t>
  </si>
  <si>
    <t>ΑΑ458215</t>
  </si>
  <si>
    <t>894,7</t>
  </si>
  <si>
    <t>773-774-841-838-840-839-842-835-836-837-782-781-778-779-780-862-800-808-799-843-869-868-844-762-801-811-807-809-875-830-768-783-814-813-828-854-815-826-850-853-847-846-822-858-848-857-821-859-870-871-872</t>
  </si>
  <si>
    <t>ΚΩΝΣΤΑΝΤΑΚΟΠΟΥΛΟΥ</t>
  </si>
  <si>
    <t>ΑΖ210301</t>
  </si>
  <si>
    <t>756-755-754-753</t>
  </si>
  <si>
    <t>ΤΣΙΓΓΟΥΔΗ</t>
  </si>
  <si>
    <t>ΑΝΤΩΝΙΑ-ΜΑΡΙΝΑ</t>
  </si>
  <si>
    <t>Χ423772</t>
  </si>
  <si>
    <t>894,6</t>
  </si>
  <si>
    <t>801-766-767-807-809-783-808-799-763</t>
  </si>
  <si>
    <t>ΤΣΙΩΝΑ</t>
  </si>
  <si>
    <t>Ν812287</t>
  </si>
  <si>
    <t>Ν209393</t>
  </si>
  <si>
    <t>882-890-889-891-888-785-760-793-791-794-795-786-787-758-788-759-790-792-789-757-764-765-796-892-885-884-883-893-756-754-755-753-752-751-772-805-768-769-770-781-782-780-779-778-776-777-775-802-803-813-801-784-773-774-783-814</t>
  </si>
  <si>
    <t>ΣΓΟΥΡΟΠΟΥΛΟΥ</t>
  </si>
  <si>
    <t>ΑΖ757573</t>
  </si>
  <si>
    <t>797-761-786-787-789-790-792-788-791-794-795-793-785-757-758-759-760-796-753-754-755-756-778-779-780-781-782-783-784-801-768-769-770-772-751-752-773-774-805-800-813-814-764-765-777-776-775-802-803</t>
  </si>
  <si>
    <t>ΠΕΤΡΟΥ</t>
  </si>
  <si>
    <t>ΑΒ448009</t>
  </si>
  <si>
    <t>773-774-778-779-780-781-782-800-783-814-801-759-813-757-786-787-788-789-790-791-792-793-784-775-776-777-755</t>
  </si>
  <si>
    <t>ΜΠΑΚΟΥ</t>
  </si>
  <si>
    <t>ΑΕ316348</t>
  </si>
  <si>
    <t>742,5</t>
  </si>
  <si>
    <t>892,5</t>
  </si>
  <si>
    <t>ΑΖ489048</t>
  </si>
  <si>
    <t>770-768-769</t>
  </si>
  <si>
    <t>ΑΙ499405</t>
  </si>
  <si>
    <t>813-801-784-771-768-769-770-783-757-758-759-760-764-765-785-786-787-788-789-790-791-792-793-794-795-796-778-779-780-781-782-814-937-751-752-753-754-755-756-772-773-774-802-803-805-800-775-776-777</t>
  </si>
  <si>
    <t>Ρ628367</t>
  </si>
  <si>
    <t>760-757-758-759-761-764-765-785-786-787-788-789-790-791-792-793-794-795-796</t>
  </si>
  <si>
    <t>ΚΑΡΑΪΣΚΑΚΗ</t>
  </si>
  <si>
    <t xml:space="preserve">Ελενη </t>
  </si>
  <si>
    <t>ΑΙ365701</t>
  </si>
  <si>
    <t>783-807-763</t>
  </si>
  <si>
    <t>ΜΑΥΡΙΤΣΑΚΗ</t>
  </si>
  <si>
    <t>ΑΙ448708</t>
  </si>
  <si>
    <t>777-775-776-802-803</t>
  </si>
  <si>
    <t>ΧΑΤΖΗΚΩΝΣΤΑΝΤΗ</t>
  </si>
  <si>
    <t>ΑΚ550652</t>
  </si>
  <si>
    <t>788-791-790-787-786-785-789-795-793-792</t>
  </si>
  <si>
    <t>ΔΡΑΚΟΠΟΥΛΟΥ</t>
  </si>
  <si>
    <t>Σ577524</t>
  </si>
  <si>
    <t>772-756-754-755-764-765-785-789-790-792-757-758-759-786-787-791-793-794-795-796-760-788-770-801-805-751-776-777-778-779-780-781-782-784-752-753-768-769-773-774-775-783-800-802-803-813-814</t>
  </si>
  <si>
    <t>Μαστρογιάννη</t>
  </si>
  <si>
    <t>Στέλλα</t>
  </si>
  <si>
    <t>Αναστάσιος</t>
  </si>
  <si>
    <t>Χ245853</t>
  </si>
  <si>
    <t>801-782-781-780-779-778</t>
  </si>
  <si>
    <t>ΠΑΥΛΟΠΟΥΛΟΥ</t>
  </si>
  <si>
    <t>ΑΙ018386</t>
  </si>
  <si>
    <t>759-757-758-793-760-792-791-790-789-788-787-786-785-794-795-796</t>
  </si>
  <si>
    <t>ΚΑΡΝΑΤΣΟΥ</t>
  </si>
  <si>
    <t>ΑΒ 269485</t>
  </si>
  <si>
    <t>820,6</t>
  </si>
  <si>
    <t>890,6</t>
  </si>
  <si>
    <t>792-794-795-787-786-757-760-791-788-790-796-785-789-793-758-764-759-765</t>
  </si>
  <si>
    <t>ΧΑΤΖΗΚΥΡΙΑΚΟΣ</t>
  </si>
  <si>
    <t>Χ741837</t>
  </si>
  <si>
    <t>819,5</t>
  </si>
  <si>
    <t>889,5</t>
  </si>
  <si>
    <t>781-778-782-779-780-786-787-788-791-792-793-790-794-795-796-807-809-811-783-761-763-759-758-754-755-756</t>
  </si>
  <si>
    <t>ΖΕΡΒΑΚΗ</t>
  </si>
  <si>
    <t>ΑΙ943593</t>
  </si>
  <si>
    <t>709,5</t>
  </si>
  <si>
    <t>802-764-796-794-787-786-781-782-758-757-756-763-801-807-809</t>
  </si>
  <si>
    <t>ΗΛΙΟΠΙΕΡΕΑ-ΠΙΕΡΡΑΚΟΥ</t>
  </si>
  <si>
    <t>ΣΤΡΑΤΗΓΟΥΛΑ-ΣΤΑΥΡΟΥΛΑ</t>
  </si>
  <si>
    <t>ΕΥΑΓΓΕΛΟΣ-ΔΗΜΟΣ</t>
  </si>
  <si>
    <t>ΑΚ748463</t>
  </si>
  <si>
    <t>739,2</t>
  </si>
  <si>
    <t>889,2</t>
  </si>
  <si>
    <t>757-758-759-760-764-765-785-786-787-798-789-790-791-792-793-794-795-796</t>
  </si>
  <si>
    <t>ΝΕΡΑΝΤΖΩ ΕΙΡΗΝΗ</t>
  </si>
  <si>
    <t>ΑΝ397254</t>
  </si>
  <si>
    <t>ΑΚ530742</t>
  </si>
  <si>
    <t>688,6</t>
  </si>
  <si>
    <t>888,6</t>
  </si>
  <si>
    <t>785-786-787-788-789-790-791-792-793-794-795-796-764-765</t>
  </si>
  <si>
    <t>ΑΡΝΑΟΥΤΑΚΗ</t>
  </si>
  <si>
    <t>ΑΙ450095</t>
  </si>
  <si>
    <t>802-775-776-777-803-801-794-795-796-757-756-768-781-782-786-787-759-764</t>
  </si>
  <si>
    <t>ΑΙ756439</t>
  </si>
  <si>
    <t>801-768-814-789-802-753-769-770-772-784-800-781-782-813-775-776-777-751-786-787-757-764-778-779-780-773-805-752-754-755-756-758-759-760-765-774-783-788-790-791-792-793-794-795-796-803</t>
  </si>
  <si>
    <t>ΤΣΟΠΑΝΑ</t>
  </si>
  <si>
    <t>ΑΙ521659</t>
  </si>
  <si>
    <t>757-760-785-786-789-758-759-790-791-792-793-794-795-796-764-765-768-769-770-812-771-784-798-797</t>
  </si>
  <si>
    <t>ΑΗ025416</t>
  </si>
  <si>
    <t>757-793-788-787-786-792-791-790-794-795-789-785-759-758-761</t>
  </si>
  <si>
    <t>ΙΩΑΝΝΙΔΗ</t>
  </si>
  <si>
    <t>ΠΑΝΤΕΛΕΗΜΩΝ</t>
  </si>
  <si>
    <t>ΑΙ260808</t>
  </si>
  <si>
    <t>757-758-759-760-785-796-795-778-779-780-781-782-814-800-762-783-801-775-776-777-802-803-768-769-770-773-774-763-751-752-764-765-784-813-797-798-804-812-810-805-806-807-808-811-809-771-766-767</t>
  </si>
  <si>
    <t>ΔΙΑΜΑΝΤΟΠΟΥΛΟΣ</t>
  </si>
  <si>
    <t>ΑΑ314783</t>
  </si>
  <si>
    <t>755-756-754-753-900-899-898</t>
  </si>
  <si>
    <t>ΓΕΡΜΑΝΟΥ</t>
  </si>
  <si>
    <t>Ξ655385</t>
  </si>
  <si>
    <t>779-780-781-782</t>
  </si>
  <si>
    <t>ΚΟΝΤΗ</t>
  </si>
  <si>
    <t>ΣΤΑΜΑΤΙΚΗ</t>
  </si>
  <si>
    <t>ΑΚ627009</t>
  </si>
  <si>
    <t>759-760-761-764-765-757-758-785-786-787-788-789-790-791-792-793-794-795-796</t>
  </si>
  <si>
    <t>Παπαγεωργίου</t>
  </si>
  <si>
    <t>Όλγα</t>
  </si>
  <si>
    <t>Ιωάννης</t>
  </si>
  <si>
    <t>ΑΕ811314</t>
  </si>
  <si>
    <t>784-801-813-780-781-779-778-782-814-768-769-770-800-773-937-783-795-794-790-789-792-796-760-786-787-788-793-758-759-785-752-791-757-764-765-775-776-777-802-803-751-753-772-755-756-754-805-799-771-797-763-766-808-767-762-811-810-809-807-812-806-798-804-936</t>
  </si>
  <si>
    <t>ΧΡΗΣΤΟΥ</t>
  </si>
  <si>
    <t>Χ328779</t>
  </si>
  <si>
    <t>687,5</t>
  </si>
  <si>
    <t>887,5</t>
  </si>
  <si>
    <t>785-786-787-788-789-790-791-792-793-794-795-796-916-917-918-919-920-921-922</t>
  </si>
  <si>
    <t xml:space="preserve">ΘΕΟΔΩΡΟΠΟΥΛΟΥ </t>
  </si>
  <si>
    <t>ΑΖ081138</t>
  </si>
  <si>
    <t>886,6</t>
  </si>
  <si>
    <t>785-786-787-788-789-790-791-792-793-794-795-796-757-758-759-760-761</t>
  </si>
  <si>
    <t>ΑΒ866342</t>
  </si>
  <si>
    <t>778-779-780-781-782-757-758-759-760-764-765-785-786-787-788-789-790-791-792-793-794-795-796-800-762-808-773-774-784-783-801-813-814-937-799-811-763-807-809</t>
  </si>
  <si>
    <t>ΑΖ229049</t>
  </si>
  <si>
    <t>805-757-786-787-792-791-793-788-785-796-789-790-795-794-758-759-760-752-753-754-755-756-751-764-765-772-781-782-778-779-780-768-769-770-776-777-775-773-774-802-803-801-814-813-797-798-812-806-804-810-783-800-771-763-808-762-799-811-807-809-766-767</t>
  </si>
  <si>
    <t>ΠΑΠΟΥΤΣΟΥΔΗ</t>
  </si>
  <si>
    <t>ΑΕ924727</t>
  </si>
  <si>
    <t>886,2</t>
  </si>
  <si>
    <t>757-758-759-760-764-773-774-766-767-778-779-780-781-782-763-765-772-783-785-786-787-788-789-790-791-792-793-794-795-796-801-807-814-809-811-784-799-808-813-800-805-751-752-753-754-755-756-762-768-769-770-771-812-806-804-797-798-802-803</t>
  </si>
  <si>
    <t>ΦΟΥΡΚΗΣ</t>
  </si>
  <si>
    <t>Φ218109</t>
  </si>
  <si>
    <t>734,8</t>
  </si>
  <si>
    <t>884,8</t>
  </si>
  <si>
    <t>753-898-756-754-755-900-899-927-772-751-752-785-786-787-788-789-790-791-792-793-794-795-796-757-758-759-760-901-902-903-904-764-765-918-916-917-919-920-921-922</t>
  </si>
  <si>
    <t>ΑΙΝΑΤΖΙΔΟΥ</t>
  </si>
  <si>
    <t>ΚΥΡΙΑΚΗ-ΚΙΤΣΑ</t>
  </si>
  <si>
    <t>ΑΜ519051</t>
  </si>
  <si>
    <t>791-785-787-789-788-796-792-793-790-760-761-757-758-759-764-765-768-769-770</t>
  </si>
  <si>
    <t>Μέλλιου</t>
  </si>
  <si>
    <t>Λαμπρινή</t>
  </si>
  <si>
    <t>Ρ436756</t>
  </si>
  <si>
    <t>766-767-773-774-778-779-780-781-782-801-807-808-809-814</t>
  </si>
  <si>
    <t>ΜΕΣΣΑ</t>
  </si>
  <si>
    <t>Τ830903</t>
  </si>
  <si>
    <t>ΣΤΑΥΡΟΥ</t>
  </si>
  <si>
    <t>ΑΙ128852</t>
  </si>
  <si>
    <t>760-757-764-758-759-789</t>
  </si>
  <si>
    <t>ΚΟΤΕΛΙΔΑ</t>
  </si>
  <si>
    <t>Σ657983</t>
  </si>
  <si>
    <t>792-788-789-790-791-796-793-794-787-785-786-795-757-758-759-764-760-765</t>
  </si>
  <si>
    <t>ΚΑΛΛΕΡΓΗΣ</t>
  </si>
  <si>
    <t>Ξ314596</t>
  </si>
  <si>
    <t>882,7</t>
  </si>
  <si>
    <t>761-757-759-786-794-796-901-903-918-921</t>
  </si>
  <si>
    <t>ΧΑΤΖΗΜΙΧΑΛΗΣ</t>
  </si>
  <si>
    <t>ΑΒ472869</t>
  </si>
  <si>
    <t>731,5</t>
  </si>
  <si>
    <t>881,5</t>
  </si>
  <si>
    <t>751-752-753-754-755-756-757-758-759-760-761-762-763-764-765-766-767-768-769-770-771-772-773-774-775-776-777-778-779-780-781-782-783-784-785-786-787-788-789-790-791-792-793-794-795-796-797-798-799-800-801-802-803-804-805-806-807-808-809-810-811-812-813-814-815-816-817-818-819-820-821-822-823-824-825-826-827-828-829-830-831-832-833-834-835-836-837-838-839-840-841-842-843-844-845-846-847-848-849-850-851-852-853-854-855-856-857-858-859-860-861-862-863-864-865-866-867-868-869-870-871-872-873-874-875-876-877-878-879-936-937</t>
  </si>
  <si>
    <t>ΓΚΑΖΕΛΗ</t>
  </si>
  <si>
    <t>ΦΩΤΕΙΝΟΥΛΑ</t>
  </si>
  <si>
    <t>ΑΛΕΞΗΣ</t>
  </si>
  <si>
    <t>ΑΒ004306</t>
  </si>
  <si>
    <t>828-854-815-826-850-847-853-822-846-858-829-848-857-859-852-821-856-823-824-827-855-820-845-849-851-794-757-759-764-786-787-796-758-760-765-785-788-789-790-791-792-793-795</t>
  </si>
  <si>
    <t>ΔΡΕΤΤΑΣ</t>
  </si>
  <si>
    <t>ΑΑ108086</t>
  </si>
  <si>
    <t>880,5</t>
  </si>
  <si>
    <t>757-758-786-788-790-791-793-794</t>
  </si>
  <si>
    <t>ΑΡΑΜΠΑΤΖΗ</t>
  </si>
  <si>
    <t>ΑΜ669461</t>
  </si>
  <si>
    <t>ΣΑΒΒΟΠΟΥΛΟΥ</t>
  </si>
  <si>
    <t>ΛΥΔΙΑ</t>
  </si>
  <si>
    <t>ΑΒ127026</t>
  </si>
  <si>
    <t>ΤΣΙΚΛΗΣ</t>
  </si>
  <si>
    <t>ΝΕΣΤΩΡ</t>
  </si>
  <si>
    <t>ΑΜ430035</t>
  </si>
  <si>
    <t>811-763-783-781-782-773-808</t>
  </si>
  <si>
    <t>ΠΕΛΕΧΡΑ</t>
  </si>
  <si>
    <t>Χ318569</t>
  </si>
  <si>
    <t>778-779-780-781-782-783-811-763-799-762-773-774-800-812-775-776-777-802-803-772-805-751-752-753-754-755-756-813-801-814-784-757-758-759-760-764-765-785-786-787-788-789-790-791-792-793-794-795-796-768-769-770-810-937-807-808-809-804-806</t>
  </si>
  <si>
    <t>ΑΠΙΔΙΑΝΑΚΗΣ</t>
  </si>
  <si>
    <t>ΑΕ465025</t>
  </si>
  <si>
    <t>803-802-777-776-775</t>
  </si>
  <si>
    <t>ΑΡΒΑΝΙΤΗ</t>
  </si>
  <si>
    <t>ΑΒ989045</t>
  </si>
  <si>
    <t>768-769-770-801-764-786-807-808-789-790-791-792-793-794-795-796</t>
  </si>
  <si>
    <t>ΨΥΡΡΑ</t>
  </si>
  <si>
    <t>ΘΕΟΦΑΝΩ</t>
  </si>
  <si>
    <t>Χ227768</t>
  </si>
  <si>
    <t>ΜΠΛΑΤΖΟΥΚΑ</t>
  </si>
  <si>
    <t>ΑΒ021933</t>
  </si>
  <si>
    <t>ΔΙΟΝΥΣΟΠΟΥΛΟΥ</t>
  </si>
  <si>
    <t>ΑΗ116165</t>
  </si>
  <si>
    <t>786-787-788-789-791-785-793-794-795-796-790-792-758-759-757-760-764-765</t>
  </si>
  <si>
    <t>Ν711799</t>
  </si>
  <si>
    <t>762-800-781-782-780-779-778-773-774-783-801-786-787-788-789-790-791-792-793-784-794-795-796-759-760-757-756-758-755-754-753-752-751-764-765-768-769-770-772-775-776-777-802-803-813-785</t>
  </si>
  <si>
    <t>ΤΟΛΛΙΑ</t>
  </si>
  <si>
    <t>ΑΗ956522</t>
  </si>
  <si>
    <t>801-784-768-794-781-782-802-796-756-786-787-764-759-757-813-814-783-778-779-780-773-774-800-769-770-775-776-777-803-758-760-765-793-791-789-785-788-790-795-792-752-772-751-753-754-755-805-937-761-807-809-763-804-797-798-812-806-810-762-771-808-811-799-767-766-936</t>
  </si>
  <si>
    <t>ΝΑΡΓΟΥ</t>
  </si>
  <si>
    <t>ΑΕ779958</t>
  </si>
  <si>
    <t>797-800-801-803-805-802-813-814</t>
  </si>
  <si>
    <t>ΑΡΩΝΙΑΔΑ</t>
  </si>
  <si>
    <t>Σ291010</t>
  </si>
  <si>
    <t>788-791-794-795-786-787-793-759-760-789-790-792-785-757-758</t>
  </si>
  <si>
    <t>ΦΑΚΗΣ</t>
  </si>
  <si>
    <t>ΑΡΓΥΡΗΣ</t>
  </si>
  <si>
    <t>Φ476349</t>
  </si>
  <si>
    <t>804-794-786-787-788-813-814</t>
  </si>
  <si>
    <t>ΘΕΟΧΑΡΙΑ</t>
  </si>
  <si>
    <t>ΑΙ192016</t>
  </si>
  <si>
    <t>778-779-780-781-782-908-909-910-911-912</t>
  </si>
  <si>
    <t xml:space="preserve">Κοντός </t>
  </si>
  <si>
    <t>Κωνσταντίνος</t>
  </si>
  <si>
    <t>ΑΜ196539</t>
  </si>
  <si>
    <t>768-769-770-751-752-753-754-755-756-757-758-759-760-761-762-763-764-765-766-767-771-772-773-774-775-776-777-778-779-780-781-782-783-784-785-786-787-788-789-790-791-792-793-794-795-796-797-798-799-800-801-802-803-804-805-806-807-808-809-810-811-812-813-814</t>
  </si>
  <si>
    <t>ΖΑΒΕΡΔΑ</t>
  </si>
  <si>
    <t>ΑΗ114440</t>
  </si>
  <si>
    <t>794-796-757-786-787-759-764-791-788-793-795-785-765-760-758-789-790-792</t>
  </si>
  <si>
    <t>ΠΑΝΑΓΟΠΟΥΛΟΥ</t>
  </si>
  <si>
    <t>ΑΚ597502</t>
  </si>
  <si>
    <t>791-785-786-787-764-793-788-789-758-759-790-765-757-760-796-795-794</t>
  </si>
  <si>
    <t>ΒΑΡΔΑΚΑΣΤΑΝΗ</t>
  </si>
  <si>
    <t>ΑΜ362672</t>
  </si>
  <si>
    <t>756-787-759-757-794-786-764-768-781-782-801-802-796-772-769-751-752-753-754-755-758-760-765-785-788-789-790-791-792-793-795</t>
  </si>
  <si>
    <t>ΙΓΝΑΤΙΑΔΗ</t>
  </si>
  <si>
    <t>Φ295656</t>
  </si>
  <si>
    <t>802-803-776-777-775-757-786-787-794-796-764-759-758-795-785-788-789-790-791-792-793-760-765-781-782-778-779-780-801-814-751-752-753-754-755-756-768-769-770-772-773-774-805-783-784-800-813-771-804-806-807-808-809-810-811-812-797-798-799-766-767</t>
  </si>
  <si>
    <t>Αθανασοπουλου</t>
  </si>
  <si>
    <t>Αγγελικη</t>
  </si>
  <si>
    <t>Διονυσιος</t>
  </si>
  <si>
    <t>ΑΒ800011</t>
  </si>
  <si>
    <t>805-772-753-754-755-756-768-769-813-814-770-785-786-787-788-789-790-791-792-793-794-757-758-759-760-764-765-795-796-778-779-780-781-782-773-774-751-752-775-776-777-783-784-800-802-801-803-806</t>
  </si>
  <si>
    <t>ΛΕΦΑΚΗ</t>
  </si>
  <si>
    <t>ΑΚ050218</t>
  </si>
  <si>
    <t>ΚΙΑΜΗΛΗ</t>
  </si>
  <si>
    <t>ΑΒ711763</t>
  </si>
  <si>
    <t>800-801-781-782-779-780-778-773-774-784-814-813-783-761-760-759-757-758-794-795-796-764-765-762-793-792-791-790-789-788-787-786-785-777-776-775-808-811-769-770-768-763-771-797-799-812-806-807-752-751-809-767-766-937-756-755-754-753</t>
  </si>
  <si>
    <t>ΜΑΤΗ</t>
  </si>
  <si>
    <t>ΑΙ154654</t>
  </si>
  <si>
    <t>781-780-779-782-778-799-811-814-808-773-774-783-801-800-807-763-795-794-796-785-786-787-788-789-790-791-792-793-757-758-759-760-761-764-765-775-776-777-797-812-806-767-798-802-803-809-810-805-813-804-753-754-755-756-768-769-770-771-772-752-751-762-784-766</t>
  </si>
  <si>
    <t>Φ228652</t>
  </si>
  <si>
    <t>728,2</t>
  </si>
  <si>
    <t>878,2</t>
  </si>
  <si>
    <t>763-838-841-828-840-839-842-837-835-836-826-822-829-833-876-877-866-863-867-845-850-854-858-870-871-862-847-848-853-872-873-874-852-855-856-857-859-843-861-815-823-824-825-827-830-844-864-875-878-879-860-869-868-849-851-821-818-817-816-820-819-832-831-834-865-782-781-802-801-779-780-778-775-776-777-783-803-794-796-786-787-757-759-768-766-767-804-807-809-936-810-812-811-800-797-798-814-937-788-789-790-791-792-793-795-773-774-769-770-764-765-762-760-785-784-758-756-753-754-755-751-752-813-808-805-799-806-771-772</t>
  </si>
  <si>
    <t>ΒΕΡΑΝΟΥΔΗΣ</t>
  </si>
  <si>
    <t>ΑΚ921623</t>
  </si>
  <si>
    <t>779-780-782-783-778-814-774-773-775-777-909-910-911-912-908-907-913</t>
  </si>
  <si>
    <t>ΚΤΙΣΤΑΚΗ</t>
  </si>
  <si>
    <t>ΑΖ457042</t>
  </si>
  <si>
    <t>777-776-775-803-802</t>
  </si>
  <si>
    <t>ΝΤΟΝΑ</t>
  </si>
  <si>
    <t>Σ385921</t>
  </si>
  <si>
    <t>762-800-786-787-791-764-796-789-793-759-760-757-758-794-795-778-779-780-781-782-785-788-790-792-765-773-774-801-784-783-814-813-770</t>
  </si>
  <si>
    <t>ΧΑΜΠΗΛΟΜΑΤΗΣ</t>
  </si>
  <si>
    <t>Χ791433</t>
  </si>
  <si>
    <t>785-786-787-788-789-790-791-792-793-794-795-796-764-765-757-758-759-760-751-752-772-805-753-754-755-756-775-776-777-768-769-770-784-781-779-780-774-782-771-762-813-800-808-773-814-937-799-811-763-783-807-809-812-798-806-797-802-803-766-767-810-804-936</t>
  </si>
  <si>
    <t>ΞΑΝΘΟΠΟΥΛΟΥ</t>
  </si>
  <si>
    <t>ΑΙ697270</t>
  </si>
  <si>
    <t>796-786-787-791-794-795-788-790-789-785-793-757-764-792-765-758-759-760</t>
  </si>
  <si>
    <t>ΜΑΝΩΛΟΠΟΥΛΟΣ</t>
  </si>
  <si>
    <t>ΑΖ200951</t>
  </si>
  <si>
    <t>753-756-754-755-898-900-899-927-751-752-772-805</t>
  </si>
  <si>
    <t>ΣΑΧΠΑΖΙΔΟΥ</t>
  </si>
  <si>
    <t>ΗΡΩΔΗ</t>
  </si>
  <si>
    <t>ΑΕ874787</t>
  </si>
  <si>
    <t>799-781-782-801-786-787-794-796-764-759-757-756-768-802-804-807-809-763</t>
  </si>
  <si>
    <t>ΒΕΝΤΟΥΡΗ</t>
  </si>
  <si>
    <t>ΑΚ871236</t>
  </si>
  <si>
    <t>873,7</t>
  </si>
  <si>
    <t>781-780-778-779-782-814-799-794-795-786-787-788-789-790-791-792-793-759-760-761-757-758-775-776-777-769-768-770-773-774-785-783-784-753-754-755-756-802-803-808-811-812-807-806-771-813</t>
  </si>
  <si>
    <t>ΡΟΥΣΣΑΚΗ</t>
  </si>
  <si>
    <t>ΑΒ950915</t>
  </si>
  <si>
    <t>873,4</t>
  </si>
  <si>
    <t>751-752-753-754-755-756-757-758-759-760-765-769-772-773-774-775-776-777-778-779-780-781-782-783-784-785-786-787-788-789-790-791-792-793-795-800-803-805-813</t>
  </si>
  <si>
    <t>ΚΥΡΚΟΥ</t>
  </si>
  <si>
    <t>ΓΡΑΜΜΑΤΙΑ</t>
  </si>
  <si>
    <t>Π906054</t>
  </si>
  <si>
    <t>673,2</t>
  </si>
  <si>
    <t>873,2</t>
  </si>
  <si>
    <t>780-784-801-813-797-781</t>
  </si>
  <si>
    <t>ΠΕΤΚΑΝΗ</t>
  </si>
  <si>
    <t>ΑΖ801748</t>
  </si>
  <si>
    <t>722,7</t>
  </si>
  <si>
    <t>872,7</t>
  </si>
  <si>
    <t>ΧΑΛΒΑΝΤΖΗ</t>
  </si>
  <si>
    <t>ΑΓΟΡΗ</t>
  </si>
  <si>
    <t>Χ066902</t>
  </si>
  <si>
    <t>813-757-760-758-759-761-785-786-787-788-789-790-791-793-796-792-794-795-764-765</t>
  </si>
  <si>
    <t>ΜΠΟΛΗ</t>
  </si>
  <si>
    <t>Π337770</t>
  </si>
  <si>
    <t>757-759-758-764-786-787-788-794-796-789-901-903-918-921</t>
  </si>
  <si>
    <t>Χ806678</t>
  </si>
  <si>
    <t>840,4</t>
  </si>
  <si>
    <t>870,4</t>
  </si>
  <si>
    <t>755-754-756-753-772-752-751-805-757-758-759-760-765-764-792-785-786-787-788-789-790-791-793-794-795-796-798-797</t>
  </si>
  <si>
    <t>ΧΑΙΝΟΓΛΟΥ</t>
  </si>
  <si>
    <t>ΑΚ865655</t>
  </si>
  <si>
    <t>870,1</t>
  </si>
  <si>
    <t>782-781-778-779-780-783-784-801-802-803-813-775-776-777-773-774-768-769-770-800-814</t>
  </si>
  <si>
    <t>ΖΑΜΑΝΤΖΑ</t>
  </si>
  <si>
    <t>ΑΕ844273</t>
  </si>
  <si>
    <t>801-784-813-778-779-780-781-782-814-783-805-768-769-770-771-799-800-807-808-811-773-774-762-763-753-754-755-756-751-752-766-767-809-775-776-777-772-802-803-806-804-810-812-797-798-757-758-759-760-764-765-785-786-787-788-789-790-791-792-793-794-795-796</t>
  </si>
  <si>
    <t>ΚΑΛΟΜΟΙΡΗ</t>
  </si>
  <si>
    <t>ΕΛΕΝΗ ΠΑΡΑΣΚΕΥΗ</t>
  </si>
  <si>
    <t>ΑΙ999069</t>
  </si>
  <si>
    <t>813-801-757-758-759-786-787-788-789-790-791-799-794-795-778-779-780-781-782</t>
  </si>
  <si>
    <t>ΑΒ544865</t>
  </si>
  <si>
    <t>838,2</t>
  </si>
  <si>
    <t>868,2</t>
  </si>
  <si>
    <t>792-791-789-786-787-785-757-759-760-758-793-794-795-796-790-788-764</t>
  </si>
  <si>
    <t>ΑΛΕΞΑΝΔΡΙΔΟΥ</t>
  </si>
  <si>
    <t>Τ072920</t>
  </si>
  <si>
    <t>792-786-794-788-791-793-795-787-785-789-790-796-758-759-760-757-812</t>
  </si>
  <si>
    <t>ΣΤΑΜΟΥΛΗ</t>
  </si>
  <si>
    <t>Ξ683446</t>
  </si>
  <si>
    <t>768-781-782-794-801-802-787-756-757-761-764-786-796</t>
  </si>
  <si>
    <t>ΔΑΣΚΑΛΑΚΗ</t>
  </si>
  <si>
    <t>ΑΚ966355</t>
  </si>
  <si>
    <t>866,2</t>
  </si>
  <si>
    <t>ΘΑΝΑΣΙΑ</t>
  </si>
  <si>
    <t>Π254751</t>
  </si>
  <si>
    <t>813-794-795-801-796-778-779-780-781-782-768-769-770-771-772-773-774-757-758-777-776-775-785-787-788-789-790-791-792-793-800-805-814-803-802-786-783-759-760-764-765-751-752-753-754-755-756-784</t>
  </si>
  <si>
    <t>ΡΟΥΜΠΟΥ</t>
  </si>
  <si>
    <t>ΑΚ217933</t>
  </si>
  <si>
    <t>751-752-761-764-765-786-787-791-785-788-789-793-794-795-758-759-757-790-796-792-760-775-776-777</t>
  </si>
  <si>
    <t>ΜΑΛΛΙΟΥ</t>
  </si>
  <si>
    <t>ΑΝ031644</t>
  </si>
  <si>
    <t>757-759-764-787-794-796-756-781-782-768-801</t>
  </si>
  <si>
    <t>ΖΕΒΛΑ</t>
  </si>
  <si>
    <t>Τ864353</t>
  </si>
  <si>
    <t>756-755-754-753-798-797-752-772-778-779-782-781-814-791-792-793-788-787-786-936-937-751</t>
  </si>
  <si>
    <t>ΑΗ381792</t>
  </si>
  <si>
    <t>783-763-876</t>
  </si>
  <si>
    <t>ΔΟΥΡΟΥ</t>
  </si>
  <si>
    <t>ΑΖ009141</t>
  </si>
  <si>
    <t>864,5</t>
  </si>
  <si>
    <t>794-796-761-791-793-788-787-789-792-795-790-786-759-785-758-757-765-760-764</t>
  </si>
  <si>
    <t>ΝΑΝΟΥ</t>
  </si>
  <si>
    <t>Ν806506</t>
  </si>
  <si>
    <t>753-797-801-754-755-756-757-758-759-760-764-765-778-779-780-781-782-783-784-785-786-787-788-789-790-791-792-793-794-795-796-798-814-813-751-752-762-763-768-769-770-771-772-773-774-799-800-805-807-808-809-811-810-812-802-803-775-776-777-766-767</t>
  </si>
  <si>
    <t>ΓΚΟΛΦΙΝΟΠΟΥΛΟΥ</t>
  </si>
  <si>
    <t>ΑΕ714602</t>
  </si>
  <si>
    <t>ΑΗ312924</t>
  </si>
  <si>
    <t>808-781-782-780-779-778-774-773-814-801-800-806-788-785-794-795-796-793-791-790-789-787-786-792-764-765-784-783-797-798-802-803-811-810-775-756-777-807-799-804-813-809</t>
  </si>
  <si>
    <t>ΜΑΜΜΗΣ</t>
  </si>
  <si>
    <t>ΑΗ931105</t>
  </si>
  <si>
    <t>862,7</t>
  </si>
  <si>
    <t>804-936-801-756-768-769-770-772-773-774-775-776-777-783-784-800-805-813-814-751-752-753-754-755-778-779-780-781-782-758-759-760-764-765-785-786-787-788-789-790-791-792-793-794-795-796-762-763-766-767-771-797-798-799-806-807-808-809-810-811-812-757-937-761</t>
  </si>
  <si>
    <t>ΨΙΛΟΠΟΥΛΟΥ</t>
  </si>
  <si>
    <t>ΑΕ504834</t>
  </si>
  <si>
    <t>862,4</t>
  </si>
  <si>
    <t>757-758-759-760-761-764-765-785-792-793-794-786-787-788-789-796-790-791</t>
  </si>
  <si>
    <t>ΑΒ411785</t>
  </si>
  <si>
    <t>764-765-794-796-787-788-761</t>
  </si>
  <si>
    <t>ΤΟΥΦΕΞΗ</t>
  </si>
  <si>
    <t>ΑΗ112087</t>
  </si>
  <si>
    <t>861,3</t>
  </si>
  <si>
    <t>761-764-769-784-786-788-789-790-791-792-793-794-796-758-801-759-760-813-765-757</t>
  </si>
  <si>
    <t>ΤΣΙΤΣΙΚΛΗ</t>
  </si>
  <si>
    <t>Χ378005</t>
  </si>
  <si>
    <t>801-781-782-768-756-757-759-764-786-787-794-796-802-762-751-752-753-754-755-758-760-765-769-770-772-773-774-775-776-777-778-779-780-783-784-785-788-789-790-791-792-793-795-800-803-805-813-814-763-766-767-771-797-798-799-804-806-807-808-809-810-811-812-936</t>
  </si>
  <si>
    <t>ΒΑΣΙΑ</t>
  </si>
  <si>
    <t>Ρ541973</t>
  </si>
  <si>
    <t>710,6</t>
  </si>
  <si>
    <t>860,6</t>
  </si>
  <si>
    <t>791-760-787-786-794-795-796-788-759-765-790-792-793-770-769-753-754-756-751-775-777-805-784-785-757-758-755-752-764-823-824-828-829-827-826-825-822-815-820-821-816-817-843-844-846-847-833-830</t>
  </si>
  <si>
    <t>ΟΙΚΟΝΟΜΟΠΟΥΛΟΥ</t>
  </si>
  <si>
    <t>Χ295001</t>
  </si>
  <si>
    <t>860,5</t>
  </si>
  <si>
    <t>754-755-756-753-772-751-752-805-757-758-759-760-764-765-785-786-787-788-789-790-791-792-793-794-795-796-778-779-780-781-782-813-768-769-770-801</t>
  </si>
  <si>
    <t>ΞΕΠΛΑΤΗ</t>
  </si>
  <si>
    <t>Φ341143</t>
  </si>
  <si>
    <t>934-813-801-914-929-928-770-784-933-769-768-900-899</t>
  </si>
  <si>
    <t>ΓΡΕΚΑ</t>
  </si>
  <si>
    <t>Σ613572</t>
  </si>
  <si>
    <t>794-787-786-796-795-791-785-788-790-793-789-759-757</t>
  </si>
  <si>
    <t>Τ350705</t>
  </si>
  <si>
    <t>784-801-813-753-754-755-756-757-758-759-760-764-765-768-769-770-772-773-774-775-776-777-778-779-780-781-782-783-785-786-787-788-789-790-791-792-793-794-795-796-751-752-800-802-805-814</t>
  </si>
  <si>
    <t>ΜΑΛΛΗ</t>
  </si>
  <si>
    <t>ΑΗ228296</t>
  </si>
  <si>
    <t>859,1</t>
  </si>
  <si>
    <t>764-765-785-786-787-788-789-790-791-792-793-794-795-796-760-757-758-759</t>
  </si>
  <si>
    <t>ΑΝΑΣΤΑΣΑΚΗ</t>
  </si>
  <si>
    <t>ΑΜ602484</t>
  </si>
  <si>
    <t>678,7</t>
  </si>
  <si>
    <t>858,7</t>
  </si>
  <si>
    <t>794-795-796-786-787-788-789-791-790-785-792-793-758-759-760-757-764-765</t>
  </si>
  <si>
    <t>ΑΙ206207</t>
  </si>
  <si>
    <t>858,5</t>
  </si>
  <si>
    <t>ΜΙΧΑΛΟΠΟΥΛΟΥ</t>
  </si>
  <si>
    <t>ΑΜ217518</t>
  </si>
  <si>
    <t>785-786-787-788-789-790-791-792-793-794-795-796-758-757-764-765</t>
  </si>
  <si>
    <t>ΣΑΛΑΒΡΑΚΟΥ</t>
  </si>
  <si>
    <t>ΕΦΗ ΕΥΣΤΑΘΙΑ</t>
  </si>
  <si>
    <t>ΑΙ145397</t>
  </si>
  <si>
    <t>858,3</t>
  </si>
  <si>
    <t>751-752-757-758-759-760-761-764-765-785-786-787-788-789-790-791-792-793-794-795-796</t>
  </si>
  <si>
    <t>ΜΠΑΛΤΣΑΒΙΑ</t>
  </si>
  <si>
    <t>ΔΙΑΜΑΝΤΗΣ</t>
  </si>
  <si>
    <t>ΑΙ782690</t>
  </si>
  <si>
    <t>768-801-769-770</t>
  </si>
  <si>
    <t>ΓΡΑΜΜΑΤΙΚΟΠΟΥΛΟΥ</t>
  </si>
  <si>
    <t>ΑΒ624379</t>
  </si>
  <si>
    <t>794-795-796-785-786-787-788-789-790-791-792-793-758-757-760-759-764-765</t>
  </si>
  <si>
    <t>ΣΙΑΠΚΑ</t>
  </si>
  <si>
    <t>ΑΖ901471</t>
  </si>
  <si>
    <t xml:space="preserve"> 807- 809</t>
  </si>
  <si>
    <t>807-809-811-783-779-780-781-782-778</t>
  </si>
  <si>
    <t>ΔΑΔΑΚΟΥ</t>
  </si>
  <si>
    <t>ΑΙ680191</t>
  </si>
  <si>
    <t>781-782-787-786-788-790-791-794-795-757-793-785-779-778-758-759-760-780</t>
  </si>
  <si>
    <t>ΟΝΟΥΦΡΙΟΣ</t>
  </si>
  <si>
    <t>ΑΗ294419</t>
  </si>
  <si>
    <t>779-780-781-782-778-800-762-799-808-773-811-774-814-801-783-763-807-809-767-784-813-797-798-812-804-776-777-775-803-802-770-769-768-810-806-771-755-756-754-752-751-753-772-766-805-796-794-795-785-786-787-788-789-790-791-792-793-759-760-764-765-757-758</t>
  </si>
  <si>
    <t>ΠΑΠΑΘΕΟΔΩΡΟΥ</t>
  </si>
  <si>
    <t>Τ279373</t>
  </si>
  <si>
    <t>754-753-755-756-772-751-752</t>
  </si>
  <si>
    <t>ΑΣΗΜΑΚΟΠΟΥΛΟΥ</t>
  </si>
  <si>
    <t>ΑΚ336398</t>
  </si>
  <si>
    <t>753-754-755-756-772-757-758-759-760-764-765-785-786-787-788-789-790-791-792-793-794-795-796-751-752-769-773-774-801-802-813-775-776-777-778-779-780-783-784-799-800-803-805-814-781-782-768-767-766-763-762-771-797-798-812-804-811-806-810-807-809-808-936</t>
  </si>
  <si>
    <t>ΜΑΖΜΑΝΙΔΟΥ</t>
  </si>
  <si>
    <t>ΞΕΝΗ</t>
  </si>
  <si>
    <t>ΑΖ690305</t>
  </si>
  <si>
    <t>ΛΙΑΝΝΗ</t>
  </si>
  <si>
    <t>Π045297</t>
  </si>
  <si>
    <t>707,3</t>
  </si>
  <si>
    <t>857,3</t>
  </si>
  <si>
    <t>920-916-934-917-921-918-922-902-903-901-899-919-930-898-927-900-907-904-912-933-911-908-812-813-805-786-768-788-787-796-791-792-790-795-785-789-769-780-806-776-777-775-782-797</t>
  </si>
  <si>
    <t>ΣΤΡΑΦΙΩΤΗ</t>
  </si>
  <si>
    <t>Χ148152</t>
  </si>
  <si>
    <t>856,9</t>
  </si>
  <si>
    <t>786-787-791-793-788-789-795-794-796-790-792-785-757-758-760-764-765-759-768-769-770</t>
  </si>
  <si>
    <t>ΑΖ429381</t>
  </si>
  <si>
    <t>794-757-758-759-760-764-765-785-786-787-788-789-790-791-792-793-795-796-778-779-780-781-782-773-774-783-800-801-784-768-769-770-753-754-755-756-751-752-814-813-762-763-807-809-811-797-766-767-798-799-808-810</t>
  </si>
  <si>
    <t>ΜΑΝΑΓΛΙΩΤΗ</t>
  </si>
  <si>
    <t>ΒΙΡΓΙΝΙΑ</t>
  </si>
  <si>
    <t>ΑΕ018836</t>
  </si>
  <si>
    <t>794-795-761-759-758-796-786-787-757-791-793-788-789-760-792-790</t>
  </si>
  <si>
    <t>ΒΟΥΛΓΑΡΙΔΗ</t>
  </si>
  <si>
    <t>ΑΖ463430</t>
  </si>
  <si>
    <t>802-803-775-776-777-768-769-770-757-758-759-760-764-765-785-786-787-788-789-790-791-792-793-794-795-796-778-779-780-781-782-773-774-772-751-752-753-754-755-756-805-813-814-801-800-784-783-812-771-762-763-766-767-799-808-807-809-811-797-798-806-804-810</t>
  </si>
  <si>
    <t>ΑΝ040705</t>
  </si>
  <si>
    <t>ΔΡΙΒΗΛΑ</t>
  </si>
  <si>
    <t>ΑΒ385049</t>
  </si>
  <si>
    <t>ΑΝΔΡΙΑΝΟΥ</t>
  </si>
  <si>
    <t>ΑΒ598711</t>
  </si>
  <si>
    <t>ΣΚΟΚΑ</t>
  </si>
  <si>
    <t>ΑΗ004693</t>
  </si>
  <si>
    <t>751-781-782-752-753-754-783-755-756-757-785-786-787-784-758-759-760-761-762-763-764-765-766-767-768-769-770-771-772-773-774-775-776-777-778-779-780-788-789-790-791-792-793-794-795-796-797-798-799-800-801-802-803-804-805-806-807-808-809-810-811-812-813-814-936-937</t>
  </si>
  <si>
    <t>ΑΜΑΡΙΩΤΑΚΗ</t>
  </si>
  <si>
    <t>ΑΕ466834</t>
  </si>
  <si>
    <t>761-794-796-786-787-789-785-788-791-793-758</t>
  </si>
  <si>
    <t>ΣΤΕΦΟΥ</t>
  </si>
  <si>
    <t>ΒΑΙΟΣ</t>
  </si>
  <si>
    <t>ΑΖ070823</t>
  </si>
  <si>
    <t>786-794-795-788-790-785-796-789-791-757-760-759-758-792-793-764-765-778-779-780-781-782-783-807-812-814-809-806-775-776-777-753</t>
  </si>
  <si>
    <t>ΓΕΩΡΓΙΟΥ</t>
  </si>
  <si>
    <t>ΑΕ609821</t>
  </si>
  <si>
    <t>794-795-791-757-758-759-760-761-764-765-785-786-787-788-789-790-792-793-768-769-796</t>
  </si>
  <si>
    <t>ΑΜ311830</t>
  </si>
  <si>
    <t>775-776-777-880-907-881-803-802-757-758-759-760-764-765-785-796-901-902-903-904-916-917-918-919-920-921-922-780-781-782-814-908-909-910-911-912-813-934-753-754-755-756-898-899-900-772-927-768-769-770-751-752-805-929-928-801-773-774-797-798-783-913-906-812-804-806-930-886-763-809-807-931-799-923-924-933-762-932-811-925-926-800-915-771-935-905</t>
  </si>
  <si>
    <t>ΒΑΚΑΛΗΣ</t>
  </si>
  <si>
    <t>ΑΗ414816</t>
  </si>
  <si>
    <t>809-807-763-782-781</t>
  </si>
  <si>
    <t>ΞΥΝΟΥ</t>
  </si>
  <si>
    <t>ΑΜ926192</t>
  </si>
  <si>
    <t>804-936-783-757-758-759-760-764-765-785-786-787-790-788-789-791-792-793-794-795-796-778-779-780-781-782-800-801-813-814-805-751-752-753-754-756-755-773-768-770-772-774-775-776-777-784-802-803</t>
  </si>
  <si>
    <t>ΤΟΥΡΤΟΥΛΑ</t>
  </si>
  <si>
    <t>Π874875</t>
  </si>
  <si>
    <t>853,6</t>
  </si>
  <si>
    <t>768-769-770</t>
  </si>
  <si>
    <t>ΓΚΙΑΤΑ</t>
  </si>
  <si>
    <t>ΑΕ726928</t>
  </si>
  <si>
    <t>756-757-759-764-786-787-794-796-753-754-755-758-765-785-788-789-790-791-792-793-795-805-778-779-780-781-782</t>
  </si>
  <si>
    <t>ΑΝΤΖΙΝΑ</t>
  </si>
  <si>
    <t>ΑΖ081460</t>
  </si>
  <si>
    <t>785-786-787-788-789-791-793-794-795-796</t>
  </si>
  <si>
    <t>ΛΕΠΙΔΑ</t>
  </si>
  <si>
    <t>Τ987732</t>
  </si>
  <si>
    <t>813-771-784-801-770-769-788-790</t>
  </si>
  <si>
    <t>Μαντζούνη</t>
  </si>
  <si>
    <t>Φώτιος</t>
  </si>
  <si>
    <t>ΑΗ729901</t>
  </si>
  <si>
    <t>805-756-755-754-753-772-751-752-785-786-787-788-789-790-791-792-793-794-795-796-757-758-759-760-764-765-768-769-770-813</t>
  </si>
  <si>
    <t>ΠΕΤΑΛΑΣ</t>
  </si>
  <si>
    <t>ΑΗ510709</t>
  </si>
  <si>
    <t>ΓΙΑΝΝΑΚΑΚΗ</t>
  </si>
  <si>
    <t>Σ049345</t>
  </si>
  <si>
    <t>850,6</t>
  </si>
  <si>
    <t>792-794-795-757-785-788-793-789-786-787-758-759-760-790-791</t>
  </si>
  <si>
    <t>ΑΡΓΥΡΟΥ</t>
  </si>
  <si>
    <t>ΑΡΙΣΤΟΚΛΗΣ</t>
  </si>
  <si>
    <t>Π742755</t>
  </si>
  <si>
    <t>786-787-757-796-794</t>
  </si>
  <si>
    <t>ΚΑΛΑΘΑΣ</t>
  </si>
  <si>
    <t>ΙΕΡΟΘΕΟΣ</t>
  </si>
  <si>
    <t>Ν614622</t>
  </si>
  <si>
    <t>ΣΤΑΜΑΤΗ-ΜΠΑΚΕΛΑ</t>
  </si>
  <si>
    <t>ΑΡΙΣΤΟΤΕΛΗΣ</t>
  </si>
  <si>
    <t>ΑΒ079799</t>
  </si>
  <si>
    <t>755-756-754-753-772-771-813-805-794-795-793-791-792-787-788-789-790-786-785-765-764-761-760-759-758-757-752-751-768-769-770-796-801</t>
  </si>
  <si>
    <t>ΑΖ612748</t>
  </si>
  <si>
    <t>794-786-795-759-758-757-787-791</t>
  </si>
  <si>
    <t>ΛΟΥΓΓΟΥ</t>
  </si>
  <si>
    <t>ΑΗ797398</t>
  </si>
  <si>
    <t>ΧΑΛΑΡΗ</t>
  </si>
  <si>
    <t>ΑΚ625824</t>
  </si>
  <si>
    <t>758-759-760-761-764-765-768-769-770-785-786-787-788-789-790-791-792-793-794-795-796-825-826-827-828-829-830-844-845-846-847-848-849-850-851-852-853-854-855-856-857-858-859-870-871-872</t>
  </si>
  <si>
    <t>ΑΖ203716</t>
  </si>
  <si>
    <t>768-769-770-778-779-780-781-782-786-787-788-789-790-792-793-794-795-796-764-765-772-753-754-755-756-757-760</t>
  </si>
  <si>
    <t>ΚΑΡΑΤΖΙΑ</t>
  </si>
  <si>
    <t>ΑΚ271346</t>
  </si>
  <si>
    <t>841-837-836-840-835-838-842-780-779-782-781-778</t>
  </si>
  <si>
    <t>ΑΗ918805</t>
  </si>
  <si>
    <t>784-801-794-800-778-779-780-781-782-783-785-786-787-788-789-790-791-792-793-813-795-802-803-805-814-751-796-752-753-754-755-756-757-758-759-760-761-762-763-764-765-768-769-770-772-773-774-775-776-777-766-767-771-797-798-799-804-806-807-808-809-810-811-812</t>
  </si>
  <si>
    <t>ΜΙΧΑΛΕΑΚΟΥ</t>
  </si>
  <si>
    <t>Ν007661</t>
  </si>
  <si>
    <t>849,5</t>
  </si>
  <si>
    <t>ΒΑΙΟΠΟΥΛΟΥ</t>
  </si>
  <si>
    <t>Χ415816</t>
  </si>
  <si>
    <t>801-784-800-791-792-793-794-795</t>
  </si>
  <si>
    <t>ΠΑΥΛΙΔΟΥ</t>
  </si>
  <si>
    <t>Χ759382</t>
  </si>
  <si>
    <t>778-779-780-781-782-799-808-763-811-773-774-801-814-783</t>
  </si>
  <si>
    <t>ΠΟΛΥΖΟΣ</t>
  </si>
  <si>
    <t>ΑΙ666214</t>
  </si>
  <si>
    <t>759-758-757-760-794-791-790-785-792-793-795-788</t>
  </si>
  <si>
    <t>ΠΑΣΤΡΙΚΟΥ</t>
  </si>
  <si>
    <t>Ρ596067</t>
  </si>
  <si>
    <t>785-786-787-788-791</t>
  </si>
  <si>
    <t>ΚΩΤΣΙΑ</t>
  </si>
  <si>
    <t>ΓΕΩΡΓΙΑ ΕΛΙΣΑΒΕΤ</t>
  </si>
  <si>
    <t>ΑΝ319365</t>
  </si>
  <si>
    <t>ΠΑΝΙΔΟΥ</t>
  </si>
  <si>
    <t>ΜΑΡΙΝΟΣ</t>
  </si>
  <si>
    <t>ΑΖ534507</t>
  </si>
  <si>
    <t>796-793-785-760-786-787-788-789-759-758-757-764-765-790-792-794-795-752-768-769-770-778-779-780-781-775-776-777</t>
  </si>
  <si>
    <t>ΨΥΛΛΑ</t>
  </si>
  <si>
    <t>ΑΙ627109</t>
  </si>
  <si>
    <t>757-758-759-760-764-765-786-787-788-789-790-791-792-793-794</t>
  </si>
  <si>
    <t>ΑΙ776008</t>
  </si>
  <si>
    <t>696,3</t>
  </si>
  <si>
    <t>846,3</t>
  </si>
  <si>
    <t>814-751-752-753-754-755-756-757-758-759-760-761-762-763-764-765-766-767-768-769-770-771-772-773-774-775-776-777-778-779-780-781-782-783-784-785-786-787-788-789-790-791-792-793-794-795-796-797-798-799-800-801-802-803-804-805-806-807-808-809-810-811-812-813</t>
  </si>
  <si>
    <t>ΑΕ597213</t>
  </si>
  <si>
    <t>792-757-758-759-760-764-765-786-787-788-789-790-791-793-785-794-795-796</t>
  </si>
  <si>
    <t>ΚΑΡΑΤΖΑ</t>
  </si>
  <si>
    <t>ΑΖ678045</t>
  </si>
  <si>
    <t>ΒΛΑΧΑΚΗ</t>
  </si>
  <si>
    <t>Χ293066</t>
  </si>
  <si>
    <t>755-756-754-753-772-751-752</t>
  </si>
  <si>
    <t>ΚΙΓΜΑΛΗ</t>
  </si>
  <si>
    <t>ΕΥΛΑΛΙΑ</t>
  </si>
  <si>
    <t>Χ640640</t>
  </si>
  <si>
    <t>815,1</t>
  </si>
  <si>
    <t>845,1</t>
  </si>
  <si>
    <t>757-758-759-760-785-786-787-788-789-790-791-793-792-794-795-796-764-765</t>
  </si>
  <si>
    <t>ΚΕΡΑΜΑΡΗ</t>
  </si>
  <si>
    <t>ΖΗΝΟΒΙΑ</t>
  </si>
  <si>
    <t>ΑΙ711807</t>
  </si>
  <si>
    <t>780-781-782-779-778-814-774-773-801-796-793-794-795-792-791-764-765-790-789-787-788-786-785-760-759-758-757-783-784-802-803-805-777-776-775-772-770-769-768-813-751-752-753-754-755-756-799-811-808-807-810-798-797-812-804-762-763-766-767</t>
  </si>
  <si>
    <t>ΑΕ572417</t>
  </si>
  <si>
    <t>760-792-757-764-759-761-786-791-790-787</t>
  </si>
  <si>
    <t>ΜΙΜΜΗ</t>
  </si>
  <si>
    <t>Φ876771</t>
  </si>
  <si>
    <t>797-794-786-787-757-796-759-781-782-764-758-793-791-788-795-789-785-790-792-779-778-780-760</t>
  </si>
  <si>
    <t>ΓΕΩΡΓΟΛΙΟΥ</t>
  </si>
  <si>
    <t>Μ846758</t>
  </si>
  <si>
    <t>751-752-753-754-755-756-757-758-759-760-761-762-763-764-765-766-767-768-769-770-771-772-773-774-775-776-777-778-779-780-781-782-783-784-785-786-787-788-789-790-791-792-793-794-795-796-797-798-799-800-801-802-803-804-805-806-807-808-809-810-811-812-813-814-937-936</t>
  </si>
  <si>
    <t>ΜΠΑΚΑΛΑΚΗ</t>
  </si>
  <si>
    <t>ΑΒ047702</t>
  </si>
  <si>
    <t>ΜΥΓΙΑΚΗ</t>
  </si>
  <si>
    <t>ΑΡΙΣΤΕΑ</t>
  </si>
  <si>
    <t>ΑΗ473105</t>
  </si>
  <si>
    <t>777-776-775-802-803-757-758-759-760-764-765-778-779-780-781-782-772-785-786-787-788-789-790-791-792-793-794-795-796-753-754-755-756</t>
  </si>
  <si>
    <t>ΚΑΡΑΓΚΙΟΖΑ</t>
  </si>
  <si>
    <t>ΑΗ334378</t>
  </si>
  <si>
    <t>808-783-784-799-798-797-809-811-813-814-800-801-807-778-779-780-781-782-804-805-762-763-766-767-768-769-770-773-774-772-771-753-754-755-756-751-752-810-775-776-777-785-786-787-788-789-790-791-792-793-794-795-796-812-757-758-759-760-761-764-765-802-803-806</t>
  </si>
  <si>
    <t>ΑΛΕΞΑΝΔΡΑΚΗ</t>
  </si>
  <si>
    <t>Ρ593186</t>
  </si>
  <si>
    <t>758-759-760-761-757-785-786-787-788-789-790-791-792-793-794-795-796</t>
  </si>
  <si>
    <t>ΑΖ718565</t>
  </si>
  <si>
    <t>755-756-754-805-794-795-758-757-759-786-787-788-789-790-791-792-793-796-785-760-797-798-778-779-780-781-782-814-813-784-801-811-775-776-777-802-803-807-808-783-799-771-752-800-770-763-773-774-762-753-772-806-810-812</t>
  </si>
  <si>
    <t>ΒΑΛΑΛΑΣ</t>
  </si>
  <si>
    <t>ΑΖ429765</t>
  </si>
  <si>
    <t>839,3</t>
  </si>
  <si>
    <t>804-751-752-753-754-755-756-757-758-759-760-761-810-812-764-765-768-769-770-778-779-780-781-782-814-775-776-777-773-772-785-771-801-803-805-806-807-808-809-811-813-762-763-766-767-783-784-786-787-774-788-789-790-791-792-793-794-795-796-797-798-799-800-802</t>
  </si>
  <si>
    <t>ΚΑΤΣΙΚΕΡΟΥ</t>
  </si>
  <si>
    <t>Χ288017</t>
  </si>
  <si>
    <t>786-787-789-788-794-795-796-791-790-792-793-758-757-759-760-764-765-785</t>
  </si>
  <si>
    <t xml:space="preserve">ΤΣΟΡΜΠΑΤΣΙΔΟΥ </t>
  </si>
  <si>
    <t xml:space="preserve">ΟΛΓΑ </t>
  </si>
  <si>
    <t xml:space="preserve">ΘΕΟΔΩΡΟΣ </t>
  </si>
  <si>
    <t>ΑΗ418960</t>
  </si>
  <si>
    <t>767-766-783-782-781-780-779-778-814-937-794-796-787-786-773-774-764-759-788</t>
  </si>
  <si>
    <t>ΝΤΙΚΟΥΔΗ</t>
  </si>
  <si>
    <t>ΡΟΥΣΣΑ</t>
  </si>
  <si>
    <t>ΑΗ366941</t>
  </si>
  <si>
    <t>ΕΓΓΛΕΖΟΥ</t>
  </si>
  <si>
    <t>ΑΗ074727</t>
  </si>
  <si>
    <t>837,1</t>
  </si>
  <si>
    <t>ΖΑΜΠΑΤΗ</t>
  </si>
  <si>
    <t>ΑΑ040151</t>
  </si>
  <si>
    <t>794-796-759-757-760-764-765-785-786-787-788-789-790-791-792-793-795</t>
  </si>
  <si>
    <t>ΤΖΟΥΡΑΜΑΝΗ</t>
  </si>
  <si>
    <t>ΑΕ221780</t>
  </si>
  <si>
    <t>755-756-754</t>
  </si>
  <si>
    <t>ΧΑΡΑΛΑΜΠΙΑ</t>
  </si>
  <si>
    <t>Χ330004</t>
  </si>
  <si>
    <t>770-757-758-759-760-761-764-765-785-786-787-788-789-790-791-792-793-794-795-796-768-769-772</t>
  </si>
  <si>
    <t>Χ592948</t>
  </si>
  <si>
    <t>901-902-903-904-768-769-770-916-917-918-919-920-921-922-755-758-760-761-764-765-785-786-787-788-789-790-791-792-793-794-795-796</t>
  </si>
  <si>
    <t>ΜΙΧΑΗΛΙΔΗΣ</t>
  </si>
  <si>
    <t>Χ808833</t>
  </si>
  <si>
    <t>756-753-754-755-778-779-780-781-782-757-758-759-760-761-764-765-785-786-787-788-789-790-791-792-793-794-795-796-814-768-769-770-805-803-802-801-771-772-773-774-751-752-762-763-783-784-799-800-807-808-809-811-813-766-767-775-776-777-797-798-810-812</t>
  </si>
  <si>
    <t>ΡΑΠΕΛΛΑ</t>
  </si>
  <si>
    <t>Χ593819</t>
  </si>
  <si>
    <t>834,9</t>
  </si>
  <si>
    <t>792-785-786-787-789-793-759-758-788-790-791-760-796-794-795-757-764-765-761</t>
  </si>
  <si>
    <t>ΠΟΛΥΧΡΟΝΙΑΔΟΥ</t>
  </si>
  <si>
    <t>ΠΑΝΑΓΙΩΤΗΣ-ΛΑΜΠΡΟΣ</t>
  </si>
  <si>
    <t>ΑΜ002765</t>
  </si>
  <si>
    <t>790-791-792-793-794-795-796-785-786-787-788-789-757-758-759-760</t>
  </si>
  <si>
    <t>ΣΦΥΡΗ</t>
  </si>
  <si>
    <t>ΑΜ615181</t>
  </si>
  <si>
    <t>683,1</t>
  </si>
  <si>
    <t>833,1</t>
  </si>
  <si>
    <t>ΠΛΑΤΑΡΑ</t>
  </si>
  <si>
    <t>ΑΖ010571</t>
  </si>
  <si>
    <t>764-765-791-794-795-786-787-788-789-790-757-758-759-760-792-793-785-796</t>
  </si>
  <si>
    <t>ΓΚΑΒΛΙΑΡΟΥΔΗ</t>
  </si>
  <si>
    <t>MΑΡΙA</t>
  </si>
  <si>
    <t>ΑΗ696426</t>
  </si>
  <si>
    <t>ΝΙΞΙΝΑ</t>
  </si>
  <si>
    <t>ΑΙ255152</t>
  </si>
  <si>
    <t>757-758-759-760-764-765-786-787-788-789-790-791-792-793-794-795-796-785</t>
  </si>
  <si>
    <t>Σ367565</t>
  </si>
  <si>
    <t>ΕΛΕΥΘΕΡΙΑ-ΠΑΤΡΟΥΛΑ</t>
  </si>
  <si>
    <t>ΑΗ577050</t>
  </si>
  <si>
    <t>831,6</t>
  </si>
  <si>
    <t>757-758-759</t>
  </si>
  <si>
    <t>ΚΟΥΛΟΥΡΗ</t>
  </si>
  <si>
    <t>ΑΖ703970</t>
  </si>
  <si>
    <t>753-756-755-754-764-757-758-794-795-785-759-765-772-786-787-788-789-791-790-793</t>
  </si>
  <si>
    <t>ΑΖ491428</t>
  </si>
  <si>
    <t>764-765-757-760-813-768-769-770-758-759</t>
  </si>
  <si>
    <t>ΓΑΣΠΑΡΗ</t>
  </si>
  <si>
    <t>XΡΙΣΤΙΝΑ</t>
  </si>
  <si>
    <t>ΑΒ282131</t>
  </si>
  <si>
    <t>830,8</t>
  </si>
  <si>
    <t>794-795-796-761-787-786-788-789-785-790-791-793-792-758-759-757-760-764-765</t>
  </si>
  <si>
    <t>ΓΙΑΝΝΟΥΧΟΥ</t>
  </si>
  <si>
    <t>ΑΕ322122</t>
  </si>
  <si>
    <t>761-785-789-786-787-790-788-796-794-795-793-791-792-758-759-757-760-765-764-778-779-780-781-782-801-755-756-754-813-784</t>
  </si>
  <si>
    <t>ΑΛΒΑΝΟΥ</t>
  </si>
  <si>
    <t>ΣΟΦΙΑ-ΑΝΝΗΣΙΑ</t>
  </si>
  <si>
    <t>Φ323559</t>
  </si>
  <si>
    <t>809-763</t>
  </si>
  <si>
    <t>Χ747283</t>
  </si>
  <si>
    <t>ΜΕΛΑΜΠΙΑΝΑΚΗ</t>
  </si>
  <si>
    <t>ΑΑ374571</t>
  </si>
  <si>
    <t>776-777-778-779-780-781-782-907-908-909-910-911-912</t>
  </si>
  <si>
    <t>ΠΟΛΥΜΕΡΟΥ</t>
  </si>
  <si>
    <t>ΑΗ601328</t>
  </si>
  <si>
    <t>757-758-759-760-761-764-765-785-786-787-788-789-790-791-792-793-794-795-796-813</t>
  </si>
  <si>
    <t>ΓΙΑΝΝΑΚΟΠΟΥΛΟΥ</t>
  </si>
  <si>
    <t>ΑΙ203078</t>
  </si>
  <si>
    <t>754-756</t>
  </si>
  <si>
    <t>ΜΙΧΕΛΟΓΚΩΝΑ</t>
  </si>
  <si>
    <t>ΑΕ059581</t>
  </si>
  <si>
    <t>757-758-751-752-753-754-755-768-769-770-771-772-773-774-785-786-787-788-789-790-791-792-793-794-795-796-776-777-778-779-780-781-782-783-784-797-798-799-802-801-803-804-805-806-807-808-809-810-811-812-813-814</t>
  </si>
  <si>
    <t>ΔΟΓΑΝΗ</t>
  </si>
  <si>
    <t>ΑΖ545438</t>
  </si>
  <si>
    <t>827,2</t>
  </si>
  <si>
    <t>764-792-765-757-760-758-759-793-789-785-788-786-787-790-794-795-791-796-770-768-769-756-754-755-753-772-752-805-798-751-813-771-797-784-801-812-806-780-781-779-778-782-814-762-773-774-808-807-799-800-776-775-777-802-803-811-810-804-809-763-783-767-766</t>
  </si>
  <si>
    <t>ΚΟΠΤΕΡΟΠΟΥΛΟΥ</t>
  </si>
  <si>
    <t>ΑΕ167769</t>
  </si>
  <si>
    <t>795,3</t>
  </si>
  <si>
    <t>825,3</t>
  </si>
  <si>
    <t>ΝΙΚΟΛΟΠΟΥΛΟΣ</t>
  </si>
  <si>
    <t>ΑΡΙΣΤ</t>
  </si>
  <si>
    <t>ΓΕΩ</t>
  </si>
  <si>
    <t>ΑΗ203913</t>
  </si>
  <si>
    <t>ΞΑΝΘΗ</t>
  </si>
  <si>
    <t>Ξ868176</t>
  </si>
  <si>
    <t>778-779-780-781-782-783-784-801-799-800-808-814-773-774-757-758-768-769</t>
  </si>
  <si>
    <t>ΑΖ400450</t>
  </si>
  <si>
    <t>807-809-763-781-782-801-757-756-764-759-768-802-786-787-794-796-804-778-779-780-783-806-812-810-803-814-805-808-811-813-797-798-775-776-777-769-770-773-774-771-762-758-760-761-765-785-788-789-790-791-792-795-751-752-753-754-755-799-784-800-767-772-766-937-936</t>
  </si>
  <si>
    <t>ΑΙ405122</t>
  </si>
  <si>
    <t>766-778-779-780-781-782</t>
  </si>
  <si>
    <t>ΡΑΜΠΟΥ</t>
  </si>
  <si>
    <t>ΑΚ418843</t>
  </si>
  <si>
    <t>801-784-813-779-780-781-782-778-794-795-796-757-758-759-760-761-765-764-792-793-786-787-788-789-790-791-814-768-769-770-800-771-773-774-783-762-763-752-751-753-754-755-756-775-776-777-766-767-799</t>
  </si>
  <si>
    <t>ΒΑΡΒΑΡΗΓΟΥ</t>
  </si>
  <si>
    <t>ΛΟΥΚΑΣ</t>
  </si>
  <si>
    <t>Ρ659078</t>
  </si>
  <si>
    <t>757-758-759-760-761-764-765-785-786-787-788-789-790-791-792-793-794-795-796-768-769-770-781-782-797-806</t>
  </si>
  <si>
    <t>ΔΙΑΜΑΝΤΟΠΟΥΛΟΥ</t>
  </si>
  <si>
    <t>ΑΚ337976</t>
  </si>
  <si>
    <t>754-756-755-753-805-798-797-772-752</t>
  </si>
  <si>
    <t>ΤΣΑΒΑΛΑ</t>
  </si>
  <si>
    <t>Ρ091831</t>
  </si>
  <si>
    <t>764-765-785-786-787-788-789-790-791-792-793-794</t>
  </si>
  <si>
    <t>ΝΤΑΛΛΑ</t>
  </si>
  <si>
    <t>ΜΙΡΕΛΑ</t>
  </si>
  <si>
    <t>ΟΡΕΣΤΗΣ</t>
  </si>
  <si>
    <t>ΑΙ651970</t>
  </si>
  <si>
    <t>794-796-757-760-765-786-784-787-789-790-792-793-795-764</t>
  </si>
  <si>
    <t>ΤΣΟΥΣΗ</t>
  </si>
  <si>
    <t>ΝΙΚΟΛΙΑ</t>
  </si>
  <si>
    <t>Χ839930</t>
  </si>
  <si>
    <t>772-754-755-756-805-753-752-751-798-775-776-777-801-757-758-759-760-764-765-785-786-787-788-789-813-790-791-792-793-794-795-796-778-779-780-781-782-802-803-768-769-770-783-800-784-773-774-797-806-810-804-799-807-808-809-811-812-814-762-763-766-767-771-936</t>
  </si>
  <si>
    <t>ΜΑΤΙΝΟΠΟΥΛΟΥ ΧΑΡΑΛΑΜΠΙΔΗ</t>
  </si>
  <si>
    <t>ΑΖ518565</t>
  </si>
  <si>
    <t>791-789-793-792-790-794-795-796-757-758-759-760-764-785-786-787-788</t>
  </si>
  <si>
    <t>ΛΑΣΠΑ</t>
  </si>
  <si>
    <t>ΙΡΕΝΕΟΣ</t>
  </si>
  <si>
    <t>ΑΖ795631</t>
  </si>
  <si>
    <t>764-785-786-787-788-790-789-791-792-793-794-795-796-757-758-759-760-761-762-768-769-770-772-773-774-775-776-777-778-779-780-781-782-783-784-751-752-753-754-755-756-805-813-814-800-801</t>
  </si>
  <si>
    <t>ΑΑ403273</t>
  </si>
  <si>
    <t>799-783-807-809-814-811-763-778-779-780-781-782-937-767</t>
  </si>
  <si>
    <t xml:space="preserve">ΚΑΝΤΑΡΙΔΗΣ </t>
  </si>
  <si>
    <t xml:space="preserve">ΙΩΑΝΝΗΣ </t>
  </si>
  <si>
    <t>Χ954322</t>
  </si>
  <si>
    <t>779-781-782-778-780-773-801-774-763-799-800-783-784-808-811-814-762-937-807-809-813-766-767-768-769-770-771-757-805-772-751-752-753-754-755-756-758-759-760-761-764-765-775-776-777-785-786-787-788-789-790-791-792-793-794-795-796-797-798-802-803-804-812-806-936</t>
  </si>
  <si>
    <t>ΣΥΡΙΓΟΥ</t>
  </si>
  <si>
    <t>ΝΙΚΟΛΙΝΑ</t>
  </si>
  <si>
    <t>ΖΑΝΝΗΣ</t>
  </si>
  <si>
    <t>Σ677306</t>
  </si>
  <si>
    <t>786-787-794-796-757-759-764-768-756-802-801-781-782</t>
  </si>
  <si>
    <t>ΠΑΠΑΔΗΜΗΤΡΑΚΗ</t>
  </si>
  <si>
    <t>ΑΙ439622</t>
  </si>
  <si>
    <t>775-776-777-794-796-761-759-764-760-765-786-787-788-789-790-791-792-793-813-802-803-768-769-770</t>
  </si>
  <si>
    <t>ΚΑΛΛΙΑΝΟΥ</t>
  </si>
  <si>
    <t>ΑΒ327641</t>
  </si>
  <si>
    <t>794-796-786-787-759-757-764-758-760-765-785-788-789-790-791-792-793-795-768-769-770</t>
  </si>
  <si>
    <t>ΕΞΑΚΟΥΣΤΗ</t>
  </si>
  <si>
    <t>ΑΖ723723</t>
  </si>
  <si>
    <t>751-752-753-754-755-756-757-758-759-760-764-765-768-769-770-772-781-782-786-787-788-789-790-791-792-793-794-795-796-801-805</t>
  </si>
  <si>
    <t>ΚΑΡΑΜΗΤΣΟΥ-ΧΑΤΖΗΓΕΩΡΓΙΟΥ</t>
  </si>
  <si>
    <t>ΑΒ683743</t>
  </si>
  <si>
    <t>780-779-778-781-782-799-811-783-814</t>
  </si>
  <si>
    <t>ΚΑΠΕΛΛΑ</t>
  </si>
  <si>
    <t>ΣΕΡΑΦΕΙΜ</t>
  </si>
  <si>
    <t>ΑΒ102767</t>
  </si>
  <si>
    <t>801-770-757-794-793-786-787-788-791-790-795-789-764-759-758-765-768-769-760-782-781-778-779-780-811-763-784-813-800-756-755-754-799-807-809-783-773-774-771-767-752-805-808-796-762-751-753-766-814-792-785-772-797-798-804-936-812-810-806-775-776-777-803-802</t>
  </si>
  <si>
    <t>ΠΑΝΤΕΛΙΑ</t>
  </si>
  <si>
    <t>ΑΙ417667</t>
  </si>
  <si>
    <t>824,2</t>
  </si>
  <si>
    <t>789-790-787-786-792-757-793-791-785-794-795-796-760-761-764-758-766</t>
  </si>
  <si>
    <t>ΓΚΑΝΤΑΙΔΟΥ</t>
  </si>
  <si>
    <t xml:space="preserve">ΕΒΔΑΛΙΝΑ </t>
  </si>
  <si>
    <t>ΑΗ339936</t>
  </si>
  <si>
    <t>778-782-781-779-780-773-774-801-799-811-757-758-759-760-785-786-787-788-789-790-791-792-793-794-795-796-800-775-776-777-814-763-764-765-768-770-769-808-807-756-755-754-809</t>
  </si>
  <si>
    <t>ΚΑΛΟΠΗΤΑ</t>
  </si>
  <si>
    <t>Ξ713954</t>
  </si>
  <si>
    <t>785-788-791-813-784-801-814-773-774-757-779-780-781-778-782</t>
  </si>
  <si>
    <t>ΡΟΔΑΡΟΥ</t>
  </si>
  <si>
    <t>ΑΗ052581</t>
  </si>
  <si>
    <t>792-765-764-790-789-788-787-791</t>
  </si>
  <si>
    <t>ΧΑΡΑΒΙΤΣΙΔΟΥ</t>
  </si>
  <si>
    <t>ΑΑ247849</t>
  </si>
  <si>
    <t>781-778-782-780-779-797</t>
  </si>
  <si>
    <t>ΓΙΑΝΝΑΚΗΣ</t>
  </si>
  <si>
    <t>ΑΖ523806</t>
  </si>
  <si>
    <t>783-800-773-774-784-769-770-751-752-753-754-755-756-772-764-765-757-759-758-775-776-777-778-779-780-781-782-786-785-787-788-789-790-792-796</t>
  </si>
  <si>
    <t>Ν224562</t>
  </si>
  <si>
    <t>ΤΡΟΥΣΣΑ</t>
  </si>
  <si>
    <t>Χ093768</t>
  </si>
  <si>
    <t>794-786-787-764-759-791</t>
  </si>
  <si>
    <t>ΝΤΟΝΤΗ</t>
  </si>
  <si>
    <t>ΑΚ337975</t>
  </si>
  <si>
    <t>ΑΒ531705</t>
  </si>
  <si>
    <t>757-759-764-786-787-794-796-789-758-760-761-765-785-788-790-791-792-793-795</t>
  </si>
  <si>
    <t>ΠΑΝΟΥΡΓΙΑ</t>
  </si>
  <si>
    <t>ΜΑΡΙΑΛΕΝΑ</t>
  </si>
  <si>
    <t>ΑΜ484189</t>
  </si>
  <si>
    <t>813-771-784-801-770-769-768-757-758-759-760-761-764-765-785-786-787-788-789-790-791-792-793-794-795-796-778-779-780-781-782-773-774-808-754-755-756-753-762-800-799-811-752-751-772-805-763-783-807-809-767-766-798-806-812-797-775-776-777-802-803-804-810</t>
  </si>
  <si>
    <t>ΚΩΣΤΟΓΛΟΥ</t>
  </si>
  <si>
    <t>ΑΝΤΩΝΙΑ ΔΑΝΑΗ</t>
  </si>
  <si>
    <t xml:space="preserve">ΓΕΩΡΓΙΟΣ </t>
  </si>
  <si>
    <t>ΑΒ635937</t>
  </si>
  <si>
    <t>787,6</t>
  </si>
  <si>
    <t>817,6</t>
  </si>
  <si>
    <t>785-786-787-788-789-790-791-792-793-795-796-757-758-759-760-761-764-765</t>
  </si>
  <si>
    <t>ΠΑΠΑΝΤΖΙΚΟΥ</t>
  </si>
  <si>
    <t>ΧΡΗΣΤΙΝΑ</t>
  </si>
  <si>
    <t>ΑΖ744252</t>
  </si>
  <si>
    <t>817,3</t>
  </si>
  <si>
    <t>754-756-755-753-778-779-781-782-794-784-795-785-786-787-788-789-791-790-792-793-765-757-758-797-759-760-764</t>
  </si>
  <si>
    <t>ΚΑΛΟΓΙΑΝΝΑΚΗ</t>
  </si>
  <si>
    <t>ΑΖ462055</t>
  </si>
  <si>
    <t>777-776-775-802-803-757-758-759-760-761-751-752-753-754-755-756-764-765-772-785-786-787-788-789-790-791-792-793-794-795-796-801-805-816</t>
  </si>
  <si>
    <t>ΧΑΛΑ</t>
  </si>
  <si>
    <t>ΑΑ318161</t>
  </si>
  <si>
    <t>816,5</t>
  </si>
  <si>
    <t>756-754-755-753-761-794-796-795-793-792-791-790-789-788-787-786-785-764-765-760-759-758-757-772-752-751-768-769-770-782-781-780-779-778-773-774-801-784-813-800-777-776-775-803-802-805-814</t>
  </si>
  <si>
    <t>ΑΣΗΜΟΥΛΑ</t>
  </si>
  <si>
    <t>ΑΚ333205</t>
  </si>
  <si>
    <t>753-754-755-756-771-757-758-759-760-761-764-751-752-785-786-787-788-789-790-791-792-793-794-795-796-772-778-779-780-781-782-801</t>
  </si>
  <si>
    <t>ΟΡΓΑΝΤΖΗΣ</t>
  </si>
  <si>
    <t>ΑΙ683848</t>
  </si>
  <si>
    <t>889-888-891-882-890-757-758-759-760-761</t>
  </si>
  <si>
    <t>ΚΡΗΤΙΚΙΔΗ</t>
  </si>
  <si>
    <t>ΑΜ172279</t>
  </si>
  <si>
    <t>757-759-760-758-764-786-785-792</t>
  </si>
  <si>
    <t>ΚΟΣΜΙΔΗ</t>
  </si>
  <si>
    <t>ΠΡΟΔΡΟΜΟΣ</t>
  </si>
  <si>
    <t>ΑΚ787379</t>
  </si>
  <si>
    <t>786-787-796-794-764-757-759-791-785</t>
  </si>
  <si>
    <t>ΚΑΡΑΓΙΑΝΝΑΚΗ</t>
  </si>
  <si>
    <t>Π236883</t>
  </si>
  <si>
    <t>794-801-764-765-768-769-770-772-773-774-785-786-787-788-789-790-791-792-793-759-760-757-751-752-753-754-755-756-758-775-776-777-778-779-780-781-782-783-784-795-796-800-802-803-813-814</t>
  </si>
  <si>
    <t>ΑΛΒΕΡΤΗΣ ΓΚΙΝΙΤΣΟΥΔΗΣ</t>
  </si>
  <si>
    <t>ΑΚ123216</t>
  </si>
  <si>
    <t>792-796-795-794-757-758-759-790-791-786-787-788-789-793-760-764-765-785</t>
  </si>
  <si>
    <t>ΚΟΥΚΟΥΡΑΒΑ</t>
  </si>
  <si>
    <t>ΑΑ070168</t>
  </si>
  <si>
    <t>812,9</t>
  </si>
  <si>
    <t>ΚΑΚΑΒΗ</t>
  </si>
  <si>
    <t>ΑΑ013011</t>
  </si>
  <si>
    <t>811,8</t>
  </si>
  <si>
    <t>792-769-787-793-788-789-791-786-760-754-755-756</t>
  </si>
  <si>
    <t>ΝΤΕΛΗΓΙΩΡΓΗ</t>
  </si>
  <si>
    <t>ΑΗ503760</t>
  </si>
  <si>
    <t>794-795-796-757-787-788-785-793-792-791-790-789-786</t>
  </si>
  <si>
    <t>Ρ183349</t>
  </si>
  <si>
    <t>781-778-780-779-782-814</t>
  </si>
  <si>
    <t>ΠΙΣΤΑΛΗ</t>
  </si>
  <si>
    <t>ΧΡΥΣΗ-ΕΥΤΥΧΙΑ</t>
  </si>
  <si>
    <t>Χ028484</t>
  </si>
  <si>
    <t>787-786-791-793-761-792-789-790-788-785-757-760-794-795-759-764-765</t>
  </si>
  <si>
    <t>ΓΕΩΡΓΟΠΟΥΛΟΣ</t>
  </si>
  <si>
    <t>ΑΙ519369</t>
  </si>
  <si>
    <t>810-764-795-794-787-786-785-788-790-793-792-791-789-758-757-759-760-796-765-755-756-754-805-797-798-799-800-801-802-803-804-806-807-808-809-811-812-813-814-751-752-753-761-762-763-766-767-768-769-770-771-772-773-774-775-776-777-779-780-781-782-783-784</t>
  </si>
  <si>
    <t>ΡΙΖΟΣ</t>
  </si>
  <si>
    <t>Φ437791</t>
  </si>
  <si>
    <t>751-752-753-754-755-756-757-758-759-760-764-765-768-769-770-772-773-774-775-776-777-778-779-780-781-782-783-784-785-786-787-788-789-790-791-792-793-794-795-796-800-801-802-803-813-814-936-937</t>
  </si>
  <si>
    <t>ΤΣΙΚΟΥ</t>
  </si>
  <si>
    <t>ΑΗ221377</t>
  </si>
  <si>
    <t>751-752-753-754-755-756-757-758-759-760-761-764-765-771-772-773-775-776-777-778-779-780-781-782-783-784-785-786-787-788-789-790-791-792-793-794-795-796-797-800-801-802-803-805-806-812-813</t>
  </si>
  <si>
    <t>ΜΠΑΧΑΡΗ</t>
  </si>
  <si>
    <t>ΑΖ420667</t>
  </si>
  <si>
    <t>807-809-768-802-781-782-801-763-804-756</t>
  </si>
  <si>
    <t xml:space="preserve"> 763- 804- 807- 809</t>
  </si>
  <si>
    <t>ΤΣΟΠΟΥΡΙΔΟΥ</t>
  </si>
  <si>
    <t>Ξ833020</t>
  </si>
  <si>
    <t>796-785-786-787-788-789-790-791-792-793-795-757-758-759</t>
  </si>
  <si>
    <t>ΣΑΛΑΣΙΔΗ</t>
  </si>
  <si>
    <t>ΑΑ037182</t>
  </si>
  <si>
    <t>761-794-795-796-788-789-787-786-793-785-790-791-757-759-758-792-901-902-903-904-916-917-918-919-920-921-922</t>
  </si>
  <si>
    <t>ΣΟΥΛΤΑΤΟΥ</t>
  </si>
  <si>
    <t>ΜΑΡΙΑ ΑΓΓΕΛΙΚΗ</t>
  </si>
  <si>
    <t>ΑΝ456483</t>
  </si>
  <si>
    <t>776-777-803-802-775-794-801-786-787-796</t>
  </si>
  <si>
    <t>ΚΩΝΣΤΑΝΤΙΝΙΔΗ</t>
  </si>
  <si>
    <t>Σ358747</t>
  </si>
  <si>
    <t>754-755-756-753</t>
  </si>
  <si>
    <t>ΚΟΛΟΒΟΥ</t>
  </si>
  <si>
    <t>ΑΚ950424</t>
  </si>
  <si>
    <t>805-751-752-754-755-756-757-758-759-760-764-785-786-787-788-789-790-791-792-793-794-795-796-801</t>
  </si>
  <si>
    <t>ΑΓΓΕΛΕΤΟΠΟΥΛΟΥ</t>
  </si>
  <si>
    <t>ΑΗ701220</t>
  </si>
  <si>
    <t>754-755-756-786-794-795</t>
  </si>
  <si>
    <t>ΠΑΤΡΑΚΗ</t>
  </si>
  <si>
    <t>Φ914551</t>
  </si>
  <si>
    <t>ΓΚΟΤΖΑΘΑΝΑΣΗ</t>
  </si>
  <si>
    <t>ΑΙ171522</t>
  </si>
  <si>
    <t>807,4</t>
  </si>
  <si>
    <t>778-779-780-781-782-814</t>
  </si>
  <si>
    <t>ΤΣΑΚΩΝΑ</t>
  </si>
  <si>
    <t>ΑΚ326771</t>
  </si>
  <si>
    <t>806,3</t>
  </si>
  <si>
    <t>ΚΑΡΑΛΗ</t>
  </si>
  <si>
    <t>ΑΖ995496</t>
  </si>
  <si>
    <t>794-795-796-792-793</t>
  </si>
  <si>
    <t>ΒΛΑΜΗ</t>
  </si>
  <si>
    <t>ΑΕ937154</t>
  </si>
  <si>
    <t>655,6</t>
  </si>
  <si>
    <t>805,6</t>
  </si>
  <si>
    <t>794-796-786-787-768-759-764-757</t>
  </si>
  <si>
    <t>Τ862430</t>
  </si>
  <si>
    <t>805,5</t>
  </si>
  <si>
    <t>756-754-755-753-772-757-758-759-789-751-752-764-765-760-790-791-793-792-787-786-788-785-794-796-795-768-769-770-781-782-780-779-778-798-797</t>
  </si>
  <si>
    <t>ΜΗΤΣΙΑΚΗ</t>
  </si>
  <si>
    <t>Ρ540978</t>
  </si>
  <si>
    <t>805,2</t>
  </si>
  <si>
    <t>789-790-791-792-793-794-795-796-785-786-787-788-757-758-759-760-761</t>
  </si>
  <si>
    <t>ΑΜ886141</t>
  </si>
  <si>
    <t>778-779-780-781-782-783-784-785-786-787-788-789-790-791-792-793-794-795-796-800-801-802-803-805-809-813-814-937-775-776-777-768-769-770-771-772-773-774-759-760-761-762-763-764-765-766-767-751-752-753-754-755-756-757-758-797-798-799-804-807-806-808-810-811-812-936</t>
  </si>
  <si>
    <t>ΣΤΑΜΑΤΕΛΟΠΟΥΛΟΥ</t>
  </si>
  <si>
    <t>ΑΖ604164</t>
  </si>
  <si>
    <t>759-761-757-794-796-786-787-764-792-760-793-785-788-789-790-791-795</t>
  </si>
  <si>
    <t>Χ219846</t>
  </si>
  <si>
    <t>773,3</t>
  </si>
  <si>
    <t>803,3</t>
  </si>
  <si>
    <t>801-784-768-769-770-778-779-780</t>
  </si>
  <si>
    <t>ΠΑΠΑΣΙΚΑΣ</t>
  </si>
  <si>
    <t>ΑΘΑΝΑΣΙΟ</t>
  </si>
  <si>
    <t>Ν854207</t>
  </si>
  <si>
    <t>784-801-789</t>
  </si>
  <si>
    <t>ΝΙΚΟΛΑΙΔΗ</t>
  </si>
  <si>
    <t>ΑΖ559334</t>
  </si>
  <si>
    <t>759-760-764-794-796-757-758-765-785-786-787-788-789-790-791-792-793</t>
  </si>
  <si>
    <t>ΜΑΝΑΣΗ</t>
  </si>
  <si>
    <t>ΑΗ669601</t>
  </si>
  <si>
    <t>752,4</t>
  </si>
  <si>
    <t>802,4</t>
  </si>
  <si>
    <t>778-779-780-781-782-799-773-774-800-814-811-783-762-763-801-807-808-809-785-786-787-788-789-790-791-792-793-794-795-796-757-758-759-760-761-764-765-766-767-813-784-768-769-770-771-772-753-754-755-756-805-751-752-797-798-806-810-812-775-776-777-802-803</t>
  </si>
  <si>
    <t>ΠΑΓΩΝΗ</t>
  </si>
  <si>
    <t>Σ985902</t>
  </si>
  <si>
    <t>813-768-769-782-801</t>
  </si>
  <si>
    <t>ΑΗ080450</t>
  </si>
  <si>
    <t>761-757-792-794-795-784-793-785-786-787-788-789-790-791-758-759-760-764-765</t>
  </si>
  <si>
    <t>ΣΙΑΤΗΡΑ</t>
  </si>
  <si>
    <t>ΑΒ430836</t>
  </si>
  <si>
    <t>Σ020056</t>
  </si>
  <si>
    <t>793-791-794-787-788-796-786-758-759-761-790-789-757-792-760</t>
  </si>
  <si>
    <t>ΚΟΤΕΛΗ</t>
  </si>
  <si>
    <t>ΑΚ252985</t>
  </si>
  <si>
    <t>775-776-777-802-803-806-812-804-810-797-798-751-752-753-754-755-756-805-772-771-813-768-769-770-787-788-789-790-791-792-793-794-795-757-758-759-760-761-785-786-796-764-765-766-767-801-784-762-763-807-809-783-808-800-774-773-811-799-814-780-779-778-781-782</t>
  </si>
  <si>
    <t>ΜΠΛΑΓΚΟΥ</t>
  </si>
  <si>
    <t>Σ108615</t>
  </si>
  <si>
    <t>811-778-779-780-781-782-783-801-814</t>
  </si>
  <si>
    <t>ΤΑΝΟΠΟΥΛΟΥ</t>
  </si>
  <si>
    <t>ΑΕ211965</t>
  </si>
  <si>
    <t>778-779-780-781-782-808-773-774-814-783-811-799-763-800-801-807-809-762-784-771-813-767-766-761-760-759-757-758-794-795-796-785-786-787-788-789-790-791-792-793-764-765-770-768-769-752-753-754-755-756-805-751-772-804-797-776-777-775-803-802-812-798-810-806</t>
  </si>
  <si>
    <t>ΧΑΡΙΣΤΑ</t>
  </si>
  <si>
    <t>Φ342674</t>
  </si>
  <si>
    <t>814-778-779-780-781-782</t>
  </si>
  <si>
    <t>ΚΟΝΤΑΡΑ</t>
  </si>
  <si>
    <t>ΝΑΥΣΙΚΑ - ΑΜΑΛΙΑ</t>
  </si>
  <si>
    <t>ΑΚ395109</t>
  </si>
  <si>
    <t>755-754-756-753-752-751-798-797-801-783-775-776-777-802-803-770-769-768-778-779-780-781-782-805-811-812-806-771-760-786-787-788-789-790-791-792-794-795-796-814-757-758-759-764-765-793-761-767</t>
  </si>
  <si>
    <t>ΣΤΕΦΑΝΟΥ</t>
  </si>
  <si>
    <t>ΓΙΑΣΕΜΗ</t>
  </si>
  <si>
    <t>ΑΑ345072</t>
  </si>
  <si>
    <t>796-795-794-793-792-791-790-789-788-787-786-785-782-781-780-779</t>
  </si>
  <si>
    <t>ΣΙΑΜΠΑΛΙΩΤΗ</t>
  </si>
  <si>
    <t>ΑΛΕΞΊΑ-ΠΑΝΑΓΙΩΤΑ</t>
  </si>
  <si>
    <t>Σ626051</t>
  </si>
  <si>
    <t>798,6</t>
  </si>
  <si>
    <t>784-796</t>
  </si>
  <si>
    <t>ΚΟΥΡΗΣ</t>
  </si>
  <si>
    <t>ΣΠΥΡΙΔ</t>
  </si>
  <si>
    <t>Χ199943</t>
  </si>
  <si>
    <t>792-757-791-796-788-787-786-789-790-793-785-795-758-759-760-794</t>
  </si>
  <si>
    <t>ΑΒ461122</t>
  </si>
  <si>
    <t>763-783-778-781-782-780-779-807-809</t>
  </si>
  <si>
    <t>ΦΡΑΓΚΟΓΙΑΝΝΗ</t>
  </si>
  <si>
    <t>ΑΙ028282</t>
  </si>
  <si>
    <t>ΜΠΑΛΗΣ</t>
  </si>
  <si>
    <t>ΓΡΗΓΟΡΗΣ</t>
  </si>
  <si>
    <t>ΑΙ584936</t>
  </si>
  <si>
    <t>794-757-759-786-787-796-764-768-756-801-782-781</t>
  </si>
  <si>
    <t>ΚΛΙΑΦΑ</t>
  </si>
  <si>
    <t>ΑΜ065025</t>
  </si>
  <si>
    <t>801-800-784-805-795-794-786-787-788-791-782-781-771-758-808-790-789-754</t>
  </si>
  <si>
    <t>ΑΕ806961</t>
  </si>
  <si>
    <t>765,6</t>
  </si>
  <si>
    <t>795,6</t>
  </si>
  <si>
    <t>786-787-785-788-789-791-790-792-793-759-760-764-765-794-795-796-801-806-812-813-768-769-770</t>
  </si>
  <si>
    <t>ΦΩΣΚΟΛΟΥ</t>
  </si>
  <si>
    <t>ΛΟΡΕΝΤΣΟΣ</t>
  </si>
  <si>
    <t>ΑΜ039882</t>
  </si>
  <si>
    <t>787-794-786-785-788-789-790-791-792-793-795-757-758-759-760-756-754-755-801</t>
  </si>
  <si>
    <t>ΦΑΡΟΥΠΟΥ</t>
  </si>
  <si>
    <t>ΑΗ517538</t>
  </si>
  <si>
    <t>794-786-787-764-759-757-796</t>
  </si>
  <si>
    <t>ΣΜΥΡΝΑΙΟΥ</t>
  </si>
  <si>
    <t>ΑΖ794700</t>
  </si>
  <si>
    <t>762-800-801-802-778-779-780-781-782-783-803-814-937-797-798</t>
  </si>
  <si>
    <t>ΑΗ516802</t>
  </si>
  <si>
    <t>788-794-795-796-791-785-786-787-789-790-792-793-757-758-759-761</t>
  </si>
  <si>
    <t>ΣΕΙΤΑΝΙΔΟΥ</t>
  </si>
  <si>
    <t>ΑΖ938402</t>
  </si>
  <si>
    <t>810-764-765-778-779-780-781-782-801-804-936-812</t>
  </si>
  <si>
    <t>ΔΗΜΚΑΡΟΥ</t>
  </si>
  <si>
    <t>Χ771603</t>
  </si>
  <si>
    <t>644,6</t>
  </si>
  <si>
    <t>794,6</t>
  </si>
  <si>
    <t>941-774-773-800-814-784-805-813-925-926-783-801-907-913-914-928-929-933-934-751-752-753-754-755-756-768-769-770-772-775-776-777-802-803-898-899-900-923-924-927-931-932-935-938-936-940-762-763-766-767-771-797-798-799-807-808-809-810-811-812-804-905-906-915-778-779-780-781-782-909-910-911-912-908-939-757-758-759-760-764-765-785-786-787-788-789-790-791-792-793-794-795-796-806-901-902-903-904-916-917-918-919-920-921-922-930</t>
  </si>
  <si>
    <t>ΜΠΙΛΗ</t>
  </si>
  <si>
    <t>Τ394677</t>
  </si>
  <si>
    <t>794,5</t>
  </si>
  <si>
    <t>801-811-784-813-814-809-808-807-804-802-803-800-799-797-806-812-810-783-778-779-780-781-782-775-776-777-774-773-767-762-763-756-757-758-759-760-761</t>
  </si>
  <si>
    <t>ΣΠΥΡΙΔΩΝΙΔΟΥ</t>
  </si>
  <si>
    <t>Χ818045</t>
  </si>
  <si>
    <t>ΑΝΤΩΝΙΟΣ ΠΑΥΛΟΣ</t>
  </si>
  <si>
    <t>ΑΖ957918</t>
  </si>
  <si>
    <t>757-759-786-794-796-781-782-768-761-763-764</t>
  </si>
  <si>
    <t>ΝΙΚΟΛΑΚΗ</t>
  </si>
  <si>
    <t>Π789439</t>
  </si>
  <si>
    <t>ΒΑΜΒΑΔΛΙΩΤΟΥ</t>
  </si>
  <si>
    <t>ΜΥΡΣΙΝΗ</t>
  </si>
  <si>
    <t>Χ419975</t>
  </si>
  <si>
    <t>ΜΑΝΙΔΑΚΗ</t>
  </si>
  <si>
    <t>ΑΕ196955</t>
  </si>
  <si>
    <t>778-779-780-781-782-777-776</t>
  </si>
  <si>
    <t>ΒΟΥΛΓΑΡΗ</t>
  </si>
  <si>
    <t>ΑΖ710870</t>
  </si>
  <si>
    <t>756-754-753-755</t>
  </si>
  <si>
    <t>ΜΠΑΦΑΛΟΥΚΟΥ</t>
  </si>
  <si>
    <t>ΑΚ763738</t>
  </si>
  <si>
    <t>641,3</t>
  </si>
  <si>
    <t>791,3</t>
  </si>
  <si>
    <t>806-757-758-759-760-761</t>
  </si>
  <si>
    <t>ΣΤΕΡΓΙΟΥΛΑ</t>
  </si>
  <si>
    <t>ΑΚ161819</t>
  </si>
  <si>
    <t>760-759-757-758-785-790-796-794-795-789-788-787-786-791-792-793-801</t>
  </si>
  <si>
    <t>ΧΑΡΕΛΟΥ</t>
  </si>
  <si>
    <t>ΑΙ467380</t>
  </si>
  <si>
    <t>775-776-777-802-803-757-758-759-760-764-765-785-786-787-790-791-792-793-794-795-796</t>
  </si>
  <si>
    <t>ΑΗ624642</t>
  </si>
  <si>
    <t>794-796-759-761-764-765-760-786-787-785-788-789-790-791-792-793-795-757-758-784</t>
  </si>
  <si>
    <t>ΑΕ377270</t>
  </si>
  <si>
    <t>811-778-779-780-781-782-783-763-799-807</t>
  </si>
  <si>
    <t>ΤΥΡΙΑΚΙΔΟΥ</t>
  </si>
  <si>
    <t>ΑΕ691973</t>
  </si>
  <si>
    <t>ΛΕΠΤΟΚΑΡΙΔΗΣ</t>
  </si>
  <si>
    <t>ΑΡΧΙΜΗΔΗΣ</t>
  </si>
  <si>
    <t>ΑΚ316397</t>
  </si>
  <si>
    <t>720,5</t>
  </si>
  <si>
    <t>790,5</t>
  </si>
  <si>
    <t>882-884-885-886-887-888-889-890-891-892-893-894-895-896-751-752-753-754-755-756-757-758-759-760-761-763-764-765-766-767-768-771-772-773-774-775-776-777-778-779-780-781-782-783-784-785-786-789-790-791-793-794-796-797-798-799-801-802-803-804-806-807-808-809-810-812-813-814-815-817-818-820-821-823-825-826-827-828-829-830-831-832-834-835-836-837-838-839-840-843-942-938-939-937-936-941-863</t>
  </si>
  <si>
    <t>ΡΟΝΤΟΓΙΑΝΝΗΣ</t>
  </si>
  <si>
    <t>ΑΚ256791</t>
  </si>
  <si>
    <t>640,2</t>
  </si>
  <si>
    <t>790,2</t>
  </si>
  <si>
    <t>778-779-780-781-773-774-784-782-814-800-937-783-762-763-757-758-759-760-761-785-764-786-788-765-787-789-790-791-792-793-801-794-795-796-807-766-767-809-753-754-756-751-752-771-772-813-808-805-797-775-776-777-768-769-770-798-804-806-810-812</t>
  </si>
  <si>
    <t>Νικολακοπουλος</t>
  </si>
  <si>
    <t>Γεώργιος</t>
  </si>
  <si>
    <t>789,8</t>
  </si>
  <si>
    <t>753-754-755-756-757-758-759-760-764-765-768-769-770-771-772-785-786-787-788-789-790-791-792-793-794-795-796-798-797-773-774-775-776-777-778-779-780-781-782-783-784-751-752-762-763-766-767-801-800-799-805-802-803-804-806-807-808-809-810-811-812-813-814-898-899-900-901-902-903-904-916-917-918-919-920-921-922-907-908-909-910-911-912-913-914-915-905-906-923-924-925-926-927-928-929-930-931-932-933-934-935</t>
  </si>
  <si>
    <t>ΤΑΜΟΥΤΣΕΛΗΣ</t>
  </si>
  <si>
    <t>ΑΖ696790</t>
  </si>
  <si>
    <t>939-883-884-885-908-909-910-911-912-778-779-780-781-782-799-814-897-923-924-940-941-937-942</t>
  </si>
  <si>
    <t>ΤΟΠΙΝΤΖΗ</t>
  </si>
  <si>
    <t>ΠΑΝΑΓΙΩΗΣ</t>
  </si>
  <si>
    <t>ΑΚ704640</t>
  </si>
  <si>
    <t>636,9</t>
  </si>
  <si>
    <t>786,9</t>
  </si>
  <si>
    <t>828-827-826-825-854-855-857-845-850-851-853-858-859-824-823-822-821-820-829-849-846-847-848-852-856-815-870-872-871-838-840-841-839-835-837-842-836-818-833-876-877-873-874-875-878-816-819-831-830-862-865-860-817-879-869-868-867-866-863-844-843-832-834-864-861-764-786-794-796-787-759-757-756-804-802-781-782-768-809-807-763-801</t>
  </si>
  <si>
    <t>Σ137439</t>
  </si>
  <si>
    <t>ΜΑΡΙΝΑΚΗΣ</t>
  </si>
  <si>
    <t>Μ960498</t>
  </si>
  <si>
    <t>776-802-777-794</t>
  </si>
  <si>
    <t>ΚΩΤΣΑΛΑΣ</t>
  </si>
  <si>
    <t>ΑΝΔΡΕΑΣ ΣΤΥΛΛΙΑΝΟΣ</t>
  </si>
  <si>
    <t>ΑΜ186962</t>
  </si>
  <si>
    <t>787-786-794-759-764-796</t>
  </si>
  <si>
    <t>ΤΣΟΥΝΗ</t>
  </si>
  <si>
    <t>ΑΒ776543</t>
  </si>
  <si>
    <t>755,7</t>
  </si>
  <si>
    <t>785,7</t>
  </si>
  <si>
    <t>757-761-759-758-760-762-785-786-787-794-796-788-789-753-754-756-755-790-791-792-793-795-778-779-780-781-782-768-769-770-775-776-777-774-773-814-806-797-798-805-812-764-765-804-802-803-772-783-801-807-810-813-811-800-771-751-752-763-766-767</t>
  </si>
  <si>
    <t>ΜΑΝΙΑΔΑΚΗΣ</t>
  </si>
  <si>
    <t>ΑΙ637292</t>
  </si>
  <si>
    <t>785-789-791-796-787-786-788-792-793-794-795-758-759-760-757</t>
  </si>
  <si>
    <t>ΜΑΡΟΥΤΑ</t>
  </si>
  <si>
    <t>Τ853146</t>
  </si>
  <si>
    <t>751-752-753-754-755-756-772-805-816-817-818-861-865</t>
  </si>
  <si>
    <t>ΠΑΠΑΣΤΕΦΑΝΗΣ</t>
  </si>
  <si>
    <t>ΕΠΑΜΕΙΝΩΝΔΑΣ</t>
  </si>
  <si>
    <t>ΑΙ489775</t>
  </si>
  <si>
    <t>764-765-785-786-787-788-789-790-791-792-793-794-795-796-757-758-759-760-761-768-769-770-751-752-753-754-755-756-778-779-780-781-782-762-763-766-767-771-772-773-774-775-776-777-783-784-798-797-799-800-801-802-803-804-805-806-807-808-809-810-811-812-813-814</t>
  </si>
  <si>
    <t>ΔΟΥΝΑΒΗ</t>
  </si>
  <si>
    <t>Φ074866</t>
  </si>
  <si>
    <t>791-793-786-787-785-794-796-789-759</t>
  </si>
  <si>
    <t>Χ806555</t>
  </si>
  <si>
    <t>754-756-755-753-772-751-752</t>
  </si>
  <si>
    <t>ΚΑΤΣΟΥΛΗ</t>
  </si>
  <si>
    <t>ΑΕ472253</t>
  </si>
  <si>
    <t>753,5</t>
  </si>
  <si>
    <t>783,5</t>
  </si>
  <si>
    <t>802-756-759-764-757-786-787-794-796-781-782-768-801-778-779-780-795-792-793-788-789-790-791-777-775-776-803-813-814-800-783-784-769-770-772-773-774-751-752-753-754-755-758-805-760-765</t>
  </si>
  <si>
    <t>ΜΠΙΤΖΑΚΗ</t>
  </si>
  <si>
    <t>ΚΡΥΣΤΑΛΛΙΑ-ΚΩΝΣΤΑΝΤΙΝΑ</t>
  </si>
  <si>
    <t>ΑΙ984689</t>
  </si>
  <si>
    <t>770-786-787-791-794-795-796-792-793-790-789-788-785-757-758-759-760-764-765-754-753-755-756-751-752-768-769-772-773-774-771-775-776-777-778-779-780-781-782-783-797-798-801-802-803-804-805-806-812-813-814-810-762-763-784-799-800</t>
  </si>
  <si>
    <t>ΘΕΟΔΩΡΑΚΗΣ</t>
  </si>
  <si>
    <t>ΑΖ251653</t>
  </si>
  <si>
    <t>783,2</t>
  </si>
  <si>
    <t>770-769-768-763-774-762-800-782-781-780-779-778-937-808-814-754-755-753-784-801-813-783-757-758-759-760-764-765-794-795-793-792-791-790-789-787-786-785-772-752-751-771-775-776-777-802-803-812-810-806-804-798-797</t>
  </si>
  <si>
    <t>Κακουρακη</t>
  </si>
  <si>
    <t>Στυλιανη</t>
  </si>
  <si>
    <t>Σταυρος</t>
  </si>
  <si>
    <t>Π202218</t>
  </si>
  <si>
    <t>802-803</t>
  </si>
  <si>
    <t>Π014397</t>
  </si>
  <si>
    <t>782,1</t>
  </si>
  <si>
    <t>783-763-807-797</t>
  </si>
  <si>
    <t>ΣΙΑΦΑΚΑ</t>
  </si>
  <si>
    <t>Ν814087</t>
  </si>
  <si>
    <t>ΚΟΥΤΡΟΥΜΑΝΟΥ</t>
  </si>
  <si>
    <t>Σ890487</t>
  </si>
  <si>
    <t>ΚΑΜΑΡΑ</t>
  </si>
  <si>
    <t>ΔΟΥΚΙΣΣΑ</t>
  </si>
  <si>
    <t>Χ262846</t>
  </si>
  <si>
    <t>780-782-781-779-778-808</t>
  </si>
  <si>
    <t>ΤΣΙΜΠΛΗ</t>
  </si>
  <si>
    <t>ΑΜ037481</t>
  </si>
  <si>
    <t>789-788-787-786-792-793-796-791-790-757-785-765</t>
  </si>
  <si>
    <t>ΒΟΛΑΚΑΚΗ</t>
  </si>
  <si>
    <t>ΓΑΒΡΙΗΛ</t>
  </si>
  <si>
    <t>ΑΚ 474215</t>
  </si>
  <si>
    <t>801-802-781-768-756-759-786-794-764-757-782-787-796</t>
  </si>
  <si>
    <t>ΡΑΠΤΟΔΗΜΟΥ</t>
  </si>
  <si>
    <t>ΑΒ292256</t>
  </si>
  <si>
    <t>750,2</t>
  </si>
  <si>
    <t>780,2</t>
  </si>
  <si>
    <t>ΜΠΟΥΣΟΥΛΑ</t>
  </si>
  <si>
    <t>Ξ472602</t>
  </si>
  <si>
    <t>757-758-759-760-761-764-765-768-769-770-778-779-780-781-782-785-786-787-788-789-790-791-792-793-794-795-796-812-814-813</t>
  </si>
  <si>
    <t>ΑΙ562349</t>
  </si>
  <si>
    <t>777,7</t>
  </si>
  <si>
    <t>787-786-788-785-789-790-791-792-794-795-796-793-760-759-764-758-757-765</t>
  </si>
  <si>
    <t>ΔΟΛΜΕ</t>
  </si>
  <si>
    <t>ΑΙ284491</t>
  </si>
  <si>
    <t>751-752-753-754-755-756-757-758-759-760-761-762-763-764-765-766-767-768-769-770-771-772-773-774-775-776-777-778-781-779-780-782-783-784-785-786-787-788-789-790-797-798-799-800-791-792-793-794-795-796-808-809-810-811-812-802-803-804-805-806-807-801-813-814</t>
  </si>
  <si>
    <t>ΓΚΑΔΡΗ</t>
  </si>
  <si>
    <t>Ν132456</t>
  </si>
  <si>
    <t>801-784-813-800-814-783-782-781-780-779-778-761-757-794-795-786-787-788-791-793-785-789-790-759-758-792-760-773-774-764-765-768-769-770-754-755-756-753-752-751-805-802-803-775-776</t>
  </si>
  <si>
    <t>ΛΙΩΝΑΚΗ</t>
  </si>
  <si>
    <t>ΑΜ266069</t>
  </si>
  <si>
    <t>775-776-777-802-803-782-780-781-779-794-795-785-786-787-788-806-812-799-797-798-804-810-789-790-791-792-793-764-765</t>
  </si>
  <si>
    <t>ΠΑΚΑ</t>
  </si>
  <si>
    <t>Χ407195</t>
  </si>
  <si>
    <t>801-784-800-813-808-799-762-778-779-780-781-782-786-787-788-789-790-791-792-793-757-758-759-760-785-794-795-796-811-807-809-814-783-770-771-763-764-765-768-769-767-766-754-755-753-756-810-804-812-806-797-798-772-805-751-752-776-777-775-803-802</t>
  </si>
  <si>
    <t>ΑΝ494321</t>
  </si>
  <si>
    <t>768-769-770-813-783-801-778-787-757-756-814-796-793-790-788-760-752-759</t>
  </si>
  <si>
    <t>ΑΡΣΕΝΟΠΟΥΛΟΥ</t>
  </si>
  <si>
    <t>Τ392540</t>
  </si>
  <si>
    <t>776,6</t>
  </si>
  <si>
    <t>801-784-813-804-792-796-786-787-791-788-758-759-757-785-781-780-773</t>
  </si>
  <si>
    <t>ΛΑΡΕΝΤΖΑΚΗ</t>
  </si>
  <si>
    <t>Χ683313</t>
  </si>
  <si>
    <t>624,8</t>
  </si>
  <si>
    <t>774,8</t>
  </si>
  <si>
    <t>764-759-786-794-828-826-870-871-872-847-853-854-858-859</t>
  </si>
  <si>
    <t>ΑΕ378681</t>
  </si>
  <si>
    <t>774,4</t>
  </si>
  <si>
    <t>811-781-778-782-779-780</t>
  </si>
  <si>
    <t>ΚΑΡΑΣΑΒΒΙΔΗ</t>
  </si>
  <si>
    <t>Χ463496</t>
  </si>
  <si>
    <t>ΟΙΚΟΝΟΜΟΠΟΥΛΟΣ</t>
  </si>
  <si>
    <t>Λ852580</t>
  </si>
  <si>
    <t>ΕΡΜΕΙΔΗ</t>
  </si>
  <si>
    <t>Ν545410</t>
  </si>
  <si>
    <t>754-756-755-753-777-776</t>
  </si>
  <si>
    <t>ΚΑΘΡΕΠΤΗ</t>
  </si>
  <si>
    <t>ΑΒ004277</t>
  </si>
  <si>
    <t>794-787-791-788-793-795-786-790-785-796-757-789-792-758-759-760</t>
  </si>
  <si>
    <t>ΠΑΠΑΔΟΠΟΥΛΗ</t>
  </si>
  <si>
    <t>ΑΖ062591</t>
  </si>
  <si>
    <t>772,5</t>
  </si>
  <si>
    <t>794-795-764-765-757-758-759-792-760-785-786-787-789-788-791-790-793-796-802-803-777-776-775-770-768-769-751-752-753-754-755-756-772-805-813-782-781-780-779-778-798-797-806-812-784-801-771-807-804-810-811-800-763-762-773-774-783-808-767-814-809-799-766-936</t>
  </si>
  <si>
    <t>ΠΕΛΕΓΡΗ</t>
  </si>
  <si>
    <t>ΑΕ957763</t>
  </si>
  <si>
    <t>786-787-789-785-788-794-795-753-754-755-756-772</t>
  </si>
  <si>
    <t>Σ043608</t>
  </si>
  <si>
    <t>757-758-759-760-761-764-765-784-785-786-787-788-789-790-791-792-793-794-795-796</t>
  </si>
  <si>
    <t>ΣΙΑΧΟΥ</t>
  </si>
  <si>
    <t>Τ510268</t>
  </si>
  <si>
    <t>795-794-791-788-787-786-785-789-790-792-793-796-757-758-765-764-760-759-752-751-753-754-755-756-768-769-770-813-803-777-776-778-779-780-781-782-937</t>
  </si>
  <si>
    <t>ΝΗΣΙΩΤΗ</t>
  </si>
  <si>
    <t>Ξ981263</t>
  </si>
  <si>
    <t>805-751-752-753-754-755-756-757-758-759-760-762-763-764-765-766-767-768-769-770-771-772-773-774-775-776-777-778-779-780-781-782-783-784-785-786-787-788-789-790-791-792-793-794-795-796-797-798-799-800-801-802-803-804-806-807-808-809-810-811-812-813-814</t>
  </si>
  <si>
    <t>ΣΤΕΛΛΑΣ</t>
  </si>
  <si>
    <t>ΑΗ081966</t>
  </si>
  <si>
    <t>758-759-786-757-787-788-789-790-791-792-793-794-795-796-785-760-764-765</t>
  </si>
  <si>
    <t>ΚΑΡΑΜΠΑ</t>
  </si>
  <si>
    <t>ΑΗ222087</t>
  </si>
  <si>
    <t>759-757-786-787-794-796-761-764-789-788-790-793-791-795-782-781-778-779-780-754-755-756-760-765-800-801-792-785-772-783-784-753-752-751-758-773-774-776-777-775-768-769-770-813-805-814-803-802-797-798-762-763-807-808-811-799-809-804-806-810-812-936-767-766</t>
  </si>
  <si>
    <t>ΣΤΡΕΚΛΑ</t>
  </si>
  <si>
    <t>Σ367268</t>
  </si>
  <si>
    <t>ΛΕΓΟΥΡΑ</t>
  </si>
  <si>
    <t>ΑΕ220212</t>
  </si>
  <si>
    <t>754-756-755-753-772</t>
  </si>
  <si>
    <t>ΤΡΥΦΑ</t>
  </si>
  <si>
    <t>ΑΖ701266</t>
  </si>
  <si>
    <t>ΜΕΓΡΕΜΗ</t>
  </si>
  <si>
    <t>ΑΚ649054</t>
  </si>
  <si>
    <t>794-795-786-787-791-785-788-789-793-758-759-757-796-790-764-765-760-792</t>
  </si>
  <si>
    <t>ΝΑΣΤΟΥΛΗ</t>
  </si>
  <si>
    <t>ΜΑΡΙΛΕΝΑ</t>
  </si>
  <si>
    <t>ΑΙ138732</t>
  </si>
  <si>
    <t>790-788-793-791-792-796-794-795-789-786-787-785-764-765-760-757-758-759-761-754-814-805-753-755-756-752-751-801-813-797-784-762-763-766-767-768-769-770-771-772-773-774-775-776-777-778-779-780-781-782-783-798-802-804-810-812-806-803-807-808-809-811</t>
  </si>
  <si>
    <t>ΕΥΧΑΡΙΣΤΙΑ</t>
  </si>
  <si>
    <t>ΑΜ464230</t>
  </si>
  <si>
    <t>777-776-803-775-802</t>
  </si>
  <si>
    <t>Ρ758647</t>
  </si>
  <si>
    <t>782-780-779-781-778-799-811-773-774-808-783-814-937-800-763-807-801-809</t>
  </si>
  <si>
    <t>ΧΡΙΣΤΟΠΟΥΛΟΣ</t>
  </si>
  <si>
    <t>Φ086089</t>
  </si>
  <si>
    <t>805-764-757-759-786-794-796-752-751-758-760-765-788-790-791-792-793-785-787-789-795-768-769-770-801-813-753-754-755-772-756-771-778-779-780-781-782-775-777-802-803-776-936-763-804-807-809-937</t>
  </si>
  <si>
    <t>ΤΡΙΚΑΛΙΤΟΥ</t>
  </si>
  <si>
    <t>Χ746164</t>
  </si>
  <si>
    <t>ΧΑΤΖΗΓΕΩΡΓΙΟΥ</t>
  </si>
  <si>
    <t>ΑΖ 870343</t>
  </si>
  <si>
    <t>809-768-769-770-783-773-774-814-778-779-780-781-782-801-784-813-755-754-756-753-752-751</t>
  </si>
  <si>
    <t>ΗΛΙΑ</t>
  </si>
  <si>
    <t>Σ297332</t>
  </si>
  <si>
    <t>764-765-757-758-759-761-786-787-788-789-790-791-794-795-796</t>
  </si>
  <si>
    <t>ΓΙΑΝΝΑΚΟΥΡΑΣ</t>
  </si>
  <si>
    <t>ΑΒ780962</t>
  </si>
  <si>
    <t>751-752-757-758-759-760-786-787-788-789-790-791-792-793-794-796-795-764-765-756-768-753-754-755-769-770-772-773-774-775-776-777-778-779-780-781-782-783-784-801-800-805-802-803-813-814-937</t>
  </si>
  <si>
    <t>ΓΕΡΑΜΟΥΤΣΟΥ</t>
  </si>
  <si>
    <t>Φ073245</t>
  </si>
  <si>
    <t>796-794-788-789-790-793-785-791-792-786-787-795-757-760-759-758-761-764-765-772-753-751-752-805-754-755-756-768-769-770</t>
  </si>
  <si>
    <t>ΜΠΟΥΓΑΣ</t>
  </si>
  <si>
    <t>Ρ658867</t>
  </si>
  <si>
    <t>759-760-761-764-765-785-786-787-788-789-790-791-792-793-794-795-796-805-768-769-770-751-752-753-754-755-756-762-763-766-767-771-772-773-774-775-776-777-778-779-780-781-782-783-784-797-798-799-800-801-802-803-804-806-807-808-809-810-811-812-813-814-936-937</t>
  </si>
  <si>
    <t>ΜΟΥΡΤΖΙΑΠΗ</t>
  </si>
  <si>
    <t>ΑΗ270560</t>
  </si>
  <si>
    <t>801-784-786-794-785-787-788-789-790-791-792-793-795-796-757-758-759-760-764-765-813-778-779-780-781-782-751-752-753-754-755-756-768-769-770-772-773-774-775-776-777-783-800-814-937-802-803-806-807-808-811-809-810-812-936-762-763-766-767-771-799-797-798-804</t>
  </si>
  <si>
    <t>ΚΟΛΛΙΔΑ</t>
  </si>
  <si>
    <t>ΑΙ056074</t>
  </si>
  <si>
    <t>794-795-796-793-791-785-786-787-757-758-759-760</t>
  </si>
  <si>
    <t>ΜΑΡΙΝΑΚΗ</t>
  </si>
  <si>
    <t>ΑΑ052625</t>
  </si>
  <si>
    <t>ΓΚΙΡΤΖΑΛΗ</t>
  </si>
  <si>
    <t>Χ234736</t>
  </si>
  <si>
    <t>794-795-787-788-786-793-791-785-789-757</t>
  </si>
  <si>
    <t>ΧΑΒΑΛΕΣ</t>
  </si>
  <si>
    <t>ΑΖ840302</t>
  </si>
  <si>
    <t>764-757-786-787-794-768-759-796-782-801-756-802</t>
  </si>
  <si>
    <t>ΕΛΕΥΘΕΡΙΟΥ</t>
  </si>
  <si>
    <t>ΑΕ823196</t>
  </si>
  <si>
    <t>800-773-801-774-781-782-779-778-780-814-937-783-784-762</t>
  </si>
  <si>
    <t>ΜΑΔΩΝΗ</t>
  </si>
  <si>
    <t>ΑΡΧΟΝΤΙΑ ΜΑΡΙΑ</t>
  </si>
  <si>
    <t>ΑΚ625319</t>
  </si>
  <si>
    <t>792-764</t>
  </si>
  <si>
    <t>ΑΖ768049</t>
  </si>
  <si>
    <t>794-796-803-768-787-781-782-786-755-751-752-753-754-756-757-758-759-760-764-765-769-770-772-773-774-775-776-777-778-779-780-784-785-788-789-790-791-792-793-795-800-801-802-805-813-814-812-811-810-809-808-807-806-804-797-798-799-771-762-763-766-767</t>
  </si>
  <si>
    <t>ΜΠΟΥΡΟΥΣΗ</t>
  </si>
  <si>
    <t>Π592023</t>
  </si>
  <si>
    <t>794-768-801-769-770-753-754-755-756-751-752-772-775-776-777-802-803-795-796-757-758-759-760-761-764-765-784-785-786-787-788-789-790-791-792-793-805-813</t>
  </si>
  <si>
    <t>ΑΖ176402</t>
  </si>
  <si>
    <t>ΤΖΙΟΒΑΝΑ</t>
  </si>
  <si>
    <t>ΑΕ155277</t>
  </si>
  <si>
    <t>792-789-760-757-758-791-788-787-786-785-790-793-794-795-796</t>
  </si>
  <si>
    <t>ΑΜ315805</t>
  </si>
  <si>
    <t>805-751-752-753-754-755-756-757-758-759-760-761-762-763-764-765-766-767-768-769-770-771-772-773-774-775-778-776-777-779-780-781-782-783-784-785-786-787-788-789-790-791-792-793-794-795-796-797-798-799-800-801-802-803-804-806-807-808-809-810-811-812-813-814</t>
  </si>
  <si>
    <t>ΖΩΡΖΗ</t>
  </si>
  <si>
    <t>ΑΚ527939</t>
  </si>
  <si>
    <t>760-786-787-792-794</t>
  </si>
  <si>
    <t>ΑΜΙΤΣΑ</t>
  </si>
  <si>
    <t>ΑΗ764578</t>
  </si>
  <si>
    <t>ΕΡΙΦΗ</t>
  </si>
  <si>
    <t>Χ316818</t>
  </si>
  <si>
    <t>ΚΟΡΩΝΙΑ</t>
  </si>
  <si>
    <t>ΑΑ001557</t>
  </si>
  <si>
    <t>800-794-801-768-786-787-788-789-791-793-795-757-758-790-792-759-760-773-774-762-780-781-782-779-778</t>
  </si>
  <si>
    <t>ΚΑΜΠΟΥΡΗ</t>
  </si>
  <si>
    <t>ΚΩΝΣΤΑΝΤΙΝΟΣ</t>
  </si>
  <si>
    <t>ΑΗ995869</t>
  </si>
  <si>
    <t>763,4</t>
  </si>
  <si>
    <t>757-758-759-760-785-786-787-788-789-790-791-792-793-794-795-796</t>
  </si>
  <si>
    <t>ΦΑΡΑΚΛΟΥ</t>
  </si>
  <si>
    <t>Ρ673425</t>
  </si>
  <si>
    <t>612,7</t>
  </si>
  <si>
    <t>762,7</t>
  </si>
  <si>
    <t>757-759-761-764-786-788-790-792-794-796-758-760-765-785-789-791-793-795-815-820-821-822-823-824-825-826-827-828-829-845-846-847-848-849-850-851-852-853-854-855-856-857-858-859-870-872-871-882-888-889-891-890-901-902-903-904-916-917-918-919-920-921</t>
  </si>
  <si>
    <t>ΤΟΥΛΟΥΜΗΣ</t>
  </si>
  <si>
    <t>ΑΕ989498</t>
  </si>
  <si>
    <t>761,5</t>
  </si>
  <si>
    <t>768-786-787-770-769-801-794-757-758-759-760-764-785-788-789-790-791-792-793-795-901-902-903-904-916-917-918-919-920-921-922</t>
  </si>
  <si>
    <t>ΕΡΤΣΟΥ</t>
  </si>
  <si>
    <t>Σ665310</t>
  </si>
  <si>
    <t>761,2</t>
  </si>
  <si>
    <t>786-788-789-785-787-790-791-793-792-794-795-796-757</t>
  </si>
  <si>
    <t>ΘΕΟΛΟΓΙΤΟΥ</t>
  </si>
  <si>
    <t>ΑΝΑΡΓΥΡΟΣ</t>
  </si>
  <si>
    <t>Φ028997</t>
  </si>
  <si>
    <t>791-764-759-758-765-760-794-796-795-786-787-792-793-785-788-790-789-757-761</t>
  </si>
  <si>
    <t>ΤΖΑΝΙΚΗ</t>
  </si>
  <si>
    <t>ΑΗ413821</t>
  </si>
  <si>
    <t>760,1</t>
  </si>
  <si>
    <t>767-766-783-807-811-751-752-753-754-755</t>
  </si>
  <si>
    <t>ΜΟΡΦΟΝΙΟΥ</t>
  </si>
  <si>
    <t>Σ637251</t>
  </si>
  <si>
    <t>785-786-787-788-789-790-791-792-793</t>
  </si>
  <si>
    <t>ΜΠΑΡΤΖΑΣ</t>
  </si>
  <si>
    <t>ΑΜ600910</t>
  </si>
  <si>
    <t>794-786-787-761-764-759-760-785-792</t>
  </si>
  <si>
    <t>ΕΥΘΥΜΙΟΣ-ΚΩΝΣΤΑΝΤΙΝΟΣ</t>
  </si>
  <si>
    <t>ΑΖ998601</t>
  </si>
  <si>
    <t>777-778-779-780-781-782-762-773-774-764-785-757-758-759-760-761-786-787-788-789-790-792-791-793-794-796-795-939-941-942</t>
  </si>
  <si>
    <t>Χ820664</t>
  </si>
  <si>
    <t>ΠΥΡΡΗΣ</t>
  </si>
  <si>
    <t>ΑΜ310934</t>
  </si>
  <si>
    <t>756-794-757-801-768-781-754-753-755-772-805-751-752-758-759-760-764-765-785-786-787-788-789-790-791-792-793-795-796-769-770-784-813-773-774-778-779-780-782-783-799-800-814-775-776-777-802-803</t>
  </si>
  <si>
    <t>ΑΗ205854</t>
  </si>
  <si>
    <t>Κουτη</t>
  </si>
  <si>
    <t>Σταματούλα</t>
  </si>
  <si>
    <t>ΑΚ806144</t>
  </si>
  <si>
    <t>ΜΟΥΚΑ</t>
  </si>
  <si>
    <t>Ρ326647</t>
  </si>
  <si>
    <t>801-778-779-780-781-782-762-797-800-784-773-774-785-786-787-788-789-790-791-792-793-794-795-796-757-758-759-760-761-754-753-798-799-808-811-814</t>
  </si>
  <si>
    <t>ΤΖΑΤΖΑΝΗ</t>
  </si>
  <si>
    <t>ΑΜ186767</t>
  </si>
  <si>
    <t>812-797-768-769-770-784-762-757-760-758-759-793-794-795-785-786-787-788-789-790-791-796-765-764-813-801-810-804-806-798-778-779-780-781-782-814-799-783-773-763-771-751-752-753-754-755-756-772-805-800-811-808-809-807-766-767-775-776-777-802-803</t>
  </si>
  <si>
    <t>ΚΑΛΑΙΤΣΗ</t>
  </si>
  <si>
    <t>ΑΗ709791</t>
  </si>
  <si>
    <t>756-755-754-753-752-751-798-806-810-812-804-805-803-802-801-813-797-772-771</t>
  </si>
  <si>
    <t>ΠΑΠΑΓΙΑΝΝΗ</t>
  </si>
  <si>
    <t>Σ051187</t>
  </si>
  <si>
    <t>785-786-787-789-790-791-792-793-794-795-796</t>
  </si>
  <si>
    <t>ΠΑΠΑΔΟΤΗ</t>
  </si>
  <si>
    <t>ΑΚ913879</t>
  </si>
  <si>
    <t>781-782-779-780-778-808</t>
  </si>
  <si>
    <t>ΜΑΡΤΙΝΟΥ</t>
  </si>
  <si>
    <t>ΑΗ773762</t>
  </si>
  <si>
    <t>801-757-759-763-764-756-782-786-787-794-796-795-784-788-789-790-791-792-793-758-778-779-780-781-783</t>
  </si>
  <si>
    <t>ΑΒ106230</t>
  </si>
  <si>
    <t>801-784-813-768-769-770-814-778-779-780-781-782-773-774-783-800-794-795-796-793-792-791-790-789-788-787-786-785-753-754-755-756-751-752-772-805-775-776-777-802-803-757-758-759-760-761-764-765</t>
  </si>
  <si>
    <t>ΒΑΡΒΙΤΣΙΩΤΗ</t>
  </si>
  <si>
    <t>ΑΔΑΜΑΝΤΙΑ</t>
  </si>
  <si>
    <t>ΑΕ701142</t>
  </si>
  <si>
    <t>754-755-756</t>
  </si>
  <si>
    <t>ΣΩΤΗΡΙΑΔΗ</t>
  </si>
  <si>
    <t>ΑΕ592768</t>
  </si>
  <si>
    <t>810-794-795-786-787-778-781</t>
  </si>
  <si>
    <t>ΦΡΑΓΚΟΥΛΗ</t>
  </si>
  <si>
    <t>Ρ073136</t>
  </si>
  <si>
    <t>769-768-770-814-813-786-787-791-794-796-795-806-755-757-758-759-765-775-780-778-779-781-782-785-789-788-792-790-793</t>
  </si>
  <si>
    <t>ΤΡΥΦΩΝΟΠΟΥΛΟΥ</t>
  </si>
  <si>
    <t>Χ127935</t>
  </si>
  <si>
    <t>828-826-827-825-829-850-849-854-855-856-846-847-851-858-859-853-823-848-845-857-822-871-852-870-872-820-815-821-824-791-764-765-788-786-787-794-795-796-789-792-757-785-790-759-760-758</t>
  </si>
  <si>
    <t>ΚΑΠΟΚΑΚΗ</t>
  </si>
  <si>
    <t>ΖΑΦΕΙΡΟΥΛΑ-ΜΑΡΙΑ</t>
  </si>
  <si>
    <t>ΑΗ975252</t>
  </si>
  <si>
    <t>777-776-775-803-802-804-806-812-797</t>
  </si>
  <si>
    <t>ΦΕΛΕΣΚΟΥΡΑ</t>
  </si>
  <si>
    <t>Σ359165</t>
  </si>
  <si>
    <t>751,3</t>
  </si>
  <si>
    <t>756-754-755-753-772</t>
  </si>
  <si>
    <t>ΓΡΗΓΟΡΙΟΥ</t>
  </si>
  <si>
    <t>ΑΙ529540</t>
  </si>
  <si>
    <t>753-754-755-756-757-758-759-760-761-764-765-775-776-777-778-779-780-781-782-785-786-787-788-789-790-791-792-793-794-795-796-797-798-804-810-812-813-936</t>
  </si>
  <si>
    <t>ΧΑΤΖΟΥ</t>
  </si>
  <si>
    <t>ΑΚ502778</t>
  </si>
  <si>
    <t>758-759-761-757-760-786-787-788-790-791-793-794-795-796-792-789-785-764-765</t>
  </si>
  <si>
    <t>ΒΑΣΙΛΑΚΗ</t>
  </si>
  <si>
    <t>ΕΜΜΝΟΥΗΛ</t>
  </si>
  <si>
    <t>ΑΕ959711</t>
  </si>
  <si>
    <t>801-776-777-803-802-775-786-787-788-789-790-791-792-793-794-795-796-785-757-758-760-764-765-768-769-770-778-779-780-781-782-784-783-774-814-813-800-805-773-751-752-753-754-755-756-772</t>
  </si>
  <si>
    <t>ΜΠΑΚΟΠΟΥΛΟΥ</t>
  </si>
  <si>
    <t>ΑΗ123279</t>
  </si>
  <si>
    <t>794-757-758-759-760-764-765-785-786-787-788-789-790-791-792-793-795-796</t>
  </si>
  <si>
    <t>ΑΗ165014</t>
  </si>
  <si>
    <t>698,5</t>
  </si>
  <si>
    <t>748,5</t>
  </si>
  <si>
    <t>Κυρατζη</t>
  </si>
  <si>
    <t>Ευδοξια</t>
  </si>
  <si>
    <t>Κωνσταντινος</t>
  </si>
  <si>
    <t>Τ222728</t>
  </si>
  <si>
    <t>781-782-778-780-779</t>
  </si>
  <si>
    <t>ΨΕΜΜΑΤΑΚΗΣ</t>
  </si>
  <si>
    <t>ΑΕ766967</t>
  </si>
  <si>
    <t>ΑΗ052964</t>
  </si>
  <si>
    <t>757-758-759-760-761-764-765-785-786-787-788-789-790-791-792-793-795-796-751-752-753-754-755-756-762-763-767-768-769-770-771-772-773-774-775-776-777-778-779-780-781-782-783-784-797-798-799-800-801-802-803-804-805-806-807-808-809-810-811-812-813-814</t>
  </si>
  <si>
    <t>ΤΣΟΥΚΝΑΚΗ</t>
  </si>
  <si>
    <t>ΑΚ849801</t>
  </si>
  <si>
    <t>757-793-788-791-785-786-787-792-789-790-758-759-794-795-796-760</t>
  </si>
  <si>
    <t>Φ002335</t>
  </si>
  <si>
    <t>761-768-794-757-758-759-760-764-765-769-770-771-785-786-787-788-789-790-791-792-793-795-796</t>
  </si>
  <si>
    <t>ΔΑΓΚΟΥΝΑ</t>
  </si>
  <si>
    <t>ΑΝ253818</t>
  </si>
  <si>
    <t>772-753-754-755-756-786-787-788-789-790-791-796</t>
  </si>
  <si>
    <t>ΧΑΝΤΖΗ</t>
  </si>
  <si>
    <t>ΑΖ665479</t>
  </si>
  <si>
    <t>781-782-779-778-780-814-799</t>
  </si>
  <si>
    <t>ΒΟΥΔΟΥΡΗ</t>
  </si>
  <si>
    <t>Ρ185333</t>
  </si>
  <si>
    <t>781-782-779-780-778-799-811-773-774-783-814-808-807</t>
  </si>
  <si>
    <t>ΧΡΙΣΤΙΤΣΑ</t>
  </si>
  <si>
    <t>Ρ983120</t>
  </si>
  <si>
    <t>801-794-796-786-787-757-759-764-781-782-813-784-785-795-788-789-790-791-792-793-758-765-760-770-778-779-780-773-774-768-814-800</t>
  </si>
  <si>
    <t>ΚΩΝΣΤΑΝΤΕΛΛΟΥ</t>
  </si>
  <si>
    <t>ΑΒ530115</t>
  </si>
  <si>
    <t>761-794-785-789-793-795-791-787-786-788-790-757-758-792-796-760-759-764-765</t>
  </si>
  <si>
    <t>ΘΑΝΑΣΟΠΟΥΛΟΥ</t>
  </si>
  <si>
    <t>Χ009874</t>
  </si>
  <si>
    <t>794-795-796-787-786-759-757-758-760-785-788-789-791-793-792-790-764-765-781-782-780-777-778-779-768-769-770</t>
  </si>
  <si>
    <t>ΖΑΧΑΡΩ</t>
  </si>
  <si>
    <t>Ρ801292</t>
  </si>
  <si>
    <t>764-758-759-760-765-785-786-787-788-789-790-791-792-793-794-795-796</t>
  </si>
  <si>
    <t>ΚΟΥΤΕΛΑ</t>
  </si>
  <si>
    <t>ΔΗΜΟΣ</t>
  </si>
  <si>
    <t>Σ115709</t>
  </si>
  <si>
    <t>794-787-786-764-759-757-788-791-795-796-793-789-765-758-785-760-790-792</t>
  </si>
  <si>
    <t>ΖΑΚΥΝΘΙΝΟΥ</t>
  </si>
  <si>
    <t>Π519438</t>
  </si>
  <si>
    <t>ΣΟΡΩΤΟΥ</t>
  </si>
  <si>
    <t>ΜΗΝΟΔΩΡΑ</t>
  </si>
  <si>
    <t>ΙΑΚΩΒΟΣ</t>
  </si>
  <si>
    <t>Φ352140</t>
  </si>
  <si>
    <t>786-787-794-796-759-764-757-795-792-758-765-760-785-788-789-790-791-793-806</t>
  </si>
  <si>
    <t>ΓΟΥΜΑΓΙΑ</t>
  </si>
  <si>
    <t>ΜΑΡΙΑ ΕΛΕΝΗ</t>
  </si>
  <si>
    <t>ΑΑ041240</t>
  </si>
  <si>
    <t>ΑΜΠΑΤΖΙΔΟΥ</t>
  </si>
  <si>
    <t>ΑΑ263680</t>
  </si>
  <si>
    <t xml:space="preserve">ΧΑΛΔΟΥΠΗ </t>
  </si>
  <si>
    <t xml:space="preserve">ΚΩΝΣΤΑΝΤΙΑ </t>
  </si>
  <si>
    <t xml:space="preserve">ΒΑΣΙΛΕΙΟΣ </t>
  </si>
  <si>
    <t>ΑΗ761315</t>
  </si>
  <si>
    <t>743,6</t>
  </si>
  <si>
    <t>ΚΕΛΕΣΙΔΟΥ</t>
  </si>
  <si>
    <t>ΚΙΜΩΝ</t>
  </si>
  <si>
    <t>ΑΗ655193</t>
  </si>
  <si>
    <t>ΔΟΥΚΑΤΑ</t>
  </si>
  <si>
    <t>ΑΒ792963</t>
  </si>
  <si>
    <t>846-847-854-855-858-859-848-851-853-857-856-852-849-850-845-824-823-822-821-820-827-828-870-871-872-829-815-825-826-806-786-787-788-791-794-795-805-758-759-757-760-761-789-793-796-792-790-764-765</t>
  </si>
  <si>
    <t>ΚΑΡΥΚΗ</t>
  </si>
  <si>
    <t>ΠΕΡΣΕΦΩΝΗ</t>
  </si>
  <si>
    <t>ΑΕ518690</t>
  </si>
  <si>
    <t>ΔΕΡΝΙΚΑ</t>
  </si>
  <si>
    <t>ΑΖ046000</t>
  </si>
  <si>
    <t>786-787-794-796-757-759</t>
  </si>
  <si>
    <t>ΚΩΤΣΑΝΤΗ</t>
  </si>
  <si>
    <t>ΑΜΗΔΕΑ</t>
  </si>
  <si>
    <t>Χ693385</t>
  </si>
  <si>
    <t>784-787-788-789-790</t>
  </si>
  <si>
    <t>ΖΑΧΑΡΙΑΔΗΣ</t>
  </si>
  <si>
    <t>Φ102983</t>
  </si>
  <si>
    <t>ΑΚ216030</t>
  </si>
  <si>
    <t>740,6</t>
  </si>
  <si>
    <t>757-758-759-760-785-786-787-788-789-790-791-793-794-795</t>
  </si>
  <si>
    <t>Σ530761</t>
  </si>
  <si>
    <t>740,3</t>
  </si>
  <si>
    <t>794-786-787-757-759-758-796-760-785-788-789-790-791-792-793-795</t>
  </si>
  <si>
    <t>ΜΑΝΙΑΤΗ</t>
  </si>
  <si>
    <t>ΑΕ595407</t>
  </si>
  <si>
    <t>786-787-788-789-791-790-794-795-796-761-757-760-792-793-758-759-764-765</t>
  </si>
  <si>
    <t>ΤΣΙΑΜΟΥΛΗ</t>
  </si>
  <si>
    <t>ΑΕ543995</t>
  </si>
  <si>
    <t>786-787-759-764-794-796</t>
  </si>
  <si>
    <t>ΛΟΥΠΑ</t>
  </si>
  <si>
    <t>ΜΑΡΙΑ ΑΙΚΑΤΕΡΙΝΗ</t>
  </si>
  <si>
    <t>ΑΜ824477</t>
  </si>
  <si>
    <t>801-784-778-779-780-781-782-785-786-787-788-789-790-791-792-793-794-795-796-757-758-759-760-764-765</t>
  </si>
  <si>
    <t>ΒΟΥΡΔΟΥΝΗΣ</t>
  </si>
  <si>
    <t>ΑΗ828895</t>
  </si>
  <si>
    <t>738,1</t>
  </si>
  <si>
    <t>773-774-778-779-780-781-782-800-808-811-799-783-762</t>
  </si>
  <si>
    <t>ΑΒ024577</t>
  </si>
  <si>
    <t>737,5</t>
  </si>
  <si>
    <t>811-763-783-778-779-780-781-782-794-757-758-759-760-761-785-786-787-788-789-790-791-792-793-795-796-764-765-799-800-809-814-807-808-813-801-784-773-774-766-767-762-768-769-770-771-772-751-752-753-754-755-756-805-775-776-777-802-803-797-798-804-810-812-806</t>
  </si>
  <si>
    <t>ΜΟΥΣΤΑΚΑ</t>
  </si>
  <si>
    <t>ΑΑ058148</t>
  </si>
  <si>
    <t>ΝΑΛΒΑΝΤΗ</t>
  </si>
  <si>
    <t>ΑΖ891698</t>
  </si>
  <si>
    <t>ΝΤΑΓΚΟΥΛΗ</t>
  </si>
  <si>
    <t>ΖΑΧΑΡΕΝΙΑ</t>
  </si>
  <si>
    <t>ΑΖ170510</t>
  </si>
  <si>
    <t>735,9</t>
  </si>
  <si>
    <t>778-779-780-781-782-783-801-814-774</t>
  </si>
  <si>
    <t>ΓΚΙΟΥΡΑ</t>
  </si>
  <si>
    <t>ΑΜ688011</t>
  </si>
  <si>
    <t>777-776-775-803-802-758-757-759-760-764-765-795-794-785-786-787-788-789-790-791-792-793-796-779-780-781-782-778-814-799-797-798-806-812-773-774-783-784-811-808-807-800-801-813-810-804-763-762-754-755-756-753-752-751-771-772-770-768-769-767-766</t>
  </si>
  <si>
    <t>ΑΒ752938</t>
  </si>
  <si>
    <t>705,1</t>
  </si>
  <si>
    <t>735,1</t>
  </si>
  <si>
    <t>ΚΟΡΝΙΛΑΚΗ</t>
  </si>
  <si>
    <t>ΑΙ434115</t>
  </si>
  <si>
    <t>733,7</t>
  </si>
  <si>
    <t>ΓΕΩΡΓΑΡΟΥ</t>
  </si>
  <si>
    <t>ΑΑ029369</t>
  </si>
  <si>
    <t>801-784-800-775-776-777-802-803-778-779-780-781-782-783-753-754-755-756-751-752-772-773-774-805-813-814-937-757-758-759-760-761-764-765-768-769-770-785-786-787-788-789-790-791-792-793-794-795-796-762-763-766-767-771-797-798-799-804-936-807-809-810-811-812-806-808</t>
  </si>
  <si>
    <t>ΜΠΑΜΠΟΥΡΑ</t>
  </si>
  <si>
    <t>ΑΗ806402</t>
  </si>
  <si>
    <t>732,6</t>
  </si>
  <si>
    <t>808-773-774-779-781-775-802-803-770-782-811-771-780-777-769-778-776-814</t>
  </si>
  <si>
    <t>ΖΑΧΑΡΟΠΟΥΛΟΣ</t>
  </si>
  <si>
    <t>ΑΙ764742</t>
  </si>
  <si>
    <t>753-754-755-756-772-751-752-768-798-797-801-811-814-803-759</t>
  </si>
  <si>
    <t>ΠΙΚΡΙΔΑΣ</t>
  </si>
  <si>
    <t>ΑΑ127600</t>
  </si>
  <si>
    <t>764-765-761-757-758-759-760</t>
  </si>
  <si>
    <t>ΑΕ078129</t>
  </si>
  <si>
    <t>701,8</t>
  </si>
  <si>
    <t>731,8</t>
  </si>
  <si>
    <t>786-787-791-796-790-788-789-758-759-760-794-795-757-792-765-768-769-770-812-806-752-753-751-754-755-756-772-805-797-798-778-779-780-781-782-814-801-784-771-776-802-803-774-773</t>
  </si>
  <si>
    <t>ΑΒ832419</t>
  </si>
  <si>
    <t>757-758-759-760-785-786-787-788-789-791-792-793-794-795-796</t>
  </si>
  <si>
    <t>ΣΙΝΗ</t>
  </si>
  <si>
    <t>ΑΒ269008</t>
  </si>
  <si>
    <t>757-760-792-793-794-795-786-796-791-787-788-789-790-758-759-785-768-769-770</t>
  </si>
  <si>
    <t>Παπινιαν</t>
  </si>
  <si>
    <t>Δαυίδ</t>
  </si>
  <si>
    <t>Γιώργος</t>
  </si>
  <si>
    <t>ΑΑ923263</t>
  </si>
  <si>
    <t>807-783</t>
  </si>
  <si>
    <t>ΠΕΡΟΥΛΗ</t>
  </si>
  <si>
    <t>ΑΕ101769</t>
  </si>
  <si>
    <t>729,3</t>
  </si>
  <si>
    <t>757-758-759-793-764-760-761-786-787-788-789-791-792-796-795-794</t>
  </si>
  <si>
    <t>ΠΟΛΥΧΡΟΝΗ</t>
  </si>
  <si>
    <t>ΑΓΟΡΩ</t>
  </si>
  <si>
    <t>Χ970747</t>
  </si>
  <si>
    <t>778-779-780-781-782-814-783-773-774-800-752-751-801-784-766-767-811-807-809-799-937</t>
  </si>
  <si>
    <t>ΒΕΡΡΗ</t>
  </si>
  <si>
    <t>Ρ059288</t>
  </si>
  <si>
    <t>723,8</t>
  </si>
  <si>
    <t>794-795-796-785-786-787-788-789-790-791-792-793-757</t>
  </si>
  <si>
    <t>ΑΙ684589</t>
  </si>
  <si>
    <t>ΧΑΡΙΤΙΔΟΥ</t>
  </si>
  <si>
    <t>ΑΙ744055</t>
  </si>
  <si>
    <t>782-781-780-779-778-777-799-773-774</t>
  </si>
  <si>
    <t>ΦΩΛΟΥ</t>
  </si>
  <si>
    <t>Τ515032</t>
  </si>
  <si>
    <t>790-787-786-789-791-792-793-794-795-796-757-785-758-759-760-764-784-812-814-813-771</t>
  </si>
  <si>
    <t>ΤΣΟΥΧΛΑΡΑΚΗ</t>
  </si>
  <si>
    <t>Τ024521</t>
  </si>
  <si>
    <t>721,6</t>
  </si>
  <si>
    <t>757-758-759-760</t>
  </si>
  <si>
    <t>ΒΑΜΒΑΚΑ</t>
  </si>
  <si>
    <t>Σ185470</t>
  </si>
  <si>
    <t>779-778-789-780-781-782-784-796-814-801-791-792-790-797-813-799-760-765-758-759-786-794-795-811-788-787-774-808</t>
  </si>
  <si>
    <t>ΜΑΛΕΑ</t>
  </si>
  <si>
    <t>Χ316390</t>
  </si>
  <si>
    <t>ΓΕΡΑΚΑΡΗ</t>
  </si>
  <si>
    <t>ΑΚ263758</t>
  </si>
  <si>
    <t>785-791-793-789-786-787-788-790-794-795-796-792-757-758-759-760</t>
  </si>
  <si>
    <t>ΜΑΝΘΟΥ</t>
  </si>
  <si>
    <t>ΑΒ666927</t>
  </si>
  <si>
    <t>718,3</t>
  </si>
  <si>
    <t>761-785-788-789-790-791-792-793-786-787-794-795-758-760-759-757-796-765-764</t>
  </si>
  <si>
    <t>ΓΚΟΥΓΚΟΥΛΙΤΣΑ</t>
  </si>
  <si>
    <t>Χ768911</t>
  </si>
  <si>
    <t>782-781-751-800-801-814-766-767-763-757-758-803</t>
  </si>
  <si>
    <t>ΤΣΑΜΠΑ</t>
  </si>
  <si>
    <t>ΑΚ535916</t>
  </si>
  <si>
    <t>785-786-787-788-789-790-791-792-793-794-795-796-757-758-759-760-764-765</t>
  </si>
  <si>
    <t>ΑΖ711449</t>
  </si>
  <si>
    <t>ΑΣΠΡΟΜΑΤΗ</t>
  </si>
  <si>
    <t>ΑΚ453233</t>
  </si>
  <si>
    <t>804-810-812-806-809-807-783-801-800-799-811-767-771-791-792-793-796-786-787-788-781-797-798-813-763</t>
  </si>
  <si>
    <t>ΤΟΜΑΡΑ</t>
  </si>
  <si>
    <t>ΑΚ327756</t>
  </si>
  <si>
    <t>ΣΠΗΛΙΩΤΗ</t>
  </si>
  <si>
    <t>ΑΖ493963</t>
  </si>
  <si>
    <t>813-770-768-769-773-774-778-784-779-780-781-782-783-800-801-814</t>
  </si>
  <si>
    <t>ΜΟΥΤΑΦΗ</t>
  </si>
  <si>
    <t>ΚΡΥΣΤΑΛΩ</t>
  </si>
  <si>
    <t>Σ379313</t>
  </si>
  <si>
    <t>796-786-787-788-791-790-793-785-794-795-792-789-759-760-758-757-764-765-770-769-768-801-756-755-754-753-752-751-784-813-805-772-773-774-775-776-777-778-779-780-781-782-783-802-803-814</t>
  </si>
  <si>
    <t>ΜΠΑΓΛΑΝΤΖΗ</t>
  </si>
  <si>
    <t>ΡΟΔΟΥΣΑ ΕΙΡΗΝΗ</t>
  </si>
  <si>
    <t>ΑΜ023693</t>
  </si>
  <si>
    <t>752-751-795-761-791-786-785-787-788-789-765-790-793-792-794-796-757-758-759-760-764-770-769-768</t>
  </si>
  <si>
    <t>ΒΟΥΖΟΥΝΕΡΗ</t>
  </si>
  <si>
    <t>ΑΙ461920</t>
  </si>
  <si>
    <t>ΠΑΓΑΝΟΥ</t>
  </si>
  <si>
    <t>ΑΚ696163</t>
  </si>
  <si>
    <t>796-786-787-788-791-792-795-794-793-789-790-785-757-760-758-759-764-765-779-778-780-781</t>
  </si>
  <si>
    <t>ΜΑΝΤΖΩΝΗ</t>
  </si>
  <si>
    <t>ΣΠΘΡΙΔΩΝ</t>
  </si>
  <si>
    <t>Σ453978</t>
  </si>
  <si>
    <t>801-806-814-809-802-803-813-775-776-777-757-758-759-760-761-784-785-786-796-778-779-780-781-782-783-805-767-768-764-751-753-754-755-762-763-765-766-769-770-771-772-774</t>
  </si>
  <si>
    <t>ΑΙ096837</t>
  </si>
  <si>
    <t>760-790-757-764-765-792-786-787-794-795-785-788-789-791-793-796-758-759</t>
  </si>
  <si>
    <t>ΛΟΥΛΟΥΔΗ</t>
  </si>
  <si>
    <t>Χ414650</t>
  </si>
  <si>
    <t>801-784-773-774-781-782-778-779-780-783-799-814-808-811-766-767-763-807-800-809-768-769-770-794-786-787-796-757-759-764-758-760-765-785-788-789-790-791-792-793-795-812-810-804-806-797-798-762-754-755-756-752-751-753-771-772-805-802-803-775-776-777-813</t>
  </si>
  <si>
    <t>ΤΖΟΒΑΡΑ</t>
  </si>
  <si>
    <t>ΑΚ920727</t>
  </si>
  <si>
    <t>784-801-762-807-799-811-812-806-808-809-810-804-798-763-766-767-771-768-794-761-759-757-756-787-764-796-781-782-780-779-778-783-786-785-769-770-813-814-800-788-789-790-791-792-793-795-752-755-754-753-758-760-765-775-776-777-802-803-772-773-774-751-805</t>
  </si>
  <si>
    <t>ΤΣΑΝΤΟΥΡΗ</t>
  </si>
  <si>
    <t>ΤΡΙΑΝΤΑΦΥΛΛΙΑ</t>
  </si>
  <si>
    <t>Χ985851</t>
  </si>
  <si>
    <t>796-794-795-786-787-757-791-758-759-785-792-793-788-790-789-760-764-765-813-801-782-781-780-779-778-768-769-770-784-771-776-777-775-814-802-803-756-753-754-755-772-805-783-808-807-811-812-800-763-751-752-797-810-798-809-766-767-762-773-774-806-804-799-937-936</t>
  </si>
  <si>
    <t>ΖΩΝΙΟΥ</t>
  </si>
  <si>
    <t>ΑΒ091389</t>
  </si>
  <si>
    <t>776-777-775-802-803-778-779-780-782-781-751-752-753-754-755-756</t>
  </si>
  <si>
    <t>ΚΑΤΣΙΓΙΑΝΝΗ</t>
  </si>
  <si>
    <t>ΑΗ477395</t>
  </si>
  <si>
    <t>813-801-771-784-768-769-770-764-765-757-758-759-760-761-785-786-787-788-789-790-791-792-793-794-795-796-778-779-780-781-782-762-773-774-800-753-754-755-756-772-751-752-805-799-811-814-808-763-807-809-783-766-767-797-798-810-812-806-775-776-777-802-803-804</t>
  </si>
  <si>
    <t>ΚΑΚΑΒΟΥΛΑΣ</t>
  </si>
  <si>
    <t>ΑΒ392361</t>
  </si>
  <si>
    <t>794-796-785-787-786-788-782-781-789-790-791-792-793-795-758-759-760-761-764-765-757-805-797-780-783-784-762-763-766-751-752-753-754-755-756-774-775-776-767-768-769-770-771-773-806-807-808-809-810-811-812-813-814-798-799-800-801-802-803</t>
  </si>
  <si>
    <t>ΠΑΠΑΝΑΓΙΩΤΟΥ</t>
  </si>
  <si>
    <t>Χ925165</t>
  </si>
  <si>
    <t>713,1</t>
  </si>
  <si>
    <t>801-803-802-777-778-779-780-781-782-776-775-770-769-768-753-754-755-756-752-751-784-783-785-786-787-788-789-790-791-792-793-794-795-796-797-798-799-800-804-805-806-807-808-809-810-811-812-771-772-773-774-759-760-761-762-763-764-765-766-767</t>
  </si>
  <si>
    <t>ΑΖ117908</t>
  </si>
  <si>
    <t>786-787-791-796-785-788-789-793-790-757-760-764-765-794-795-792-758-759</t>
  </si>
  <si>
    <t>ΚΥΡΑΤΣΟΥΔΗ</t>
  </si>
  <si>
    <t>ΑΚ002089</t>
  </si>
  <si>
    <t>792-786-787-789-790-785-796-794-795-757-760-758-759-788-791-793-812-802-803</t>
  </si>
  <si>
    <t>ΑΚ529910</t>
  </si>
  <si>
    <t>790-796-804-788-789-791-785-792-781-782-778</t>
  </si>
  <si>
    <t>ΧΡΙΣΤΟΠΟΥΛΟΥ</t>
  </si>
  <si>
    <t>ΖΩΗ-ΜΑΡΙΑ</t>
  </si>
  <si>
    <t>Σ141524</t>
  </si>
  <si>
    <t>764-761-765-786-787-789-790-792-793-785-757-760-794-795-796-791-788-758-759</t>
  </si>
  <si>
    <t>ΤΣΕΡΝΕΤΟΠΟΥΛΟΥ</t>
  </si>
  <si>
    <t xml:space="preserve">ΒΕΝΕΤΙΑ </t>
  </si>
  <si>
    <t>Σ363521</t>
  </si>
  <si>
    <t>ΝΤΕΝΑ</t>
  </si>
  <si>
    <t>ΚΛΑΡΑ</t>
  </si>
  <si>
    <t>ΣΕΙΤ</t>
  </si>
  <si>
    <t>ΑΚ759213</t>
  </si>
  <si>
    <t>ΧΑΤΣΑΛΙΔΟΥ</t>
  </si>
  <si>
    <t>ΑΙ697154</t>
  </si>
  <si>
    <t>761-791-789-786-764-758-759-792-794-795-796-757-785-760-787-788-793-790</t>
  </si>
  <si>
    <t>ΑΙ232796</t>
  </si>
  <si>
    <t>786-787-794-796-757-759-764-758-760-765-785-788-789-790-791-792-793-795</t>
  </si>
  <si>
    <t>ΜΠΙΑΖΗ</t>
  </si>
  <si>
    <t>ΑΒ280203</t>
  </si>
  <si>
    <t>788-789-791-790-764-785-786-787-757-758-759-794-795-796-792-793-760-765</t>
  </si>
  <si>
    <t>ΓΙΟΚΑΡΙΝΗ</t>
  </si>
  <si>
    <t>ΕΥΜΟΡΦΙΛΗ</t>
  </si>
  <si>
    <t>Φ151022</t>
  </si>
  <si>
    <t>778-779-780-781-782-814-773-774-783-800-801-805-813-784-751-752-753-754-755-756-757-758-759-760-764-765-768-769-770-786-787-788-789-790-791-792-793-794-795-796-775-776-777-785-802-803-772</t>
  </si>
  <si>
    <t>ΑΗ720147</t>
  </si>
  <si>
    <t>794-787-786-796-757-785-788-790-789-791-795-793-792-760</t>
  </si>
  <si>
    <t>ΑΗ794978</t>
  </si>
  <si>
    <t>677,6</t>
  </si>
  <si>
    <t>707,6</t>
  </si>
  <si>
    <t>762-761-768-794-801-778-779-780-781-782-800-808-814-773-774-775-776-777-783-784-799-802-803-804-805-806-807-809-810-811-812-813-751-752-753-754-755-756-757-758-759-760-763-764-765-766-767-769-770-771-772-785-786-787-788-789-790-791-792-793-795-796-797-798</t>
  </si>
  <si>
    <t>Σιτίστα</t>
  </si>
  <si>
    <t>Φωτεινή</t>
  </si>
  <si>
    <t>Βασίλειος</t>
  </si>
  <si>
    <t>ΑΚ338126</t>
  </si>
  <si>
    <t>ΠΡΕΜΕΤΗΣ</t>
  </si>
  <si>
    <t>Χ267793</t>
  </si>
  <si>
    <t>ΠΑΥΛΑΡΑ</t>
  </si>
  <si>
    <t>ΑΗ335073</t>
  </si>
  <si>
    <t>814-779-780-781-782-778-767-811-783-763-799-768-784-801-800-808-807-809</t>
  </si>
  <si>
    <t>ΣΤΑΣΙΝΟΠΟΥΛΟΥ</t>
  </si>
  <si>
    <t>ΑΕ510451</t>
  </si>
  <si>
    <t>702,9</t>
  </si>
  <si>
    <t>794-768-801</t>
  </si>
  <si>
    <t>ΑΕ079929</t>
  </si>
  <si>
    <t>796-794-787-786-764-759-757</t>
  </si>
  <si>
    <t>ΦΑΚΛΑΡΗ</t>
  </si>
  <si>
    <t>ΑΖ233070</t>
  </si>
  <si>
    <t>751-752-759-760-761-772-786-787-794-796</t>
  </si>
  <si>
    <t>ΤΕΜΠΛΗ</t>
  </si>
  <si>
    <t>Ν907567</t>
  </si>
  <si>
    <t>700,7</t>
  </si>
  <si>
    <t>756-755-762-784-779-780-781-782-801-788</t>
  </si>
  <si>
    <t>ΣΜΑΡΑΓΔΩ</t>
  </si>
  <si>
    <t>ΜΑΥΡΟΥΔΗΣ</t>
  </si>
  <si>
    <t>ΑΕ855530</t>
  </si>
  <si>
    <t>814-781-782</t>
  </si>
  <si>
    <t>ΣΤΟΚΑ</t>
  </si>
  <si>
    <t>ΑΕ007394</t>
  </si>
  <si>
    <t>776-775-777-785-792-786-787-788-789-790-791-793-794-795-796-801-759-760-757-758</t>
  </si>
  <si>
    <t>ΑΚ924415</t>
  </si>
  <si>
    <t>838-839-837-836-840-841-842-835-781-782-780-779-778-763</t>
  </si>
  <si>
    <t>ΑΗ297726</t>
  </si>
  <si>
    <t>840-841-842-838-837-836-835-839-862-843-844-872-870-871-847-846-848-849-850-851-852-853-854-855-856-857-858-859-815-821-820-822-823-824-825-826-827-828-829-845-816-819-875-869-868-876-877-878-873-874-833-863-864-860-817-818-861-865-834-831-830-832-866-867-879-781-782-780-779-778-762-814-801-800-808-784-783-773-774-813-763-811-807-799-788-791-787-786-789-790-792-793-785-796-795-794-759-760-764-765-757-758-752-751-770-769-768-797-809-766-767-775-776-777-802-803-798-753-754-755-756-805-771-772-804-810-806-812</t>
  </si>
  <si>
    <t>ΚΑΛΦΑΚΗ</t>
  </si>
  <si>
    <t>Φ180042</t>
  </si>
  <si>
    <t>840-841-842-835-837-836-839-838-781-778-782-780-779-762</t>
  </si>
  <si>
    <t>ΜΠΟΥΖΑΛΗ</t>
  </si>
  <si>
    <t>Χ889796</t>
  </si>
  <si>
    <t>800-762-773-774-808-778-779-780-781-782-814-784-801-799-783-763-807-809-811-767-766-813-835-836-840-841-842-838-843-844-868-862-875</t>
  </si>
  <si>
    <t>ΚΩΣΤΟΥΛΗ</t>
  </si>
  <si>
    <t>ΕΙΡΗΝΗ ΧΡΥΣΟΒΑΛΑΝΤΟΥ</t>
  </si>
  <si>
    <t>ΑΗ819400</t>
  </si>
  <si>
    <t>788-789-791-792-793-787-786-785-790-794-795-796-760-759-758-757</t>
  </si>
  <si>
    <t>ΜΠΡΙΝΤΑΛΟΥ</t>
  </si>
  <si>
    <t>Σ190433</t>
  </si>
  <si>
    <t>791-792-793-794-795-796-788-785-786-787-789-758-759-760-764-765-757</t>
  </si>
  <si>
    <t>ΣΤΑΜΑΤΑΚΟΠΟΥΛΟΥ</t>
  </si>
  <si>
    <t>ΑΙ214197</t>
  </si>
  <si>
    <t>754-756-755-753</t>
  </si>
  <si>
    <t>ΑΡΓΕΝΤΗ</t>
  </si>
  <si>
    <t>ΑΕ964878</t>
  </si>
  <si>
    <t>756-777-775-803</t>
  </si>
  <si>
    <t>ΚΑΤΣΙΚΕΡΟΣ</t>
  </si>
  <si>
    <t>ΑΖ717712</t>
  </si>
  <si>
    <t>751-752-753-754-755-756-757-758-759-760-761-762-763-764-765-768-769-770-772-773-774-775-776-777-778-779-780-781-782-783-784-785-786-787-788-789-790-791-792-793-794-795-796-800-801-802-803-805-813-814</t>
  </si>
  <si>
    <t>ΠΑΛΑΝΤΖΑ</t>
  </si>
  <si>
    <t>ΑΗ769506</t>
  </si>
  <si>
    <t>801-784-778-781-782-779-780-761-794-757-758-759-760-764-765-785-786-787-788-789-790-791-792-793-795-796-762-763</t>
  </si>
  <si>
    <t>ΜΑΡΜΑΡΑ</t>
  </si>
  <si>
    <t>ΜΥΡΟΦΟΡΑ</t>
  </si>
  <si>
    <t>ΑΒΡΑΑΜ</t>
  </si>
  <si>
    <t>ΑΖ178188</t>
  </si>
  <si>
    <t>697,4</t>
  </si>
  <si>
    <t>ΑΑ318472</t>
  </si>
  <si>
    <t>754-755-756-753-772-805-765-764-801-751-752-759-760-785-786-787-788-789-790-791-792-793-794-795-796-813-784-768-769-770-778-779-780-781-782-775-776-777-802-803-773-774-800-783-814</t>
  </si>
  <si>
    <t>ΜΑΚΡΥΓΙΑΝΝΑΚΗ</t>
  </si>
  <si>
    <t>Ρ827786</t>
  </si>
  <si>
    <t>695,2</t>
  </si>
  <si>
    <t>775-776-777-765-802-803-757-758-764-768</t>
  </si>
  <si>
    <t>ΑΜ739861</t>
  </si>
  <si>
    <t>772-756-755-753-754-805-768-769-770-784</t>
  </si>
  <si>
    <t>ΤΑΒΟΥΛΑΡΗ</t>
  </si>
  <si>
    <t>ΑΚ737201</t>
  </si>
  <si>
    <t>792-790-793-791-789-788-787-786-760-759-785-794-795-796-757-758</t>
  </si>
  <si>
    <t>ΔΡΑΚΟΓΙΑΝΝΗ</t>
  </si>
  <si>
    <t>ΑΚ002501</t>
  </si>
  <si>
    <t>786-787-788-793-795-794-757-789-758-759-760-792-790-764-768-769-770-785</t>
  </si>
  <si>
    <t>ΣΠΥΡΙΔΟΠΟΥΛΟΥ</t>
  </si>
  <si>
    <t>ΑΓΟΥΡΙΤΣΑ</t>
  </si>
  <si>
    <t>X538770</t>
  </si>
  <si>
    <t>792-760-757-764-761-786-796-794-795-788-791-785-793-758-789-790-765-752</t>
  </si>
  <si>
    <t>ΑΒ750339</t>
  </si>
  <si>
    <t>756-754-755-753-801</t>
  </si>
  <si>
    <t>ΜΟΥΖΟΠΟΥΛΟΥ</t>
  </si>
  <si>
    <t>ΤΙΜΠΛΑΛΕΞΗ</t>
  </si>
  <si>
    <t>ΧΡΙΣΤΟΣ</t>
  </si>
  <si>
    <t>ΑΚ051647</t>
  </si>
  <si>
    <t>796-791-794-795-792-790-786-787-793-789-788-760-785-758-759-757-761-764-765</t>
  </si>
  <si>
    <t>ΧΑΤΖΗΕΡΓΑΤΗΣ</t>
  </si>
  <si>
    <t>ΑΙ687268</t>
  </si>
  <si>
    <t>796-786-787-789-788-793</t>
  </si>
  <si>
    <t>ΦΛΩΡΟΥ</t>
  </si>
  <si>
    <t>Σ352563</t>
  </si>
  <si>
    <t>779-780-781-782-778-814-783-811-799-801-807-763-762-768-769-770-773-774-766-767-761-794-797-800-786-787-754-756-757-775-776-777-802-803-812</t>
  </si>
  <si>
    <t>ΣΤΑΥΡΙΑΝΑΚΗ</t>
  </si>
  <si>
    <t>ΑΙ144288</t>
  </si>
  <si>
    <t>796-791-789-785-786-787-788-793-794-795-790-792-757</t>
  </si>
  <si>
    <t>ΒΕΓΚΟΥ</t>
  </si>
  <si>
    <t>ΑΚ197470</t>
  </si>
  <si>
    <t>764-765-791-757-795-796-786-760-785-787-788-789-794-792-793-758-759-761</t>
  </si>
  <si>
    <t>ΠΑΝΤΟΥΛΑ</t>
  </si>
  <si>
    <t>ΑΚ470521</t>
  </si>
  <si>
    <t>776-777-775-803-802-788-765-764-761-757-758-791-759-789-790-792-793-796-794-795-786-787-785-760-752-751-754-755-753-756-768-769-770-813-814-778-779-780-781-782-801</t>
  </si>
  <si>
    <t>ΕΛΕΟΝΟΡΑ-ΒΑΡΒΑΡΑ</t>
  </si>
  <si>
    <t>ΑΙ801225</t>
  </si>
  <si>
    <t>752-751-756-754-755-753-772-805-785-786-787-788-789-790-791-792-793-794-795-796-758-759-757-760-764-765-782-781-780-779-778-770-813-769-768-801-776-777-775-802-803-784-783-773-774-800-814-771-797-798-806-810-812-804-808-811-762-763-767-766-809-799-936-937</t>
  </si>
  <si>
    <t>ΨΩΜΑ</t>
  </si>
  <si>
    <t>ΑΜΕΡΙΣΩ</t>
  </si>
  <si>
    <t>Χ920323</t>
  </si>
  <si>
    <t>804-936-764-765-759-794-796-786-793-787-788-789-791</t>
  </si>
  <si>
    <t>ΑΙ509604</t>
  </si>
  <si>
    <t>794-764-765-785-786-787-788-790-791-792-793-796</t>
  </si>
  <si>
    <t>ΔΟΓΑΡΗ</t>
  </si>
  <si>
    <t>Σ146239</t>
  </si>
  <si>
    <t>757-758-759-760-764-765-785-786-787-788-789-790-791-792-793-794-796-795</t>
  </si>
  <si>
    <t>ΓΙΑΝΝΟΠΟΥΛΟΣ</t>
  </si>
  <si>
    <t xml:space="preserve">ΜΙΧΑΗΛ </t>
  </si>
  <si>
    <t>ΑΕ224557</t>
  </si>
  <si>
    <t>756-757-759-764-768-786-787-782-796-781-801</t>
  </si>
  <si>
    <t>ΑΖ323680</t>
  </si>
  <si>
    <t>794-781-782-786-787-796-801-757-759-764-768-937-936-763-756-807-802-809-804-761</t>
  </si>
  <si>
    <t>ΒΙΛΤΑΝΙΩΤΗ</t>
  </si>
  <si>
    <t>Ρ591599</t>
  </si>
  <si>
    <t>ΜΠΑΚΑ</t>
  </si>
  <si>
    <t>ΑΙ077976</t>
  </si>
  <si>
    <t>785-786-787-788-789</t>
  </si>
  <si>
    <t>ΣΙΑΜΙΔΗΣ</t>
  </si>
  <si>
    <t>ΜΗΝΑΣ-ΑΛΚΙΒΙΑΔΗΣ</t>
  </si>
  <si>
    <t>ΑΚ264719</t>
  </si>
  <si>
    <t>ΤΣΕΒΑ</t>
  </si>
  <si>
    <t>ΑΒ534010</t>
  </si>
  <si>
    <t>680,9</t>
  </si>
  <si>
    <t>794-795-785-786-787-788-789-790-791-796-793-759-761-758-757-792-760-764-765</t>
  </si>
  <si>
    <t>ΑΖ237946</t>
  </si>
  <si>
    <t>762-800-754-755-756-753-778-779-780-781-782-797-801-761-759-760-785-786-787-788-789-790-791-792-793-794-795-796-764</t>
  </si>
  <si>
    <t>Χ298633</t>
  </si>
  <si>
    <t>ΘΕΟΣ</t>
  </si>
  <si>
    <t>ΑΒ755431</t>
  </si>
  <si>
    <t>676,5</t>
  </si>
  <si>
    <t>753-754-755-756-751-752-757-758-759-760-761-762-763-764-765-766-767-768-769-770-771-772-773-774-775-776-777-778-779-780-781-782-783-784-785-786-787-788-789-790-791-792-793-794-795-796-797-798-799-800-801-802-803-804-805-806-807-808-809-810-811-812-813-814-936-937</t>
  </si>
  <si>
    <t>Ρ301082</t>
  </si>
  <si>
    <t>751-752-753-754-755-756-764-765-768-769-770-772-773-774-783-784-785-786-792-800-801-805-813-814</t>
  </si>
  <si>
    <t>ΒΟΥΡΓΟΥΤΖΗ</t>
  </si>
  <si>
    <t>Χ030384</t>
  </si>
  <si>
    <t>794-764-796-759-757-787-786</t>
  </si>
  <si>
    <t>ΖΩΡΖΟΥ</t>
  </si>
  <si>
    <t>ΜΙΧΑΕΛΑ</t>
  </si>
  <si>
    <t>ΑΗ068168</t>
  </si>
  <si>
    <t>797-786-787-788-794-795-789-790-793-792-759-765-764-760</t>
  </si>
  <si>
    <t>ΚΟΥΛΟΥΡΑΣ</t>
  </si>
  <si>
    <t>ΡΑΦΑΗΛ</t>
  </si>
  <si>
    <t>ΑΒ589887</t>
  </si>
  <si>
    <t>675,4</t>
  </si>
  <si>
    <t>MAKARIV</t>
  </si>
  <si>
    <t>MATILDA</t>
  </si>
  <si>
    <t>LUTFI</t>
  </si>
  <si>
    <t>BJ0980645</t>
  </si>
  <si>
    <t>794-796-786-787-764-759-757</t>
  </si>
  <si>
    <t>ΑΙ070180</t>
  </si>
  <si>
    <t>764-759-786-787-794-796</t>
  </si>
  <si>
    <t>ΣΕΓΚΟΥ</t>
  </si>
  <si>
    <t>ΑΖ561494</t>
  </si>
  <si>
    <t>796-786-787-757-794-759-764-758-760-785-788-795-756</t>
  </si>
  <si>
    <t>ΤΣΑΝΤΙΔΟΥ</t>
  </si>
  <si>
    <t>ΑΙΜΙΛΙΟΣ</t>
  </si>
  <si>
    <t>Χ433557</t>
  </si>
  <si>
    <t>674,3</t>
  </si>
  <si>
    <t>808-778-779-780-781-782-783-811-812-762-763-773-835-836-837-838-839-840-841-842-843-862</t>
  </si>
  <si>
    <t>ΦΙΛΙΠΠΑΚΟΥ</t>
  </si>
  <si>
    <t>ΤΖΑΝΕΤΟΣ</t>
  </si>
  <si>
    <t>Τ011625</t>
  </si>
  <si>
    <t>764-791-789-787-759-757</t>
  </si>
  <si>
    <t>ΖΑΛΟΚΩΣΤΑ</t>
  </si>
  <si>
    <t>ΧΑΡΟΥΛΑ</t>
  </si>
  <si>
    <t>ΑΕ611753</t>
  </si>
  <si>
    <t>772-753-754-755-756-752-751-757-758-759-760-761-764-785-786-787-788-789-790</t>
  </si>
  <si>
    <t>ΦΑΚΑ</t>
  </si>
  <si>
    <t>Σ587068</t>
  </si>
  <si>
    <t>667,7</t>
  </si>
  <si>
    <t>751-752-753-768-769-770-771-773-774-778-779-780-781-782-784-785-786-787-788-796-801-812-814</t>
  </si>
  <si>
    <t>ΚΑΤΡΙΒΕΣΗ</t>
  </si>
  <si>
    <t>ΑΕ227626</t>
  </si>
  <si>
    <t>756-757-759-764-768-781-782-786-787-794</t>
  </si>
  <si>
    <t>ΚΟΡΜΠΟΥ</t>
  </si>
  <si>
    <t>Μ884144</t>
  </si>
  <si>
    <t>666,6</t>
  </si>
  <si>
    <t>751-752-753-754-755-756-757-758-759-760-763-764-765-768-769-770-772-773-774-775-776-777-778-779-780-781-782-783-784-785-786-787-788-789-790-791-792-793-794-795-796-800-801-802-803-805-809-813-814-807</t>
  </si>
  <si>
    <t>ΔΗΜΟΠΟΥΛΟΥ</t>
  </si>
  <si>
    <t>ΑΖ816872</t>
  </si>
  <si>
    <t>665,5</t>
  </si>
  <si>
    <t>779-778-781-782-801-797-773-774-800-808-814-770-769-768-771-813-784-783-763-766-767-807-799-809-811-762-777-776-775-803-802-785-786-787-788-789-790-791-792-793-794-795-796-761-757-758-759-760-764-765-798-810-804-806-812-805-753-754-755-756-751-752-772</t>
  </si>
  <si>
    <t>ΚΑΒΑΛΑΡΑΚΗΣ</t>
  </si>
  <si>
    <t>ΓΙΩΡΓΟΣ</t>
  </si>
  <si>
    <t>ΑΗ965530</t>
  </si>
  <si>
    <t>775-803-802-776-777</t>
  </si>
  <si>
    <t>ΓΟΥΛΑ</t>
  </si>
  <si>
    <t>ΣΑΒΒΟΥΛΑ ΧΡΙΣΤΙΝΑ</t>
  </si>
  <si>
    <t>Χ779043</t>
  </si>
  <si>
    <t>ΣΩΤΗΡΙΟΥ</t>
  </si>
  <si>
    <t>Χ259184</t>
  </si>
  <si>
    <t>634,7</t>
  </si>
  <si>
    <t>664,7</t>
  </si>
  <si>
    <t>778-779-780-781-782-799-811-773-774</t>
  </si>
  <si>
    <t>ΣΑΧΣΕΝΙΔΟΥ</t>
  </si>
  <si>
    <t>ΑΒ361298</t>
  </si>
  <si>
    <t>663,3</t>
  </si>
  <si>
    <t>782-781-780-779-778-777-776-783-752-797-798-799-802-803-804-806-812-814-767-811-808-807-805-763-801-800-751-753-754-755-756-813-784</t>
  </si>
  <si>
    <t>ΑΓΓΕΛΙΔΑΚΗ</t>
  </si>
  <si>
    <t>Ρ319897</t>
  </si>
  <si>
    <t>ΚΟΥΤΣΟΛΑΜΠΡΟΠΟΥΛΟΥ</t>
  </si>
  <si>
    <t>ΑΕ584169</t>
  </si>
  <si>
    <t>ΣΟΥΛΑΚΗ</t>
  </si>
  <si>
    <t>ΑΖ066841</t>
  </si>
  <si>
    <t>790-787-786-789-796-788-785-795-794-791-792-793</t>
  </si>
  <si>
    <t>ΣΚΟΥΡΑ</t>
  </si>
  <si>
    <t>ΑΚ578344</t>
  </si>
  <si>
    <t>757-758-759-760-785-787-788-789-790-791-792-793-794-795-796</t>
  </si>
  <si>
    <t>ΚΑΛΟΓΙΑΝΝΗ</t>
  </si>
  <si>
    <t>ΑΚ657684</t>
  </si>
  <si>
    <t>794-796-791-788-787-789-795-786-785-790-792-793-757-758-759-760</t>
  </si>
  <si>
    <t>ΠΡΕΣΣΗ</t>
  </si>
  <si>
    <t>Σ145977</t>
  </si>
  <si>
    <t>794-795-757-786-787-785-788-789-791-793-765-764-760-759-758-790-796-792</t>
  </si>
  <si>
    <t>ΜΑΥΡΟΔΟΝΤΗ</t>
  </si>
  <si>
    <t>Χ539429</t>
  </si>
  <si>
    <t>794-795-792-786-788-757-758-759-760-787-789-790</t>
  </si>
  <si>
    <t>ΛΥΚΟΥΡΕΣΗ</t>
  </si>
  <si>
    <t>ΑΙ040471</t>
  </si>
  <si>
    <t>765-764-796-785-786-787-794-795-760-758-759-790-791-789-788-792-793-757-761</t>
  </si>
  <si>
    <t>ΚΑΛΑΙΤΖΗ ΣΑΛΗ</t>
  </si>
  <si>
    <t>ΧΟΥΣΕΙΝ</t>
  </si>
  <si>
    <t>ΣΕΜΠΑΕΤΗΝ</t>
  </si>
  <si>
    <t>ΑΗ374489</t>
  </si>
  <si>
    <t>809-767-807-766</t>
  </si>
  <si>
    <t>ΜΑΛΕΓΚΟΥ</t>
  </si>
  <si>
    <t xml:space="preserve">ΠΑΝΑΓΙΩΤΑ </t>
  </si>
  <si>
    <t>Ρ545667</t>
  </si>
  <si>
    <t>ΚΟΝΤΟΓΕΩΡΓΟΥ</t>
  </si>
  <si>
    <t>ΑΙ999075</t>
  </si>
  <si>
    <t>813-794-795-796-801-784-785-786-787-789-790-788-791-792-793-757-758-759-760-761-764-765-771-778-779-780-781-782-769-753-754-755-756-768-772-775-777-776-802-803-806-812-814-805-807-811-799-800-797-798-783-770-773-774-763-751-752-809-808-766-767-810-804-936-937</t>
  </si>
  <si>
    <t>ΣΧΙΖΑ</t>
  </si>
  <si>
    <t>Τ889424</t>
  </si>
  <si>
    <t>ΣΑΚΕΛΛΑΡΗ</t>
  </si>
  <si>
    <t>ΚΡΙΤΩΝ</t>
  </si>
  <si>
    <t>Σ730288</t>
  </si>
  <si>
    <t>791-794-788-790-792-789-795-757-796-793-786-787-758-759-761-760-785-764-765</t>
  </si>
  <si>
    <t>ΦΩΤΑΚΗΣ</t>
  </si>
  <si>
    <t>ΑΗ607968</t>
  </si>
  <si>
    <t>791-796-794-795-793-790-789-792-787-786-788-785-757-758-759-760-764-765-761</t>
  </si>
  <si>
    <t>ΜΠΑΡΛΑ</t>
  </si>
  <si>
    <t>ΑΖ999197</t>
  </si>
  <si>
    <t>771-813-801-784-770-754-764-787-788-789-790-791-792-793-794-795-796-752-753-755-756-778-779-780-781-782-805-776-777</t>
  </si>
  <si>
    <t>ΣΑΜΙΟΣ</t>
  </si>
  <si>
    <t>Φ231132</t>
  </si>
  <si>
    <t>794-795-777-775-776-802-803-757-758-759-760-764-765-785-786-787-788-789-790-791-792-793-796</t>
  </si>
  <si>
    <t>ΠΑΠΑ</t>
  </si>
  <si>
    <t>ΑΜ092626</t>
  </si>
  <si>
    <t>ΜΟΛΦΕΤΑ</t>
  </si>
  <si>
    <t>ΑΒ179194</t>
  </si>
  <si>
    <t>764-765-785-786-787-788-789-790-791-792-793-794-795-796-757-758-759-760-761</t>
  </si>
  <si>
    <t>ΔΗΜΗΤΡΙΑΔΟΥ</t>
  </si>
  <si>
    <t>ΑΖ659028</t>
  </si>
  <si>
    <t>ΚΟΝΤΟΓΙΑΝΝΗ</t>
  </si>
  <si>
    <t>ΙΩΑΝΝΑ - ΕΥΑΓΓΕΛΙΑ</t>
  </si>
  <si>
    <t>Χ566979</t>
  </si>
  <si>
    <t>764-785-787-786-789-791-790-788-796-794-795-792-793-759-757-760-758-765-752-751-778-779-780-781-782-784-801-813-776-754</t>
  </si>
  <si>
    <t>ΓΑΡΥΦΑΛΟΥ</t>
  </si>
  <si>
    <t>ΑΚ367839</t>
  </si>
  <si>
    <t>805-753-757-759-764-786-787-794-796</t>
  </si>
  <si>
    <t>ΦΟΥΝΤΟΥΛΗ</t>
  </si>
  <si>
    <t>ΠΑΤΡΑ</t>
  </si>
  <si>
    <t>Χ128810</t>
  </si>
  <si>
    <t>757-758-759-760-761-764-785-786-787-788-789-790-791-792-793-794-795-796</t>
  </si>
  <si>
    <t>ΠΕΤΣΗ</t>
  </si>
  <si>
    <t>ΑΝΝΑ ΜΑΡΙΑ</t>
  </si>
  <si>
    <t>ΧΡΗΣΤΑΚΗ</t>
  </si>
  <si>
    <t>ΑΜ156186</t>
  </si>
  <si>
    <t>ΜΟΣΧΟΥ</t>
  </si>
  <si>
    <t>ΑΒ171615</t>
  </si>
  <si>
    <t>797-790-791-794-796-795-757-786-787-788-789-792-793-785-759-760-764-765-805-782-781-780-779-778-756-755-754-753-752-751-777-776-775-803-802-801-768-769-770-773-774-800-784-783-813-814-772</t>
  </si>
  <si>
    <t>ΣΟΛΟΜΩΝΙΔΟΥ</t>
  </si>
  <si>
    <t>ΕΥΘΥΜΙΑ ΕΛΕΝΗ</t>
  </si>
  <si>
    <t>ΑΑ276393</t>
  </si>
  <si>
    <t>781-782-801-778-779-780</t>
  </si>
  <si>
    <t>Κολοβου</t>
  </si>
  <si>
    <t>Δημητρα</t>
  </si>
  <si>
    <t>Δημητριος</t>
  </si>
  <si>
    <t>ΑΖ767345</t>
  </si>
  <si>
    <t>ΦΙΛΗΣ</t>
  </si>
  <si>
    <t>ΑΜ002842</t>
  </si>
  <si>
    <t>786-787-796-794-759-757-764</t>
  </si>
  <si>
    <t>ΤΣΟΧΛΑ</t>
  </si>
  <si>
    <t>ΑΚ084606</t>
  </si>
  <si>
    <t>791-757-758-760-759-765-764-786-785-787-788-790-789-792-793-794-795-796-797-814-813-801-800-799-798-783-784-782-781-780-778</t>
  </si>
  <si>
    <t>ΓΙΑΣΕΜΑΚΗΣ</t>
  </si>
  <si>
    <t>Σ145396</t>
  </si>
  <si>
    <t>757-758-759-760-764-765-786-785-787-798-790-791-792-793-794-795-796-806-810-812</t>
  </si>
  <si>
    <t>ΑΗ055131</t>
  </si>
  <si>
    <t>764-765-794-795-788-790-791-789-793-792-796-786-787-785-757-758-759-760</t>
  </si>
  <si>
    <t>ΤΣΙΡΚΑ</t>
  </si>
  <si>
    <t>ΑΜ177504</t>
  </si>
  <si>
    <t>768-769-770-785-786-787-788-789-757-758-759-760-761-764-765-790-791-792-793-794-795-796</t>
  </si>
  <si>
    <t>ΜΠΑΡΤΖΗ</t>
  </si>
  <si>
    <t>ΒΛΑΣΙΟΣ</t>
  </si>
  <si>
    <t>Φ282494</t>
  </si>
  <si>
    <t>654,5</t>
  </si>
  <si>
    <t>927-751-752-816-765-764-785-786-787-788-789-790-791-792-793-794-795-796-916-917-918-919-920-921-922-815-757-758-759-760-761-820-821-901-902-903-904-929</t>
  </si>
  <si>
    <t>ΑΙΜΙΛΙΑ</t>
  </si>
  <si>
    <t>Τ277971</t>
  </si>
  <si>
    <t>ΠΟΥΛΟΠΟΥΛΟΣ</t>
  </si>
  <si>
    <t>ΑΚ484556</t>
  </si>
  <si>
    <t>775-802-776-803-777-812-797-814-798-804-810-806-752-755-756-753-782-781-778-780-779-765-764-801-793-791-790-796-794-757-759-761-768-769-770-786-787-788-789-795-751-800-774-758-783-784-792-805-785-763-762-760-766-767-809-807-808-771-773-772-811-813-799</t>
  </si>
  <si>
    <t>ΠΑΠΑΣΗΜΑΚΟΠΟΥΛΟΣ</t>
  </si>
  <si>
    <t>ΑΑ318991</t>
  </si>
  <si>
    <t>621,5</t>
  </si>
  <si>
    <t>651,5</t>
  </si>
  <si>
    <t>754-756-753-755-801-806-751-752-757-758-759-760-761-764-765-766-767-785-786-787-788-789-790-791-792-793-795-794-798-813-796-797-799-800-811-802-803-804-805-812-807-808-809-810-814-762-763-768-769-770-771-772-773-774-775-776-777-778-936-937</t>
  </si>
  <si>
    <t>ΚΟΥΝΑ</t>
  </si>
  <si>
    <t>ΚΩΝΣΤΑΝΤΙΝΑ-ΣΠΥΡΙΔΟΥΛΑ</t>
  </si>
  <si>
    <t>ΑΗ211960</t>
  </si>
  <si>
    <t>651,2</t>
  </si>
  <si>
    <t>756-753-754-755</t>
  </si>
  <si>
    <t>ΘΕΟΧΑΡΑΤΟΥ</t>
  </si>
  <si>
    <t>ΜΑΡΙΑ-ΑΓΓΕΛΙΚΗ</t>
  </si>
  <si>
    <t>ΣΠΥΡΟΓΕΡΑΣΙΜΟΣ</t>
  </si>
  <si>
    <t>Σ520251</t>
  </si>
  <si>
    <t>757-759-758</t>
  </si>
  <si>
    <t>ΓΙΑΝΝΟΥΚΑΚΟΥ</t>
  </si>
  <si>
    <t>ΑΕ086943</t>
  </si>
  <si>
    <t>757-796-786-787-759-764-768-756-801-781-782</t>
  </si>
  <si>
    <t>ΠΑΠΑΔΑΤΟΥ</t>
  </si>
  <si>
    <t>ΑΗ208085</t>
  </si>
  <si>
    <t>752-753-754-755-756-766-769-767-768-770-771-772-773-775-784-797-798-799-800-801-803-802-804-805-806-807-808-809-810-811-812-813-814</t>
  </si>
  <si>
    <t>ΣΚΛΑΒΟΥΝΟΥ</t>
  </si>
  <si>
    <t>ΑΗ730832</t>
  </si>
  <si>
    <t>646,8</t>
  </si>
  <si>
    <t>794-801-768-751-752-805-772-786-787-788-789-790-791-792-793-795-796</t>
  </si>
  <si>
    <t>ΑΖ452407</t>
  </si>
  <si>
    <t>781-782-779-778-780-773-808-814</t>
  </si>
  <si>
    <t>ΜΠΕΡΘΟΥΚΑ</t>
  </si>
  <si>
    <t>Χ610330</t>
  </si>
  <si>
    <t>ΚΑΡΑΠΑΝΟΥ</t>
  </si>
  <si>
    <t>Χ961844</t>
  </si>
  <si>
    <t>781-782-756-757-759-764-786-787-794-796-801-768-802-804-807-809-763</t>
  </si>
  <si>
    <t>ΚΩΝΣΤΑΝΤΟΠΟΥΛΟΥ</t>
  </si>
  <si>
    <t>Χ692722</t>
  </si>
  <si>
    <t>786-787-759-764-765-785-757-758-788-789-791-794-795-796-916-917-919-921-922</t>
  </si>
  <si>
    <t>ΠΑΝΑΓΙΩΤΟΥΛΙΑ</t>
  </si>
  <si>
    <t>ΑΙ 144536</t>
  </si>
  <si>
    <t>ΑΒ646432</t>
  </si>
  <si>
    <t>635,8</t>
  </si>
  <si>
    <t>792-794-795-812-764-791-760-761-786-787-789-758-759-796-793-790-788-785</t>
  </si>
  <si>
    <t>Ρ794638</t>
  </si>
  <si>
    <t>756-754-755-753-813</t>
  </si>
  <si>
    <t>ΑΜ290660</t>
  </si>
  <si>
    <t>ΠΑΣΙΟΠΟΥΛΟΥ</t>
  </si>
  <si>
    <t>ΑΛΕΚΟΣ</t>
  </si>
  <si>
    <t>Χ221989</t>
  </si>
  <si>
    <t>778-779-780-781-782-814-773-774-783-784-801</t>
  </si>
  <si>
    <t>ΑΙ313102</t>
  </si>
  <si>
    <t>ΑΚ595595</t>
  </si>
  <si>
    <t>785-761-794-795-796</t>
  </si>
  <si>
    <t>Σ888194</t>
  </si>
  <si>
    <t>775-776-777-802-803-804-936-810-812-806-797-798-805-772-752-751-753-754-755-756-809-807-811-808-773-774-763-762-800-783-799-814-937-757-758-759-760-761-764-765-785-786-787-788-789-790-791-792-793-794-795-796-778-779-780-781-782-768-769-770-771-813-801-784</t>
  </si>
  <si>
    <t>ΑΖ238564</t>
  </si>
  <si>
    <t>ΤΡΥΦΩΝΟΣ</t>
  </si>
  <si>
    <t>ΑΒ846446</t>
  </si>
  <si>
    <t>794-795-796-786-787-788-789-790-791-792-793-759-760-764-765-778-779-780-781-782-784-797</t>
  </si>
  <si>
    <t>ΡΩΜΑΝΟΣ</t>
  </si>
  <si>
    <t>Χ710359</t>
  </si>
  <si>
    <t>810-766-767-806-804-798-768-775-776-777-802-803-771-751-752-784-801-807-805-813-808-800-773-774-772-797-769-770-763-762-753-754-755-756-783-809-811-814-812-778-779-780-781-782-764-765-759-760-761-785-786-787-788-789-790-791-792-793-794-795-796-799-757-758</t>
  </si>
  <si>
    <t>ΜΠΑΚΑΛΟΠΟΥΛΟΥ</t>
  </si>
  <si>
    <t>ΑΒ147904</t>
  </si>
  <si>
    <t>781-782-779-778-808-814-811-773-774-799</t>
  </si>
  <si>
    <t>ΧΑΤΖΗΜΠΑΛΙΩΤΗ</t>
  </si>
  <si>
    <t>ΑΙ184601</t>
  </si>
  <si>
    <t>778-779-780-781-782-814-800-801-783-773-774-757-758-759-760-785-786-787-788-789-790-791-792-793-794-795-796-765-775-776-777-753-754-755-756-766-767-768-769-770-772-784-802-813-751-752-762-763-771-797-798-799-804-805-806-807-808-809-810-811-812-761</t>
  </si>
  <si>
    <t>ΑΑ316416</t>
  </si>
  <si>
    <t>ΔΕΝΑΡΔΟΣ</t>
  </si>
  <si>
    <t>ΑΗ599445</t>
  </si>
  <si>
    <t>794-786-787-759-757-764-796-781-782-801-768-763-756-802-804-807</t>
  </si>
  <si>
    <t>ΑΓΝΗ</t>
  </si>
  <si>
    <t>ΑΗ300488</t>
  </si>
  <si>
    <t>800-762-784-760-759-757-758-785-793-792-791-790-789-773-788-787-786-795-796-794-765-764-778-783-801-781-782-779-780-751-752-813-934-805-755-756-754-814-941-775-753-768-769-770-806-804-940-798-771-799-810-935-812-936-938-937</t>
  </si>
  <si>
    <t>ΧΗΡΑ</t>
  </si>
  <si>
    <t>ΑΚ385676</t>
  </si>
  <si>
    <t>632,5</t>
  </si>
  <si>
    <t>753-754-755-756-757-758-759-764-765-786-787-788-790-791-794-795-796-792-760-781-782-793-789-785-780-779-778-801-768-773-774-800-814-784-769-770-813-751-752-805-772-775-783-776-777-802-803-797-804-806-798-810-812-808-771-811-762-763-799-807-809-766-767</t>
  </si>
  <si>
    <t>ΘΗΛΥΖΑΣ</t>
  </si>
  <si>
    <t>ΑΑ348738</t>
  </si>
  <si>
    <t>769-768-770-901-902-903-904-916-917-918-919-920-921-922-755-758-759-760-761-764-765-785-786-787-788-789-790-791-792-793-794-795-796</t>
  </si>
  <si>
    <t>ΛΑΣΚΑΡΙΔΗ</t>
  </si>
  <si>
    <t>ΑΚ700406</t>
  </si>
  <si>
    <t>786-787-785-791-796-788-789-793-794-795-792-790-758-759-760-761-757-764-765</t>
  </si>
  <si>
    <t>ΠΟΛΥΧΡΟΝΙΔΟΥ</t>
  </si>
  <si>
    <t>ΑΗ584313</t>
  </si>
  <si>
    <t>787-786-785-788-789-790-791-792-793-794-795-759-760-761-765-764-801</t>
  </si>
  <si>
    <t>ΑΠΟΣΤΟΛΑΚΗ</t>
  </si>
  <si>
    <t>ΑΖ026276</t>
  </si>
  <si>
    <t>761-785-786-787-788-789-791-793-794-795-796</t>
  </si>
  <si>
    <t>ΔΙΑΒΟΛΟΥΔΑ</t>
  </si>
  <si>
    <t>ΑΕ197672</t>
  </si>
  <si>
    <t>588,5</t>
  </si>
  <si>
    <t>618,5</t>
  </si>
  <si>
    <t>Χ762568</t>
  </si>
  <si>
    <t>614,9</t>
  </si>
  <si>
    <t>781-779-780-782-778</t>
  </si>
  <si>
    <t>ΑΙ097650</t>
  </si>
  <si>
    <t>610,5</t>
  </si>
  <si>
    <t>805-764</t>
  </si>
  <si>
    <t>ΚΥΡΙΤΣΗ</t>
  </si>
  <si>
    <t>Ξ715972</t>
  </si>
  <si>
    <t>609,4</t>
  </si>
  <si>
    <t>784-801-768-781-782-757-759-764-763-786-787-794-796-756-802-804-807-809-760-766-762-765-769-770-778-779-780-783-788-789-790-791-792-793-795-800-803-805-810-811-812-751-752-753-754-755-758-772-773-774-775-776-777-797-798-799-813-814</t>
  </si>
  <si>
    <t>ΤΣΙΟΛΑΚΗ</t>
  </si>
  <si>
    <t>Ρ512533</t>
  </si>
  <si>
    <t>608,3</t>
  </si>
  <si>
    <t>758-757-759-760-764-765-793-796-794-785-786-788-789-790-791-792-795-778-779-780-781-782-814-751-752-753-754-755-756-768-769-770-771-772-773-774-783-784-813</t>
  </si>
  <si>
    <t>ΧΑΡΕΛΗ</t>
  </si>
  <si>
    <t>ΑΒ696568</t>
  </si>
  <si>
    <t>781-782-779-780-813</t>
  </si>
  <si>
    <t>ΜΑΡΑΜΕΝΙΔΟΥ</t>
  </si>
  <si>
    <t>ΑΙ144660</t>
  </si>
  <si>
    <t>791-760-790-796-795-794-786-787-789-793-788-785-792-757-758-759-765-764</t>
  </si>
  <si>
    <t>ΑΗ143000</t>
  </si>
  <si>
    <t>792-757-759-760-758-787-786-794-795-789-796-793-790-791-788-785</t>
  </si>
  <si>
    <t>ΑΓΟΡΙΤΣΑ</t>
  </si>
  <si>
    <t>ΑΕ329138</t>
  </si>
  <si>
    <t>801-813</t>
  </si>
  <si>
    <t>ΣΑΜΙΟΥ</t>
  </si>
  <si>
    <t>Ρ590347</t>
  </si>
  <si>
    <t>798-757-758-759-760-761-764-765-785-786-787-788-789-790-791-792-793-794-795-796-751-752-753-754-755-756</t>
  </si>
  <si>
    <t>ΤΣΟΜΠΑΝΑΚΗ</t>
  </si>
  <si>
    <t>ΑΗ096497</t>
  </si>
  <si>
    <t>793-785-786-787-788-789-790-791-792-757-758-759-760-794-795-796-764-765-752</t>
  </si>
  <si>
    <t>ΜΑΥΡΟΖΟΥΜΗΣ</t>
  </si>
  <si>
    <t>ΑΚ051241</t>
  </si>
  <si>
    <t>785-787-788-789-790-791-792-793-795-796-778-779-780-781-782-757-758-759-760-761-764-765-768-769-771-763-754-755-756-753-752-751-774-776-777-773-784-797-801-806-814-805-802-810-811-812-808-803-804-813-798</t>
  </si>
  <si>
    <t>ΚΟΡΟΒΕΣΗ</t>
  </si>
  <si>
    <t>Χ540758</t>
  </si>
  <si>
    <t>769-786-785-787-788-789-790-791-792-793-794-795-757-758-759-760-761-764-765-770-768-813-814-809-751-752-753-754-755-756-762-763-766-767-771-772-773-774-775-776-777-778-779-780-781-782-783-784-797-798-799-800-801-802-803-804-805-806-807-808-810-811-812-936-937</t>
  </si>
  <si>
    <t>ΓΡΑΜΠΗ</t>
  </si>
  <si>
    <t>ΑΙ129477</t>
  </si>
  <si>
    <t>793-791-789-788-790-757-796-759-787-794-795</t>
  </si>
  <si>
    <t>ΜΑΛΑΜΟΥ</t>
  </si>
  <si>
    <t>ΠΟΛΥΚΑΡΠΟΣ</t>
  </si>
  <si>
    <t>ΑΜ240859</t>
  </si>
  <si>
    <t>764-765-792-757-786-787-788-791-793-760-758-759-794-795-785-796-789-790</t>
  </si>
  <si>
    <t>ΚΑΤΑΡΑΧΙΑ</t>
  </si>
  <si>
    <t>Τ017957</t>
  </si>
  <si>
    <t>ΚΑΤΣΑΙΤΗ</t>
  </si>
  <si>
    <t>ΒΥΡΩΝ</t>
  </si>
  <si>
    <t>Χ801323</t>
  </si>
  <si>
    <t>801-753-754-755-756-772-757-758-759-760-764-765-785-786-787-788-789-790-791-792-793-794-795-796-751-752-805-813-778-779-780-781-782-814-768-769-770-783-784-800-773-774-775-776-777-802-803</t>
  </si>
  <si>
    <t>ΖΥΡΙΔΟΥ</t>
  </si>
  <si>
    <t>ΑΖ830845</t>
  </si>
  <si>
    <t>773-774-800-799-814-778-779-780-781-782-783-784-801-768-769-770-805-813-798-797-772-775-776-777-753-754-755-756-752-751-764-765-785-786-787-788-789-790-791-792-793-794-795-796-802-803-757-758-759-760-761-808-809-810-811-807-806-804-771-766-767-762-763</t>
  </si>
  <si>
    <t>ΜΑΥΡΟΔΑΚΟΥ</t>
  </si>
  <si>
    <t>Φ066271</t>
  </si>
  <si>
    <t>Χ536373</t>
  </si>
  <si>
    <t>ΚΑΝΕΛΛΟΠΟΥΛΟΥ</t>
  </si>
  <si>
    <t>ΑΖ014242</t>
  </si>
  <si>
    <t>ΑΒ171616</t>
  </si>
  <si>
    <t>792-757-795-794-758-759-760-791-788-787-786-785-789-790-793-796-764-765</t>
  </si>
  <si>
    <t>ΑΚ686014</t>
  </si>
  <si>
    <t>761-786-757-759-758-760-790-791-763-793-796</t>
  </si>
  <si>
    <t>ΓΚΕΡΣΑΝΗΣ</t>
  </si>
  <si>
    <t>ΑΖ304521</t>
  </si>
  <si>
    <t>781-782-780-779-778-814-783-800-801-757-758-785-786-788-792-793-795-789-790-791-787-794-796-759-760-764-765-772-773-774-776-777-775-784-768-769-754-756-805-803-802-751-752-753-755</t>
  </si>
  <si>
    <t>ΤΑΓΚΛΗ</t>
  </si>
  <si>
    <t>ΑΗ145759</t>
  </si>
  <si>
    <t>794-795-793-764-758-757-791-786-789</t>
  </si>
  <si>
    <t>ΑΒ864549</t>
  </si>
  <si>
    <t>800-781-778-782</t>
  </si>
  <si>
    <t>ΑΕ324468</t>
  </si>
  <si>
    <t>801-813-784</t>
  </si>
  <si>
    <t>ΣΟΦΟΥΛΗΣ</t>
  </si>
  <si>
    <t>ΑΗ641041</t>
  </si>
  <si>
    <t>757-758-759-760-794-795-796-764-765</t>
  </si>
  <si>
    <t>ΠΑΠΑΖΙΔΟΥ</t>
  </si>
  <si>
    <t>Χ629602</t>
  </si>
  <si>
    <t>757-760-764-758</t>
  </si>
  <si>
    <t>ΑΒ223259</t>
  </si>
  <si>
    <t>794-796-766-787-757-764-758-760-765-785-788-789-790-791-792-793-795-768-769-770</t>
  </si>
  <si>
    <t>Τ185130</t>
  </si>
  <si>
    <t>591,8</t>
  </si>
  <si>
    <t>761-765-794-795-796-764-786-787-788-789-790-792-758-759-791-757-793-785-760</t>
  </si>
  <si>
    <t>Χ763489</t>
  </si>
  <si>
    <t>584,1</t>
  </si>
  <si>
    <t>ΚΑΛΔΗ</t>
  </si>
  <si>
    <t>ΑΖ673421</t>
  </si>
  <si>
    <t>799-808-763-811-778-782-781-779-780-783-814-773-774-800-807-762-784-771-801-776-777-775-803-802-809-813-767-766-768-769-770-797-798-804-810-806-812-936-937-757-758-759-760-764-765-785-786-787-788-789-790-791-792-793-794-795-796-751-752-753-754-755-756-772-805-761</t>
  </si>
  <si>
    <t>ΔΟΥΚΑΚΗ</t>
  </si>
  <si>
    <t>ΑΜ630866</t>
  </si>
  <si>
    <t>794-795-787-786-793-788-790-785-757-759-758-760-796-791-792-789-764-765-770-769-768-753-754-755-756-752-751-775-777-776-802-803-813</t>
  </si>
  <si>
    <t>ΠΑΝΟΥ</t>
  </si>
  <si>
    <t>ΑΚ760908</t>
  </si>
  <si>
    <t>801-791-794-786-787-782-768-764-771-790-763-761-759-757-756-762-767</t>
  </si>
  <si>
    <t>ΣΙΜΙΡΗ</t>
  </si>
  <si>
    <t>ΑΖ132592</t>
  </si>
  <si>
    <t>786-787-788-790-793-796-785-791-789-794-795-758-759-760-757-792-764-765</t>
  </si>
  <si>
    <t>ΤΣΑΤΣΑ</t>
  </si>
  <si>
    <t>ΑΕ111979</t>
  </si>
  <si>
    <t>771-761-794-795-786-787-757-792-791-758-759-796-793-785-789-760-788-790-764-765-813-770-801-753-754-755-756-751-752-778-779-780-781-782</t>
  </si>
  <si>
    <t>ΧΡΙΣΤΟΦΟΡΙΔΗ</t>
  </si>
  <si>
    <t>ΑΖ057507</t>
  </si>
  <si>
    <t>757-794-787-786-759-796-764-782-781-756-801-768-802-804-763-807-809-761</t>
  </si>
  <si>
    <t>ΚΑΡΑΚΩΣΤΑ</t>
  </si>
  <si>
    <t>ΑΒ210879</t>
  </si>
  <si>
    <t>757-758-759-760-761-764-765-768-769-770-785-786-787-788-789-790-791-792-793-794-795-796</t>
  </si>
  <si>
    <t>ΦΩΤΗ</t>
  </si>
  <si>
    <t>Ν788722</t>
  </si>
  <si>
    <t>577,5</t>
  </si>
  <si>
    <t>780-781-782-783-800-801-805-773-774-778-779-768-769-770-758-759-764-765-751-752-753-754-755-756-757-814-813-784-785-786-787-788-789-790-791-792-793-794-795-796</t>
  </si>
  <si>
    <t>ΚΡΟΥΚΗ</t>
  </si>
  <si>
    <t>ΑΗ248041</t>
  </si>
  <si>
    <t>801-757-759-760-764-787-794-796-800-813-758-761-762-763-770-771-778-779-780-781-782-784</t>
  </si>
  <si>
    <t>ΒΑΓΓΕΛΗΣ</t>
  </si>
  <si>
    <t>ΑΒ806284</t>
  </si>
  <si>
    <t>781-778-779-780-782-908-909-910-911-912-939-785-786-787-788-789-790-791-792-793-794-795-796-916-917-918-919-920-921-922-757-758-759-760-901-902-903-904-764-765-762-800-925-926-797-933-801-928-784-914-915-753-754-755-756-898-899-900-773-774-811-932-799-923-924-940-798-935-814-937-941-942-783-913-808-763-938-929-770-768-769-927-807-931-809-766-767-905-906-813-934-771-751-752-772-805-775-776-777-907-812-804-936-810-802-803-806-930</t>
  </si>
  <si>
    <t>ΤΟΥΛΑΚΗ</t>
  </si>
  <si>
    <t>ΑΖ274022</t>
  </si>
  <si>
    <t>556,6</t>
  </si>
  <si>
    <t>Φ079064</t>
  </si>
  <si>
    <t>770-757-758-759-760-761-785-786-787-788-789-790-791-792-793-794-795-796-768-769-805-813-752-751-753-771-754-755-756-772-773-774-778-779-780-781-782-783-784-801-800-814-802-803-764-765-775-776-777</t>
  </si>
  <si>
    <t>ΠΙΣΠΙΡΙΚΟΥ</t>
  </si>
  <si>
    <t>ΑΗ765177</t>
  </si>
  <si>
    <t>801-784-800-779-780-782-781-778-799-813-762-774-773-808-811-758-759-760-765-814-757-792-789-786-787-788-793-785-795-794-796-764-770-768-769-771-790-791-783-797-798-806-809-802-803-805-775-776-777-752-751-756-755-753-754-767-766-810-807-804-772-812</t>
  </si>
  <si>
    <t>ΚΑΤΣΙΝΟΥΛΑ</t>
  </si>
  <si>
    <t>ΑΓΟΡΟΥΛΑ</t>
  </si>
  <si>
    <t>ΑΙ661229</t>
  </si>
  <si>
    <t>759-761-790-789-788-787-786-785-791-792-793-794-796-757-758-760-795-813-764-765-806-752-756-755-754-753-770-812-801-805-751-778-779-780-781-782-784-772-808-797-768-769-771-776-777-783-810-803-802-800-807-804-799-798-814-762-763-773-774-775-766-767-809-811</t>
  </si>
  <si>
    <t>ΝΟΤΑ ΜΟΣΧΟΥ</t>
  </si>
  <si>
    <t>ΑΕ186277</t>
  </si>
  <si>
    <t>ΑΒ495884</t>
  </si>
  <si>
    <t>768-769-770-761-794-757-758-759-760-791-785-786-787-788-789-790-792-793-795-796-812-797-798-775-776-777-764-765-752-778-779-780-781-782-802-803-814</t>
  </si>
  <si>
    <t>ΦΡΑΝΤΖΗΣ</t>
  </si>
  <si>
    <t>Σ381049</t>
  </si>
  <si>
    <t>ΧΑΡΑΛΑΜΠΟΠΟΥΛΟΥ</t>
  </si>
  <si>
    <t>ΑΙ774427</t>
  </si>
  <si>
    <t>756-751-752-753-754-755-757-758-759-760-761-762-763-764-765-766-767-768-769-770-771-772-773-774-775-776-777-778-779-780-781-782-783-784-785-786-787-788-789-790-791-792-793-794-795-796-797-798-799-800-801-802-803-804-806-805-807-808-809-810-811-812-813-814</t>
  </si>
  <si>
    <t>Σ030242</t>
  </si>
  <si>
    <t>757-758-759-760-764-765-785-786-788-787-789-790-791-792-793-794-795-796</t>
  </si>
  <si>
    <t>ΠΑΙΖΑΚΗ</t>
  </si>
  <si>
    <t>ΝΙΟΒΗ</t>
  </si>
  <si>
    <t>ΓΕΩΡΓΙΟΣ ΚΩΝΣΤΑΝΤΙΝΟΣ</t>
  </si>
  <si>
    <t>Σ006689</t>
  </si>
  <si>
    <t>794-795-786-796-785-789-790-792-788-787-791-793</t>
  </si>
  <si>
    <t>ΙΜΠΡΑΗΜ</t>
  </si>
  <si>
    <t xml:space="preserve"> ΠΕΡΧΑΝ</t>
  </si>
  <si>
    <t>ΡΕΤΖΕΠ</t>
  </si>
  <si>
    <t>ΑΗ410282</t>
  </si>
  <si>
    <t>ΓΑΛΑΝΟΥ</t>
  </si>
  <si>
    <t>ΔΑΜΑΡΙΣ</t>
  </si>
  <si>
    <t>ΔΗΜΗΤΡΙΟΣ-ΑΛΕΞΑΝΔΡΟΣ</t>
  </si>
  <si>
    <t>ΑΜ940897</t>
  </si>
  <si>
    <t>777-776-775-802-803-801-813-814-784-783-800-768-769-770-773-774-751-752-772-753-756-754-755-805-764-765-782-781-780-779-778-757-759-758-760-787-786-794-795-785-788-789-790-791-792-793-796-762-763-766-767-771-797-798-799-807-808-809-811-804-812-810-806-761</t>
  </si>
  <si>
    <t>ΚΟΥΝΕΛΗ</t>
  </si>
  <si>
    <t>ΑΙ035289</t>
  </si>
  <si>
    <t>785-786-787-788-789-790-791-792-793-794-795-796-764-765-760-759-758-757-751-752-753-754-755-756-762-768-769-770-771-772-773-774-775-776-777-778-779-780-781-782-783-784-798-799-800-801-802-803-804-805-806-807-808-809-810-811-812-813-814-766-767</t>
  </si>
  <si>
    <t>ΠΑΠΑΘΑΝΑΣΙΟΥ</t>
  </si>
  <si>
    <t>ΑΝΔΡΙΑΝΗ</t>
  </si>
  <si>
    <t>ΑΕ000689</t>
  </si>
  <si>
    <t>761-786-787-789-790-792-785-796-791-794-795-758-759-760-765-764-788-793-757-752-751-753-768-769-770</t>
  </si>
  <si>
    <t>ΜΟΣΧΟΒΗ</t>
  </si>
  <si>
    <t>ΑΒ177981</t>
  </si>
  <si>
    <t>791-794-757-758-759-760-764-785-786-787-788-789-790-792-793-795-796</t>
  </si>
  <si>
    <t xml:space="preserve">ΜΕΛΙΣΣΑΡΗ </t>
  </si>
  <si>
    <t>ΑΚ204803</t>
  </si>
  <si>
    <t>ΓΚΑΛΙΤΣΑ</t>
  </si>
  <si>
    <t>ΑΖ300021</t>
  </si>
  <si>
    <t>800-762-801-803-802-814-813-804-805-810-809-806-807-808-811-812-794-795-784-796-797-798-799-783-775-776-777-778-779-780-781-782-768-769-770-771-772-773-774-763-751-752-753-754-755-756-757-758-759-760-761-764-765-766-767-785-786-787-788-789-790-791-792-793</t>
  </si>
  <si>
    <t>ΤΣΙΓΑΡΙΔΑΣ</t>
  </si>
  <si>
    <t>ΑΑ012661</t>
  </si>
  <si>
    <t>757-758-759-760-764-785-786-787-788-789-790-791-792-793-794-795-796-765</t>
  </si>
  <si>
    <t>ΑΕ714696</t>
  </si>
  <si>
    <t>756-755-754-753-806</t>
  </si>
  <si>
    <t>ΤΣΑΠΑΛΙΑΡΗ</t>
  </si>
  <si>
    <t>Χ603848</t>
  </si>
  <si>
    <t>785-786-787-788-789-790-791-792-793-794-795-796-757-758-759-760-761-764-765-753-754-756-768-769-770-772-778-779-780-781-782-797-798-812-810-806-751-752-762-763-766-767-771-773-774-775-776-777-783-784-799-800-801-802-803-804-805-807-808-809-811-813-814</t>
  </si>
  <si>
    <t>ΔΗΜΑΚΑΚΟΥ</t>
  </si>
  <si>
    <t>ΜΑΤΟΥΛΑ</t>
  </si>
  <si>
    <t>Χ572130</t>
  </si>
  <si>
    <t>757-758-759-760-764-765-778-779-780-781-782-785-786-787-788-789-790-791-792-793-794-795-796-814-809-808-807-805-801-800-799-784-783-774-773-772-771-770-769-768-767-766-756-755-754-753-752-751-775-776-777-797-798-802-803-804-810-811-812-813</t>
  </si>
  <si>
    <t>ΔΕΝΔΡΙΝΟΥ</t>
  </si>
  <si>
    <t>Χ566571</t>
  </si>
  <si>
    <t>754-758-759-760-761-764-765-775-776-777-785-786-787-788-789-790-791-792-793-794-795-796-803-804</t>
  </si>
  <si>
    <t>ΚΑΛΟΔΗΜΟΥ</t>
  </si>
  <si>
    <t>Χ197655</t>
  </si>
  <si>
    <t>751-752-753-754-755-756-757-758-759-760-761-762-763-764-765-766-768-767-769-770-771-772-773-774-775-776-777-778-779-780-781-782-783-784-785-786-787-788-789-790-791-792-793-794-795-796-797-798-799-800-801-802-803-804-805-806-807-808-809-810-811-812-813-814</t>
  </si>
  <si>
    <t>ΜΑΝΤΑΡΑΣ</t>
  </si>
  <si>
    <t>ΑΒ980834</t>
  </si>
  <si>
    <t>801-794-796-768-786-787-764-759-757-813-805-802</t>
  </si>
  <si>
    <t>ΑΛΒΑΝΙΤΗ</t>
  </si>
  <si>
    <t>ΜΥΡΤΩ</t>
  </si>
  <si>
    <t>ΑΒ218225</t>
  </si>
  <si>
    <t>757-758-760-785-786-787-788-789-790-791-792-793-794-795-796-761-759-764-765</t>
  </si>
  <si>
    <t>ΠΑΠΑΔΟΜΑΡΚΑΚΗ</t>
  </si>
  <si>
    <t>ΣΟΦΙΑ ΜΑΛΕΒΗ</t>
  </si>
  <si>
    <t>ΑΗ125397</t>
  </si>
  <si>
    <t>ΑΘΑΝΑΣΟΠΟΥΛΟΣ</t>
  </si>
  <si>
    <t>Χ648690</t>
  </si>
  <si>
    <t>ΠΛΕΣΣΑ</t>
  </si>
  <si>
    <t>ΓΕΡΑΣΙΜΙΑ</t>
  </si>
  <si>
    <t>ΑΗ216440</t>
  </si>
  <si>
    <t>753-754-755-771-763-769-765-758-759-803-802</t>
  </si>
  <si>
    <t>ΣΙΑΚΑΒΑΡΑ</t>
  </si>
  <si>
    <t>Χ407542</t>
  </si>
  <si>
    <t>448,8</t>
  </si>
  <si>
    <t>548,8</t>
  </si>
  <si>
    <t>796-795-794-793-792-791-790-789-788-787-786-785-757-760-761-758-759-764-765-778-779-780-781-782-801</t>
  </si>
  <si>
    <t>Χ803588</t>
  </si>
  <si>
    <t>534,6</t>
  </si>
  <si>
    <t>σκαντζος</t>
  </si>
  <si>
    <t>εμμανουηλ</t>
  </si>
  <si>
    <t>αθανασιος</t>
  </si>
  <si>
    <t>ΑΚ950211</t>
  </si>
  <si>
    <t>796-795-794-793-792-787-786-791-790-789-788-785-765-764-761-760-759-757-758</t>
  </si>
  <si>
    <t>ΓΟΥΔΡΟΥΜΑΝΙΔΟΥ</t>
  </si>
  <si>
    <t>ΑΗ157221</t>
  </si>
  <si>
    <t>778-789-780-781-782-799-808-814-774-773-811-783</t>
  </si>
  <si>
    <t>ΚΑΠΟΥΡΑΛΟΥ</t>
  </si>
  <si>
    <t>ΑΚ012821</t>
  </si>
  <si>
    <t>761-757-758-759-760-762-763-764-765-785-786-787-788-789-790-791-792-793-794-795-796-801-806</t>
  </si>
  <si>
    <t>ΑΗ851516</t>
  </si>
  <si>
    <t>456,5</t>
  </si>
  <si>
    <t>801-811-778-779-780-781-782-783-784-800-814-813-799-773-774-777-776-775-772-770-769-768-755-756-798-797-762-763-766-767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</si>
  <si>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</si>
  <si>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</si>
  <si>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</si>
  <si>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</si>
  <si>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</si>
  <si>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</si>
  <si>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</si>
  <si>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</si>
  <si>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2</t>
  </si>
  <si>
    <t>10:ΑΛΛΗ ΓΛΩΣΣΑ 1</t>
  </si>
  <si>
    <t>11:ΚΩΔΙΚΟΣ ΕΝΤΟΠΙΟΤΗΤΑΣ (8 ΨΥΧΙΑΤΡΙΚΕΣ ΔΟΜΕΣ, ΕΚΑ - 50% ΑΝΔΡΩΝ)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</si>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</sst>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71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5170</v>
      </c>
      <c r="C8" t="s">
        <v>13</v>
      </c>
      <c r="D8" t="s">
        <v>14</v>
      </c>
      <c r="E8" t="s">
        <v>15</v>
      </c>
      <c r="F8" t="s">
        <v>16</v>
      </c>
      <c r="G8" t="str">
        <f>"201511037936"</f>
        <v>201511037936</v>
      </c>
      <c r="H8">
        <v>1089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70</v>
      </c>
      <c r="P8">
        <v>0</v>
      </c>
      <c r="Q8">
        <v>0</v>
      </c>
      <c r="T8">
        <v>0</v>
      </c>
      <c r="U8">
        <v>1309</v>
      </c>
    </row>
    <row r="9" spans="1:21" x14ac:dyDescent="0.25">
      <c r="H9" t="s">
        <v>17</v>
      </c>
    </row>
    <row r="10" spans="1:21" x14ac:dyDescent="0.25">
      <c r="A10">
        <v>2</v>
      </c>
      <c r="B10">
        <v>8521</v>
      </c>
      <c r="C10" t="s">
        <v>18</v>
      </c>
      <c r="D10" t="s">
        <v>19</v>
      </c>
      <c r="E10" t="s">
        <v>20</v>
      </c>
      <c r="F10" t="s">
        <v>21</v>
      </c>
      <c r="G10" t="str">
        <f>"201111000077"</f>
        <v>201111000077</v>
      </c>
      <c r="H10" t="s">
        <v>22</v>
      </c>
      <c r="I10">
        <v>150</v>
      </c>
      <c r="J10">
        <v>30</v>
      </c>
      <c r="K10">
        <v>0</v>
      </c>
      <c r="L10">
        <v>0</v>
      </c>
      <c r="M10">
        <v>0</v>
      </c>
      <c r="N10">
        <v>30</v>
      </c>
      <c r="O10">
        <v>0</v>
      </c>
      <c r="P10">
        <v>0</v>
      </c>
      <c r="Q10">
        <v>0</v>
      </c>
      <c r="T10">
        <v>0</v>
      </c>
      <c r="U10" t="s">
        <v>23</v>
      </c>
    </row>
    <row r="11" spans="1:21" x14ac:dyDescent="0.25">
      <c r="H11" t="s">
        <v>24</v>
      </c>
    </row>
    <row r="12" spans="1:21" x14ac:dyDescent="0.25">
      <c r="A12">
        <v>3</v>
      </c>
      <c r="B12">
        <v>3382</v>
      </c>
      <c r="C12" t="s">
        <v>25</v>
      </c>
      <c r="D12" t="s">
        <v>26</v>
      </c>
      <c r="E12" t="s">
        <v>27</v>
      </c>
      <c r="F12" t="s">
        <v>28</v>
      </c>
      <c r="G12" t="str">
        <f>"00072827"</f>
        <v>00072827</v>
      </c>
      <c r="H12">
        <v>1100</v>
      </c>
      <c r="I12">
        <v>150</v>
      </c>
      <c r="J12">
        <v>30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T12">
        <v>0</v>
      </c>
      <c r="U12">
        <v>1280</v>
      </c>
    </row>
    <row r="13" spans="1:21" x14ac:dyDescent="0.25">
      <c r="H13" t="s">
        <v>29</v>
      </c>
    </row>
    <row r="14" spans="1:21" x14ac:dyDescent="0.25">
      <c r="A14">
        <v>4</v>
      </c>
      <c r="B14">
        <v>518</v>
      </c>
      <c r="C14" t="s">
        <v>30</v>
      </c>
      <c r="D14" t="s">
        <v>31</v>
      </c>
      <c r="E14" t="s">
        <v>32</v>
      </c>
      <c r="F14" t="s">
        <v>33</v>
      </c>
      <c r="G14" t="str">
        <f>"201511029259"</f>
        <v>201511029259</v>
      </c>
      <c r="H14">
        <v>1100</v>
      </c>
      <c r="I14">
        <v>150</v>
      </c>
      <c r="J14">
        <v>30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T14">
        <v>0</v>
      </c>
      <c r="U14">
        <v>1280</v>
      </c>
    </row>
    <row r="15" spans="1:21" x14ac:dyDescent="0.25">
      <c r="H15" t="s">
        <v>34</v>
      </c>
    </row>
    <row r="16" spans="1:21" x14ac:dyDescent="0.25">
      <c r="A16">
        <v>5</v>
      </c>
      <c r="B16">
        <v>8808</v>
      </c>
      <c r="C16" t="s">
        <v>35</v>
      </c>
      <c r="D16" t="s">
        <v>36</v>
      </c>
      <c r="E16" t="s">
        <v>37</v>
      </c>
      <c r="F16" t="s">
        <v>38</v>
      </c>
      <c r="G16" t="str">
        <f>"201511023341"</f>
        <v>201511023341</v>
      </c>
      <c r="H16">
        <v>1100</v>
      </c>
      <c r="I16">
        <v>150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T16">
        <v>0</v>
      </c>
      <c r="U16">
        <v>1280</v>
      </c>
    </row>
    <row r="17" spans="1:21" x14ac:dyDescent="0.25">
      <c r="H17" t="s">
        <v>39</v>
      </c>
    </row>
    <row r="18" spans="1:21" x14ac:dyDescent="0.25">
      <c r="A18">
        <v>6</v>
      </c>
      <c r="B18">
        <v>5658</v>
      </c>
      <c r="C18" t="s">
        <v>40</v>
      </c>
      <c r="D18" t="s">
        <v>41</v>
      </c>
      <c r="E18" t="s">
        <v>42</v>
      </c>
      <c r="F18" t="s">
        <v>43</v>
      </c>
      <c r="G18" t="str">
        <f>"201511040421"</f>
        <v>201511040421</v>
      </c>
      <c r="H18">
        <v>1089</v>
      </c>
      <c r="I18">
        <v>150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T18">
        <v>0</v>
      </c>
      <c r="U18">
        <v>1269</v>
      </c>
    </row>
    <row r="19" spans="1:21" x14ac:dyDescent="0.25">
      <c r="H19" t="s">
        <v>44</v>
      </c>
    </row>
    <row r="20" spans="1:21" x14ac:dyDescent="0.25">
      <c r="A20">
        <v>7</v>
      </c>
      <c r="B20">
        <v>418</v>
      </c>
      <c r="C20" t="s">
        <v>45</v>
      </c>
      <c r="D20" t="s">
        <v>46</v>
      </c>
      <c r="E20" t="s">
        <v>42</v>
      </c>
      <c r="F20" t="s">
        <v>47</v>
      </c>
      <c r="G20" t="str">
        <f>"201510004106"</f>
        <v>201510004106</v>
      </c>
      <c r="H20">
        <v>1056</v>
      </c>
      <c r="I20">
        <v>150</v>
      </c>
      <c r="J20">
        <v>30</v>
      </c>
      <c r="K20">
        <v>30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T20">
        <v>0</v>
      </c>
      <c r="U20">
        <v>1266</v>
      </c>
    </row>
    <row r="21" spans="1:21" x14ac:dyDescent="0.25">
      <c r="H21" t="s">
        <v>48</v>
      </c>
    </row>
    <row r="22" spans="1:21" x14ac:dyDescent="0.25">
      <c r="A22">
        <v>8</v>
      </c>
      <c r="B22">
        <v>332</v>
      </c>
      <c r="C22" t="s">
        <v>49</v>
      </c>
      <c r="D22" t="s">
        <v>50</v>
      </c>
      <c r="E22" t="s">
        <v>51</v>
      </c>
      <c r="F22" t="s">
        <v>52</v>
      </c>
      <c r="G22" t="str">
        <f>"201005000040"</f>
        <v>201005000040</v>
      </c>
      <c r="H22" t="s">
        <v>53</v>
      </c>
      <c r="I22">
        <v>150</v>
      </c>
      <c r="J22">
        <v>50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T22">
        <v>0</v>
      </c>
      <c r="U22" t="s">
        <v>54</v>
      </c>
    </row>
    <row r="23" spans="1:21" x14ac:dyDescent="0.25">
      <c r="H23" t="s">
        <v>55</v>
      </c>
    </row>
    <row r="24" spans="1:21" x14ac:dyDescent="0.25">
      <c r="A24">
        <v>9</v>
      </c>
      <c r="B24">
        <v>10006</v>
      </c>
      <c r="C24" t="s">
        <v>56</v>
      </c>
      <c r="D24" t="s">
        <v>57</v>
      </c>
      <c r="E24" t="s">
        <v>58</v>
      </c>
      <c r="F24" t="s">
        <v>59</v>
      </c>
      <c r="G24" t="str">
        <f>"00092588"</f>
        <v>00092588</v>
      </c>
      <c r="H24" t="s">
        <v>60</v>
      </c>
      <c r="I24">
        <v>150</v>
      </c>
      <c r="J24">
        <v>30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T24">
        <v>0</v>
      </c>
      <c r="U24" t="s">
        <v>61</v>
      </c>
    </row>
    <row r="25" spans="1:21" x14ac:dyDescent="0.25">
      <c r="H25" t="s">
        <v>62</v>
      </c>
    </row>
    <row r="26" spans="1:21" x14ac:dyDescent="0.25">
      <c r="A26">
        <v>10</v>
      </c>
      <c r="B26">
        <v>8334</v>
      </c>
      <c r="C26" t="s">
        <v>63</v>
      </c>
      <c r="D26" t="s">
        <v>64</v>
      </c>
      <c r="E26" t="s">
        <v>65</v>
      </c>
      <c r="F26" t="s">
        <v>66</v>
      </c>
      <c r="G26" t="str">
        <f>"00101847"</f>
        <v>00101847</v>
      </c>
      <c r="H26">
        <v>1100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T26">
        <v>1</v>
      </c>
      <c r="U26">
        <v>1250</v>
      </c>
    </row>
    <row r="27" spans="1:21" x14ac:dyDescent="0.25">
      <c r="H27" t="s">
        <v>67</v>
      </c>
    </row>
    <row r="28" spans="1:21" x14ac:dyDescent="0.25">
      <c r="A28">
        <v>11</v>
      </c>
      <c r="B28">
        <v>5184</v>
      </c>
      <c r="C28" t="s">
        <v>68</v>
      </c>
      <c r="D28" t="s">
        <v>69</v>
      </c>
      <c r="E28" t="s">
        <v>70</v>
      </c>
      <c r="F28" t="s">
        <v>71</v>
      </c>
      <c r="G28" t="str">
        <f>"201511013024"</f>
        <v>201511013024</v>
      </c>
      <c r="H28">
        <v>1100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T28">
        <v>0</v>
      </c>
      <c r="U28">
        <v>1250</v>
      </c>
    </row>
    <row r="29" spans="1:21" x14ac:dyDescent="0.25">
      <c r="H29" t="s">
        <v>72</v>
      </c>
    </row>
    <row r="30" spans="1:21" x14ac:dyDescent="0.25">
      <c r="A30">
        <v>12</v>
      </c>
      <c r="B30">
        <v>2409</v>
      </c>
      <c r="C30" t="s">
        <v>73</v>
      </c>
      <c r="D30" t="s">
        <v>74</v>
      </c>
      <c r="E30" t="s">
        <v>27</v>
      </c>
      <c r="F30" t="s">
        <v>75</v>
      </c>
      <c r="G30" t="str">
        <f>"201103000246"</f>
        <v>201103000246</v>
      </c>
      <c r="H30">
        <v>1100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T30">
        <v>1</v>
      </c>
      <c r="U30">
        <v>1250</v>
      </c>
    </row>
    <row r="31" spans="1:21" x14ac:dyDescent="0.25">
      <c r="H31" t="s">
        <v>76</v>
      </c>
    </row>
    <row r="32" spans="1:21" x14ac:dyDescent="0.25">
      <c r="A32">
        <v>13</v>
      </c>
      <c r="B32">
        <v>5449</v>
      </c>
      <c r="C32" t="s">
        <v>77</v>
      </c>
      <c r="D32" t="s">
        <v>78</v>
      </c>
      <c r="E32" t="s">
        <v>79</v>
      </c>
      <c r="F32" t="s">
        <v>80</v>
      </c>
      <c r="G32" t="str">
        <f>"00035964"</f>
        <v>00035964</v>
      </c>
      <c r="H32" t="s">
        <v>81</v>
      </c>
      <c r="I32">
        <v>150</v>
      </c>
      <c r="J32">
        <v>30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6</v>
      </c>
      <c r="S32">
        <v>809</v>
      </c>
      <c r="T32">
        <v>0</v>
      </c>
      <c r="U32" t="s">
        <v>82</v>
      </c>
    </row>
    <row r="33" spans="1:21" x14ac:dyDescent="0.25">
      <c r="H33" t="s">
        <v>83</v>
      </c>
    </row>
    <row r="34" spans="1:21" x14ac:dyDescent="0.25">
      <c r="A34">
        <v>14</v>
      </c>
      <c r="B34">
        <v>5449</v>
      </c>
      <c r="C34" t="s">
        <v>77</v>
      </c>
      <c r="D34" t="s">
        <v>78</v>
      </c>
      <c r="E34" t="s">
        <v>79</v>
      </c>
      <c r="F34" t="s">
        <v>80</v>
      </c>
      <c r="G34" t="str">
        <f>"00035964"</f>
        <v>00035964</v>
      </c>
      <c r="H34" t="s">
        <v>81</v>
      </c>
      <c r="I34">
        <v>150</v>
      </c>
      <c r="J34">
        <v>30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T34">
        <v>0</v>
      </c>
      <c r="U34" t="s">
        <v>82</v>
      </c>
    </row>
    <row r="35" spans="1:21" x14ac:dyDescent="0.25">
      <c r="H35" t="s">
        <v>83</v>
      </c>
    </row>
    <row r="36" spans="1:21" x14ac:dyDescent="0.25">
      <c r="A36">
        <v>15</v>
      </c>
      <c r="B36">
        <v>5516</v>
      </c>
      <c r="C36" t="s">
        <v>84</v>
      </c>
      <c r="D36" t="s">
        <v>85</v>
      </c>
      <c r="E36" t="s">
        <v>27</v>
      </c>
      <c r="F36" t="s">
        <v>86</v>
      </c>
      <c r="G36" t="str">
        <f>"201511026911"</f>
        <v>201511026911</v>
      </c>
      <c r="H36" t="s">
        <v>87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T36">
        <v>0</v>
      </c>
      <c r="U36" t="s">
        <v>88</v>
      </c>
    </row>
    <row r="37" spans="1:21" x14ac:dyDescent="0.25">
      <c r="H37" t="s">
        <v>89</v>
      </c>
    </row>
    <row r="38" spans="1:21" x14ac:dyDescent="0.25">
      <c r="A38">
        <v>16</v>
      </c>
      <c r="B38">
        <v>111</v>
      </c>
      <c r="C38" t="s">
        <v>90</v>
      </c>
      <c r="D38" t="s">
        <v>91</v>
      </c>
      <c r="E38" t="s">
        <v>27</v>
      </c>
      <c r="F38" t="s">
        <v>92</v>
      </c>
      <c r="G38" t="str">
        <f>"201406010118"</f>
        <v>201406010118</v>
      </c>
      <c r="H38">
        <v>1045</v>
      </c>
      <c r="I38">
        <v>150</v>
      </c>
      <c r="J38">
        <v>50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T38">
        <v>0</v>
      </c>
      <c r="U38">
        <v>1245</v>
      </c>
    </row>
    <row r="39" spans="1:21" x14ac:dyDescent="0.25">
      <c r="H39" t="s">
        <v>93</v>
      </c>
    </row>
    <row r="40" spans="1:21" x14ac:dyDescent="0.25">
      <c r="A40">
        <v>17</v>
      </c>
      <c r="B40">
        <v>499</v>
      </c>
      <c r="C40" t="s">
        <v>94</v>
      </c>
      <c r="D40" t="s">
        <v>95</v>
      </c>
      <c r="E40" t="s">
        <v>70</v>
      </c>
      <c r="F40" t="s">
        <v>96</v>
      </c>
      <c r="G40" t="str">
        <f>"00044909"</f>
        <v>00044909</v>
      </c>
      <c r="H40" t="s">
        <v>97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T40">
        <v>0</v>
      </c>
      <c r="U40" t="s">
        <v>98</v>
      </c>
    </row>
    <row r="41" spans="1:21" x14ac:dyDescent="0.25">
      <c r="H41" t="s">
        <v>99</v>
      </c>
    </row>
    <row r="42" spans="1:21" x14ac:dyDescent="0.25">
      <c r="A42">
        <v>18</v>
      </c>
      <c r="B42">
        <v>1485</v>
      </c>
      <c r="C42" t="s">
        <v>100</v>
      </c>
      <c r="D42" t="s">
        <v>101</v>
      </c>
      <c r="E42" t="s">
        <v>36</v>
      </c>
      <c r="F42" t="s">
        <v>102</v>
      </c>
      <c r="G42" t="str">
        <f>"00041476"</f>
        <v>00041476</v>
      </c>
      <c r="H42" t="s">
        <v>103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T42">
        <v>0</v>
      </c>
      <c r="U42" t="s">
        <v>104</v>
      </c>
    </row>
    <row r="43" spans="1:21" x14ac:dyDescent="0.25">
      <c r="H43" t="s">
        <v>105</v>
      </c>
    </row>
    <row r="44" spans="1:21" x14ac:dyDescent="0.25">
      <c r="A44">
        <v>19</v>
      </c>
      <c r="B44">
        <v>4851</v>
      </c>
      <c r="C44" t="s">
        <v>106</v>
      </c>
      <c r="D44" t="s">
        <v>107</v>
      </c>
      <c r="E44" t="s">
        <v>65</v>
      </c>
      <c r="F44" t="s">
        <v>108</v>
      </c>
      <c r="G44" t="str">
        <f>"201512001279"</f>
        <v>201512001279</v>
      </c>
      <c r="H44">
        <v>1089</v>
      </c>
      <c r="I44">
        <v>150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T44">
        <v>0</v>
      </c>
      <c r="U44">
        <v>1239</v>
      </c>
    </row>
    <row r="45" spans="1:21" x14ac:dyDescent="0.25">
      <c r="H45" t="s">
        <v>109</v>
      </c>
    </row>
    <row r="46" spans="1:21" x14ac:dyDescent="0.25">
      <c r="A46">
        <v>20</v>
      </c>
      <c r="B46">
        <v>9096</v>
      </c>
      <c r="C46" t="s">
        <v>110</v>
      </c>
      <c r="D46" t="s">
        <v>111</v>
      </c>
      <c r="E46" t="s">
        <v>112</v>
      </c>
      <c r="F46" t="s">
        <v>113</v>
      </c>
      <c r="G46" t="str">
        <f>"00083258"</f>
        <v>00083258</v>
      </c>
      <c r="H46">
        <v>1089</v>
      </c>
      <c r="I46">
        <v>150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T46">
        <v>1</v>
      </c>
      <c r="U46">
        <v>1239</v>
      </c>
    </row>
    <row r="47" spans="1:21" x14ac:dyDescent="0.25">
      <c r="H47" t="s">
        <v>114</v>
      </c>
    </row>
    <row r="48" spans="1:21" x14ac:dyDescent="0.25">
      <c r="A48">
        <v>21</v>
      </c>
      <c r="B48">
        <v>5071</v>
      </c>
      <c r="C48" t="s">
        <v>115</v>
      </c>
      <c r="D48" t="s">
        <v>116</v>
      </c>
      <c r="E48" t="s">
        <v>117</v>
      </c>
      <c r="F48" t="s">
        <v>118</v>
      </c>
      <c r="G48" t="str">
        <f>"201511037968"</f>
        <v>201511037968</v>
      </c>
      <c r="H48">
        <v>1089</v>
      </c>
      <c r="I48">
        <v>150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T48">
        <v>0</v>
      </c>
      <c r="U48">
        <v>1239</v>
      </c>
    </row>
    <row r="49" spans="1:21" x14ac:dyDescent="0.25">
      <c r="H49" t="s">
        <v>119</v>
      </c>
    </row>
    <row r="50" spans="1:21" x14ac:dyDescent="0.25">
      <c r="A50">
        <v>22</v>
      </c>
      <c r="B50">
        <v>3121</v>
      </c>
      <c r="C50" t="s">
        <v>120</v>
      </c>
      <c r="D50" t="s">
        <v>121</v>
      </c>
      <c r="E50" t="s">
        <v>122</v>
      </c>
      <c r="F50" t="s">
        <v>123</v>
      </c>
      <c r="G50" t="str">
        <f>"201410000134"</f>
        <v>201410000134</v>
      </c>
      <c r="H50" t="s">
        <v>124</v>
      </c>
      <c r="I50">
        <v>150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T50">
        <v>2</v>
      </c>
      <c r="U50" t="s">
        <v>125</v>
      </c>
    </row>
    <row r="51" spans="1:21" x14ac:dyDescent="0.25">
      <c r="H51" t="s">
        <v>126</v>
      </c>
    </row>
    <row r="52" spans="1:21" x14ac:dyDescent="0.25">
      <c r="A52">
        <v>23</v>
      </c>
      <c r="B52">
        <v>6551</v>
      </c>
      <c r="C52" t="s">
        <v>127</v>
      </c>
      <c r="D52" t="s">
        <v>128</v>
      </c>
      <c r="E52" t="s">
        <v>36</v>
      </c>
      <c r="F52" t="s">
        <v>129</v>
      </c>
      <c r="G52" t="str">
        <f>"201511043576"</f>
        <v>201511043576</v>
      </c>
      <c r="H52" t="s">
        <v>130</v>
      </c>
      <c r="I52">
        <v>150</v>
      </c>
      <c r="J52">
        <v>30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T52">
        <v>0</v>
      </c>
      <c r="U52" t="s">
        <v>131</v>
      </c>
    </row>
    <row r="53" spans="1:21" x14ac:dyDescent="0.25">
      <c r="H53" t="s">
        <v>132</v>
      </c>
    </row>
    <row r="54" spans="1:21" x14ac:dyDescent="0.25">
      <c r="A54">
        <v>24</v>
      </c>
      <c r="B54">
        <v>9635</v>
      </c>
      <c r="C54" t="s">
        <v>133</v>
      </c>
      <c r="D54" t="s">
        <v>134</v>
      </c>
      <c r="E54" t="s">
        <v>135</v>
      </c>
      <c r="F54" t="s">
        <v>136</v>
      </c>
      <c r="G54" t="str">
        <f>"201102000558"</f>
        <v>201102000558</v>
      </c>
      <c r="H54" t="s">
        <v>137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T54">
        <v>0</v>
      </c>
      <c r="U54" t="s">
        <v>138</v>
      </c>
    </row>
    <row r="55" spans="1:21" x14ac:dyDescent="0.25">
      <c r="H55" t="s">
        <v>139</v>
      </c>
    </row>
    <row r="56" spans="1:21" x14ac:dyDescent="0.25">
      <c r="A56">
        <v>25</v>
      </c>
      <c r="B56">
        <v>4649</v>
      </c>
      <c r="C56" t="s">
        <v>140</v>
      </c>
      <c r="D56" t="s">
        <v>141</v>
      </c>
      <c r="E56" t="s">
        <v>36</v>
      </c>
      <c r="F56" t="s">
        <v>142</v>
      </c>
      <c r="G56" t="str">
        <f>"201511019626"</f>
        <v>201511019626</v>
      </c>
      <c r="H56">
        <v>1078</v>
      </c>
      <c r="I56">
        <v>150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T56">
        <v>0</v>
      </c>
      <c r="U56">
        <v>1228</v>
      </c>
    </row>
    <row r="57" spans="1:21" x14ac:dyDescent="0.25">
      <c r="H57" t="s">
        <v>143</v>
      </c>
    </row>
    <row r="58" spans="1:21" x14ac:dyDescent="0.25">
      <c r="A58">
        <v>26</v>
      </c>
      <c r="B58">
        <v>1879</v>
      </c>
      <c r="C58" t="s">
        <v>144</v>
      </c>
      <c r="D58" t="s">
        <v>145</v>
      </c>
      <c r="E58" t="s">
        <v>122</v>
      </c>
      <c r="F58" t="s">
        <v>146</v>
      </c>
      <c r="G58" t="str">
        <f>"201511036383"</f>
        <v>201511036383</v>
      </c>
      <c r="H58">
        <v>1078</v>
      </c>
      <c r="I58">
        <v>150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T58">
        <v>0</v>
      </c>
      <c r="U58">
        <v>1228</v>
      </c>
    </row>
    <row r="59" spans="1:21" x14ac:dyDescent="0.25">
      <c r="H59" t="s">
        <v>147</v>
      </c>
    </row>
    <row r="60" spans="1:21" x14ac:dyDescent="0.25">
      <c r="A60">
        <v>27</v>
      </c>
      <c r="B60">
        <v>1960</v>
      </c>
      <c r="C60" t="s">
        <v>148</v>
      </c>
      <c r="D60" t="s">
        <v>85</v>
      </c>
      <c r="E60" t="s">
        <v>20</v>
      </c>
      <c r="F60" t="s">
        <v>149</v>
      </c>
      <c r="G60" t="str">
        <f>"201511029863"</f>
        <v>201511029863</v>
      </c>
      <c r="H60" t="s">
        <v>150</v>
      </c>
      <c r="I60">
        <v>150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T60">
        <v>0</v>
      </c>
      <c r="U60" t="s">
        <v>151</v>
      </c>
    </row>
    <row r="61" spans="1:21" x14ac:dyDescent="0.25">
      <c r="H61" t="s">
        <v>152</v>
      </c>
    </row>
    <row r="62" spans="1:21" x14ac:dyDescent="0.25">
      <c r="A62">
        <v>28</v>
      </c>
      <c r="B62">
        <v>8993</v>
      </c>
      <c r="C62" t="s">
        <v>153</v>
      </c>
      <c r="D62" t="s">
        <v>154</v>
      </c>
      <c r="E62" t="s">
        <v>155</v>
      </c>
      <c r="F62" t="s">
        <v>156</v>
      </c>
      <c r="G62" t="str">
        <f>"201511040228"</f>
        <v>201511040228</v>
      </c>
      <c r="H62" t="s">
        <v>150</v>
      </c>
      <c r="I62">
        <v>150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T62">
        <v>0</v>
      </c>
      <c r="U62" t="s">
        <v>151</v>
      </c>
    </row>
    <row r="63" spans="1:21" x14ac:dyDescent="0.25">
      <c r="H63" t="s">
        <v>157</v>
      </c>
    </row>
    <row r="64" spans="1:21" x14ac:dyDescent="0.25">
      <c r="A64">
        <v>29</v>
      </c>
      <c r="B64">
        <v>9870</v>
      </c>
      <c r="C64" t="s">
        <v>158</v>
      </c>
      <c r="D64" t="s">
        <v>145</v>
      </c>
      <c r="E64" t="s">
        <v>37</v>
      </c>
      <c r="F64" t="s">
        <v>159</v>
      </c>
      <c r="G64" t="str">
        <f>"201510004949"</f>
        <v>201510004949</v>
      </c>
      <c r="H64" t="s">
        <v>160</v>
      </c>
      <c r="I64">
        <v>150</v>
      </c>
      <c r="J64">
        <v>30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T64">
        <v>0</v>
      </c>
      <c r="U64" t="s">
        <v>161</v>
      </c>
    </row>
    <row r="65" spans="1:21" x14ac:dyDescent="0.25">
      <c r="H65" t="s">
        <v>162</v>
      </c>
    </row>
    <row r="66" spans="1:21" x14ac:dyDescent="0.25">
      <c r="A66">
        <v>30</v>
      </c>
      <c r="B66">
        <v>10599</v>
      </c>
      <c r="C66" t="s">
        <v>163</v>
      </c>
      <c r="D66" t="s">
        <v>164</v>
      </c>
      <c r="E66" t="s">
        <v>135</v>
      </c>
      <c r="F66" t="s">
        <v>165</v>
      </c>
      <c r="G66" t="str">
        <f>"201511031965"</f>
        <v>201511031965</v>
      </c>
      <c r="H66" t="s">
        <v>166</v>
      </c>
      <c r="I66">
        <v>150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T66">
        <v>0</v>
      </c>
      <c r="U66" t="s">
        <v>167</v>
      </c>
    </row>
    <row r="67" spans="1:21" x14ac:dyDescent="0.25">
      <c r="H67" t="s">
        <v>168</v>
      </c>
    </row>
    <row r="68" spans="1:21" x14ac:dyDescent="0.25">
      <c r="A68">
        <v>31</v>
      </c>
      <c r="B68">
        <v>2281</v>
      </c>
      <c r="C68" t="s">
        <v>169</v>
      </c>
      <c r="D68" t="s">
        <v>64</v>
      </c>
      <c r="E68" t="s">
        <v>42</v>
      </c>
      <c r="F68" t="s">
        <v>170</v>
      </c>
      <c r="G68" t="str">
        <f>"201511021483"</f>
        <v>201511021483</v>
      </c>
      <c r="H68">
        <v>1067</v>
      </c>
      <c r="I68">
        <v>150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T68">
        <v>0</v>
      </c>
      <c r="U68">
        <v>1217</v>
      </c>
    </row>
    <row r="69" spans="1:21" x14ac:dyDescent="0.25">
      <c r="H69" t="s">
        <v>171</v>
      </c>
    </row>
    <row r="70" spans="1:21" x14ac:dyDescent="0.25">
      <c r="A70">
        <v>32</v>
      </c>
      <c r="B70">
        <v>9090</v>
      </c>
      <c r="C70" t="s">
        <v>172</v>
      </c>
      <c r="D70" t="s">
        <v>173</v>
      </c>
      <c r="E70" t="s">
        <v>36</v>
      </c>
      <c r="F70" t="s">
        <v>174</v>
      </c>
      <c r="G70" t="str">
        <f>"00101284"</f>
        <v>00101284</v>
      </c>
      <c r="H70" t="s">
        <v>175</v>
      </c>
      <c r="I70">
        <v>150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T70">
        <v>2</v>
      </c>
      <c r="U70" t="s">
        <v>176</v>
      </c>
    </row>
    <row r="71" spans="1:21" x14ac:dyDescent="0.25">
      <c r="H71" t="s">
        <v>177</v>
      </c>
    </row>
    <row r="72" spans="1:21" x14ac:dyDescent="0.25">
      <c r="A72">
        <v>33</v>
      </c>
      <c r="B72">
        <v>2594</v>
      </c>
      <c r="C72" t="s">
        <v>178</v>
      </c>
      <c r="D72" t="s">
        <v>179</v>
      </c>
      <c r="E72" t="s">
        <v>36</v>
      </c>
      <c r="F72" t="s">
        <v>180</v>
      </c>
      <c r="G72" t="str">
        <f>"201511027402"</f>
        <v>201511027402</v>
      </c>
      <c r="H72" t="s">
        <v>181</v>
      </c>
      <c r="I72">
        <v>150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T72">
        <v>0</v>
      </c>
      <c r="U72" t="s">
        <v>182</v>
      </c>
    </row>
    <row r="73" spans="1:21" x14ac:dyDescent="0.25">
      <c r="H73" t="s">
        <v>183</v>
      </c>
    </row>
    <row r="74" spans="1:21" x14ac:dyDescent="0.25">
      <c r="A74">
        <v>34</v>
      </c>
      <c r="B74">
        <v>6977</v>
      </c>
      <c r="C74" t="s">
        <v>184</v>
      </c>
      <c r="D74" t="s">
        <v>185</v>
      </c>
      <c r="E74" t="s">
        <v>27</v>
      </c>
      <c r="F74" t="s">
        <v>186</v>
      </c>
      <c r="G74" t="str">
        <f>"00085897"</f>
        <v>00085897</v>
      </c>
      <c r="H74" t="s">
        <v>187</v>
      </c>
      <c r="I74">
        <v>150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T74">
        <v>0</v>
      </c>
      <c r="U74" t="s">
        <v>188</v>
      </c>
    </row>
    <row r="75" spans="1:21" x14ac:dyDescent="0.25">
      <c r="H75" t="s">
        <v>189</v>
      </c>
    </row>
    <row r="76" spans="1:21" x14ac:dyDescent="0.25">
      <c r="A76">
        <v>35</v>
      </c>
      <c r="B76">
        <v>3984</v>
      </c>
      <c r="C76" t="s">
        <v>190</v>
      </c>
      <c r="D76" t="s">
        <v>121</v>
      </c>
      <c r="E76" t="s">
        <v>191</v>
      </c>
      <c r="F76" t="s">
        <v>192</v>
      </c>
      <c r="G76" t="str">
        <f>"201601000418"</f>
        <v>201601000418</v>
      </c>
      <c r="H76" t="s">
        <v>193</v>
      </c>
      <c r="I76">
        <v>150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T76">
        <v>0</v>
      </c>
      <c r="U76" t="s">
        <v>194</v>
      </c>
    </row>
    <row r="77" spans="1:21" x14ac:dyDescent="0.25">
      <c r="H77" t="s">
        <v>195</v>
      </c>
    </row>
    <row r="78" spans="1:21" x14ac:dyDescent="0.25">
      <c r="A78">
        <v>36</v>
      </c>
      <c r="B78">
        <v>7176</v>
      </c>
      <c r="C78" t="s">
        <v>196</v>
      </c>
      <c r="D78" t="s">
        <v>64</v>
      </c>
      <c r="E78" t="s">
        <v>37</v>
      </c>
      <c r="F78" t="s">
        <v>197</v>
      </c>
      <c r="G78" t="str">
        <f>"201511028397"</f>
        <v>201511028397</v>
      </c>
      <c r="H78" t="s">
        <v>193</v>
      </c>
      <c r="I78">
        <v>150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T78">
        <v>0</v>
      </c>
      <c r="U78" t="s">
        <v>194</v>
      </c>
    </row>
    <row r="79" spans="1:21" x14ac:dyDescent="0.25">
      <c r="H79" t="s">
        <v>198</v>
      </c>
    </row>
    <row r="80" spans="1:21" x14ac:dyDescent="0.25">
      <c r="A80">
        <v>37</v>
      </c>
      <c r="B80">
        <v>4512</v>
      </c>
      <c r="C80" t="s">
        <v>199</v>
      </c>
      <c r="D80" t="s">
        <v>37</v>
      </c>
      <c r="E80" t="s">
        <v>200</v>
      </c>
      <c r="F80" t="s">
        <v>201</v>
      </c>
      <c r="G80" t="str">
        <f>"00034269"</f>
        <v>00034269</v>
      </c>
      <c r="H80">
        <v>1056</v>
      </c>
      <c r="I80">
        <v>150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T80">
        <v>0</v>
      </c>
      <c r="U80">
        <v>1206</v>
      </c>
    </row>
    <row r="81" spans="1:21" x14ac:dyDescent="0.25">
      <c r="H81" t="s">
        <v>202</v>
      </c>
    </row>
    <row r="82" spans="1:21" x14ac:dyDescent="0.25">
      <c r="A82">
        <v>38</v>
      </c>
      <c r="B82">
        <v>6333</v>
      </c>
      <c r="C82" t="s">
        <v>203</v>
      </c>
      <c r="D82" t="s">
        <v>64</v>
      </c>
      <c r="E82" t="s">
        <v>70</v>
      </c>
      <c r="F82" t="s">
        <v>204</v>
      </c>
      <c r="G82" t="str">
        <f>"00073245"</f>
        <v>00073245</v>
      </c>
      <c r="H82">
        <v>1056</v>
      </c>
      <c r="I82">
        <v>150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T82">
        <v>0</v>
      </c>
      <c r="U82">
        <v>1206</v>
      </c>
    </row>
    <row r="83" spans="1:21" x14ac:dyDescent="0.25">
      <c r="H83" t="s">
        <v>205</v>
      </c>
    </row>
    <row r="84" spans="1:21" x14ac:dyDescent="0.25">
      <c r="A84">
        <v>39</v>
      </c>
      <c r="B84">
        <v>4277</v>
      </c>
      <c r="C84" t="s">
        <v>206</v>
      </c>
      <c r="D84" t="s">
        <v>207</v>
      </c>
      <c r="E84" t="s">
        <v>37</v>
      </c>
      <c r="F84" t="s">
        <v>208</v>
      </c>
      <c r="G84" t="str">
        <f>"00002320"</f>
        <v>00002320</v>
      </c>
      <c r="H84" t="s">
        <v>209</v>
      </c>
      <c r="I84">
        <v>150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T84">
        <v>2</v>
      </c>
      <c r="U84" t="s">
        <v>210</v>
      </c>
    </row>
    <row r="85" spans="1:21" x14ac:dyDescent="0.25">
      <c r="H85">
        <v>804</v>
      </c>
    </row>
    <row r="86" spans="1:21" x14ac:dyDescent="0.25">
      <c r="A86">
        <v>40</v>
      </c>
      <c r="B86">
        <v>1757</v>
      </c>
      <c r="C86" t="s">
        <v>211</v>
      </c>
      <c r="D86" t="s">
        <v>212</v>
      </c>
      <c r="E86" t="s">
        <v>36</v>
      </c>
      <c r="F86" t="s">
        <v>213</v>
      </c>
      <c r="G86" t="str">
        <f>"201511016175"</f>
        <v>201511016175</v>
      </c>
      <c r="H86">
        <v>1023</v>
      </c>
      <c r="I86">
        <v>150</v>
      </c>
      <c r="J86">
        <v>30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T86">
        <v>0</v>
      </c>
      <c r="U86">
        <v>1203</v>
      </c>
    </row>
    <row r="87" spans="1:21" x14ac:dyDescent="0.25">
      <c r="H87" t="s">
        <v>214</v>
      </c>
    </row>
    <row r="88" spans="1:21" x14ac:dyDescent="0.25">
      <c r="A88">
        <v>41</v>
      </c>
      <c r="B88">
        <v>5525</v>
      </c>
      <c r="C88" t="s">
        <v>215</v>
      </c>
      <c r="D88" t="s">
        <v>57</v>
      </c>
      <c r="E88" t="s">
        <v>155</v>
      </c>
      <c r="F88" t="s">
        <v>216</v>
      </c>
      <c r="G88" t="str">
        <f>"00039853"</f>
        <v>00039853</v>
      </c>
      <c r="H88" t="s">
        <v>130</v>
      </c>
      <c r="I88">
        <v>150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T88">
        <v>0</v>
      </c>
      <c r="U88" t="s">
        <v>217</v>
      </c>
    </row>
    <row r="89" spans="1:21" x14ac:dyDescent="0.25">
      <c r="H89" t="s">
        <v>218</v>
      </c>
    </row>
    <row r="90" spans="1:21" x14ac:dyDescent="0.25">
      <c r="A90">
        <v>42</v>
      </c>
      <c r="B90">
        <v>10057</v>
      </c>
      <c r="C90" t="s">
        <v>219</v>
      </c>
      <c r="D90" t="s">
        <v>173</v>
      </c>
      <c r="E90" t="s">
        <v>42</v>
      </c>
      <c r="F90" t="s">
        <v>220</v>
      </c>
      <c r="G90" t="str">
        <f>"201511005228"</f>
        <v>201511005228</v>
      </c>
      <c r="H90" t="s">
        <v>221</v>
      </c>
      <c r="I90">
        <v>150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T90">
        <v>1</v>
      </c>
      <c r="U90" t="s">
        <v>222</v>
      </c>
    </row>
    <row r="91" spans="1:21" x14ac:dyDescent="0.25">
      <c r="H91" t="s">
        <v>223</v>
      </c>
    </row>
    <row r="92" spans="1:21" x14ac:dyDescent="0.25">
      <c r="A92">
        <v>43</v>
      </c>
      <c r="B92">
        <v>9583</v>
      </c>
      <c r="C92" t="s">
        <v>224</v>
      </c>
      <c r="D92" t="s">
        <v>64</v>
      </c>
      <c r="E92" t="s">
        <v>225</v>
      </c>
      <c r="F92" t="s">
        <v>226</v>
      </c>
      <c r="G92" t="str">
        <f>"200810000893"</f>
        <v>200810000893</v>
      </c>
      <c r="H92" t="s">
        <v>227</v>
      </c>
      <c r="I92">
        <v>150</v>
      </c>
      <c r="J92">
        <v>30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T92">
        <v>0</v>
      </c>
      <c r="U92" t="s">
        <v>228</v>
      </c>
    </row>
    <row r="93" spans="1:21" x14ac:dyDescent="0.25">
      <c r="H93" t="s">
        <v>229</v>
      </c>
    </row>
    <row r="94" spans="1:21" x14ac:dyDescent="0.25">
      <c r="A94">
        <v>44</v>
      </c>
      <c r="B94">
        <v>3209</v>
      </c>
      <c r="C94" t="s">
        <v>230</v>
      </c>
      <c r="D94" t="s">
        <v>231</v>
      </c>
      <c r="E94" t="s">
        <v>42</v>
      </c>
      <c r="F94" t="s">
        <v>232</v>
      </c>
      <c r="G94" t="str">
        <f>"201511007043"</f>
        <v>201511007043</v>
      </c>
      <c r="H94" t="s">
        <v>233</v>
      </c>
      <c r="I94">
        <v>150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T94">
        <v>0</v>
      </c>
      <c r="U94" t="s">
        <v>234</v>
      </c>
    </row>
    <row r="95" spans="1:21" x14ac:dyDescent="0.25">
      <c r="H95" t="s">
        <v>235</v>
      </c>
    </row>
    <row r="96" spans="1:21" x14ac:dyDescent="0.25">
      <c r="A96">
        <v>45</v>
      </c>
      <c r="B96">
        <v>2114</v>
      </c>
      <c r="C96" t="s">
        <v>236</v>
      </c>
      <c r="D96" t="s">
        <v>57</v>
      </c>
      <c r="E96" t="s">
        <v>42</v>
      </c>
      <c r="F96" t="s">
        <v>237</v>
      </c>
      <c r="G96" t="str">
        <f>"00086768"</f>
        <v>00086768</v>
      </c>
      <c r="H96" t="s">
        <v>233</v>
      </c>
      <c r="I96">
        <v>150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T96">
        <v>0</v>
      </c>
      <c r="U96" t="s">
        <v>234</v>
      </c>
    </row>
    <row r="97" spans="1:21" x14ac:dyDescent="0.25">
      <c r="H97" t="s">
        <v>238</v>
      </c>
    </row>
    <row r="98" spans="1:21" x14ac:dyDescent="0.25">
      <c r="A98">
        <v>46</v>
      </c>
      <c r="B98">
        <v>2569</v>
      </c>
      <c r="C98" t="s">
        <v>239</v>
      </c>
      <c r="D98" t="s">
        <v>240</v>
      </c>
      <c r="E98" t="s">
        <v>37</v>
      </c>
      <c r="F98" t="s">
        <v>241</v>
      </c>
      <c r="G98" t="str">
        <f>"201411002482"</f>
        <v>201411002482</v>
      </c>
      <c r="H98" t="s">
        <v>233</v>
      </c>
      <c r="I98">
        <v>150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T98">
        <v>0</v>
      </c>
      <c r="U98" t="s">
        <v>234</v>
      </c>
    </row>
    <row r="99" spans="1:21" x14ac:dyDescent="0.25">
      <c r="H99" t="s">
        <v>242</v>
      </c>
    </row>
    <row r="100" spans="1:21" x14ac:dyDescent="0.25">
      <c r="A100">
        <v>47</v>
      </c>
      <c r="B100">
        <v>7708</v>
      </c>
      <c r="C100" t="s">
        <v>243</v>
      </c>
      <c r="D100" t="s">
        <v>244</v>
      </c>
      <c r="E100" t="s">
        <v>27</v>
      </c>
      <c r="F100" t="s">
        <v>245</v>
      </c>
      <c r="G100" t="str">
        <f>"201511029023"</f>
        <v>201511029023</v>
      </c>
      <c r="H100" t="s">
        <v>246</v>
      </c>
      <c r="I100">
        <v>150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T100">
        <v>0</v>
      </c>
      <c r="U100" t="s">
        <v>247</v>
      </c>
    </row>
    <row r="101" spans="1:21" x14ac:dyDescent="0.25">
      <c r="H101" t="s">
        <v>248</v>
      </c>
    </row>
    <row r="102" spans="1:21" x14ac:dyDescent="0.25">
      <c r="A102">
        <v>48</v>
      </c>
      <c r="B102">
        <v>2733</v>
      </c>
      <c r="C102" t="s">
        <v>249</v>
      </c>
      <c r="D102" t="s">
        <v>95</v>
      </c>
      <c r="E102" t="s">
        <v>250</v>
      </c>
      <c r="F102" t="s">
        <v>251</v>
      </c>
      <c r="G102" t="str">
        <f>"201511017418"</f>
        <v>201511017418</v>
      </c>
      <c r="H102">
        <v>1045</v>
      </c>
      <c r="I102">
        <v>150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T102">
        <v>0</v>
      </c>
      <c r="U102">
        <v>1195</v>
      </c>
    </row>
    <row r="103" spans="1:21" x14ac:dyDescent="0.25">
      <c r="H103" t="s">
        <v>252</v>
      </c>
    </row>
    <row r="104" spans="1:21" x14ac:dyDescent="0.25">
      <c r="A104">
        <v>49</v>
      </c>
      <c r="B104">
        <v>10056</v>
      </c>
      <c r="C104" t="s">
        <v>253</v>
      </c>
      <c r="D104" t="s">
        <v>254</v>
      </c>
      <c r="E104" t="s">
        <v>255</v>
      </c>
      <c r="F104" t="s">
        <v>256</v>
      </c>
      <c r="G104" t="str">
        <f>"201512002365"</f>
        <v>201512002365</v>
      </c>
      <c r="H104">
        <v>1045</v>
      </c>
      <c r="I104">
        <v>150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T104">
        <v>0</v>
      </c>
      <c r="U104">
        <v>1195</v>
      </c>
    </row>
    <row r="105" spans="1:21" x14ac:dyDescent="0.25">
      <c r="H105" t="s">
        <v>257</v>
      </c>
    </row>
    <row r="106" spans="1:21" x14ac:dyDescent="0.25">
      <c r="A106">
        <v>50</v>
      </c>
      <c r="B106">
        <v>4713</v>
      </c>
      <c r="C106" t="s">
        <v>258</v>
      </c>
      <c r="D106" t="s">
        <v>164</v>
      </c>
      <c r="E106" t="s">
        <v>259</v>
      </c>
      <c r="F106" t="s">
        <v>260</v>
      </c>
      <c r="G106" t="str">
        <f>"201511016431"</f>
        <v>201511016431</v>
      </c>
      <c r="H106">
        <v>1045</v>
      </c>
      <c r="I106">
        <v>150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T106">
        <v>0</v>
      </c>
      <c r="U106">
        <v>1195</v>
      </c>
    </row>
    <row r="107" spans="1:21" x14ac:dyDescent="0.25">
      <c r="H107" t="s">
        <v>261</v>
      </c>
    </row>
    <row r="108" spans="1:21" x14ac:dyDescent="0.25">
      <c r="A108">
        <v>51</v>
      </c>
      <c r="B108">
        <v>1021</v>
      </c>
      <c r="C108" t="s">
        <v>262</v>
      </c>
      <c r="D108" t="s">
        <v>64</v>
      </c>
      <c r="E108" t="s">
        <v>263</v>
      </c>
      <c r="F108" t="s">
        <v>264</v>
      </c>
      <c r="G108" t="str">
        <f>"201511008809"</f>
        <v>201511008809</v>
      </c>
      <c r="H108">
        <v>1045</v>
      </c>
      <c r="I108">
        <v>150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T108">
        <v>0</v>
      </c>
      <c r="U108">
        <v>1195</v>
      </c>
    </row>
    <row r="109" spans="1:21" x14ac:dyDescent="0.25">
      <c r="H109" t="s">
        <v>265</v>
      </c>
    </row>
    <row r="110" spans="1:21" x14ac:dyDescent="0.25">
      <c r="A110">
        <v>52</v>
      </c>
      <c r="B110">
        <v>9977</v>
      </c>
      <c r="C110" t="s">
        <v>266</v>
      </c>
      <c r="D110" t="s">
        <v>267</v>
      </c>
      <c r="E110" t="s">
        <v>268</v>
      </c>
      <c r="F110" t="s">
        <v>269</v>
      </c>
      <c r="G110" t="str">
        <f>"00086191"</f>
        <v>00086191</v>
      </c>
      <c r="H110" t="s">
        <v>270</v>
      </c>
      <c r="I110">
        <v>150</v>
      </c>
      <c r="J110">
        <v>30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T110">
        <v>0</v>
      </c>
      <c r="U110" t="s">
        <v>271</v>
      </c>
    </row>
    <row r="111" spans="1:21" x14ac:dyDescent="0.25">
      <c r="H111" t="s">
        <v>272</v>
      </c>
    </row>
    <row r="112" spans="1:21" x14ac:dyDescent="0.25">
      <c r="A112">
        <v>53</v>
      </c>
      <c r="B112">
        <v>5843</v>
      </c>
      <c r="C112" t="s">
        <v>273</v>
      </c>
      <c r="D112" t="s">
        <v>274</v>
      </c>
      <c r="E112" t="s">
        <v>36</v>
      </c>
      <c r="F112" t="s">
        <v>275</v>
      </c>
      <c r="G112" t="str">
        <f>"00091223"</f>
        <v>00091223</v>
      </c>
      <c r="H112" t="s">
        <v>276</v>
      </c>
      <c r="I112">
        <v>150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T112">
        <v>2</v>
      </c>
      <c r="U112" t="s">
        <v>277</v>
      </c>
    </row>
    <row r="113" spans="1:21" x14ac:dyDescent="0.25">
      <c r="H113" t="s">
        <v>278</v>
      </c>
    </row>
    <row r="114" spans="1:21" x14ac:dyDescent="0.25">
      <c r="A114">
        <v>54</v>
      </c>
      <c r="B114">
        <v>586</v>
      </c>
      <c r="C114" t="s">
        <v>279</v>
      </c>
      <c r="D114" t="s">
        <v>280</v>
      </c>
      <c r="E114" t="s">
        <v>281</v>
      </c>
      <c r="F114" t="s">
        <v>282</v>
      </c>
      <c r="G114" t="str">
        <f>"00020891"</f>
        <v>00020891</v>
      </c>
      <c r="H114">
        <v>990</v>
      </c>
      <c r="I114">
        <v>150</v>
      </c>
      <c r="J114">
        <v>50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T114">
        <v>0</v>
      </c>
      <c r="U114">
        <v>1190</v>
      </c>
    </row>
    <row r="115" spans="1:21" x14ac:dyDescent="0.25">
      <c r="H115" t="s">
        <v>283</v>
      </c>
    </row>
    <row r="116" spans="1:21" x14ac:dyDescent="0.25">
      <c r="A116">
        <v>55</v>
      </c>
      <c r="B116">
        <v>2416</v>
      </c>
      <c r="C116" t="s">
        <v>284</v>
      </c>
      <c r="D116" t="s">
        <v>285</v>
      </c>
      <c r="E116" t="s">
        <v>36</v>
      </c>
      <c r="F116" t="s">
        <v>286</v>
      </c>
      <c r="G116" t="str">
        <f>"00017354"</f>
        <v>00017354</v>
      </c>
      <c r="H116" t="s">
        <v>160</v>
      </c>
      <c r="I116">
        <v>150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T116">
        <v>0</v>
      </c>
      <c r="U116" t="s">
        <v>287</v>
      </c>
    </row>
    <row r="117" spans="1:21" x14ac:dyDescent="0.25">
      <c r="H117">
        <v>781</v>
      </c>
    </row>
    <row r="118" spans="1:21" x14ac:dyDescent="0.25">
      <c r="A118">
        <v>56</v>
      </c>
      <c r="B118">
        <v>5198</v>
      </c>
      <c r="C118" t="s">
        <v>288</v>
      </c>
      <c r="D118" t="s">
        <v>289</v>
      </c>
      <c r="E118" t="s">
        <v>27</v>
      </c>
      <c r="F118" t="s">
        <v>290</v>
      </c>
      <c r="G118" t="str">
        <f>"200912000241"</f>
        <v>200912000241</v>
      </c>
      <c r="H118" t="s">
        <v>291</v>
      </c>
      <c r="I118">
        <v>150</v>
      </c>
      <c r="J118">
        <v>30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T118">
        <v>0</v>
      </c>
      <c r="U118" t="s">
        <v>292</v>
      </c>
    </row>
    <row r="119" spans="1:21" x14ac:dyDescent="0.25">
      <c r="H119" t="s">
        <v>293</v>
      </c>
    </row>
    <row r="120" spans="1:21" x14ac:dyDescent="0.25">
      <c r="A120">
        <v>57</v>
      </c>
      <c r="B120">
        <v>279</v>
      </c>
      <c r="C120" t="s">
        <v>294</v>
      </c>
      <c r="D120" t="s">
        <v>64</v>
      </c>
      <c r="E120" t="s">
        <v>42</v>
      </c>
      <c r="F120" t="s">
        <v>295</v>
      </c>
      <c r="G120" t="str">
        <f>"00023292"</f>
        <v>00023292</v>
      </c>
      <c r="H120" t="s">
        <v>296</v>
      </c>
      <c r="I120">
        <v>0</v>
      </c>
      <c r="J120">
        <v>70</v>
      </c>
      <c r="K120">
        <v>0</v>
      </c>
      <c r="L120">
        <v>50</v>
      </c>
      <c r="M120">
        <v>0</v>
      </c>
      <c r="N120">
        <v>0</v>
      </c>
      <c r="O120">
        <v>0</v>
      </c>
      <c r="P120">
        <v>0</v>
      </c>
      <c r="Q120">
        <v>0</v>
      </c>
      <c r="T120">
        <v>0</v>
      </c>
      <c r="U120" t="s">
        <v>297</v>
      </c>
    </row>
    <row r="121" spans="1:21" x14ac:dyDescent="0.25">
      <c r="H121" t="s">
        <v>298</v>
      </c>
    </row>
    <row r="122" spans="1:21" x14ac:dyDescent="0.25">
      <c r="A122">
        <v>58</v>
      </c>
      <c r="B122">
        <v>2234</v>
      </c>
      <c r="C122" t="s">
        <v>299</v>
      </c>
      <c r="D122" t="s">
        <v>300</v>
      </c>
      <c r="E122" t="s">
        <v>301</v>
      </c>
      <c r="F122" t="s">
        <v>302</v>
      </c>
      <c r="G122" t="str">
        <f>"00080412"</f>
        <v>00080412</v>
      </c>
      <c r="H122">
        <v>1034</v>
      </c>
      <c r="I122">
        <v>150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T122">
        <v>0</v>
      </c>
      <c r="U122">
        <v>1184</v>
      </c>
    </row>
    <row r="123" spans="1:21" x14ac:dyDescent="0.25">
      <c r="H123">
        <v>781</v>
      </c>
    </row>
    <row r="124" spans="1:21" x14ac:dyDescent="0.25">
      <c r="A124">
        <v>59</v>
      </c>
      <c r="B124">
        <v>725</v>
      </c>
      <c r="C124" t="s">
        <v>303</v>
      </c>
      <c r="D124" t="s">
        <v>304</v>
      </c>
      <c r="E124" t="s">
        <v>112</v>
      </c>
      <c r="F124" t="s">
        <v>305</v>
      </c>
      <c r="G124" t="str">
        <f>"00015934"</f>
        <v>00015934</v>
      </c>
      <c r="H124">
        <v>1034</v>
      </c>
      <c r="I124">
        <v>150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T124">
        <v>0</v>
      </c>
      <c r="U124">
        <v>1184</v>
      </c>
    </row>
    <row r="125" spans="1:21" x14ac:dyDescent="0.25">
      <c r="H125" t="s">
        <v>306</v>
      </c>
    </row>
    <row r="126" spans="1:21" x14ac:dyDescent="0.25">
      <c r="A126">
        <v>60</v>
      </c>
      <c r="B126">
        <v>7720</v>
      </c>
      <c r="C126" t="s">
        <v>307</v>
      </c>
      <c r="D126" t="s">
        <v>116</v>
      </c>
      <c r="E126" t="s">
        <v>79</v>
      </c>
      <c r="F126" t="s">
        <v>308</v>
      </c>
      <c r="G126" t="str">
        <f>"200807000262"</f>
        <v>200807000262</v>
      </c>
      <c r="H126" t="s">
        <v>309</v>
      </c>
      <c r="I126">
        <v>150</v>
      </c>
      <c r="J126">
        <v>70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T126">
        <v>0</v>
      </c>
      <c r="U126" t="s">
        <v>310</v>
      </c>
    </row>
    <row r="127" spans="1:21" x14ac:dyDescent="0.25">
      <c r="H127" t="s">
        <v>311</v>
      </c>
    </row>
    <row r="128" spans="1:21" x14ac:dyDescent="0.25">
      <c r="A128">
        <v>61</v>
      </c>
      <c r="B128">
        <v>1087</v>
      </c>
      <c r="C128" t="s">
        <v>312</v>
      </c>
      <c r="D128" t="s">
        <v>313</v>
      </c>
      <c r="E128" t="s">
        <v>122</v>
      </c>
      <c r="F128" t="s">
        <v>314</v>
      </c>
      <c r="G128" t="str">
        <f>"00020211"</f>
        <v>00020211</v>
      </c>
      <c r="H128" t="s">
        <v>315</v>
      </c>
      <c r="I128">
        <v>0</v>
      </c>
      <c r="J128">
        <v>70</v>
      </c>
      <c r="K128">
        <v>30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T128">
        <v>0</v>
      </c>
      <c r="U128" t="s">
        <v>316</v>
      </c>
    </row>
    <row r="129" spans="1:21" x14ac:dyDescent="0.25">
      <c r="H129" t="s">
        <v>317</v>
      </c>
    </row>
    <row r="130" spans="1:21" x14ac:dyDescent="0.25">
      <c r="A130">
        <v>62</v>
      </c>
      <c r="B130">
        <v>5508</v>
      </c>
      <c r="C130" t="s">
        <v>318</v>
      </c>
      <c r="D130" t="s">
        <v>319</v>
      </c>
      <c r="E130" t="s">
        <v>320</v>
      </c>
      <c r="F130" t="s">
        <v>321</v>
      </c>
      <c r="G130" t="str">
        <f>"00076336"</f>
        <v>00076336</v>
      </c>
      <c r="H130" t="s">
        <v>322</v>
      </c>
      <c r="I130">
        <v>150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T130">
        <v>0</v>
      </c>
      <c r="U130" t="s">
        <v>323</v>
      </c>
    </row>
    <row r="131" spans="1:21" x14ac:dyDescent="0.25">
      <c r="H131" t="s">
        <v>324</v>
      </c>
    </row>
    <row r="132" spans="1:21" x14ac:dyDescent="0.25">
      <c r="A132">
        <v>63</v>
      </c>
      <c r="B132">
        <v>5830</v>
      </c>
      <c r="C132" t="s">
        <v>325</v>
      </c>
      <c r="D132" t="s">
        <v>78</v>
      </c>
      <c r="E132" t="s">
        <v>27</v>
      </c>
      <c r="F132" t="s">
        <v>326</v>
      </c>
      <c r="G132" t="str">
        <f>"00092617"</f>
        <v>00092617</v>
      </c>
      <c r="H132" t="s">
        <v>327</v>
      </c>
      <c r="I132">
        <v>150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T132">
        <v>0</v>
      </c>
      <c r="U132" t="s">
        <v>328</v>
      </c>
    </row>
    <row r="133" spans="1:21" x14ac:dyDescent="0.25">
      <c r="H133" t="s">
        <v>329</v>
      </c>
    </row>
    <row r="134" spans="1:21" x14ac:dyDescent="0.25">
      <c r="A134">
        <v>64</v>
      </c>
      <c r="B134">
        <v>561</v>
      </c>
      <c r="C134" t="s">
        <v>330</v>
      </c>
      <c r="D134" t="s">
        <v>331</v>
      </c>
      <c r="E134" t="s">
        <v>332</v>
      </c>
      <c r="F134" t="s">
        <v>333</v>
      </c>
      <c r="G134" t="str">
        <f>"201511020833"</f>
        <v>201511020833</v>
      </c>
      <c r="H134" t="s">
        <v>334</v>
      </c>
      <c r="I134">
        <v>150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T134">
        <v>0</v>
      </c>
      <c r="U134" t="s">
        <v>335</v>
      </c>
    </row>
    <row r="135" spans="1:21" x14ac:dyDescent="0.25">
      <c r="H135" t="s">
        <v>336</v>
      </c>
    </row>
    <row r="136" spans="1:21" x14ac:dyDescent="0.25">
      <c r="A136">
        <v>65</v>
      </c>
      <c r="B136">
        <v>1813</v>
      </c>
      <c r="C136" t="s">
        <v>337</v>
      </c>
      <c r="D136" t="s">
        <v>338</v>
      </c>
      <c r="E136" t="s">
        <v>339</v>
      </c>
      <c r="F136" t="s">
        <v>340</v>
      </c>
      <c r="G136" t="str">
        <f>"201511039319"</f>
        <v>201511039319</v>
      </c>
      <c r="H136" t="s">
        <v>341</v>
      </c>
      <c r="I136">
        <v>150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T136">
        <v>0</v>
      </c>
      <c r="U136" t="s">
        <v>342</v>
      </c>
    </row>
    <row r="137" spans="1:21" x14ac:dyDescent="0.25">
      <c r="H137" t="s">
        <v>343</v>
      </c>
    </row>
    <row r="138" spans="1:21" x14ac:dyDescent="0.25">
      <c r="A138">
        <v>66</v>
      </c>
      <c r="B138">
        <v>3655</v>
      </c>
      <c r="C138" t="s">
        <v>344</v>
      </c>
      <c r="D138" t="s">
        <v>345</v>
      </c>
      <c r="E138" t="s">
        <v>36</v>
      </c>
      <c r="F138" t="s">
        <v>346</v>
      </c>
      <c r="G138" t="str">
        <f>"201402000975"</f>
        <v>201402000975</v>
      </c>
      <c r="H138">
        <v>1023</v>
      </c>
      <c r="I138">
        <v>150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T138">
        <v>0</v>
      </c>
      <c r="U138">
        <v>1173</v>
      </c>
    </row>
    <row r="139" spans="1:21" x14ac:dyDescent="0.25">
      <c r="H139" t="s">
        <v>347</v>
      </c>
    </row>
    <row r="140" spans="1:21" x14ac:dyDescent="0.25">
      <c r="A140">
        <v>67</v>
      </c>
      <c r="B140">
        <v>5111</v>
      </c>
      <c r="C140" t="s">
        <v>348</v>
      </c>
      <c r="D140" t="s">
        <v>349</v>
      </c>
      <c r="E140" t="s">
        <v>350</v>
      </c>
      <c r="F140" t="s">
        <v>351</v>
      </c>
      <c r="G140" t="str">
        <f>"00028447"</f>
        <v>00028447</v>
      </c>
      <c r="H140">
        <v>1023</v>
      </c>
      <c r="I140">
        <v>150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T140">
        <v>0</v>
      </c>
      <c r="U140">
        <v>1173</v>
      </c>
    </row>
    <row r="141" spans="1:21" x14ac:dyDescent="0.25">
      <c r="H141" t="s">
        <v>352</v>
      </c>
    </row>
    <row r="142" spans="1:21" x14ac:dyDescent="0.25">
      <c r="A142">
        <v>68</v>
      </c>
      <c r="B142">
        <v>8711</v>
      </c>
      <c r="C142" t="s">
        <v>353</v>
      </c>
      <c r="D142" t="s">
        <v>332</v>
      </c>
      <c r="E142" t="s">
        <v>354</v>
      </c>
      <c r="F142" t="s">
        <v>355</v>
      </c>
      <c r="G142" t="str">
        <f>"201511012650"</f>
        <v>201511012650</v>
      </c>
      <c r="H142">
        <v>1023</v>
      </c>
      <c r="I142">
        <v>150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T142">
        <v>0</v>
      </c>
      <c r="U142">
        <v>1173</v>
      </c>
    </row>
    <row r="143" spans="1:21" x14ac:dyDescent="0.25">
      <c r="H143" t="s">
        <v>356</v>
      </c>
    </row>
    <row r="144" spans="1:21" x14ac:dyDescent="0.25">
      <c r="A144">
        <v>69</v>
      </c>
      <c r="B144">
        <v>2521</v>
      </c>
      <c r="C144" t="s">
        <v>357</v>
      </c>
      <c r="D144" t="s">
        <v>121</v>
      </c>
      <c r="E144" t="s">
        <v>122</v>
      </c>
      <c r="F144" t="s">
        <v>358</v>
      </c>
      <c r="G144" t="str">
        <f>"200807000163"</f>
        <v>200807000163</v>
      </c>
      <c r="H144">
        <v>990</v>
      </c>
      <c r="I144">
        <v>150</v>
      </c>
      <c r="J144">
        <v>30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T144">
        <v>0</v>
      </c>
      <c r="U144">
        <v>1170</v>
      </c>
    </row>
    <row r="145" spans="1:21" x14ac:dyDescent="0.25">
      <c r="H145" t="s">
        <v>359</v>
      </c>
    </row>
    <row r="146" spans="1:21" x14ac:dyDescent="0.25">
      <c r="A146">
        <v>70</v>
      </c>
      <c r="B146">
        <v>8689</v>
      </c>
      <c r="C146" t="s">
        <v>360</v>
      </c>
      <c r="D146" t="s">
        <v>361</v>
      </c>
      <c r="E146" t="s">
        <v>362</v>
      </c>
      <c r="F146" t="s">
        <v>363</v>
      </c>
      <c r="G146" t="str">
        <f>"201310000002"</f>
        <v>201310000002</v>
      </c>
      <c r="H146">
        <v>990</v>
      </c>
      <c r="I146">
        <v>150</v>
      </c>
      <c r="J146">
        <v>30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T146">
        <v>1</v>
      </c>
      <c r="U146">
        <v>1170</v>
      </c>
    </row>
    <row r="147" spans="1:21" x14ac:dyDescent="0.25">
      <c r="H147" t="s">
        <v>364</v>
      </c>
    </row>
    <row r="148" spans="1:21" x14ac:dyDescent="0.25">
      <c r="A148">
        <v>71</v>
      </c>
      <c r="B148">
        <v>4840</v>
      </c>
      <c r="C148" t="s">
        <v>365</v>
      </c>
      <c r="D148" t="s">
        <v>57</v>
      </c>
      <c r="E148" t="s">
        <v>366</v>
      </c>
      <c r="F148" t="s">
        <v>367</v>
      </c>
      <c r="G148" t="str">
        <f>"201511032105"</f>
        <v>201511032105</v>
      </c>
      <c r="H148" t="s">
        <v>368</v>
      </c>
      <c r="I148">
        <v>150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6</v>
      </c>
      <c r="S148">
        <v>809</v>
      </c>
      <c r="T148">
        <v>0</v>
      </c>
      <c r="U148" t="s">
        <v>369</v>
      </c>
    </row>
    <row r="149" spans="1:21" x14ac:dyDescent="0.25">
      <c r="H149" t="s">
        <v>370</v>
      </c>
    </row>
    <row r="150" spans="1:21" x14ac:dyDescent="0.25">
      <c r="A150">
        <v>72</v>
      </c>
      <c r="B150">
        <v>4840</v>
      </c>
      <c r="C150" t="s">
        <v>365</v>
      </c>
      <c r="D150" t="s">
        <v>57</v>
      </c>
      <c r="E150" t="s">
        <v>366</v>
      </c>
      <c r="F150" t="s">
        <v>367</v>
      </c>
      <c r="G150" t="str">
        <f>"201511032105"</f>
        <v>201511032105</v>
      </c>
      <c r="H150" t="s">
        <v>368</v>
      </c>
      <c r="I150">
        <v>150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T150">
        <v>0</v>
      </c>
      <c r="U150" t="s">
        <v>369</v>
      </c>
    </row>
    <row r="151" spans="1:21" x14ac:dyDescent="0.25">
      <c r="H151" t="s">
        <v>370</v>
      </c>
    </row>
    <row r="152" spans="1:21" x14ac:dyDescent="0.25">
      <c r="A152">
        <v>73</v>
      </c>
      <c r="B152">
        <v>1600</v>
      </c>
      <c r="C152" t="s">
        <v>371</v>
      </c>
      <c r="D152" t="s">
        <v>372</v>
      </c>
      <c r="E152" t="s">
        <v>373</v>
      </c>
      <c r="F152" t="s">
        <v>374</v>
      </c>
      <c r="G152" t="str">
        <f>"201511031131"</f>
        <v>201511031131</v>
      </c>
      <c r="H152" t="s">
        <v>368</v>
      </c>
      <c r="I152">
        <v>150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T152">
        <v>0</v>
      </c>
      <c r="U152" t="s">
        <v>369</v>
      </c>
    </row>
    <row r="153" spans="1:21" x14ac:dyDescent="0.25">
      <c r="H153" t="s">
        <v>375</v>
      </c>
    </row>
    <row r="154" spans="1:21" x14ac:dyDescent="0.25">
      <c r="A154">
        <v>74</v>
      </c>
      <c r="B154">
        <v>4656</v>
      </c>
      <c r="C154" t="s">
        <v>376</v>
      </c>
      <c r="D154" t="s">
        <v>377</v>
      </c>
      <c r="E154" t="s">
        <v>366</v>
      </c>
      <c r="F154" t="s">
        <v>378</v>
      </c>
      <c r="G154" t="str">
        <f>"00095197"</f>
        <v>00095197</v>
      </c>
      <c r="H154" t="s">
        <v>368</v>
      </c>
      <c r="I154">
        <v>150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T154">
        <v>0</v>
      </c>
      <c r="U154" t="s">
        <v>369</v>
      </c>
    </row>
    <row r="155" spans="1:21" x14ac:dyDescent="0.25">
      <c r="H155" t="s">
        <v>379</v>
      </c>
    </row>
    <row r="156" spans="1:21" x14ac:dyDescent="0.25">
      <c r="A156">
        <v>75</v>
      </c>
      <c r="B156">
        <v>9847</v>
      </c>
      <c r="C156" t="s">
        <v>380</v>
      </c>
      <c r="D156" t="s">
        <v>207</v>
      </c>
      <c r="E156" t="s">
        <v>112</v>
      </c>
      <c r="F156" t="s">
        <v>381</v>
      </c>
      <c r="G156" t="str">
        <f>"201511030815"</f>
        <v>201511030815</v>
      </c>
      <c r="H156" t="s">
        <v>368</v>
      </c>
      <c r="I156">
        <v>150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T156">
        <v>2</v>
      </c>
      <c r="U156" t="s">
        <v>369</v>
      </c>
    </row>
    <row r="157" spans="1:21" x14ac:dyDescent="0.25">
      <c r="H157" t="s">
        <v>382</v>
      </c>
    </row>
    <row r="158" spans="1:21" x14ac:dyDescent="0.25">
      <c r="A158">
        <v>76</v>
      </c>
      <c r="B158">
        <v>9787</v>
      </c>
      <c r="C158" t="s">
        <v>383</v>
      </c>
      <c r="D158" t="s">
        <v>384</v>
      </c>
      <c r="E158" t="s">
        <v>37</v>
      </c>
      <c r="F158" t="s">
        <v>385</v>
      </c>
      <c r="G158" t="str">
        <f>"00095757"</f>
        <v>00095757</v>
      </c>
      <c r="H158" t="s">
        <v>87</v>
      </c>
      <c r="I158">
        <v>0</v>
      </c>
      <c r="J158">
        <v>70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T158">
        <v>0</v>
      </c>
      <c r="U158" t="s">
        <v>386</v>
      </c>
    </row>
    <row r="159" spans="1:21" x14ac:dyDescent="0.25">
      <c r="H159" t="s">
        <v>387</v>
      </c>
    </row>
    <row r="160" spans="1:21" x14ac:dyDescent="0.25">
      <c r="A160">
        <v>77</v>
      </c>
      <c r="B160">
        <v>9383</v>
      </c>
      <c r="C160" t="s">
        <v>388</v>
      </c>
      <c r="D160" t="s">
        <v>85</v>
      </c>
      <c r="E160" t="s">
        <v>250</v>
      </c>
      <c r="F160" t="s">
        <v>389</v>
      </c>
      <c r="G160" t="str">
        <f>"00085711"</f>
        <v>00085711</v>
      </c>
      <c r="H160" t="s">
        <v>390</v>
      </c>
      <c r="I160">
        <v>0</v>
      </c>
      <c r="J160">
        <v>30</v>
      </c>
      <c r="K160">
        <v>0</v>
      </c>
      <c r="L160">
        <v>50</v>
      </c>
      <c r="M160">
        <v>0</v>
      </c>
      <c r="N160">
        <v>0</v>
      </c>
      <c r="O160">
        <v>0</v>
      </c>
      <c r="P160">
        <v>0</v>
      </c>
      <c r="Q160">
        <v>0</v>
      </c>
      <c r="T160">
        <v>1</v>
      </c>
      <c r="U160" t="s">
        <v>391</v>
      </c>
    </row>
    <row r="161" spans="1:21" x14ac:dyDescent="0.25">
      <c r="H161" t="s">
        <v>392</v>
      </c>
    </row>
    <row r="162" spans="1:21" x14ac:dyDescent="0.25">
      <c r="A162">
        <v>78</v>
      </c>
      <c r="B162">
        <v>6116</v>
      </c>
      <c r="C162" t="s">
        <v>393</v>
      </c>
      <c r="D162" t="s">
        <v>394</v>
      </c>
      <c r="E162" t="s">
        <v>37</v>
      </c>
      <c r="F162" t="s">
        <v>395</v>
      </c>
      <c r="G162" t="str">
        <f>"201511034909"</f>
        <v>201511034909</v>
      </c>
      <c r="H162" t="s">
        <v>396</v>
      </c>
      <c r="I162">
        <v>150</v>
      </c>
      <c r="J162">
        <v>30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T162">
        <v>0</v>
      </c>
      <c r="U162" t="s">
        <v>397</v>
      </c>
    </row>
    <row r="163" spans="1:21" x14ac:dyDescent="0.25">
      <c r="H163" t="s">
        <v>398</v>
      </c>
    </row>
    <row r="164" spans="1:21" x14ac:dyDescent="0.25">
      <c r="A164">
        <v>79</v>
      </c>
      <c r="B164">
        <v>6311</v>
      </c>
      <c r="C164" t="s">
        <v>399</v>
      </c>
      <c r="D164" t="s">
        <v>95</v>
      </c>
      <c r="E164" t="s">
        <v>32</v>
      </c>
      <c r="F164" t="s">
        <v>400</v>
      </c>
      <c r="G164" t="str">
        <f>"201511023906"</f>
        <v>201511023906</v>
      </c>
      <c r="H164" t="s">
        <v>270</v>
      </c>
      <c r="I164">
        <v>150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6</v>
      </c>
      <c r="S164">
        <v>804</v>
      </c>
      <c r="T164">
        <v>0</v>
      </c>
      <c r="U164" t="s">
        <v>401</v>
      </c>
    </row>
    <row r="165" spans="1:21" x14ac:dyDescent="0.25">
      <c r="H165" t="s">
        <v>402</v>
      </c>
    </row>
    <row r="166" spans="1:21" x14ac:dyDescent="0.25">
      <c r="A166">
        <v>80</v>
      </c>
      <c r="B166">
        <v>737</v>
      </c>
      <c r="C166" t="s">
        <v>403</v>
      </c>
      <c r="D166" t="s">
        <v>231</v>
      </c>
      <c r="E166" t="s">
        <v>404</v>
      </c>
      <c r="F166" t="s">
        <v>405</v>
      </c>
      <c r="G166" t="str">
        <f>"201604005395"</f>
        <v>201604005395</v>
      </c>
      <c r="H166" t="s">
        <v>270</v>
      </c>
      <c r="I166">
        <v>150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T166">
        <v>0</v>
      </c>
      <c r="U166" t="s">
        <v>401</v>
      </c>
    </row>
    <row r="167" spans="1:21" x14ac:dyDescent="0.25">
      <c r="H167" t="s">
        <v>406</v>
      </c>
    </row>
    <row r="168" spans="1:21" x14ac:dyDescent="0.25">
      <c r="A168">
        <v>81</v>
      </c>
      <c r="B168">
        <v>3035</v>
      </c>
      <c r="C168" t="s">
        <v>163</v>
      </c>
      <c r="D168" t="s">
        <v>121</v>
      </c>
      <c r="E168" t="s">
        <v>36</v>
      </c>
      <c r="F168" t="s">
        <v>407</v>
      </c>
      <c r="G168" t="str">
        <f>"00024187"</f>
        <v>00024187</v>
      </c>
      <c r="H168" t="s">
        <v>408</v>
      </c>
      <c r="I168">
        <v>150</v>
      </c>
      <c r="J168">
        <v>30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T168">
        <v>0</v>
      </c>
      <c r="U168" t="s">
        <v>409</v>
      </c>
    </row>
    <row r="169" spans="1:21" x14ac:dyDescent="0.25">
      <c r="H169" t="s">
        <v>410</v>
      </c>
    </row>
    <row r="170" spans="1:21" x14ac:dyDescent="0.25">
      <c r="A170">
        <v>82</v>
      </c>
      <c r="B170">
        <v>208</v>
      </c>
      <c r="C170" t="s">
        <v>411</v>
      </c>
      <c r="D170" t="s">
        <v>345</v>
      </c>
      <c r="E170" t="s">
        <v>112</v>
      </c>
      <c r="F170" t="s">
        <v>412</v>
      </c>
      <c r="G170" t="str">
        <f>"201510003884"</f>
        <v>201510003884</v>
      </c>
      <c r="H170" t="s">
        <v>413</v>
      </c>
      <c r="I170">
        <v>150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T170">
        <v>0</v>
      </c>
      <c r="U170" t="s">
        <v>414</v>
      </c>
    </row>
    <row r="171" spans="1:21" x14ac:dyDescent="0.25">
      <c r="H171" t="s">
        <v>415</v>
      </c>
    </row>
    <row r="172" spans="1:21" x14ac:dyDescent="0.25">
      <c r="A172">
        <v>83</v>
      </c>
      <c r="B172">
        <v>768</v>
      </c>
      <c r="C172" t="s">
        <v>416</v>
      </c>
      <c r="D172" t="s">
        <v>173</v>
      </c>
      <c r="E172" t="s">
        <v>37</v>
      </c>
      <c r="F172" t="s">
        <v>417</v>
      </c>
      <c r="G172" t="str">
        <f>"201511026254"</f>
        <v>201511026254</v>
      </c>
      <c r="H172" t="s">
        <v>418</v>
      </c>
      <c r="I172">
        <v>150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T172">
        <v>0</v>
      </c>
      <c r="U172" t="s">
        <v>419</v>
      </c>
    </row>
    <row r="173" spans="1:21" x14ac:dyDescent="0.25">
      <c r="H173" t="s">
        <v>420</v>
      </c>
    </row>
    <row r="174" spans="1:21" x14ac:dyDescent="0.25">
      <c r="A174">
        <v>84</v>
      </c>
      <c r="B174">
        <v>7540</v>
      </c>
      <c r="C174" t="s">
        <v>421</v>
      </c>
      <c r="D174" t="s">
        <v>78</v>
      </c>
      <c r="E174" t="s">
        <v>422</v>
      </c>
      <c r="F174" t="s">
        <v>423</v>
      </c>
      <c r="G174" t="str">
        <f>"00102583"</f>
        <v>00102583</v>
      </c>
      <c r="H174" t="s">
        <v>418</v>
      </c>
      <c r="I174">
        <v>150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T174">
        <v>2</v>
      </c>
      <c r="U174" t="s">
        <v>419</v>
      </c>
    </row>
    <row r="175" spans="1:21" x14ac:dyDescent="0.25">
      <c r="H175" t="s">
        <v>424</v>
      </c>
    </row>
    <row r="176" spans="1:21" x14ac:dyDescent="0.25">
      <c r="A176">
        <v>85</v>
      </c>
      <c r="B176">
        <v>6701</v>
      </c>
      <c r="C176" t="s">
        <v>425</v>
      </c>
      <c r="D176" t="s">
        <v>145</v>
      </c>
      <c r="E176" t="s">
        <v>112</v>
      </c>
      <c r="F176" t="s">
        <v>426</v>
      </c>
      <c r="G176" t="str">
        <f>"00024162"</f>
        <v>00024162</v>
      </c>
      <c r="H176" t="s">
        <v>291</v>
      </c>
      <c r="I176">
        <v>150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T176">
        <v>0</v>
      </c>
      <c r="U176" t="s">
        <v>427</v>
      </c>
    </row>
    <row r="177" spans="1:21" x14ac:dyDescent="0.25">
      <c r="H177" t="s">
        <v>428</v>
      </c>
    </row>
    <row r="178" spans="1:21" x14ac:dyDescent="0.25">
      <c r="A178">
        <v>86</v>
      </c>
      <c r="B178">
        <v>6708</v>
      </c>
      <c r="C178" t="s">
        <v>429</v>
      </c>
      <c r="D178" t="s">
        <v>394</v>
      </c>
      <c r="E178" t="s">
        <v>42</v>
      </c>
      <c r="F178" t="s">
        <v>430</v>
      </c>
      <c r="G178" t="str">
        <f>"00095425"</f>
        <v>00095425</v>
      </c>
      <c r="H178" t="s">
        <v>60</v>
      </c>
      <c r="I178">
        <v>0</v>
      </c>
      <c r="J178">
        <v>70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T178">
        <v>0</v>
      </c>
      <c r="U178" t="s">
        <v>431</v>
      </c>
    </row>
    <row r="179" spans="1:21" x14ac:dyDescent="0.25">
      <c r="H179" t="s">
        <v>432</v>
      </c>
    </row>
    <row r="180" spans="1:21" x14ac:dyDescent="0.25">
      <c r="A180">
        <v>87</v>
      </c>
      <c r="B180">
        <v>10192</v>
      </c>
      <c r="C180" t="s">
        <v>433</v>
      </c>
      <c r="D180" t="s">
        <v>434</v>
      </c>
      <c r="E180" t="s">
        <v>37</v>
      </c>
      <c r="F180" t="s">
        <v>435</v>
      </c>
      <c r="G180" t="str">
        <f>"201511038037"</f>
        <v>201511038037</v>
      </c>
      <c r="H180" t="s">
        <v>436</v>
      </c>
      <c r="I180">
        <v>150</v>
      </c>
      <c r="J180">
        <v>30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T180">
        <v>0</v>
      </c>
      <c r="U180" t="s">
        <v>437</v>
      </c>
    </row>
    <row r="181" spans="1:21" x14ac:dyDescent="0.25">
      <c r="H181" t="s">
        <v>382</v>
      </c>
    </row>
    <row r="182" spans="1:21" x14ac:dyDescent="0.25">
      <c r="A182">
        <v>88</v>
      </c>
      <c r="B182">
        <v>6237</v>
      </c>
      <c r="C182" t="s">
        <v>438</v>
      </c>
      <c r="D182" t="s">
        <v>439</v>
      </c>
      <c r="E182" t="s">
        <v>122</v>
      </c>
      <c r="F182" t="s">
        <v>440</v>
      </c>
      <c r="G182" t="str">
        <f>"201406005032"</f>
        <v>201406005032</v>
      </c>
      <c r="H182" t="s">
        <v>441</v>
      </c>
      <c r="I182">
        <v>150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T182">
        <v>0</v>
      </c>
      <c r="U182" t="s">
        <v>442</v>
      </c>
    </row>
    <row r="183" spans="1:21" x14ac:dyDescent="0.25">
      <c r="H183" t="s">
        <v>443</v>
      </c>
    </row>
    <row r="184" spans="1:21" x14ac:dyDescent="0.25">
      <c r="A184">
        <v>89</v>
      </c>
      <c r="B184">
        <v>7856</v>
      </c>
      <c r="C184" t="s">
        <v>444</v>
      </c>
      <c r="D184" t="s">
        <v>445</v>
      </c>
      <c r="E184" t="s">
        <v>122</v>
      </c>
      <c r="F184" t="s">
        <v>446</v>
      </c>
      <c r="G184" t="str">
        <f>"200806000259"</f>
        <v>200806000259</v>
      </c>
      <c r="H184" t="s">
        <v>441</v>
      </c>
      <c r="I184">
        <v>150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T184">
        <v>0</v>
      </c>
      <c r="U184" t="s">
        <v>442</v>
      </c>
    </row>
    <row r="185" spans="1:21" x14ac:dyDescent="0.25">
      <c r="H185" t="s">
        <v>447</v>
      </c>
    </row>
    <row r="186" spans="1:21" x14ac:dyDescent="0.25">
      <c r="A186">
        <v>90</v>
      </c>
      <c r="B186">
        <v>3688</v>
      </c>
      <c r="C186" t="s">
        <v>448</v>
      </c>
      <c r="D186" t="s">
        <v>95</v>
      </c>
      <c r="E186" t="s">
        <v>449</v>
      </c>
      <c r="F186" t="s">
        <v>450</v>
      </c>
      <c r="G186" t="str">
        <f>"201406018770"</f>
        <v>201406018770</v>
      </c>
      <c r="H186">
        <v>1001</v>
      </c>
      <c r="I186">
        <v>150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T186">
        <v>0</v>
      </c>
      <c r="U186">
        <v>1151</v>
      </c>
    </row>
    <row r="187" spans="1:21" x14ac:dyDescent="0.25">
      <c r="H187" t="s">
        <v>451</v>
      </c>
    </row>
    <row r="188" spans="1:21" x14ac:dyDescent="0.25">
      <c r="A188">
        <v>91</v>
      </c>
      <c r="B188">
        <v>4963</v>
      </c>
      <c r="C188" t="s">
        <v>452</v>
      </c>
      <c r="D188" t="s">
        <v>453</v>
      </c>
      <c r="E188" t="s">
        <v>37</v>
      </c>
      <c r="F188" t="s">
        <v>454</v>
      </c>
      <c r="G188" t="str">
        <f>"201511039014"</f>
        <v>201511039014</v>
      </c>
      <c r="H188">
        <v>1001</v>
      </c>
      <c r="I188">
        <v>150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T188">
        <v>1</v>
      </c>
      <c r="U188">
        <v>1151</v>
      </c>
    </row>
    <row r="189" spans="1:21" x14ac:dyDescent="0.25">
      <c r="H189" t="s">
        <v>455</v>
      </c>
    </row>
    <row r="190" spans="1:21" x14ac:dyDescent="0.25">
      <c r="A190">
        <v>92</v>
      </c>
      <c r="B190">
        <v>3147</v>
      </c>
      <c r="C190" t="s">
        <v>456</v>
      </c>
      <c r="D190" t="s">
        <v>135</v>
      </c>
      <c r="E190" t="s">
        <v>36</v>
      </c>
      <c r="F190" t="s">
        <v>457</v>
      </c>
      <c r="G190" t="str">
        <f>"201511018913"</f>
        <v>201511018913</v>
      </c>
      <c r="H190">
        <v>1001</v>
      </c>
      <c r="I190">
        <v>150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T190">
        <v>0</v>
      </c>
      <c r="U190">
        <v>1151</v>
      </c>
    </row>
    <row r="191" spans="1:21" x14ac:dyDescent="0.25">
      <c r="H191" t="s">
        <v>458</v>
      </c>
    </row>
    <row r="192" spans="1:21" x14ac:dyDescent="0.25">
      <c r="A192">
        <v>93</v>
      </c>
      <c r="B192">
        <v>5090</v>
      </c>
      <c r="C192" t="s">
        <v>459</v>
      </c>
      <c r="D192" t="s">
        <v>207</v>
      </c>
      <c r="E192" t="s">
        <v>191</v>
      </c>
      <c r="F192" t="s">
        <v>460</v>
      </c>
      <c r="G192" t="str">
        <f>"201511014195"</f>
        <v>201511014195</v>
      </c>
      <c r="H192" t="s">
        <v>461</v>
      </c>
      <c r="I192">
        <v>150</v>
      </c>
      <c r="J192">
        <v>30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T192">
        <v>0</v>
      </c>
      <c r="U192" t="s">
        <v>462</v>
      </c>
    </row>
    <row r="193" spans="1:21" x14ac:dyDescent="0.25">
      <c r="H193" t="s">
        <v>463</v>
      </c>
    </row>
    <row r="194" spans="1:21" x14ac:dyDescent="0.25">
      <c r="A194">
        <v>94</v>
      </c>
      <c r="B194">
        <v>9643</v>
      </c>
      <c r="C194" t="s">
        <v>464</v>
      </c>
      <c r="D194" t="s">
        <v>179</v>
      </c>
      <c r="E194" t="s">
        <v>42</v>
      </c>
      <c r="F194" t="s">
        <v>465</v>
      </c>
      <c r="G194" t="str">
        <f>"00074803"</f>
        <v>00074803</v>
      </c>
      <c r="H194" t="s">
        <v>461</v>
      </c>
      <c r="I194">
        <v>150</v>
      </c>
      <c r="J194">
        <v>30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T194">
        <v>0</v>
      </c>
      <c r="U194" t="s">
        <v>462</v>
      </c>
    </row>
    <row r="195" spans="1:21" x14ac:dyDescent="0.25">
      <c r="H195" t="s">
        <v>466</v>
      </c>
    </row>
    <row r="196" spans="1:21" x14ac:dyDescent="0.25">
      <c r="A196">
        <v>95</v>
      </c>
      <c r="B196">
        <v>9030</v>
      </c>
      <c r="C196" t="s">
        <v>467</v>
      </c>
      <c r="D196" t="s">
        <v>304</v>
      </c>
      <c r="E196" t="s">
        <v>122</v>
      </c>
      <c r="F196" t="s">
        <v>468</v>
      </c>
      <c r="G196" t="str">
        <f>"00067430"</f>
        <v>00067430</v>
      </c>
      <c r="H196" t="s">
        <v>469</v>
      </c>
      <c r="I196">
        <v>0</v>
      </c>
      <c r="J196">
        <v>30</v>
      </c>
      <c r="K196">
        <v>0</v>
      </c>
      <c r="L196">
        <v>0</v>
      </c>
      <c r="M196">
        <v>30</v>
      </c>
      <c r="N196">
        <v>0</v>
      </c>
      <c r="O196">
        <v>0</v>
      </c>
      <c r="P196">
        <v>0</v>
      </c>
      <c r="Q196">
        <v>0</v>
      </c>
      <c r="T196">
        <v>0</v>
      </c>
      <c r="U196" t="s">
        <v>470</v>
      </c>
    </row>
    <row r="197" spans="1:21" x14ac:dyDescent="0.25">
      <c r="H197" t="s">
        <v>471</v>
      </c>
    </row>
    <row r="198" spans="1:21" x14ac:dyDescent="0.25">
      <c r="A198">
        <v>96</v>
      </c>
      <c r="B198">
        <v>300</v>
      </c>
      <c r="C198" t="s">
        <v>472</v>
      </c>
      <c r="D198" t="s">
        <v>473</v>
      </c>
      <c r="E198" t="s">
        <v>474</v>
      </c>
      <c r="F198" t="s">
        <v>475</v>
      </c>
      <c r="G198" t="str">
        <f>"200903000688"</f>
        <v>200903000688</v>
      </c>
      <c r="H198">
        <v>1100</v>
      </c>
      <c r="I198">
        <v>0</v>
      </c>
      <c r="J198">
        <v>50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T198">
        <v>0</v>
      </c>
      <c r="U198">
        <v>1150</v>
      </c>
    </row>
    <row r="199" spans="1:21" x14ac:dyDescent="0.25">
      <c r="H199" t="s">
        <v>147</v>
      </c>
    </row>
    <row r="200" spans="1:21" x14ac:dyDescent="0.25">
      <c r="A200">
        <v>97</v>
      </c>
      <c r="B200">
        <v>3203</v>
      </c>
      <c r="C200" t="s">
        <v>476</v>
      </c>
      <c r="D200" t="s">
        <v>313</v>
      </c>
      <c r="E200" t="s">
        <v>42</v>
      </c>
      <c r="F200" t="s">
        <v>477</v>
      </c>
      <c r="G200" t="str">
        <f>"00023282"</f>
        <v>00023282</v>
      </c>
      <c r="H200">
        <v>1100</v>
      </c>
      <c r="I200">
        <v>0</v>
      </c>
      <c r="J200">
        <v>50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T200">
        <v>0</v>
      </c>
      <c r="U200">
        <v>1150</v>
      </c>
    </row>
    <row r="201" spans="1:21" x14ac:dyDescent="0.25">
      <c r="H201" t="s">
        <v>478</v>
      </c>
    </row>
    <row r="202" spans="1:21" x14ac:dyDescent="0.25">
      <c r="A202">
        <v>98</v>
      </c>
      <c r="B202">
        <v>3903</v>
      </c>
      <c r="C202" t="s">
        <v>479</v>
      </c>
      <c r="D202" t="s">
        <v>173</v>
      </c>
      <c r="E202" t="s">
        <v>27</v>
      </c>
      <c r="F202" t="s">
        <v>480</v>
      </c>
      <c r="G202" t="str">
        <f>"201511038244"</f>
        <v>201511038244</v>
      </c>
      <c r="H202">
        <v>1100</v>
      </c>
      <c r="I202">
        <v>0</v>
      </c>
      <c r="J202">
        <v>50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T202">
        <v>0</v>
      </c>
      <c r="U202">
        <v>1150</v>
      </c>
    </row>
    <row r="203" spans="1:21" x14ac:dyDescent="0.25">
      <c r="H203" t="s">
        <v>481</v>
      </c>
    </row>
    <row r="204" spans="1:21" x14ac:dyDescent="0.25">
      <c r="A204">
        <v>99</v>
      </c>
      <c r="B204">
        <v>6533</v>
      </c>
      <c r="C204" t="s">
        <v>482</v>
      </c>
      <c r="D204" t="s">
        <v>26</v>
      </c>
      <c r="E204" t="s">
        <v>122</v>
      </c>
      <c r="F204" t="s">
        <v>483</v>
      </c>
      <c r="G204" t="str">
        <f>"00003497"</f>
        <v>00003497</v>
      </c>
      <c r="H204" t="s">
        <v>484</v>
      </c>
      <c r="I204">
        <v>150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T204">
        <v>0</v>
      </c>
      <c r="U204" t="s">
        <v>485</v>
      </c>
    </row>
    <row r="205" spans="1:21" x14ac:dyDescent="0.25">
      <c r="H205" t="s">
        <v>486</v>
      </c>
    </row>
    <row r="206" spans="1:21" x14ac:dyDescent="0.25">
      <c r="A206">
        <v>100</v>
      </c>
      <c r="B206">
        <v>7689</v>
      </c>
      <c r="C206" t="s">
        <v>487</v>
      </c>
      <c r="D206" t="s">
        <v>488</v>
      </c>
      <c r="E206" t="s">
        <v>122</v>
      </c>
      <c r="F206" t="s">
        <v>489</v>
      </c>
      <c r="G206" t="str">
        <f>"00086146"</f>
        <v>00086146</v>
      </c>
      <c r="H206" t="s">
        <v>87</v>
      </c>
      <c r="I206">
        <v>0</v>
      </c>
      <c r="J206">
        <v>50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T206">
        <v>0</v>
      </c>
      <c r="U206" t="s">
        <v>490</v>
      </c>
    </row>
    <row r="207" spans="1:21" x14ac:dyDescent="0.25">
      <c r="H207" t="s">
        <v>491</v>
      </c>
    </row>
    <row r="208" spans="1:21" x14ac:dyDescent="0.25">
      <c r="A208">
        <v>101</v>
      </c>
      <c r="B208">
        <v>5298</v>
      </c>
      <c r="C208" t="s">
        <v>492</v>
      </c>
      <c r="D208" t="s">
        <v>64</v>
      </c>
      <c r="E208" t="s">
        <v>225</v>
      </c>
      <c r="F208" t="s">
        <v>493</v>
      </c>
      <c r="G208" t="str">
        <f>"201511007696"</f>
        <v>201511007696</v>
      </c>
      <c r="H208" t="s">
        <v>390</v>
      </c>
      <c r="I208">
        <v>0</v>
      </c>
      <c r="J208">
        <v>30</v>
      </c>
      <c r="K208">
        <v>0</v>
      </c>
      <c r="L208">
        <v>0</v>
      </c>
      <c r="M208">
        <v>30</v>
      </c>
      <c r="N208">
        <v>0</v>
      </c>
      <c r="O208">
        <v>0</v>
      </c>
      <c r="P208">
        <v>0</v>
      </c>
      <c r="Q208">
        <v>0</v>
      </c>
      <c r="T208">
        <v>0</v>
      </c>
      <c r="U208" t="s">
        <v>494</v>
      </c>
    </row>
    <row r="209" spans="1:21" x14ac:dyDescent="0.25">
      <c r="H209" t="s">
        <v>495</v>
      </c>
    </row>
    <row r="210" spans="1:21" x14ac:dyDescent="0.25">
      <c r="A210">
        <v>102</v>
      </c>
      <c r="B210">
        <v>1022</v>
      </c>
      <c r="C210" t="s">
        <v>496</v>
      </c>
      <c r="D210" t="s">
        <v>95</v>
      </c>
      <c r="E210" t="s">
        <v>37</v>
      </c>
      <c r="F210" t="s">
        <v>497</v>
      </c>
      <c r="G210" t="str">
        <f>"00017647"</f>
        <v>00017647</v>
      </c>
      <c r="H210" t="s">
        <v>498</v>
      </c>
      <c r="I210">
        <v>150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T210">
        <v>3</v>
      </c>
      <c r="U210" t="s">
        <v>499</v>
      </c>
    </row>
    <row r="211" spans="1:21" x14ac:dyDescent="0.25">
      <c r="H211" t="s">
        <v>500</v>
      </c>
    </row>
    <row r="212" spans="1:21" x14ac:dyDescent="0.25">
      <c r="A212">
        <v>103</v>
      </c>
      <c r="B212">
        <v>4016</v>
      </c>
      <c r="C212" t="s">
        <v>501</v>
      </c>
      <c r="D212" t="s">
        <v>502</v>
      </c>
      <c r="E212" t="s">
        <v>503</v>
      </c>
      <c r="F212" t="s">
        <v>504</v>
      </c>
      <c r="G212" t="str">
        <f>"201503000515"</f>
        <v>201503000515</v>
      </c>
      <c r="H212" t="s">
        <v>505</v>
      </c>
      <c r="I212">
        <v>0</v>
      </c>
      <c r="J212">
        <v>30</v>
      </c>
      <c r="K212">
        <v>0</v>
      </c>
      <c r="L212">
        <v>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6</v>
      </c>
      <c r="S212">
        <v>804</v>
      </c>
      <c r="T212">
        <v>0</v>
      </c>
      <c r="U212" t="s">
        <v>506</v>
      </c>
    </row>
    <row r="213" spans="1:21" x14ac:dyDescent="0.25">
      <c r="H213" t="s">
        <v>507</v>
      </c>
    </row>
    <row r="214" spans="1:21" x14ac:dyDescent="0.25">
      <c r="A214">
        <v>104</v>
      </c>
      <c r="B214">
        <v>2706</v>
      </c>
      <c r="C214" t="s">
        <v>508</v>
      </c>
      <c r="D214" t="s">
        <v>439</v>
      </c>
      <c r="E214" t="s">
        <v>112</v>
      </c>
      <c r="F214" t="s">
        <v>509</v>
      </c>
      <c r="G214" t="str">
        <f>"200802000850"</f>
        <v>200802000850</v>
      </c>
      <c r="H214">
        <v>990</v>
      </c>
      <c r="I214">
        <v>150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T214">
        <v>0</v>
      </c>
      <c r="U214">
        <v>1140</v>
      </c>
    </row>
    <row r="215" spans="1:21" x14ac:dyDescent="0.25">
      <c r="H215" t="s">
        <v>510</v>
      </c>
    </row>
    <row r="216" spans="1:21" x14ac:dyDescent="0.25">
      <c r="A216">
        <v>105</v>
      </c>
      <c r="B216">
        <v>7446</v>
      </c>
      <c r="C216" t="s">
        <v>511</v>
      </c>
      <c r="D216" t="s">
        <v>512</v>
      </c>
      <c r="E216" t="s">
        <v>37</v>
      </c>
      <c r="F216" t="s">
        <v>513</v>
      </c>
      <c r="G216" t="str">
        <f>"201511015112"</f>
        <v>201511015112</v>
      </c>
      <c r="H216">
        <v>990</v>
      </c>
      <c r="I216">
        <v>150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T216">
        <v>0</v>
      </c>
      <c r="U216">
        <v>1140</v>
      </c>
    </row>
    <row r="217" spans="1:21" x14ac:dyDescent="0.25">
      <c r="H217" t="s">
        <v>514</v>
      </c>
    </row>
    <row r="218" spans="1:21" x14ac:dyDescent="0.25">
      <c r="A218">
        <v>106</v>
      </c>
      <c r="B218">
        <v>8538</v>
      </c>
      <c r="C218" t="s">
        <v>515</v>
      </c>
      <c r="D218" t="s">
        <v>207</v>
      </c>
      <c r="E218" t="s">
        <v>37</v>
      </c>
      <c r="F218" t="s">
        <v>516</v>
      </c>
      <c r="G218" t="str">
        <f>"201512000090"</f>
        <v>201512000090</v>
      </c>
      <c r="H218">
        <v>990</v>
      </c>
      <c r="I218">
        <v>150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T218">
        <v>0</v>
      </c>
      <c r="U218">
        <v>1140</v>
      </c>
    </row>
    <row r="219" spans="1:21" x14ac:dyDescent="0.25">
      <c r="H219" t="s">
        <v>517</v>
      </c>
    </row>
    <row r="220" spans="1:21" x14ac:dyDescent="0.25">
      <c r="A220">
        <v>107</v>
      </c>
      <c r="B220">
        <v>6658</v>
      </c>
      <c r="C220" t="s">
        <v>518</v>
      </c>
      <c r="D220" t="s">
        <v>519</v>
      </c>
      <c r="E220" t="s">
        <v>520</v>
      </c>
      <c r="F220" t="s">
        <v>521</v>
      </c>
      <c r="G220" t="str">
        <f>"201511023736"</f>
        <v>201511023736</v>
      </c>
      <c r="H220">
        <v>990</v>
      </c>
      <c r="I220">
        <v>150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T220">
        <v>2</v>
      </c>
      <c r="U220">
        <v>1140</v>
      </c>
    </row>
    <row r="221" spans="1:21" x14ac:dyDescent="0.25">
      <c r="H221" t="s">
        <v>522</v>
      </c>
    </row>
    <row r="222" spans="1:21" x14ac:dyDescent="0.25">
      <c r="A222">
        <v>108</v>
      </c>
      <c r="B222">
        <v>7905</v>
      </c>
      <c r="C222" t="s">
        <v>523</v>
      </c>
      <c r="D222" t="s">
        <v>524</v>
      </c>
      <c r="E222" t="s">
        <v>122</v>
      </c>
      <c r="F222" t="s">
        <v>525</v>
      </c>
      <c r="G222" t="str">
        <f>"201511024665"</f>
        <v>201511024665</v>
      </c>
      <c r="H222">
        <v>990</v>
      </c>
      <c r="I222">
        <v>150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T222">
        <v>0</v>
      </c>
      <c r="U222">
        <v>1140</v>
      </c>
    </row>
    <row r="223" spans="1:21" x14ac:dyDescent="0.25">
      <c r="H223" t="s">
        <v>526</v>
      </c>
    </row>
    <row r="224" spans="1:21" x14ac:dyDescent="0.25">
      <c r="A224">
        <v>109</v>
      </c>
      <c r="B224">
        <v>3389</v>
      </c>
      <c r="C224" t="s">
        <v>527</v>
      </c>
      <c r="D224" t="s">
        <v>528</v>
      </c>
      <c r="E224" t="s">
        <v>135</v>
      </c>
      <c r="F224" t="s">
        <v>529</v>
      </c>
      <c r="G224" t="str">
        <f>"201511026756"</f>
        <v>201511026756</v>
      </c>
      <c r="H224">
        <v>990</v>
      </c>
      <c r="I224">
        <v>150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T224">
        <v>0</v>
      </c>
      <c r="U224">
        <v>1140</v>
      </c>
    </row>
    <row r="225" spans="1:21" x14ac:dyDescent="0.25">
      <c r="H225" t="s">
        <v>530</v>
      </c>
    </row>
    <row r="226" spans="1:21" x14ac:dyDescent="0.25">
      <c r="A226">
        <v>110</v>
      </c>
      <c r="B226">
        <v>8964</v>
      </c>
      <c r="C226" t="s">
        <v>531</v>
      </c>
      <c r="D226" t="s">
        <v>532</v>
      </c>
      <c r="E226" t="s">
        <v>533</v>
      </c>
      <c r="F226" t="s">
        <v>534</v>
      </c>
      <c r="G226" t="str">
        <f>"201512000388"</f>
        <v>201512000388</v>
      </c>
      <c r="H226">
        <v>990</v>
      </c>
      <c r="I226">
        <v>150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T226">
        <v>2</v>
      </c>
      <c r="U226">
        <v>1140</v>
      </c>
    </row>
    <row r="227" spans="1:21" x14ac:dyDescent="0.25">
      <c r="H227" t="s">
        <v>535</v>
      </c>
    </row>
    <row r="228" spans="1:21" x14ac:dyDescent="0.25">
      <c r="A228">
        <v>111</v>
      </c>
      <c r="B228">
        <v>2192</v>
      </c>
      <c r="C228" t="s">
        <v>536</v>
      </c>
      <c r="D228" t="s">
        <v>285</v>
      </c>
      <c r="E228" t="s">
        <v>533</v>
      </c>
      <c r="F228" t="s">
        <v>537</v>
      </c>
      <c r="G228" t="str">
        <f>"201511015533"</f>
        <v>201511015533</v>
      </c>
      <c r="H228">
        <v>990</v>
      </c>
      <c r="I228">
        <v>150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T228">
        <v>0</v>
      </c>
      <c r="U228">
        <v>1140</v>
      </c>
    </row>
    <row r="229" spans="1:21" x14ac:dyDescent="0.25">
      <c r="H229" t="s">
        <v>538</v>
      </c>
    </row>
    <row r="230" spans="1:21" x14ac:dyDescent="0.25">
      <c r="A230">
        <v>112</v>
      </c>
      <c r="B230">
        <v>1948</v>
      </c>
      <c r="C230" t="s">
        <v>539</v>
      </c>
      <c r="D230" t="s">
        <v>540</v>
      </c>
      <c r="E230" t="s">
        <v>42</v>
      </c>
      <c r="F230" t="s">
        <v>541</v>
      </c>
      <c r="G230" t="str">
        <f>"00025990"</f>
        <v>00025990</v>
      </c>
      <c r="H230">
        <v>1089</v>
      </c>
      <c r="I230">
        <v>0</v>
      </c>
      <c r="J230">
        <v>50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T230">
        <v>0</v>
      </c>
      <c r="U230">
        <v>1139</v>
      </c>
    </row>
    <row r="231" spans="1:21" x14ac:dyDescent="0.25">
      <c r="H231" t="s">
        <v>542</v>
      </c>
    </row>
    <row r="232" spans="1:21" x14ac:dyDescent="0.25">
      <c r="A232">
        <v>113</v>
      </c>
      <c r="B232">
        <v>9283</v>
      </c>
      <c r="C232" t="s">
        <v>543</v>
      </c>
      <c r="D232" t="s">
        <v>185</v>
      </c>
      <c r="E232" t="s">
        <v>135</v>
      </c>
      <c r="F232" t="s">
        <v>544</v>
      </c>
      <c r="G232" t="str">
        <f>"00096062"</f>
        <v>00096062</v>
      </c>
      <c r="H232">
        <v>957</v>
      </c>
      <c r="I232">
        <v>150</v>
      </c>
      <c r="J232">
        <v>30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T232">
        <v>2</v>
      </c>
      <c r="U232">
        <v>1137</v>
      </c>
    </row>
    <row r="233" spans="1:21" x14ac:dyDescent="0.25">
      <c r="H233">
        <v>801</v>
      </c>
    </row>
    <row r="234" spans="1:21" x14ac:dyDescent="0.25">
      <c r="A234">
        <v>114</v>
      </c>
      <c r="B234">
        <v>8172</v>
      </c>
      <c r="C234" t="s">
        <v>545</v>
      </c>
      <c r="D234" t="s">
        <v>546</v>
      </c>
      <c r="E234" t="s">
        <v>547</v>
      </c>
      <c r="F234" t="s">
        <v>548</v>
      </c>
      <c r="G234" t="str">
        <f>"201406003900"</f>
        <v>201406003900</v>
      </c>
      <c r="H234">
        <v>957</v>
      </c>
      <c r="I234">
        <v>150</v>
      </c>
      <c r="J234">
        <v>30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T234">
        <v>0</v>
      </c>
      <c r="U234">
        <v>1137</v>
      </c>
    </row>
    <row r="235" spans="1:21" x14ac:dyDescent="0.25">
      <c r="H235" t="s">
        <v>549</v>
      </c>
    </row>
    <row r="236" spans="1:21" x14ac:dyDescent="0.25">
      <c r="A236">
        <v>115</v>
      </c>
      <c r="B236">
        <v>4667</v>
      </c>
      <c r="C236" t="s">
        <v>550</v>
      </c>
      <c r="D236" t="s">
        <v>551</v>
      </c>
      <c r="E236" t="s">
        <v>112</v>
      </c>
      <c r="F236" t="s">
        <v>552</v>
      </c>
      <c r="G236" t="str">
        <f>"00085261"</f>
        <v>00085261</v>
      </c>
      <c r="H236" t="s">
        <v>553</v>
      </c>
      <c r="I236">
        <v>150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T236">
        <v>0</v>
      </c>
      <c r="U236" t="s">
        <v>554</v>
      </c>
    </row>
    <row r="237" spans="1:21" x14ac:dyDescent="0.25">
      <c r="H237" t="s">
        <v>555</v>
      </c>
    </row>
    <row r="238" spans="1:21" x14ac:dyDescent="0.25">
      <c r="A238">
        <v>116</v>
      </c>
      <c r="B238">
        <v>5393</v>
      </c>
      <c r="C238" t="s">
        <v>556</v>
      </c>
      <c r="D238" t="s">
        <v>557</v>
      </c>
      <c r="E238" t="s">
        <v>366</v>
      </c>
      <c r="F238" t="s">
        <v>558</v>
      </c>
      <c r="G238" t="str">
        <f>"00081929"</f>
        <v>00081929</v>
      </c>
      <c r="H238" t="s">
        <v>553</v>
      </c>
      <c r="I238">
        <v>150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T238">
        <v>0</v>
      </c>
      <c r="U238" t="s">
        <v>554</v>
      </c>
    </row>
    <row r="239" spans="1:21" x14ac:dyDescent="0.25">
      <c r="H239" t="s">
        <v>559</v>
      </c>
    </row>
    <row r="240" spans="1:21" x14ac:dyDescent="0.25">
      <c r="A240">
        <v>117</v>
      </c>
      <c r="B240">
        <v>6118</v>
      </c>
      <c r="C240" t="s">
        <v>560</v>
      </c>
      <c r="D240" t="s">
        <v>173</v>
      </c>
      <c r="E240" t="s">
        <v>561</v>
      </c>
      <c r="F240" t="s">
        <v>562</v>
      </c>
      <c r="G240" t="str">
        <f>"201511031353"</f>
        <v>201511031353</v>
      </c>
      <c r="H240" t="s">
        <v>563</v>
      </c>
      <c r="I240">
        <v>150</v>
      </c>
      <c r="J240">
        <v>30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T240">
        <v>0</v>
      </c>
      <c r="U240" t="s">
        <v>564</v>
      </c>
    </row>
    <row r="241" spans="1:21" x14ac:dyDescent="0.25">
      <c r="H241" t="s">
        <v>565</v>
      </c>
    </row>
    <row r="242" spans="1:21" x14ac:dyDescent="0.25">
      <c r="A242">
        <v>118</v>
      </c>
      <c r="B242">
        <v>10370</v>
      </c>
      <c r="C242" t="s">
        <v>566</v>
      </c>
      <c r="D242" t="s">
        <v>32</v>
      </c>
      <c r="E242" t="s">
        <v>36</v>
      </c>
      <c r="F242" t="s">
        <v>567</v>
      </c>
      <c r="G242" t="str">
        <f>"200801011249"</f>
        <v>200801011249</v>
      </c>
      <c r="H242" t="s">
        <v>568</v>
      </c>
      <c r="I242">
        <v>0</v>
      </c>
      <c r="J242">
        <v>70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T242">
        <v>0</v>
      </c>
      <c r="U242" t="s">
        <v>569</v>
      </c>
    </row>
    <row r="243" spans="1:21" x14ac:dyDescent="0.25">
      <c r="H243" t="s">
        <v>570</v>
      </c>
    </row>
    <row r="244" spans="1:21" x14ac:dyDescent="0.25">
      <c r="A244">
        <v>119</v>
      </c>
      <c r="B244">
        <v>3336</v>
      </c>
      <c r="C244" t="s">
        <v>571</v>
      </c>
      <c r="D244" t="s">
        <v>572</v>
      </c>
      <c r="E244" t="s">
        <v>573</v>
      </c>
      <c r="F244" t="s">
        <v>574</v>
      </c>
      <c r="G244" t="str">
        <f>"201511038916"</f>
        <v>201511038916</v>
      </c>
      <c r="H244" t="s">
        <v>408</v>
      </c>
      <c r="I244">
        <v>150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T244">
        <v>2</v>
      </c>
      <c r="U244" t="s">
        <v>575</v>
      </c>
    </row>
    <row r="245" spans="1:21" x14ac:dyDescent="0.25">
      <c r="H245" t="s">
        <v>576</v>
      </c>
    </row>
    <row r="246" spans="1:21" x14ac:dyDescent="0.25">
      <c r="A246">
        <v>120</v>
      </c>
      <c r="B246">
        <v>9670</v>
      </c>
      <c r="C246" t="s">
        <v>577</v>
      </c>
      <c r="D246" t="s">
        <v>578</v>
      </c>
      <c r="E246" t="s">
        <v>225</v>
      </c>
      <c r="F246" t="s">
        <v>579</v>
      </c>
      <c r="G246" t="str">
        <f>"00100844"</f>
        <v>00100844</v>
      </c>
      <c r="H246">
        <v>1100</v>
      </c>
      <c r="I246">
        <v>0</v>
      </c>
      <c r="J246">
        <v>30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T246">
        <v>0</v>
      </c>
      <c r="U246">
        <v>1130</v>
      </c>
    </row>
    <row r="247" spans="1:21" x14ac:dyDescent="0.25">
      <c r="H247" t="s">
        <v>580</v>
      </c>
    </row>
    <row r="248" spans="1:21" x14ac:dyDescent="0.25">
      <c r="A248">
        <v>121</v>
      </c>
      <c r="B248">
        <v>8839</v>
      </c>
      <c r="C248" t="s">
        <v>581</v>
      </c>
      <c r="D248" t="s">
        <v>185</v>
      </c>
      <c r="E248" t="s">
        <v>582</v>
      </c>
      <c r="F248" t="s">
        <v>583</v>
      </c>
      <c r="G248" t="str">
        <f>"00023046"</f>
        <v>00023046</v>
      </c>
      <c r="H248">
        <v>1100</v>
      </c>
      <c r="I248">
        <v>0</v>
      </c>
      <c r="J248">
        <v>30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T248">
        <v>0</v>
      </c>
      <c r="U248">
        <v>1130</v>
      </c>
    </row>
    <row r="249" spans="1:21" x14ac:dyDescent="0.25">
      <c r="H249" t="s">
        <v>126</v>
      </c>
    </row>
    <row r="250" spans="1:21" x14ac:dyDescent="0.25">
      <c r="A250">
        <v>122</v>
      </c>
      <c r="B250">
        <v>581</v>
      </c>
      <c r="C250" t="s">
        <v>584</v>
      </c>
      <c r="D250" t="s">
        <v>585</v>
      </c>
      <c r="E250" t="s">
        <v>37</v>
      </c>
      <c r="F250" t="s">
        <v>586</v>
      </c>
      <c r="G250" t="str">
        <f>"00015903"</f>
        <v>00015903</v>
      </c>
      <c r="H250">
        <v>1100</v>
      </c>
      <c r="I250">
        <v>0</v>
      </c>
      <c r="J250">
        <v>30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T250">
        <v>0</v>
      </c>
      <c r="U250">
        <v>1130</v>
      </c>
    </row>
    <row r="251" spans="1:21" x14ac:dyDescent="0.25">
      <c r="H251" t="s">
        <v>587</v>
      </c>
    </row>
    <row r="252" spans="1:21" x14ac:dyDescent="0.25">
      <c r="A252">
        <v>123</v>
      </c>
      <c r="B252">
        <v>5456</v>
      </c>
      <c r="C252" t="s">
        <v>588</v>
      </c>
      <c r="D252" t="s">
        <v>589</v>
      </c>
      <c r="E252" t="s">
        <v>533</v>
      </c>
      <c r="F252" t="s">
        <v>590</v>
      </c>
      <c r="G252" t="str">
        <f>"201511042075"</f>
        <v>201511042075</v>
      </c>
      <c r="H252">
        <v>1100</v>
      </c>
      <c r="I252">
        <v>0</v>
      </c>
      <c r="J252">
        <v>30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T252">
        <v>0</v>
      </c>
      <c r="U252">
        <v>1130</v>
      </c>
    </row>
    <row r="253" spans="1:21" x14ac:dyDescent="0.25">
      <c r="H253" t="s">
        <v>591</v>
      </c>
    </row>
    <row r="254" spans="1:21" x14ac:dyDescent="0.25">
      <c r="A254">
        <v>124</v>
      </c>
      <c r="B254">
        <v>2759</v>
      </c>
      <c r="C254" t="s">
        <v>592</v>
      </c>
      <c r="D254" t="s">
        <v>128</v>
      </c>
      <c r="E254" t="s">
        <v>350</v>
      </c>
      <c r="F254" t="s">
        <v>593</v>
      </c>
      <c r="G254" t="str">
        <f>"00078180"</f>
        <v>00078180</v>
      </c>
      <c r="H254">
        <v>1100</v>
      </c>
      <c r="I254">
        <v>0</v>
      </c>
      <c r="J254">
        <v>30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T254">
        <v>2</v>
      </c>
      <c r="U254">
        <v>1130</v>
      </c>
    </row>
    <row r="255" spans="1:21" x14ac:dyDescent="0.25">
      <c r="H255" t="s">
        <v>594</v>
      </c>
    </row>
    <row r="256" spans="1:21" x14ac:dyDescent="0.25">
      <c r="A256">
        <v>125</v>
      </c>
      <c r="B256">
        <v>7656</v>
      </c>
      <c r="C256" t="s">
        <v>595</v>
      </c>
      <c r="D256" t="s">
        <v>533</v>
      </c>
      <c r="E256" t="s">
        <v>65</v>
      </c>
      <c r="F256" t="s">
        <v>596</v>
      </c>
      <c r="G256" t="str">
        <f>"201511033515"</f>
        <v>201511033515</v>
      </c>
      <c r="H256">
        <v>1100</v>
      </c>
      <c r="I256">
        <v>0</v>
      </c>
      <c r="J256">
        <v>30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T256">
        <v>0</v>
      </c>
      <c r="U256">
        <v>1130</v>
      </c>
    </row>
    <row r="257" spans="1:21" x14ac:dyDescent="0.25">
      <c r="H257" t="s">
        <v>597</v>
      </c>
    </row>
    <row r="258" spans="1:21" x14ac:dyDescent="0.25">
      <c r="A258">
        <v>126</v>
      </c>
      <c r="B258">
        <v>940</v>
      </c>
      <c r="C258" t="s">
        <v>598</v>
      </c>
      <c r="D258" t="s">
        <v>599</v>
      </c>
      <c r="E258" t="s">
        <v>600</v>
      </c>
      <c r="F258" t="s">
        <v>601</v>
      </c>
      <c r="G258" t="str">
        <f>"00018501"</f>
        <v>00018501</v>
      </c>
      <c r="H258">
        <v>1100</v>
      </c>
      <c r="I258">
        <v>0</v>
      </c>
      <c r="J258">
        <v>30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T258">
        <v>0</v>
      </c>
      <c r="U258">
        <v>1130</v>
      </c>
    </row>
    <row r="259" spans="1:21" x14ac:dyDescent="0.25">
      <c r="H259" t="s">
        <v>602</v>
      </c>
    </row>
    <row r="260" spans="1:21" x14ac:dyDescent="0.25">
      <c r="A260">
        <v>127</v>
      </c>
      <c r="B260">
        <v>530</v>
      </c>
      <c r="C260" t="s">
        <v>603</v>
      </c>
      <c r="D260" t="s">
        <v>604</v>
      </c>
      <c r="E260" t="s">
        <v>155</v>
      </c>
      <c r="F260" t="s">
        <v>605</v>
      </c>
      <c r="G260" t="str">
        <f>"201511039008"</f>
        <v>201511039008</v>
      </c>
      <c r="H260">
        <v>1100</v>
      </c>
      <c r="I260">
        <v>0</v>
      </c>
      <c r="J260">
        <v>0</v>
      </c>
      <c r="K260">
        <v>30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T260">
        <v>1</v>
      </c>
      <c r="U260">
        <v>1130</v>
      </c>
    </row>
    <row r="261" spans="1:21" x14ac:dyDescent="0.25">
      <c r="H261" t="s">
        <v>606</v>
      </c>
    </row>
    <row r="262" spans="1:21" x14ac:dyDescent="0.25">
      <c r="A262">
        <v>128</v>
      </c>
      <c r="B262">
        <v>1770</v>
      </c>
      <c r="C262" t="s">
        <v>607</v>
      </c>
      <c r="D262" t="s">
        <v>74</v>
      </c>
      <c r="E262" t="s">
        <v>36</v>
      </c>
      <c r="F262" t="s">
        <v>608</v>
      </c>
      <c r="G262" t="str">
        <f>"201406000279"</f>
        <v>201406000279</v>
      </c>
      <c r="H262">
        <v>1100</v>
      </c>
      <c r="I262">
        <v>0</v>
      </c>
      <c r="J262">
        <v>30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T262">
        <v>0</v>
      </c>
      <c r="U262">
        <v>1130</v>
      </c>
    </row>
    <row r="263" spans="1:21" x14ac:dyDescent="0.25">
      <c r="H263" t="s">
        <v>609</v>
      </c>
    </row>
    <row r="264" spans="1:21" x14ac:dyDescent="0.25">
      <c r="A264">
        <v>129</v>
      </c>
      <c r="B264">
        <v>5379</v>
      </c>
      <c r="C264" t="s">
        <v>610</v>
      </c>
      <c r="D264" t="s">
        <v>128</v>
      </c>
      <c r="E264" t="s">
        <v>191</v>
      </c>
      <c r="F264" t="s">
        <v>611</v>
      </c>
      <c r="G264" t="str">
        <f>"00072952"</f>
        <v>00072952</v>
      </c>
      <c r="H264">
        <v>1100</v>
      </c>
      <c r="I264">
        <v>0</v>
      </c>
      <c r="J264">
        <v>30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T264">
        <v>0</v>
      </c>
      <c r="U264">
        <v>1130</v>
      </c>
    </row>
    <row r="265" spans="1:21" x14ac:dyDescent="0.25">
      <c r="H265" t="s">
        <v>147</v>
      </c>
    </row>
    <row r="266" spans="1:21" x14ac:dyDescent="0.25">
      <c r="A266">
        <v>130</v>
      </c>
      <c r="B266">
        <v>3176</v>
      </c>
      <c r="C266" t="s">
        <v>612</v>
      </c>
      <c r="D266" t="s">
        <v>613</v>
      </c>
      <c r="E266" t="s">
        <v>614</v>
      </c>
      <c r="F266" t="s">
        <v>615</v>
      </c>
      <c r="G266" t="str">
        <f>"201406004274"</f>
        <v>201406004274</v>
      </c>
      <c r="H266">
        <v>1100</v>
      </c>
      <c r="I266">
        <v>0</v>
      </c>
      <c r="J266">
        <v>30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6</v>
      </c>
      <c r="S266">
        <v>809</v>
      </c>
      <c r="T266">
        <v>0</v>
      </c>
      <c r="U266">
        <v>1130</v>
      </c>
    </row>
    <row r="267" spans="1:21" x14ac:dyDescent="0.25">
      <c r="H267" t="s">
        <v>616</v>
      </c>
    </row>
    <row r="268" spans="1:21" x14ac:dyDescent="0.25">
      <c r="A268">
        <v>131</v>
      </c>
      <c r="B268">
        <v>3176</v>
      </c>
      <c r="C268" t="s">
        <v>612</v>
      </c>
      <c r="D268" t="s">
        <v>613</v>
      </c>
      <c r="E268" t="s">
        <v>614</v>
      </c>
      <c r="F268" t="s">
        <v>615</v>
      </c>
      <c r="G268" t="str">
        <f>"201406004274"</f>
        <v>201406004274</v>
      </c>
      <c r="H268">
        <v>1100</v>
      </c>
      <c r="I268">
        <v>0</v>
      </c>
      <c r="J268">
        <v>30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T268">
        <v>0</v>
      </c>
      <c r="U268">
        <v>1130</v>
      </c>
    </row>
    <row r="269" spans="1:21" x14ac:dyDescent="0.25">
      <c r="H269" t="s">
        <v>616</v>
      </c>
    </row>
    <row r="270" spans="1:21" x14ac:dyDescent="0.25">
      <c r="A270">
        <v>132</v>
      </c>
      <c r="B270">
        <v>10494</v>
      </c>
      <c r="C270" t="s">
        <v>617</v>
      </c>
      <c r="D270" t="s">
        <v>618</v>
      </c>
      <c r="E270" t="s">
        <v>533</v>
      </c>
      <c r="F270" t="s">
        <v>619</v>
      </c>
      <c r="G270" t="str">
        <f>"00079309"</f>
        <v>00079309</v>
      </c>
      <c r="H270">
        <v>880</v>
      </c>
      <c r="I270">
        <v>150</v>
      </c>
      <c r="J270">
        <v>70</v>
      </c>
      <c r="K270">
        <v>0</v>
      </c>
      <c r="L270">
        <v>0</v>
      </c>
      <c r="M270">
        <v>30</v>
      </c>
      <c r="N270">
        <v>0</v>
      </c>
      <c r="O270">
        <v>0</v>
      </c>
      <c r="P270">
        <v>0</v>
      </c>
      <c r="Q270">
        <v>0</v>
      </c>
      <c r="T270">
        <v>0</v>
      </c>
      <c r="U270">
        <v>1130</v>
      </c>
    </row>
    <row r="271" spans="1:21" x14ac:dyDescent="0.25">
      <c r="H271" t="s">
        <v>620</v>
      </c>
    </row>
    <row r="272" spans="1:21" x14ac:dyDescent="0.25">
      <c r="A272">
        <v>133</v>
      </c>
      <c r="B272">
        <v>811</v>
      </c>
      <c r="C272" t="s">
        <v>621</v>
      </c>
      <c r="D272" t="s">
        <v>622</v>
      </c>
      <c r="E272" t="s">
        <v>37</v>
      </c>
      <c r="F272" t="s">
        <v>623</v>
      </c>
      <c r="G272" t="str">
        <f>"201301000007"</f>
        <v>201301000007</v>
      </c>
      <c r="H272">
        <v>979</v>
      </c>
      <c r="I272">
        <v>150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6</v>
      </c>
      <c r="S272">
        <v>804</v>
      </c>
      <c r="T272">
        <v>0</v>
      </c>
      <c r="U272">
        <v>1129</v>
      </c>
    </row>
    <row r="273" spans="1:21" x14ac:dyDescent="0.25">
      <c r="H273">
        <v>804</v>
      </c>
    </row>
    <row r="274" spans="1:21" x14ac:dyDescent="0.25">
      <c r="A274">
        <v>134</v>
      </c>
      <c r="B274">
        <v>4109</v>
      </c>
      <c r="C274" t="s">
        <v>624</v>
      </c>
      <c r="D274" t="s">
        <v>112</v>
      </c>
      <c r="E274" t="s">
        <v>366</v>
      </c>
      <c r="F274" t="s">
        <v>625</v>
      </c>
      <c r="G274" t="str">
        <f>"201511015985"</f>
        <v>201511015985</v>
      </c>
      <c r="H274">
        <v>979</v>
      </c>
      <c r="I274">
        <v>150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T274">
        <v>1</v>
      </c>
      <c r="U274">
        <v>1129</v>
      </c>
    </row>
    <row r="275" spans="1:21" x14ac:dyDescent="0.25">
      <c r="H275" t="s">
        <v>626</v>
      </c>
    </row>
    <row r="276" spans="1:21" x14ac:dyDescent="0.25">
      <c r="A276">
        <v>135</v>
      </c>
      <c r="B276">
        <v>1480</v>
      </c>
      <c r="C276" t="s">
        <v>627</v>
      </c>
      <c r="D276" t="s">
        <v>589</v>
      </c>
      <c r="E276" t="s">
        <v>27</v>
      </c>
      <c r="F276" t="s">
        <v>628</v>
      </c>
      <c r="G276" t="str">
        <f>"201512002266"</f>
        <v>201512002266</v>
      </c>
      <c r="H276">
        <v>979</v>
      </c>
      <c r="I276">
        <v>150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T276">
        <v>0</v>
      </c>
      <c r="U276">
        <v>1129</v>
      </c>
    </row>
    <row r="277" spans="1:21" x14ac:dyDescent="0.25">
      <c r="H277" t="s">
        <v>629</v>
      </c>
    </row>
    <row r="278" spans="1:21" x14ac:dyDescent="0.25">
      <c r="A278">
        <v>136</v>
      </c>
      <c r="B278">
        <v>8006</v>
      </c>
      <c r="C278" t="s">
        <v>630</v>
      </c>
      <c r="D278" t="s">
        <v>78</v>
      </c>
      <c r="E278" t="s">
        <v>112</v>
      </c>
      <c r="F278" t="s">
        <v>631</v>
      </c>
      <c r="G278" t="str">
        <f>"201411000062"</f>
        <v>201411000062</v>
      </c>
      <c r="H278" t="s">
        <v>632</v>
      </c>
      <c r="I278">
        <v>0</v>
      </c>
      <c r="J278">
        <v>30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T278">
        <v>2</v>
      </c>
      <c r="U278" t="s">
        <v>633</v>
      </c>
    </row>
    <row r="279" spans="1:21" x14ac:dyDescent="0.25">
      <c r="H279" t="s">
        <v>634</v>
      </c>
    </row>
    <row r="280" spans="1:21" x14ac:dyDescent="0.25">
      <c r="A280">
        <v>137</v>
      </c>
      <c r="B280">
        <v>9481</v>
      </c>
      <c r="C280" t="s">
        <v>635</v>
      </c>
      <c r="D280" t="s">
        <v>636</v>
      </c>
      <c r="E280" t="s">
        <v>637</v>
      </c>
      <c r="F280" t="s">
        <v>638</v>
      </c>
      <c r="G280" t="str">
        <f>"00070180"</f>
        <v>00070180</v>
      </c>
      <c r="H280">
        <v>1056</v>
      </c>
      <c r="I280">
        <v>0</v>
      </c>
      <c r="J280">
        <v>70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T280">
        <v>0</v>
      </c>
      <c r="U280">
        <v>1126</v>
      </c>
    </row>
    <row r="281" spans="1:21" x14ac:dyDescent="0.25">
      <c r="H281" t="s">
        <v>639</v>
      </c>
    </row>
    <row r="282" spans="1:21" x14ac:dyDescent="0.25">
      <c r="A282">
        <v>138</v>
      </c>
      <c r="B282">
        <v>6649</v>
      </c>
      <c r="C282" t="s">
        <v>640</v>
      </c>
      <c r="D282" t="s">
        <v>641</v>
      </c>
      <c r="E282" t="s">
        <v>37</v>
      </c>
      <c r="F282" t="s">
        <v>642</v>
      </c>
      <c r="G282" t="str">
        <f>"201511029533"</f>
        <v>201511029533</v>
      </c>
      <c r="H282" t="s">
        <v>87</v>
      </c>
      <c r="I282">
        <v>0</v>
      </c>
      <c r="J282">
        <v>30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T282">
        <v>0</v>
      </c>
      <c r="U282" t="s">
        <v>643</v>
      </c>
    </row>
    <row r="283" spans="1:21" x14ac:dyDescent="0.25">
      <c r="H283" t="s">
        <v>644</v>
      </c>
    </row>
    <row r="284" spans="1:21" x14ac:dyDescent="0.25">
      <c r="A284">
        <v>139</v>
      </c>
      <c r="B284">
        <v>2434</v>
      </c>
      <c r="C284" t="s">
        <v>645</v>
      </c>
      <c r="D284" t="s">
        <v>646</v>
      </c>
      <c r="E284" t="s">
        <v>647</v>
      </c>
      <c r="F284" t="s">
        <v>648</v>
      </c>
      <c r="G284" t="str">
        <f>"00043651"</f>
        <v>00043651</v>
      </c>
      <c r="H284" t="s">
        <v>97</v>
      </c>
      <c r="I284">
        <v>0</v>
      </c>
      <c r="J284">
        <v>30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T284">
        <v>2</v>
      </c>
      <c r="U284" t="s">
        <v>649</v>
      </c>
    </row>
    <row r="285" spans="1:21" x14ac:dyDescent="0.25">
      <c r="H285" t="s">
        <v>650</v>
      </c>
    </row>
    <row r="286" spans="1:21" x14ac:dyDescent="0.25">
      <c r="A286">
        <v>140</v>
      </c>
      <c r="B286">
        <v>4075</v>
      </c>
      <c r="C286" t="s">
        <v>651</v>
      </c>
      <c r="D286" t="s">
        <v>116</v>
      </c>
      <c r="E286" t="s">
        <v>36</v>
      </c>
      <c r="F286" t="s">
        <v>652</v>
      </c>
      <c r="G286" t="str">
        <f>"00041582"</f>
        <v>00041582</v>
      </c>
      <c r="H286" t="s">
        <v>97</v>
      </c>
      <c r="I286">
        <v>0</v>
      </c>
      <c r="J286">
        <v>30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T286">
        <v>0</v>
      </c>
      <c r="U286" t="s">
        <v>649</v>
      </c>
    </row>
    <row r="287" spans="1:21" x14ac:dyDescent="0.25">
      <c r="H287" t="s">
        <v>653</v>
      </c>
    </row>
    <row r="288" spans="1:21" x14ac:dyDescent="0.25">
      <c r="A288">
        <v>141</v>
      </c>
      <c r="B288">
        <v>7556</v>
      </c>
      <c r="C288" t="s">
        <v>654</v>
      </c>
      <c r="D288" t="s">
        <v>655</v>
      </c>
      <c r="E288" t="s">
        <v>656</v>
      </c>
      <c r="F288" t="s">
        <v>657</v>
      </c>
      <c r="G288" t="str">
        <f>"00090246"</f>
        <v>00090246</v>
      </c>
      <c r="H288" t="s">
        <v>97</v>
      </c>
      <c r="I288">
        <v>0</v>
      </c>
      <c r="J288">
        <v>30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T288">
        <v>0</v>
      </c>
      <c r="U288" t="s">
        <v>649</v>
      </c>
    </row>
    <row r="289" spans="1:21" x14ac:dyDescent="0.25">
      <c r="H289" t="s">
        <v>658</v>
      </c>
    </row>
    <row r="290" spans="1:21" x14ac:dyDescent="0.25">
      <c r="A290">
        <v>142</v>
      </c>
      <c r="B290">
        <v>6578</v>
      </c>
      <c r="C290" t="s">
        <v>659</v>
      </c>
      <c r="D290" t="s">
        <v>313</v>
      </c>
      <c r="E290" t="s">
        <v>37</v>
      </c>
      <c r="F290" t="s">
        <v>660</v>
      </c>
      <c r="G290" t="str">
        <f>"00094380"</f>
        <v>00094380</v>
      </c>
      <c r="H290" t="s">
        <v>150</v>
      </c>
      <c r="I290">
        <v>0</v>
      </c>
      <c r="J290">
        <v>50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T290">
        <v>0</v>
      </c>
      <c r="U290" t="s">
        <v>661</v>
      </c>
    </row>
    <row r="291" spans="1:21" x14ac:dyDescent="0.25">
      <c r="H291" t="s">
        <v>662</v>
      </c>
    </row>
    <row r="292" spans="1:21" x14ac:dyDescent="0.25">
      <c r="A292">
        <v>143</v>
      </c>
      <c r="B292">
        <v>3519</v>
      </c>
      <c r="C292" t="s">
        <v>663</v>
      </c>
      <c r="D292" t="s">
        <v>121</v>
      </c>
      <c r="E292" t="s">
        <v>36</v>
      </c>
      <c r="F292" t="s">
        <v>664</v>
      </c>
      <c r="G292" t="str">
        <f>"00089832"</f>
        <v>00089832</v>
      </c>
      <c r="H292" t="s">
        <v>103</v>
      </c>
      <c r="I292">
        <v>0</v>
      </c>
      <c r="J292">
        <v>30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T292">
        <v>0</v>
      </c>
      <c r="U292" t="s">
        <v>665</v>
      </c>
    </row>
    <row r="293" spans="1:21" x14ac:dyDescent="0.25">
      <c r="H293" t="s">
        <v>238</v>
      </c>
    </row>
    <row r="294" spans="1:21" x14ac:dyDescent="0.25">
      <c r="A294">
        <v>144</v>
      </c>
      <c r="B294">
        <v>6961</v>
      </c>
      <c r="C294" t="s">
        <v>666</v>
      </c>
      <c r="D294" t="s">
        <v>667</v>
      </c>
      <c r="E294" t="s">
        <v>668</v>
      </c>
      <c r="F294" t="s">
        <v>669</v>
      </c>
      <c r="G294" t="str">
        <f>"00023364"</f>
        <v>00023364</v>
      </c>
      <c r="H294" t="s">
        <v>670</v>
      </c>
      <c r="I294">
        <v>150</v>
      </c>
      <c r="J294">
        <v>50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T294">
        <v>0</v>
      </c>
      <c r="U294" t="s">
        <v>671</v>
      </c>
    </row>
    <row r="295" spans="1:21" x14ac:dyDescent="0.25">
      <c r="H295" t="s">
        <v>672</v>
      </c>
    </row>
    <row r="296" spans="1:21" x14ac:dyDescent="0.25">
      <c r="A296">
        <v>145</v>
      </c>
      <c r="B296">
        <v>3131</v>
      </c>
      <c r="C296" t="s">
        <v>673</v>
      </c>
      <c r="D296" t="s">
        <v>64</v>
      </c>
      <c r="E296" t="s">
        <v>231</v>
      </c>
      <c r="F296" t="s">
        <v>674</v>
      </c>
      <c r="G296" t="str">
        <f>"201103000291"</f>
        <v>201103000291</v>
      </c>
      <c r="H296" t="s">
        <v>675</v>
      </c>
      <c r="I296">
        <v>0</v>
      </c>
      <c r="J296">
        <v>30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T296">
        <v>0</v>
      </c>
      <c r="U296" t="s">
        <v>676</v>
      </c>
    </row>
    <row r="297" spans="1:21" x14ac:dyDescent="0.25">
      <c r="H297" t="s">
        <v>677</v>
      </c>
    </row>
    <row r="298" spans="1:21" x14ac:dyDescent="0.25">
      <c r="A298">
        <v>146</v>
      </c>
      <c r="B298">
        <v>610</v>
      </c>
      <c r="C298" t="s">
        <v>678</v>
      </c>
      <c r="D298" t="s">
        <v>331</v>
      </c>
      <c r="E298" t="s">
        <v>37</v>
      </c>
      <c r="F298" t="s">
        <v>679</v>
      </c>
      <c r="G298" t="str">
        <f>"201510000418"</f>
        <v>201510000418</v>
      </c>
      <c r="H298" t="s">
        <v>675</v>
      </c>
      <c r="I298">
        <v>0</v>
      </c>
      <c r="J298">
        <v>30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T298">
        <v>0</v>
      </c>
      <c r="U298" t="s">
        <v>676</v>
      </c>
    </row>
    <row r="299" spans="1:21" x14ac:dyDescent="0.25">
      <c r="H299" t="s">
        <v>680</v>
      </c>
    </row>
    <row r="300" spans="1:21" x14ac:dyDescent="0.25">
      <c r="A300">
        <v>147</v>
      </c>
      <c r="B300">
        <v>4400</v>
      </c>
      <c r="C300" t="s">
        <v>681</v>
      </c>
      <c r="D300" t="s">
        <v>682</v>
      </c>
      <c r="E300" t="s">
        <v>683</v>
      </c>
      <c r="F300" t="s">
        <v>684</v>
      </c>
      <c r="G300" t="str">
        <f>"00049637"</f>
        <v>00049637</v>
      </c>
      <c r="H300" t="s">
        <v>675</v>
      </c>
      <c r="I300">
        <v>0</v>
      </c>
      <c r="J300">
        <v>30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T300">
        <v>0</v>
      </c>
      <c r="U300" t="s">
        <v>676</v>
      </c>
    </row>
    <row r="301" spans="1:21" x14ac:dyDescent="0.25">
      <c r="H301" t="s">
        <v>685</v>
      </c>
    </row>
    <row r="302" spans="1:21" x14ac:dyDescent="0.25">
      <c r="A302">
        <v>148</v>
      </c>
      <c r="B302">
        <v>7538</v>
      </c>
      <c r="C302" t="s">
        <v>686</v>
      </c>
      <c r="D302" t="s">
        <v>687</v>
      </c>
      <c r="E302" t="s">
        <v>688</v>
      </c>
      <c r="F302" t="s">
        <v>689</v>
      </c>
      <c r="G302" t="str">
        <f>"00076026"</f>
        <v>00076026</v>
      </c>
      <c r="H302" t="s">
        <v>675</v>
      </c>
      <c r="I302">
        <v>0</v>
      </c>
      <c r="J302">
        <v>30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T302">
        <v>2</v>
      </c>
      <c r="U302" t="s">
        <v>676</v>
      </c>
    </row>
    <row r="303" spans="1:21" x14ac:dyDescent="0.25">
      <c r="H303" t="s">
        <v>690</v>
      </c>
    </row>
    <row r="304" spans="1:21" x14ac:dyDescent="0.25">
      <c r="A304">
        <v>149</v>
      </c>
      <c r="B304">
        <v>2189</v>
      </c>
      <c r="C304" t="s">
        <v>691</v>
      </c>
      <c r="D304" t="s">
        <v>692</v>
      </c>
      <c r="E304" t="s">
        <v>65</v>
      </c>
      <c r="F304" t="s">
        <v>693</v>
      </c>
      <c r="G304" t="str">
        <f>"201510002135"</f>
        <v>201510002135</v>
      </c>
      <c r="H304" t="s">
        <v>675</v>
      </c>
      <c r="I304">
        <v>0</v>
      </c>
      <c r="J304">
        <v>30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T304">
        <v>0</v>
      </c>
      <c r="U304" t="s">
        <v>676</v>
      </c>
    </row>
    <row r="305" spans="1:21" x14ac:dyDescent="0.25">
      <c r="H305" t="s">
        <v>694</v>
      </c>
    </row>
    <row r="306" spans="1:21" x14ac:dyDescent="0.25">
      <c r="A306">
        <v>150</v>
      </c>
      <c r="B306">
        <v>5799</v>
      </c>
      <c r="C306" t="s">
        <v>695</v>
      </c>
      <c r="D306" t="s">
        <v>502</v>
      </c>
      <c r="E306" t="s">
        <v>696</v>
      </c>
      <c r="F306" t="s">
        <v>697</v>
      </c>
      <c r="G306" t="str">
        <f>"00074318"</f>
        <v>00074318</v>
      </c>
      <c r="H306" t="s">
        <v>675</v>
      </c>
      <c r="I306">
        <v>0</v>
      </c>
      <c r="J306">
        <v>30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T306">
        <v>1</v>
      </c>
      <c r="U306" t="s">
        <v>676</v>
      </c>
    </row>
    <row r="307" spans="1:21" x14ac:dyDescent="0.25">
      <c r="H307" t="s">
        <v>698</v>
      </c>
    </row>
    <row r="308" spans="1:21" x14ac:dyDescent="0.25">
      <c r="A308">
        <v>151</v>
      </c>
      <c r="B308">
        <v>3488</v>
      </c>
      <c r="C308" t="s">
        <v>699</v>
      </c>
      <c r="D308" t="s">
        <v>700</v>
      </c>
      <c r="E308" t="s">
        <v>36</v>
      </c>
      <c r="F308" t="s">
        <v>701</v>
      </c>
      <c r="G308" t="str">
        <f>"00029239"</f>
        <v>00029239</v>
      </c>
      <c r="H308" t="s">
        <v>702</v>
      </c>
      <c r="I308">
        <v>150</v>
      </c>
      <c r="J308">
        <v>30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T308">
        <v>2</v>
      </c>
      <c r="U308" t="s">
        <v>703</v>
      </c>
    </row>
    <row r="309" spans="1:21" x14ac:dyDescent="0.25">
      <c r="H309" t="s">
        <v>704</v>
      </c>
    </row>
    <row r="310" spans="1:21" x14ac:dyDescent="0.25">
      <c r="A310">
        <v>152</v>
      </c>
      <c r="B310">
        <v>5484</v>
      </c>
      <c r="C310" t="s">
        <v>705</v>
      </c>
      <c r="D310" t="s">
        <v>706</v>
      </c>
      <c r="E310" t="s">
        <v>707</v>
      </c>
      <c r="F310" t="s">
        <v>708</v>
      </c>
      <c r="G310" t="str">
        <f>"00039112"</f>
        <v>00039112</v>
      </c>
      <c r="H310" t="s">
        <v>461</v>
      </c>
      <c r="I310">
        <v>150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T310">
        <v>2</v>
      </c>
      <c r="U310" t="s">
        <v>709</v>
      </c>
    </row>
    <row r="311" spans="1:21" x14ac:dyDescent="0.25">
      <c r="H311" t="s">
        <v>710</v>
      </c>
    </row>
    <row r="312" spans="1:21" x14ac:dyDescent="0.25">
      <c r="A312">
        <v>153</v>
      </c>
      <c r="B312">
        <v>9718</v>
      </c>
      <c r="C312" t="s">
        <v>711</v>
      </c>
      <c r="D312" t="s">
        <v>26</v>
      </c>
      <c r="E312" t="s">
        <v>696</v>
      </c>
      <c r="F312" t="s">
        <v>712</v>
      </c>
      <c r="G312" t="str">
        <f>"00031856"</f>
        <v>00031856</v>
      </c>
      <c r="H312" t="s">
        <v>461</v>
      </c>
      <c r="I312">
        <v>150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T312">
        <v>0</v>
      </c>
      <c r="U312" t="s">
        <v>709</v>
      </c>
    </row>
    <row r="313" spans="1:21" x14ac:dyDescent="0.25">
      <c r="H313" t="s">
        <v>713</v>
      </c>
    </row>
    <row r="314" spans="1:21" x14ac:dyDescent="0.25">
      <c r="A314">
        <v>154</v>
      </c>
      <c r="B314">
        <v>4919</v>
      </c>
      <c r="C314" t="s">
        <v>714</v>
      </c>
      <c r="D314" t="s">
        <v>121</v>
      </c>
      <c r="E314" t="s">
        <v>36</v>
      </c>
      <c r="F314" t="s">
        <v>715</v>
      </c>
      <c r="G314" t="str">
        <f>"00070163"</f>
        <v>00070163</v>
      </c>
      <c r="H314" t="s">
        <v>461</v>
      </c>
      <c r="I314">
        <v>150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T314">
        <v>2</v>
      </c>
      <c r="U314" t="s">
        <v>709</v>
      </c>
    </row>
    <row r="315" spans="1:21" x14ac:dyDescent="0.25">
      <c r="H315" t="s">
        <v>716</v>
      </c>
    </row>
    <row r="316" spans="1:21" x14ac:dyDescent="0.25">
      <c r="A316">
        <v>155</v>
      </c>
      <c r="B316">
        <v>9237</v>
      </c>
      <c r="C316" t="s">
        <v>717</v>
      </c>
      <c r="D316" t="s">
        <v>36</v>
      </c>
      <c r="E316" t="s">
        <v>27</v>
      </c>
      <c r="F316" t="s">
        <v>718</v>
      </c>
      <c r="G316" t="str">
        <f>"201511037795"</f>
        <v>201511037795</v>
      </c>
      <c r="H316">
        <v>1089</v>
      </c>
      <c r="I316">
        <v>0</v>
      </c>
      <c r="J316">
        <v>30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T316">
        <v>0</v>
      </c>
      <c r="U316">
        <v>1119</v>
      </c>
    </row>
    <row r="317" spans="1:21" x14ac:dyDescent="0.25">
      <c r="H317" t="s">
        <v>719</v>
      </c>
    </row>
    <row r="318" spans="1:21" x14ac:dyDescent="0.25">
      <c r="A318">
        <v>156</v>
      </c>
      <c r="B318">
        <v>655</v>
      </c>
      <c r="C318" t="s">
        <v>720</v>
      </c>
      <c r="D318" t="s">
        <v>721</v>
      </c>
      <c r="E318" t="s">
        <v>36</v>
      </c>
      <c r="F318" t="s">
        <v>722</v>
      </c>
      <c r="G318" t="str">
        <f>"201511010134"</f>
        <v>201511010134</v>
      </c>
      <c r="H318">
        <v>1089</v>
      </c>
      <c r="I318">
        <v>0</v>
      </c>
      <c r="J318">
        <v>30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T318">
        <v>0</v>
      </c>
      <c r="U318">
        <v>1119</v>
      </c>
    </row>
    <row r="319" spans="1:21" x14ac:dyDescent="0.25">
      <c r="H319" t="s">
        <v>723</v>
      </c>
    </row>
    <row r="320" spans="1:21" x14ac:dyDescent="0.25">
      <c r="A320">
        <v>157</v>
      </c>
      <c r="B320">
        <v>8622</v>
      </c>
      <c r="C320" t="s">
        <v>724</v>
      </c>
      <c r="D320" t="s">
        <v>36</v>
      </c>
      <c r="E320" t="s">
        <v>51</v>
      </c>
      <c r="F320" t="s">
        <v>725</v>
      </c>
      <c r="G320" t="str">
        <f>"201506003416"</f>
        <v>201506003416</v>
      </c>
      <c r="H320">
        <v>1089</v>
      </c>
      <c r="I320">
        <v>0</v>
      </c>
      <c r="J320">
        <v>30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T320">
        <v>0</v>
      </c>
      <c r="U320">
        <v>1119</v>
      </c>
    </row>
    <row r="321" spans="1:21" x14ac:dyDescent="0.25">
      <c r="H321" t="s">
        <v>726</v>
      </c>
    </row>
    <row r="322" spans="1:21" x14ac:dyDescent="0.25">
      <c r="A322">
        <v>158</v>
      </c>
      <c r="B322">
        <v>6340</v>
      </c>
      <c r="C322" t="s">
        <v>727</v>
      </c>
      <c r="D322" t="s">
        <v>533</v>
      </c>
      <c r="E322" t="s">
        <v>36</v>
      </c>
      <c r="F322" t="s">
        <v>728</v>
      </c>
      <c r="G322" t="str">
        <f>"201502003437"</f>
        <v>201502003437</v>
      </c>
      <c r="H322">
        <v>968</v>
      </c>
      <c r="I322">
        <v>150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T322">
        <v>0</v>
      </c>
      <c r="U322">
        <v>1118</v>
      </c>
    </row>
    <row r="323" spans="1:21" x14ac:dyDescent="0.25">
      <c r="H323" t="s">
        <v>729</v>
      </c>
    </row>
    <row r="324" spans="1:21" x14ac:dyDescent="0.25">
      <c r="A324">
        <v>159</v>
      </c>
      <c r="B324">
        <v>6059</v>
      </c>
      <c r="C324" t="s">
        <v>730</v>
      </c>
      <c r="D324" t="s">
        <v>731</v>
      </c>
      <c r="E324" t="s">
        <v>36</v>
      </c>
      <c r="F324" t="s">
        <v>732</v>
      </c>
      <c r="G324" t="str">
        <f>"201511026770"</f>
        <v>201511026770</v>
      </c>
      <c r="H324">
        <v>968</v>
      </c>
      <c r="I324">
        <v>150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T324">
        <v>0</v>
      </c>
      <c r="U324">
        <v>1118</v>
      </c>
    </row>
    <row r="325" spans="1:21" x14ac:dyDescent="0.25">
      <c r="H325" t="s">
        <v>733</v>
      </c>
    </row>
    <row r="326" spans="1:21" x14ac:dyDescent="0.25">
      <c r="A326">
        <v>160</v>
      </c>
      <c r="B326">
        <v>6059</v>
      </c>
      <c r="C326" t="s">
        <v>730</v>
      </c>
      <c r="D326" t="s">
        <v>731</v>
      </c>
      <c r="E326" t="s">
        <v>36</v>
      </c>
      <c r="F326" t="s">
        <v>732</v>
      </c>
      <c r="G326" t="str">
        <f>"201511026770"</f>
        <v>201511026770</v>
      </c>
      <c r="H326">
        <v>968</v>
      </c>
      <c r="I326">
        <v>150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6</v>
      </c>
      <c r="S326">
        <v>804</v>
      </c>
      <c r="T326">
        <v>0</v>
      </c>
      <c r="U326">
        <v>1118</v>
      </c>
    </row>
    <row r="327" spans="1:21" x14ac:dyDescent="0.25">
      <c r="H327" t="s">
        <v>733</v>
      </c>
    </row>
    <row r="328" spans="1:21" x14ac:dyDescent="0.25">
      <c r="A328">
        <v>161</v>
      </c>
      <c r="B328">
        <v>2027</v>
      </c>
      <c r="C328" t="s">
        <v>734</v>
      </c>
      <c r="D328" t="s">
        <v>64</v>
      </c>
      <c r="E328" t="s">
        <v>533</v>
      </c>
      <c r="F328" t="s">
        <v>735</v>
      </c>
      <c r="G328" t="str">
        <f>"00016668"</f>
        <v>00016668</v>
      </c>
      <c r="H328" t="s">
        <v>736</v>
      </c>
      <c r="I328">
        <v>0</v>
      </c>
      <c r="J328">
        <v>30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6</v>
      </c>
      <c r="S328">
        <v>804</v>
      </c>
      <c r="T328">
        <v>0</v>
      </c>
      <c r="U328" t="s">
        <v>737</v>
      </c>
    </row>
    <row r="329" spans="1:21" x14ac:dyDescent="0.25">
      <c r="H329">
        <v>804</v>
      </c>
    </row>
    <row r="330" spans="1:21" x14ac:dyDescent="0.25">
      <c r="A330">
        <v>162</v>
      </c>
      <c r="B330">
        <v>10295</v>
      </c>
      <c r="C330" t="s">
        <v>738</v>
      </c>
      <c r="D330" t="s">
        <v>304</v>
      </c>
      <c r="E330" t="s">
        <v>122</v>
      </c>
      <c r="F330" t="s">
        <v>739</v>
      </c>
      <c r="G330" t="str">
        <f>"00040311"</f>
        <v>00040311</v>
      </c>
      <c r="H330" t="s">
        <v>736</v>
      </c>
      <c r="I330">
        <v>0</v>
      </c>
      <c r="J330">
        <v>30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T330">
        <v>0</v>
      </c>
      <c r="U330" t="s">
        <v>737</v>
      </c>
    </row>
    <row r="331" spans="1:21" x14ac:dyDescent="0.25">
      <c r="H331" t="s">
        <v>740</v>
      </c>
    </row>
    <row r="332" spans="1:21" x14ac:dyDescent="0.25">
      <c r="A332">
        <v>163</v>
      </c>
      <c r="B332">
        <v>7262</v>
      </c>
      <c r="C332" t="s">
        <v>741</v>
      </c>
      <c r="D332" t="s">
        <v>742</v>
      </c>
      <c r="E332" t="s">
        <v>36</v>
      </c>
      <c r="F332" t="s">
        <v>743</v>
      </c>
      <c r="G332" t="str">
        <f>"201410003084"</f>
        <v>201410003084</v>
      </c>
      <c r="H332" t="s">
        <v>60</v>
      </c>
      <c r="I332">
        <v>0</v>
      </c>
      <c r="J332">
        <v>30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T332">
        <v>0</v>
      </c>
      <c r="U332" t="s">
        <v>744</v>
      </c>
    </row>
    <row r="333" spans="1:21" x14ac:dyDescent="0.25">
      <c r="H333" t="s">
        <v>745</v>
      </c>
    </row>
    <row r="334" spans="1:21" x14ac:dyDescent="0.25">
      <c r="A334">
        <v>164</v>
      </c>
      <c r="B334">
        <v>4566</v>
      </c>
      <c r="C334" t="s">
        <v>746</v>
      </c>
      <c r="D334" t="s">
        <v>747</v>
      </c>
      <c r="E334" t="s">
        <v>36</v>
      </c>
      <c r="F334" t="s">
        <v>748</v>
      </c>
      <c r="G334" t="str">
        <f>"201511022110"</f>
        <v>201511022110</v>
      </c>
      <c r="H334" t="s">
        <v>60</v>
      </c>
      <c r="I334">
        <v>0</v>
      </c>
      <c r="J334">
        <v>30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T334">
        <v>0</v>
      </c>
      <c r="U334" t="s">
        <v>744</v>
      </c>
    </row>
    <row r="335" spans="1:21" x14ac:dyDescent="0.25">
      <c r="H335" t="s">
        <v>749</v>
      </c>
    </row>
    <row r="336" spans="1:21" x14ac:dyDescent="0.25">
      <c r="A336">
        <v>165</v>
      </c>
      <c r="B336">
        <v>4566</v>
      </c>
      <c r="C336" t="s">
        <v>746</v>
      </c>
      <c r="D336" t="s">
        <v>747</v>
      </c>
      <c r="E336" t="s">
        <v>36</v>
      </c>
      <c r="F336" t="s">
        <v>748</v>
      </c>
      <c r="G336" t="str">
        <f>"201511022110"</f>
        <v>201511022110</v>
      </c>
      <c r="H336" t="s">
        <v>60</v>
      </c>
      <c r="I336">
        <v>0</v>
      </c>
      <c r="J336">
        <v>30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6</v>
      </c>
      <c r="S336">
        <v>807</v>
      </c>
      <c r="T336">
        <v>0</v>
      </c>
      <c r="U336" t="s">
        <v>744</v>
      </c>
    </row>
    <row r="337" spans="1:21" x14ac:dyDescent="0.25">
      <c r="H337" t="s">
        <v>749</v>
      </c>
    </row>
    <row r="338" spans="1:21" x14ac:dyDescent="0.25">
      <c r="A338">
        <v>166</v>
      </c>
      <c r="B338">
        <v>6642</v>
      </c>
      <c r="C338" t="s">
        <v>258</v>
      </c>
      <c r="D338" t="s">
        <v>434</v>
      </c>
      <c r="E338" t="s">
        <v>37</v>
      </c>
      <c r="F338" t="s">
        <v>750</v>
      </c>
      <c r="G338" t="str">
        <f>"00055281"</f>
        <v>00055281</v>
      </c>
      <c r="H338" t="s">
        <v>60</v>
      </c>
      <c r="I338">
        <v>0</v>
      </c>
      <c r="J338">
        <v>30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T338">
        <v>0</v>
      </c>
      <c r="U338" t="s">
        <v>744</v>
      </c>
    </row>
    <row r="339" spans="1:21" x14ac:dyDescent="0.25">
      <c r="H339" t="s">
        <v>751</v>
      </c>
    </row>
    <row r="340" spans="1:21" x14ac:dyDescent="0.25">
      <c r="A340">
        <v>167</v>
      </c>
      <c r="B340">
        <v>1080</v>
      </c>
      <c r="C340" t="s">
        <v>752</v>
      </c>
      <c r="D340" t="s">
        <v>57</v>
      </c>
      <c r="E340" t="s">
        <v>36</v>
      </c>
      <c r="F340" t="s">
        <v>753</v>
      </c>
      <c r="G340" t="str">
        <f>"00082084"</f>
        <v>00082084</v>
      </c>
      <c r="H340" t="s">
        <v>60</v>
      </c>
      <c r="I340">
        <v>0</v>
      </c>
      <c r="J340">
        <v>30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T340">
        <v>0</v>
      </c>
      <c r="U340" t="s">
        <v>744</v>
      </c>
    </row>
    <row r="341" spans="1:21" x14ac:dyDescent="0.25">
      <c r="H341" t="s">
        <v>754</v>
      </c>
    </row>
    <row r="342" spans="1:21" x14ac:dyDescent="0.25">
      <c r="A342">
        <v>168</v>
      </c>
      <c r="B342">
        <v>9382</v>
      </c>
      <c r="C342" t="s">
        <v>755</v>
      </c>
      <c r="D342" t="s">
        <v>121</v>
      </c>
      <c r="E342" t="s">
        <v>191</v>
      </c>
      <c r="F342" t="s">
        <v>756</v>
      </c>
      <c r="G342" t="str">
        <f>"00076798"</f>
        <v>00076798</v>
      </c>
      <c r="H342">
        <v>1045</v>
      </c>
      <c r="I342">
        <v>0</v>
      </c>
      <c r="J342">
        <v>70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T342">
        <v>0</v>
      </c>
      <c r="U342">
        <v>1115</v>
      </c>
    </row>
    <row r="343" spans="1:21" x14ac:dyDescent="0.25">
      <c r="H343" t="s">
        <v>757</v>
      </c>
    </row>
    <row r="344" spans="1:21" x14ac:dyDescent="0.25">
      <c r="A344">
        <v>169</v>
      </c>
      <c r="B344">
        <v>7727</v>
      </c>
      <c r="C344" t="s">
        <v>758</v>
      </c>
      <c r="D344" t="s">
        <v>759</v>
      </c>
      <c r="E344" t="s">
        <v>760</v>
      </c>
      <c r="F344" t="s">
        <v>761</v>
      </c>
      <c r="G344" t="str">
        <f>"00067087"</f>
        <v>00067087</v>
      </c>
      <c r="H344">
        <v>1045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70</v>
      </c>
      <c r="P344">
        <v>0</v>
      </c>
      <c r="Q344">
        <v>0</v>
      </c>
      <c r="T344">
        <v>0</v>
      </c>
      <c r="U344">
        <v>1115</v>
      </c>
    </row>
    <row r="345" spans="1:21" x14ac:dyDescent="0.25">
      <c r="H345" t="s">
        <v>762</v>
      </c>
    </row>
    <row r="346" spans="1:21" x14ac:dyDescent="0.25">
      <c r="A346">
        <v>170</v>
      </c>
      <c r="B346">
        <v>8871</v>
      </c>
      <c r="C346" t="s">
        <v>763</v>
      </c>
      <c r="D346" t="s">
        <v>764</v>
      </c>
      <c r="E346" t="s">
        <v>135</v>
      </c>
      <c r="F346" t="s">
        <v>765</v>
      </c>
      <c r="G346" t="str">
        <f>"200712005036"</f>
        <v>200712005036</v>
      </c>
      <c r="H346">
        <v>935</v>
      </c>
      <c r="I346">
        <v>150</v>
      </c>
      <c r="J346">
        <v>30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T346">
        <v>0</v>
      </c>
      <c r="U346">
        <v>1115</v>
      </c>
    </row>
    <row r="347" spans="1:21" x14ac:dyDescent="0.25">
      <c r="H347" t="s">
        <v>766</v>
      </c>
    </row>
    <row r="348" spans="1:21" x14ac:dyDescent="0.25">
      <c r="A348">
        <v>171</v>
      </c>
      <c r="B348">
        <v>1726</v>
      </c>
      <c r="C348" t="s">
        <v>767</v>
      </c>
      <c r="D348" t="s">
        <v>768</v>
      </c>
      <c r="E348" t="s">
        <v>769</v>
      </c>
      <c r="F348" t="s">
        <v>770</v>
      </c>
      <c r="G348" t="str">
        <f>"00042252"</f>
        <v>00042252</v>
      </c>
      <c r="H348">
        <v>935</v>
      </c>
      <c r="I348">
        <v>150</v>
      </c>
      <c r="J348">
        <v>30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T348">
        <v>0</v>
      </c>
      <c r="U348">
        <v>1115</v>
      </c>
    </row>
    <row r="349" spans="1:21" x14ac:dyDescent="0.25">
      <c r="H349" t="s">
        <v>771</v>
      </c>
    </row>
    <row r="350" spans="1:21" x14ac:dyDescent="0.25">
      <c r="A350">
        <v>172</v>
      </c>
      <c r="B350">
        <v>8442</v>
      </c>
      <c r="C350" t="s">
        <v>772</v>
      </c>
      <c r="D350" t="s">
        <v>128</v>
      </c>
      <c r="E350" t="s">
        <v>773</v>
      </c>
      <c r="F350" t="s">
        <v>774</v>
      </c>
      <c r="G350" t="str">
        <f>"201511035716"</f>
        <v>201511035716</v>
      </c>
      <c r="H350">
        <v>935</v>
      </c>
      <c r="I350">
        <v>150</v>
      </c>
      <c r="J350">
        <v>30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T350">
        <v>0</v>
      </c>
      <c r="U350">
        <v>1115</v>
      </c>
    </row>
    <row r="351" spans="1:21" x14ac:dyDescent="0.25">
      <c r="H351" t="s">
        <v>775</v>
      </c>
    </row>
    <row r="352" spans="1:21" x14ac:dyDescent="0.25">
      <c r="A352">
        <v>173</v>
      </c>
      <c r="B352">
        <v>5577</v>
      </c>
      <c r="C352" t="s">
        <v>776</v>
      </c>
      <c r="D352" t="s">
        <v>134</v>
      </c>
      <c r="E352" t="s">
        <v>42</v>
      </c>
      <c r="F352" t="s">
        <v>777</v>
      </c>
      <c r="G352" t="str">
        <f>"00086969"</f>
        <v>00086969</v>
      </c>
      <c r="H352" t="s">
        <v>309</v>
      </c>
      <c r="I352">
        <v>150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T352">
        <v>0</v>
      </c>
      <c r="U352" t="s">
        <v>778</v>
      </c>
    </row>
    <row r="353" spans="1:21" x14ac:dyDescent="0.25">
      <c r="H353" t="s">
        <v>779</v>
      </c>
    </row>
    <row r="354" spans="1:21" x14ac:dyDescent="0.25">
      <c r="A354">
        <v>174</v>
      </c>
      <c r="B354">
        <v>6622</v>
      </c>
      <c r="C354" t="s">
        <v>780</v>
      </c>
      <c r="D354" t="s">
        <v>781</v>
      </c>
      <c r="E354" t="s">
        <v>782</v>
      </c>
      <c r="F354" t="s">
        <v>783</v>
      </c>
      <c r="G354" t="str">
        <f>"00016710"</f>
        <v>00016710</v>
      </c>
      <c r="H354" t="s">
        <v>315</v>
      </c>
      <c r="I354">
        <v>0</v>
      </c>
      <c r="J354">
        <v>30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T354">
        <v>0</v>
      </c>
      <c r="U354" t="s">
        <v>784</v>
      </c>
    </row>
    <row r="355" spans="1:21" x14ac:dyDescent="0.25">
      <c r="H355" t="s">
        <v>785</v>
      </c>
    </row>
    <row r="356" spans="1:21" x14ac:dyDescent="0.25">
      <c r="A356">
        <v>175</v>
      </c>
      <c r="B356">
        <v>5205</v>
      </c>
      <c r="C356" t="s">
        <v>786</v>
      </c>
      <c r="D356" t="s">
        <v>787</v>
      </c>
      <c r="E356" t="s">
        <v>764</v>
      </c>
      <c r="F356" t="s">
        <v>788</v>
      </c>
      <c r="G356" t="str">
        <f>"00094242"</f>
        <v>00094242</v>
      </c>
      <c r="H356" t="s">
        <v>315</v>
      </c>
      <c r="I356">
        <v>0</v>
      </c>
      <c r="J356">
        <v>30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T356">
        <v>0</v>
      </c>
      <c r="U356" t="s">
        <v>784</v>
      </c>
    </row>
    <row r="357" spans="1:21" x14ac:dyDescent="0.25">
      <c r="H357" t="s">
        <v>789</v>
      </c>
    </row>
    <row r="358" spans="1:21" x14ac:dyDescent="0.25">
      <c r="A358">
        <v>176</v>
      </c>
      <c r="B358">
        <v>3297</v>
      </c>
      <c r="C358" t="s">
        <v>790</v>
      </c>
      <c r="D358" t="s">
        <v>57</v>
      </c>
      <c r="E358" t="s">
        <v>27</v>
      </c>
      <c r="F358" t="s">
        <v>791</v>
      </c>
      <c r="G358" t="str">
        <f>"201511024184"</f>
        <v>201511024184</v>
      </c>
      <c r="H358" t="s">
        <v>792</v>
      </c>
      <c r="I358">
        <v>150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T358">
        <v>0</v>
      </c>
      <c r="U358" t="s">
        <v>793</v>
      </c>
    </row>
    <row r="359" spans="1:21" x14ac:dyDescent="0.25">
      <c r="H359" t="s">
        <v>794</v>
      </c>
    </row>
    <row r="360" spans="1:21" x14ac:dyDescent="0.25">
      <c r="A360">
        <v>177</v>
      </c>
      <c r="B360">
        <v>7437</v>
      </c>
      <c r="C360" t="s">
        <v>795</v>
      </c>
      <c r="D360" t="s">
        <v>121</v>
      </c>
      <c r="E360" t="s">
        <v>27</v>
      </c>
      <c r="F360" t="s">
        <v>796</v>
      </c>
      <c r="G360" t="str">
        <f>"201102000977"</f>
        <v>201102000977</v>
      </c>
      <c r="H360" t="s">
        <v>797</v>
      </c>
      <c r="I360">
        <v>0</v>
      </c>
      <c r="J360">
        <v>30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T360">
        <v>0</v>
      </c>
      <c r="U360" t="s">
        <v>798</v>
      </c>
    </row>
    <row r="361" spans="1:21" x14ac:dyDescent="0.25">
      <c r="H361" t="s">
        <v>799</v>
      </c>
    </row>
    <row r="362" spans="1:21" x14ac:dyDescent="0.25">
      <c r="A362">
        <v>178</v>
      </c>
      <c r="B362">
        <v>6070</v>
      </c>
      <c r="C362" t="s">
        <v>800</v>
      </c>
      <c r="D362" t="s">
        <v>85</v>
      </c>
      <c r="E362" t="s">
        <v>366</v>
      </c>
      <c r="F362" t="s">
        <v>801</v>
      </c>
      <c r="G362" t="str">
        <f>"201511041163"</f>
        <v>201511041163</v>
      </c>
      <c r="H362" t="s">
        <v>797</v>
      </c>
      <c r="I362">
        <v>0</v>
      </c>
      <c r="J362">
        <v>30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T362">
        <v>0</v>
      </c>
      <c r="U362" t="s">
        <v>798</v>
      </c>
    </row>
    <row r="363" spans="1:21" x14ac:dyDescent="0.25">
      <c r="H363" t="s">
        <v>802</v>
      </c>
    </row>
    <row r="364" spans="1:21" x14ac:dyDescent="0.25">
      <c r="A364">
        <v>179</v>
      </c>
      <c r="B364">
        <v>491</v>
      </c>
      <c r="C364" t="s">
        <v>803</v>
      </c>
      <c r="D364" t="s">
        <v>95</v>
      </c>
      <c r="E364" t="s">
        <v>366</v>
      </c>
      <c r="F364" t="s">
        <v>804</v>
      </c>
      <c r="G364" t="str">
        <f>"201412003943"</f>
        <v>201412003943</v>
      </c>
      <c r="H364" t="s">
        <v>797</v>
      </c>
      <c r="I364">
        <v>0</v>
      </c>
      <c r="J364">
        <v>30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T364">
        <v>0</v>
      </c>
      <c r="U364" t="s">
        <v>798</v>
      </c>
    </row>
    <row r="365" spans="1:21" x14ac:dyDescent="0.25">
      <c r="H365" t="s">
        <v>805</v>
      </c>
    </row>
    <row r="366" spans="1:21" x14ac:dyDescent="0.25">
      <c r="A366">
        <v>180</v>
      </c>
      <c r="B366">
        <v>2675</v>
      </c>
      <c r="C366" t="s">
        <v>806</v>
      </c>
      <c r="D366" t="s">
        <v>85</v>
      </c>
      <c r="E366" t="s">
        <v>42</v>
      </c>
      <c r="F366" t="s">
        <v>807</v>
      </c>
      <c r="G366" t="str">
        <f>"200810000945"</f>
        <v>200810000945</v>
      </c>
      <c r="H366" t="s">
        <v>808</v>
      </c>
      <c r="I366">
        <v>150</v>
      </c>
      <c r="J366">
        <v>30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T366">
        <v>0</v>
      </c>
      <c r="U366" t="s">
        <v>809</v>
      </c>
    </row>
    <row r="367" spans="1:21" x14ac:dyDescent="0.25">
      <c r="H367" t="s">
        <v>810</v>
      </c>
    </row>
    <row r="368" spans="1:21" x14ac:dyDescent="0.25">
      <c r="A368">
        <v>181</v>
      </c>
      <c r="B368">
        <v>7422</v>
      </c>
      <c r="C368" t="s">
        <v>811</v>
      </c>
      <c r="D368" t="s">
        <v>812</v>
      </c>
      <c r="E368" t="s">
        <v>135</v>
      </c>
      <c r="F368" t="s">
        <v>813</v>
      </c>
      <c r="G368" t="str">
        <f>"00090663"</f>
        <v>00090663</v>
      </c>
      <c r="H368" t="s">
        <v>814</v>
      </c>
      <c r="I368">
        <v>150</v>
      </c>
      <c r="J368">
        <v>30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T368">
        <v>0</v>
      </c>
      <c r="U368" t="s">
        <v>815</v>
      </c>
    </row>
    <row r="369" spans="1:21" x14ac:dyDescent="0.25">
      <c r="H369" t="s">
        <v>816</v>
      </c>
    </row>
    <row r="370" spans="1:21" x14ac:dyDescent="0.25">
      <c r="A370">
        <v>182</v>
      </c>
      <c r="B370">
        <v>2670</v>
      </c>
      <c r="C370" t="s">
        <v>817</v>
      </c>
      <c r="D370" t="s">
        <v>818</v>
      </c>
      <c r="E370" t="s">
        <v>122</v>
      </c>
      <c r="F370" t="s">
        <v>819</v>
      </c>
      <c r="G370" t="str">
        <f>"201103000293"</f>
        <v>201103000293</v>
      </c>
      <c r="H370" t="s">
        <v>137</v>
      </c>
      <c r="I370">
        <v>0</v>
      </c>
      <c r="J370">
        <v>30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T370">
        <v>0</v>
      </c>
      <c r="U370" t="s">
        <v>820</v>
      </c>
    </row>
    <row r="371" spans="1:21" x14ac:dyDescent="0.25">
      <c r="H371" t="s">
        <v>821</v>
      </c>
    </row>
    <row r="372" spans="1:21" x14ac:dyDescent="0.25">
      <c r="A372">
        <v>183</v>
      </c>
      <c r="B372">
        <v>4968</v>
      </c>
      <c r="C372" t="s">
        <v>822</v>
      </c>
      <c r="D372" t="s">
        <v>372</v>
      </c>
      <c r="E372" t="s">
        <v>27</v>
      </c>
      <c r="F372" t="s">
        <v>823</v>
      </c>
      <c r="G372" t="str">
        <f>"201511043157"</f>
        <v>201511043157</v>
      </c>
      <c r="H372" t="s">
        <v>824</v>
      </c>
      <c r="I372">
        <v>150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T372">
        <v>0</v>
      </c>
      <c r="U372" t="s">
        <v>825</v>
      </c>
    </row>
    <row r="373" spans="1:21" x14ac:dyDescent="0.25">
      <c r="H373" t="s">
        <v>826</v>
      </c>
    </row>
    <row r="374" spans="1:21" x14ac:dyDescent="0.25">
      <c r="A374">
        <v>184</v>
      </c>
      <c r="B374">
        <v>6172</v>
      </c>
      <c r="C374" t="s">
        <v>827</v>
      </c>
      <c r="D374" t="s">
        <v>285</v>
      </c>
      <c r="E374" t="s">
        <v>231</v>
      </c>
      <c r="F374" t="s">
        <v>828</v>
      </c>
      <c r="G374" t="str">
        <f>"201511031733"</f>
        <v>201511031733</v>
      </c>
      <c r="H374">
        <v>1078</v>
      </c>
      <c r="I374">
        <v>0</v>
      </c>
      <c r="J374">
        <v>30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T374">
        <v>0</v>
      </c>
      <c r="U374">
        <v>1108</v>
      </c>
    </row>
    <row r="375" spans="1:21" x14ac:dyDescent="0.25">
      <c r="H375" t="s">
        <v>829</v>
      </c>
    </row>
    <row r="376" spans="1:21" x14ac:dyDescent="0.25">
      <c r="A376">
        <v>185</v>
      </c>
      <c r="B376">
        <v>3295</v>
      </c>
      <c r="C376" t="s">
        <v>830</v>
      </c>
      <c r="D376" t="s">
        <v>831</v>
      </c>
      <c r="E376" t="s">
        <v>832</v>
      </c>
      <c r="F376" t="s">
        <v>833</v>
      </c>
      <c r="G376" t="str">
        <f>"00022561"</f>
        <v>00022561</v>
      </c>
      <c r="H376">
        <v>1078</v>
      </c>
      <c r="I376">
        <v>0</v>
      </c>
      <c r="J376">
        <v>30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T376">
        <v>0</v>
      </c>
      <c r="U376">
        <v>1108</v>
      </c>
    </row>
    <row r="377" spans="1:21" x14ac:dyDescent="0.25">
      <c r="H377" t="s">
        <v>491</v>
      </c>
    </row>
    <row r="378" spans="1:21" x14ac:dyDescent="0.25">
      <c r="A378">
        <v>186</v>
      </c>
      <c r="B378">
        <v>8468</v>
      </c>
      <c r="C378" t="s">
        <v>834</v>
      </c>
      <c r="D378" t="s">
        <v>64</v>
      </c>
      <c r="E378" t="s">
        <v>835</v>
      </c>
      <c r="F378">
        <v>31503</v>
      </c>
      <c r="G378" t="str">
        <f>"00103413"</f>
        <v>00103413</v>
      </c>
      <c r="H378">
        <v>957</v>
      </c>
      <c r="I378">
        <v>150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T378">
        <v>0</v>
      </c>
      <c r="U378">
        <v>1107</v>
      </c>
    </row>
    <row r="379" spans="1:21" x14ac:dyDescent="0.25">
      <c r="H379" t="s">
        <v>836</v>
      </c>
    </row>
    <row r="380" spans="1:21" x14ac:dyDescent="0.25">
      <c r="A380">
        <v>187</v>
      </c>
      <c r="B380">
        <v>1730</v>
      </c>
      <c r="C380" t="s">
        <v>837</v>
      </c>
      <c r="D380" t="s">
        <v>64</v>
      </c>
      <c r="E380" t="s">
        <v>332</v>
      </c>
      <c r="F380" t="s">
        <v>838</v>
      </c>
      <c r="G380" t="str">
        <f>"00025159"</f>
        <v>00025159</v>
      </c>
      <c r="H380">
        <v>957</v>
      </c>
      <c r="I380">
        <v>150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6</v>
      </c>
      <c r="S380">
        <v>804</v>
      </c>
      <c r="T380">
        <v>2</v>
      </c>
      <c r="U380">
        <v>1107</v>
      </c>
    </row>
    <row r="381" spans="1:21" x14ac:dyDescent="0.25">
      <c r="H381">
        <v>804</v>
      </c>
    </row>
    <row r="382" spans="1:21" x14ac:dyDescent="0.25">
      <c r="A382">
        <v>188</v>
      </c>
      <c r="B382">
        <v>2658</v>
      </c>
      <c r="C382" t="s">
        <v>839</v>
      </c>
      <c r="D382" t="s">
        <v>572</v>
      </c>
      <c r="E382" t="s">
        <v>36</v>
      </c>
      <c r="F382" t="s">
        <v>840</v>
      </c>
      <c r="G382" t="str">
        <f>"201511031035"</f>
        <v>201511031035</v>
      </c>
      <c r="H382">
        <v>957</v>
      </c>
      <c r="I382">
        <v>150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T382">
        <v>0</v>
      </c>
      <c r="U382">
        <v>1107</v>
      </c>
    </row>
    <row r="383" spans="1:21" x14ac:dyDescent="0.25">
      <c r="H383" t="s">
        <v>841</v>
      </c>
    </row>
    <row r="384" spans="1:21" x14ac:dyDescent="0.25">
      <c r="A384">
        <v>189</v>
      </c>
      <c r="B384">
        <v>9403</v>
      </c>
      <c r="C384" t="s">
        <v>842</v>
      </c>
      <c r="D384" t="s">
        <v>843</v>
      </c>
      <c r="E384" t="s">
        <v>533</v>
      </c>
      <c r="F384" t="s">
        <v>844</v>
      </c>
      <c r="G384" t="str">
        <f>"00022427"</f>
        <v>00022427</v>
      </c>
      <c r="H384" t="s">
        <v>845</v>
      </c>
      <c r="I384">
        <v>150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T384">
        <v>0</v>
      </c>
      <c r="U384" t="s">
        <v>846</v>
      </c>
    </row>
    <row r="385" spans="1:21" x14ac:dyDescent="0.25">
      <c r="H385" t="s">
        <v>847</v>
      </c>
    </row>
    <row r="386" spans="1:21" x14ac:dyDescent="0.25">
      <c r="A386">
        <v>190</v>
      </c>
      <c r="B386">
        <v>8903</v>
      </c>
      <c r="C386" t="s">
        <v>848</v>
      </c>
      <c r="D386" t="s">
        <v>64</v>
      </c>
      <c r="E386" t="s">
        <v>112</v>
      </c>
      <c r="F386" t="s">
        <v>849</v>
      </c>
      <c r="G386" t="str">
        <f>"201511012633"</f>
        <v>201511012633</v>
      </c>
      <c r="H386" t="s">
        <v>845</v>
      </c>
      <c r="I386">
        <v>150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T386">
        <v>0</v>
      </c>
      <c r="U386" t="s">
        <v>846</v>
      </c>
    </row>
    <row r="387" spans="1:21" x14ac:dyDescent="0.25">
      <c r="H387" t="s">
        <v>850</v>
      </c>
    </row>
    <row r="388" spans="1:21" x14ac:dyDescent="0.25">
      <c r="A388">
        <v>191</v>
      </c>
      <c r="B388">
        <v>3013</v>
      </c>
      <c r="C388" t="s">
        <v>851</v>
      </c>
      <c r="D388" t="s">
        <v>614</v>
      </c>
      <c r="E388" t="s">
        <v>852</v>
      </c>
      <c r="F388" t="s">
        <v>853</v>
      </c>
      <c r="G388" t="str">
        <f>"00087094"</f>
        <v>00087094</v>
      </c>
      <c r="H388" t="s">
        <v>854</v>
      </c>
      <c r="I388">
        <v>0</v>
      </c>
      <c r="J388">
        <v>30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T388">
        <v>0</v>
      </c>
      <c r="U388" t="s">
        <v>855</v>
      </c>
    </row>
    <row r="389" spans="1:21" x14ac:dyDescent="0.25">
      <c r="H389" t="s">
        <v>856</v>
      </c>
    </row>
    <row r="390" spans="1:21" x14ac:dyDescent="0.25">
      <c r="A390">
        <v>192</v>
      </c>
      <c r="B390">
        <v>5764</v>
      </c>
      <c r="C390" t="s">
        <v>857</v>
      </c>
      <c r="D390" t="s">
        <v>858</v>
      </c>
      <c r="E390" t="s">
        <v>859</v>
      </c>
      <c r="F390" t="s">
        <v>860</v>
      </c>
      <c r="G390" t="str">
        <f>"00023077"</f>
        <v>00023077</v>
      </c>
      <c r="H390" t="s">
        <v>854</v>
      </c>
      <c r="I390">
        <v>0</v>
      </c>
      <c r="J390">
        <v>30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T390">
        <v>0</v>
      </c>
      <c r="U390" t="s">
        <v>855</v>
      </c>
    </row>
    <row r="391" spans="1:21" x14ac:dyDescent="0.25">
      <c r="H391" t="s">
        <v>861</v>
      </c>
    </row>
    <row r="392" spans="1:21" x14ac:dyDescent="0.25">
      <c r="A392">
        <v>193</v>
      </c>
      <c r="B392">
        <v>8846</v>
      </c>
      <c r="C392" t="s">
        <v>862</v>
      </c>
      <c r="D392" t="s">
        <v>64</v>
      </c>
      <c r="E392" t="s">
        <v>135</v>
      </c>
      <c r="F392" t="s">
        <v>863</v>
      </c>
      <c r="G392" t="str">
        <f>"201511029413"</f>
        <v>201511029413</v>
      </c>
      <c r="H392" t="s">
        <v>864</v>
      </c>
      <c r="I392">
        <v>150</v>
      </c>
      <c r="J392">
        <v>30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T392">
        <v>0</v>
      </c>
      <c r="U392" t="s">
        <v>865</v>
      </c>
    </row>
    <row r="393" spans="1:21" x14ac:dyDescent="0.25">
      <c r="H393" t="s">
        <v>866</v>
      </c>
    </row>
    <row r="394" spans="1:21" x14ac:dyDescent="0.25">
      <c r="A394">
        <v>194</v>
      </c>
      <c r="B394">
        <v>2248</v>
      </c>
      <c r="C394" t="s">
        <v>867</v>
      </c>
      <c r="D394" t="s">
        <v>116</v>
      </c>
      <c r="E394" t="s">
        <v>122</v>
      </c>
      <c r="F394" t="s">
        <v>868</v>
      </c>
      <c r="G394" t="str">
        <f>"00024654"</f>
        <v>00024654</v>
      </c>
      <c r="H394" t="s">
        <v>22</v>
      </c>
      <c r="I394">
        <v>0</v>
      </c>
      <c r="J394">
        <v>30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T394">
        <v>0</v>
      </c>
      <c r="U394" t="s">
        <v>869</v>
      </c>
    </row>
    <row r="395" spans="1:21" x14ac:dyDescent="0.25">
      <c r="H395" t="s">
        <v>870</v>
      </c>
    </row>
    <row r="396" spans="1:21" x14ac:dyDescent="0.25">
      <c r="A396">
        <v>195</v>
      </c>
      <c r="B396">
        <v>9614</v>
      </c>
      <c r="C396" t="s">
        <v>871</v>
      </c>
      <c r="D396" t="s">
        <v>313</v>
      </c>
      <c r="E396" t="s">
        <v>42</v>
      </c>
      <c r="F396" t="s">
        <v>872</v>
      </c>
      <c r="G396" t="str">
        <f>"00089884"</f>
        <v>00089884</v>
      </c>
      <c r="H396" t="s">
        <v>22</v>
      </c>
      <c r="I396">
        <v>0</v>
      </c>
      <c r="J396">
        <v>30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T396">
        <v>2</v>
      </c>
      <c r="U396" t="s">
        <v>869</v>
      </c>
    </row>
    <row r="397" spans="1:21" x14ac:dyDescent="0.25">
      <c r="H397" t="s">
        <v>873</v>
      </c>
    </row>
    <row r="398" spans="1:21" x14ac:dyDescent="0.25">
      <c r="A398">
        <v>196</v>
      </c>
      <c r="B398">
        <v>1444</v>
      </c>
      <c r="C398" t="s">
        <v>874</v>
      </c>
      <c r="D398" t="s">
        <v>372</v>
      </c>
      <c r="E398" t="s">
        <v>42</v>
      </c>
      <c r="F398" t="s">
        <v>875</v>
      </c>
      <c r="G398" t="str">
        <f>"201511039936"</f>
        <v>201511039936</v>
      </c>
      <c r="H398" t="s">
        <v>130</v>
      </c>
      <c r="I398">
        <v>0</v>
      </c>
      <c r="J398">
        <v>50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T398">
        <v>0</v>
      </c>
      <c r="U398" t="s">
        <v>876</v>
      </c>
    </row>
    <row r="399" spans="1:21" x14ac:dyDescent="0.25">
      <c r="H399">
        <v>756</v>
      </c>
    </row>
    <row r="400" spans="1:21" x14ac:dyDescent="0.25">
      <c r="A400">
        <v>197</v>
      </c>
      <c r="B400">
        <v>10191</v>
      </c>
      <c r="C400" t="s">
        <v>877</v>
      </c>
      <c r="D400" t="s">
        <v>57</v>
      </c>
      <c r="E400" t="s">
        <v>37</v>
      </c>
      <c r="F400" t="s">
        <v>878</v>
      </c>
      <c r="G400" t="str">
        <f>"201412000383"</f>
        <v>201412000383</v>
      </c>
      <c r="H400" t="s">
        <v>150</v>
      </c>
      <c r="I400">
        <v>0</v>
      </c>
      <c r="J400">
        <v>30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T400">
        <v>0</v>
      </c>
      <c r="U400" t="s">
        <v>879</v>
      </c>
    </row>
    <row r="401" spans="1:21" x14ac:dyDescent="0.25">
      <c r="H401" t="s">
        <v>880</v>
      </c>
    </row>
    <row r="402" spans="1:21" x14ac:dyDescent="0.25">
      <c r="A402">
        <v>198</v>
      </c>
      <c r="B402">
        <v>6280</v>
      </c>
      <c r="C402" t="s">
        <v>881</v>
      </c>
      <c r="D402" t="s">
        <v>882</v>
      </c>
      <c r="E402" t="s">
        <v>883</v>
      </c>
      <c r="F402" t="s">
        <v>884</v>
      </c>
      <c r="G402" t="str">
        <f>"201511040321"</f>
        <v>201511040321</v>
      </c>
      <c r="H402" t="s">
        <v>150</v>
      </c>
      <c r="I402">
        <v>0</v>
      </c>
      <c r="J402">
        <v>30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T402">
        <v>0</v>
      </c>
      <c r="U402" t="s">
        <v>879</v>
      </c>
    </row>
    <row r="403" spans="1:21" x14ac:dyDescent="0.25">
      <c r="H403" t="s">
        <v>885</v>
      </c>
    </row>
    <row r="404" spans="1:21" x14ac:dyDescent="0.25">
      <c r="A404">
        <v>199</v>
      </c>
      <c r="B404">
        <v>8135</v>
      </c>
      <c r="C404" t="s">
        <v>886</v>
      </c>
      <c r="D404" t="s">
        <v>589</v>
      </c>
      <c r="E404" t="s">
        <v>65</v>
      </c>
      <c r="F404" t="s">
        <v>887</v>
      </c>
      <c r="G404" t="str">
        <f>"201512000188"</f>
        <v>201512000188</v>
      </c>
      <c r="H404" t="s">
        <v>221</v>
      </c>
      <c r="I404">
        <v>0</v>
      </c>
      <c r="J404">
        <v>50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T404">
        <v>2</v>
      </c>
      <c r="U404" t="s">
        <v>888</v>
      </c>
    </row>
    <row r="405" spans="1:21" x14ac:dyDescent="0.25">
      <c r="H405" t="s">
        <v>889</v>
      </c>
    </row>
    <row r="406" spans="1:21" x14ac:dyDescent="0.25">
      <c r="A406">
        <v>200</v>
      </c>
      <c r="B406">
        <v>1397</v>
      </c>
      <c r="C406" t="s">
        <v>890</v>
      </c>
      <c r="D406" t="s">
        <v>891</v>
      </c>
      <c r="E406" t="s">
        <v>122</v>
      </c>
      <c r="F406" t="s">
        <v>892</v>
      </c>
      <c r="G406" t="str">
        <f>"201511009181"</f>
        <v>201511009181</v>
      </c>
      <c r="H406" t="s">
        <v>893</v>
      </c>
      <c r="I406">
        <v>150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T406">
        <v>2</v>
      </c>
      <c r="U406" t="s">
        <v>894</v>
      </c>
    </row>
    <row r="407" spans="1:21" x14ac:dyDescent="0.25">
      <c r="H407" t="s">
        <v>895</v>
      </c>
    </row>
    <row r="408" spans="1:21" x14ac:dyDescent="0.25">
      <c r="A408">
        <v>201</v>
      </c>
      <c r="B408">
        <v>2070</v>
      </c>
      <c r="C408" t="s">
        <v>896</v>
      </c>
      <c r="D408" t="s">
        <v>85</v>
      </c>
      <c r="E408" t="s">
        <v>135</v>
      </c>
      <c r="F408" t="s">
        <v>897</v>
      </c>
      <c r="G408" t="str">
        <f>"201511040288"</f>
        <v>201511040288</v>
      </c>
      <c r="H408" t="s">
        <v>893</v>
      </c>
      <c r="I408">
        <v>150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T408">
        <v>0</v>
      </c>
      <c r="U408" t="s">
        <v>894</v>
      </c>
    </row>
    <row r="409" spans="1:21" x14ac:dyDescent="0.25">
      <c r="H409" t="s">
        <v>898</v>
      </c>
    </row>
    <row r="410" spans="1:21" x14ac:dyDescent="0.25">
      <c r="A410">
        <v>202</v>
      </c>
      <c r="B410">
        <v>5319</v>
      </c>
      <c r="C410" t="s">
        <v>899</v>
      </c>
      <c r="D410" t="s">
        <v>85</v>
      </c>
      <c r="E410" t="s">
        <v>122</v>
      </c>
      <c r="F410" t="s">
        <v>900</v>
      </c>
      <c r="G410" t="str">
        <f>"201511020113"</f>
        <v>201511020113</v>
      </c>
      <c r="H410">
        <v>1100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T410">
        <v>0</v>
      </c>
      <c r="U410">
        <v>1100</v>
      </c>
    </row>
    <row r="411" spans="1:21" x14ac:dyDescent="0.25">
      <c r="H411" t="s">
        <v>901</v>
      </c>
    </row>
    <row r="412" spans="1:21" x14ac:dyDescent="0.25">
      <c r="A412">
        <v>203</v>
      </c>
      <c r="B412">
        <v>1230</v>
      </c>
      <c r="C412" t="s">
        <v>902</v>
      </c>
      <c r="D412" t="s">
        <v>207</v>
      </c>
      <c r="E412" t="s">
        <v>112</v>
      </c>
      <c r="F412" t="s">
        <v>903</v>
      </c>
      <c r="G412" t="str">
        <f>"201511038410"</f>
        <v>201511038410</v>
      </c>
      <c r="H412">
        <v>1100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T412">
        <v>0</v>
      </c>
      <c r="U412">
        <v>1100</v>
      </c>
    </row>
    <row r="413" spans="1:21" x14ac:dyDescent="0.25">
      <c r="H413" t="s">
        <v>904</v>
      </c>
    </row>
    <row r="414" spans="1:21" x14ac:dyDescent="0.25">
      <c r="A414">
        <v>204</v>
      </c>
      <c r="B414">
        <v>6492</v>
      </c>
      <c r="C414" t="s">
        <v>905</v>
      </c>
      <c r="D414" t="s">
        <v>906</v>
      </c>
      <c r="E414" t="s">
        <v>907</v>
      </c>
      <c r="F414" t="s">
        <v>908</v>
      </c>
      <c r="G414" t="str">
        <f>"201511043212"</f>
        <v>201511043212</v>
      </c>
      <c r="H414">
        <v>1100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T414">
        <v>2</v>
      </c>
      <c r="U414">
        <v>1100</v>
      </c>
    </row>
    <row r="415" spans="1:21" x14ac:dyDescent="0.25">
      <c r="H415" t="s">
        <v>909</v>
      </c>
    </row>
    <row r="416" spans="1:21" x14ac:dyDescent="0.25">
      <c r="A416">
        <v>205</v>
      </c>
      <c r="B416">
        <v>5229</v>
      </c>
      <c r="C416" t="s">
        <v>910</v>
      </c>
      <c r="D416" t="s">
        <v>911</v>
      </c>
      <c r="E416" t="s">
        <v>42</v>
      </c>
      <c r="F416" t="s">
        <v>912</v>
      </c>
      <c r="G416" t="str">
        <f>"00087518"</f>
        <v>00087518</v>
      </c>
      <c r="H416">
        <v>1100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T416">
        <v>0</v>
      </c>
      <c r="U416">
        <v>1100</v>
      </c>
    </row>
    <row r="417" spans="1:21" x14ac:dyDescent="0.25">
      <c r="H417" t="s">
        <v>913</v>
      </c>
    </row>
    <row r="418" spans="1:21" x14ac:dyDescent="0.25">
      <c r="A418">
        <v>206</v>
      </c>
      <c r="B418">
        <v>5801</v>
      </c>
      <c r="C418" t="s">
        <v>914</v>
      </c>
      <c r="D418" t="s">
        <v>304</v>
      </c>
      <c r="E418" t="s">
        <v>614</v>
      </c>
      <c r="F418" t="s">
        <v>915</v>
      </c>
      <c r="G418" t="str">
        <f>"00079384"</f>
        <v>00079384</v>
      </c>
      <c r="H418">
        <v>1100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T418">
        <v>0</v>
      </c>
      <c r="U418">
        <v>1100</v>
      </c>
    </row>
    <row r="419" spans="1:21" x14ac:dyDescent="0.25">
      <c r="H419" t="s">
        <v>491</v>
      </c>
    </row>
    <row r="420" spans="1:21" x14ac:dyDescent="0.25">
      <c r="A420">
        <v>207</v>
      </c>
      <c r="B420">
        <v>10511</v>
      </c>
      <c r="C420" t="s">
        <v>916</v>
      </c>
      <c r="D420" t="s">
        <v>116</v>
      </c>
      <c r="E420" t="s">
        <v>696</v>
      </c>
      <c r="F420" t="s">
        <v>917</v>
      </c>
      <c r="G420" t="str">
        <f>"201510004159"</f>
        <v>201510004159</v>
      </c>
      <c r="H420">
        <v>1100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T420">
        <v>2</v>
      </c>
      <c r="U420">
        <v>1100</v>
      </c>
    </row>
    <row r="421" spans="1:21" x14ac:dyDescent="0.25">
      <c r="H421" t="s">
        <v>918</v>
      </c>
    </row>
    <row r="422" spans="1:21" x14ac:dyDescent="0.25">
      <c r="A422">
        <v>208</v>
      </c>
      <c r="B422">
        <v>10145</v>
      </c>
      <c r="C422" t="s">
        <v>919</v>
      </c>
      <c r="D422" t="s">
        <v>551</v>
      </c>
      <c r="E422" t="s">
        <v>112</v>
      </c>
      <c r="F422" t="s">
        <v>920</v>
      </c>
      <c r="G422" t="str">
        <f>"201511036222"</f>
        <v>201511036222</v>
      </c>
      <c r="H422">
        <v>1100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T422">
        <v>0</v>
      </c>
      <c r="U422">
        <v>1100</v>
      </c>
    </row>
    <row r="423" spans="1:21" x14ac:dyDescent="0.25">
      <c r="H423" t="s">
        <v>921</v>
      </c>
    </row>
    <row r="424" spans="1:21" x14ac:dyDescent="0.25">
      <c r="A424">
        <v>209</v>
      </c>
      <c r="B424">
        <v>2229</v>
      </c>
      <c r="C424" t="s">
        <v>711</v>
      </c>
      <c r="D424" t="s">
        <v>345</v>
      </c>
      <c r="E424" t="s">
        <v>42</v>
      </c>
      <c r="F424" t="s">
        <v>922</v>
      </c>
      <c r="G424" t="str">
        <f>"201510000056"</f>
        <v>201510000056</v>
      </c>
      <c r="H424">
        <v>1100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T424">
        <v>0</v>
      </c>
      <c r="U424">
        <v>1100</v>
      </c>
    </row>
    <row r="425" spans="1:21" x14ac:dyDescent="0.25">
      <c r="H425" t="s">
        <v>923</v>
      </c>
    </row>
    <row r="426" spans="1:21" x14ac:dyDescent="0.25">
      <c r="A426">
        <v>210</v>
      </c>
      <c r="B426">
        <v>4897</v>
      </c>
      <c r="C426" t="s">
        <v>924</v>
      </c>
      <c r="D426" t="s">
        <v>36</v>
      </c>
      <c r="E426" t="s">
        <v>135</v>
      </c>
      <c r="F426" t="s">
        <v>925</v>
      </c>
      <c r="G426" t="str">
        <f>"00094742"</f>
        <v>00094742</v>
      </c>
      <c r="H426">
        <v>1100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T426">
        <v>0</v>
      </c>
      <c r="U426">
        <v>1100</v>
      </c>
    </row>
    <row r="427" spans="1:21" x14ac:dyDescent="0.25">
      <c r="H427" t="s">
        <v>926</v>
      </c>
    </row>
    <row r="428" spans="1:21" x14ac:dyDescent="0.25">
      <c r="A428">
        <v>211</v>
      </c>
      <c r="B428">
        <v>4897</v>
      </c>
      <c r="C428" t="s">
        <v>924</v>
      </c>
      <c r="D428" t="s">
        <v>36</v>
      </c>
      <c r="E428" t="s">
        <v>135</v>
      </c>
      <c r="F428" t="s">
        <v>925</v>
      </c>
      <c r="G428" t="str">
        <f>"00094742"</f>
        <v>00094742</v>
      </c>
      <c r="H428">
        <v>1100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6</v>
      </c>
      <c r="S428">
        <v>807</v>
      </c>
      <c r="T428">
        <v>0</v>
      </c>
      <c r="U428">
        <v>1100</v>
      </c>
    </row>
    <row r="429" spans="1:21" x14ac:dyDescent="0.25">
      <c r="H429" t="s">
        <v>926</v>
      </c>
    </row>
    <row r="430" spans="1:21" x14ac:dyDescent="0.25">
      <c r="A430">
        <v>212</v>
      </c>
      <c r="B430">
        <v>3762</v>
      </c>
      <c r="C430" t="s">
        <v>692</v>
      </c>
      <c r="D430" t="s">
        <v>927</v>
      </c>
      <c r="E430" t="s">
        <v>773</v>
      </c>
      <c r="F430" t="s">
        <v>928</v>
      </c>
      <c r="G430" t="str">
        <f>"00079171"</f>
        <v>00079171</v>
      </c>
      <c r="H430">
        <v>1100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T430">
        <v>0</v>
      </c>
      <c r="U430">
        <v>1100</v>
      </c>
    </row>
    <row r="431" spans="1:21" x14ac:dyDescent="0.25">
      <c r="H431" t="s">
        <v>929</v>
      </c>
    </row>
    <row r="432" spans="1:21" x14ac:dyDescent="0.25">
      <c r="A432">
        <v>213</v>
      </c>
      <c r="B432">
        <v>3564</v>
      </c>
      <c r="C432" t="s">
        <v>930</v>
      </c>
      <c r="D432" t="s">
        <v>931</v>
      </c>
      <c r="E432" t="s">
        <v>135</v>
      </c>
      <c r="F432" t="s">
        <v>932</v>
      </c>
      <c r="G432" t="str">
        <f>"00042217"</f>
        <v>00042217</v>
      </c>
      <c r="H432">
        <v>1100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T432">
        <v>0</v>
      </c>
      <c r="U432">
        <v>1100</v>
      </c>
    </row>
    <row r="433" spans="1:21" x14ac:dyDescent="0.25">
      <c r="H433" t="s">
        <v>933</v>
      </c>
    </row>
    <row r="434" spans="1:21" x14ac:dyDescent="0.25">
      <c r="A434">
        <v>214</v>
      </c>
      <c r="B434">
        <v>9695</v>
      </c>
      <c r="C434" t="s">
        <v>934</v>
      </c>
      <c r="D434" t="s">
        <v>453</v>
      </c>
      <c r="E434" t="s">
        <v>36</v>
      </c>
      <c r="F434" t="s">
        <v>935</v>
      </c>
      <c r="G434" t="str">
        <f>"201512004881"</f>
        <v>201512004881</v>
      </c>
      <c r="H434">
        <v>1100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T434">
        <v>0</v>
      </c>
      <c r="U434">
        <v>1100</v>
      </c>
    </row>
    <row r="435" spans="1:21" x14ac:dyDescent="0.25">
      <c r="H435" t="s">
        <v>936</v>
      </c>
    </row>
    <row r="436" spans="1:21" x14ac:dyDescent="0.25">
      <c r="A436">
        <v>215</v>
      </c>
      <c r="B436">
        <v>5714</v>
      </c>
      <c r="C436" t="s">
        <v>937</v>
      </c>
      <c r="D436" t="s">
        <v>134</v>
      </c>
      <c r="E436" t="s">
        <v>36</v>
      </c>
      <c r="F436" t="s">
        <v>938</v>
      </c>
      <c r="G436" t="str">
        <f>"200904000460"</f>
        <v>200904000460</v>
      </c>
      <c r="H436">
        <v>1100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T436">
        <v>0</v>
      </c>
      <c r="U436">
        <v>1100</v>
      </c>
    </row>
    <row r="437" spans="1:21" x14ac:dyDescent="0.25">
      <c r="H437" t="s">
        <v>939</v>
      </c>
    </row>
    <row r="438" spans="1:21" x14ac:dyDescent="0.25">
      <c r="A438">
        <v>216</v>
      </c>
      <c r="B438">
        <v>6442</v>
      </c>
      <c r="C438" t="s">
        <v>940</v>
      </c>
      <c r="D438" t="s">
        <v>941</v>
      </c>
      <c r="E438" t="s">
        <v>533</v>
      </c>
      <c r="F438" t="s">
        <v>942</v>
      </c>
      <c r="G438" t="str">
        <f>"201410012066"</f>
        <v>201410012066</v>
      </c>
      <c r="H438">
        <v>1100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T438">
        <v>0</v>
      </c>
      <c r="U438">
        <v>1100</v>
      </c>
    </row>
    <row r="439" spans="1:21" x14ac:dyDescent="0.25">
      <c r="H439" t="s">
        <v>943</v>
      </c>
    </row>
    <row r="440" spans="1:21" x14ac:dyDescent="0.25">
      <c r="A440">
        <v>217</v>
      </c>
      <c r="B440">
        <v>6442</v>
      </c>
      <c r="C440" t="s">
        <v>940</v>
      </c>
      <c r="D440" t="s">
        <v>941</v>
      </c>
      <c r="E440" t="s">
        <v>533</v>
      </c>
      <c r="F440" t="s">
        <v>942</v>
      </c>
      <c r="G440" t="str">
        <f>"201410012066"</f>
        <v>201410012066</v>
      </c>
      <c r="H440">
        <v>1100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6</v>
      </c>
      <c r="S440">
        <v>804</v>
      </c>
      <c r="T440">
        <v>0</v>
      </c>
      <c r="U440">
        <v>1100</v>
      </c>
    </row>
    <row r="441" spans="1:21" x14ac:dyDescent="0.25">
      <c r="H441" t="s">
        <v>943</v>
      </c>
    </row>
    <row r="442" spans="1:21" x14ac:dyDescent="0.25">
      <c r="A442">
        <v>218</v>
      </c>
      <c r="B442">
        <v>8453</v>
      </c>
      <c r="C442" t="s">
        <v>944</v>
      </c>
      <c r="D442" t="s">
        <v>154</v>
      </c>
      <c r="E442" t="s">
        <v>122</v>
      </c>
      <c r="F442" t="s">
        <v>945</v>
      </c>
      <c r="G442" t="str">
        <f>"00023167"</f>
        <v>00023167</v>
      </c>
      <c r="H442">
        <v>1100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T442">
        <v>0</v>
      </c>
      <c r="U442">
        <v>1100</v>
      </c>
    </row>
    <row r="443" spans="1:21" x14ac:dyDescent="0.25">
      <c r="H443" t="s">
        <v>946</v>
      </c>
    </row>
    <row r="444" spans="1:21" x14ac:dyDescent="0.25">
      <c r="A444">
        <v>219</v>
      </c>
      <c r="B444">
        <v>6239</v>
      </c>
      <c r="C444" t="s">
        <v>947</v>
      </c>
      <c r="D444" t="s">
        <v>85</v>
      </c>
      <c r="E444" t="s">
        <v>122</v>
      </c>
      <c r="F444" t="s">
        <v>948</v>
      </c>
      <c r="G444" t="str">
        <f>"00026312"</f>
        <v>00026312</v>
      </c>
      <c r="H444">
        <v>1100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T444">
        <v>0</v>
      </c>
      <c r="U444">
        <v>1100</v>
      </c>
    </row>
    <row r="445" spans="1:21" x14ac:dyDescent="0.25">
      <c r="H445" t="s">
        <v>949</v>
      </c>
    </row>
    <row r="446" spans="1:21" x14ac:dyDescent="0.25">
      <c r="A446">
        <v>220</v>
      </c>
      <c r="B446">
        <v>5352</v>
      </c>
      <c r="C446" t="s">
        <v>950</v>
      </c>
      <c r="D446" t="s">
        <v>951</v>
      </c>
      <c r="E446" t="s">
        <v>952</v>
      </c>
      <c r="F446" t="s">
        <v>953</v>
      </c>
      <c r="G446" t="str">
        <f>"00090645"</f>
        <v>00090645</v>
      </c>
      <c r="H446">
        <v>1100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T446">
        <v>0</v>
      </c>
      <c r="U446">
        <v>1100</v>
      </c>
    </row>
    <row r="447" spans="1:21" x14ac:dyDescent="0.25">
      <c r="H447" t="s">
        <v>954</v>
      </c>
    </row>
    <row r="448" spans="1:21" x14ac:dyDescent="0.25">
      <c r="A448">
        <v>221</v>
      </c>
      <c r="B448">
        <v>5994</v>
      </c>
      <c r="C448" t="s">
        <v>955</v>
      </c>
      <c r="D448" t="s">
        <v>78</v>
      </c>
      <c r="E448" t="s">
        <v>956</v>
      </c>
      <c r="F448" t="s">
        <v>957</v>
      </c>
      <c r="G448" t="str">
        <f>"00041552"</f>
        <v>00041552</v>
      </c>
      <c r="H448" t="s">
        <v>958</v>
      </c>
      <c r="I448">
        <v>150</v>
      </c>
      <c r="J448">
        <v>30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T448">
        <v>0</v>
      </c>
      <c r="U448" t="s">
        <v>959</v>
      </c>
    </row>
    <row r="449" spans="1:21" x14ac:dyDescent="0.25">
      <c r="H449" t="s">
        <v>960</v>
      </c>
    </row>
    <row r="450" spans="1:21" x14ac:dyDescent="0.25">
      <c r="A450">
        <v>222</v>
      </c>
      <c r="B450">
        <v>10213</v>
      </c>
      <c r="C450" t="s">
        <v>961</v>
      </c>
      <c r="D450" t="s">
        <v>128</v>
      </c>
      <c r="E450" t="s">
        <v>647</v>
      </c>
      <c r="F450" t="s">
        <v>962</v>
      </c>
      <c r="G450" t="str">
        <f>"201006000026"</f>
        <v>201006000026</v>
      </c>
      <c r="H450" t="s">
        <v>958</v>
      </c>
      <c r="I450">
        <v>150</v>
      </c>
      <c r="J450">
        <v>30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T450">
        <v>0</v>
      </c>
      <c r="U450" t="s">
        <v>959</v>
      </c>
    </row>
    <row r="451" spans="1:21" x14ac:dyDescent="0.25">
      <c r="H451" t="s">
        <v>963</v>
      </c>
    </row>
    <row r="452" spans="1:21" x14ac:dyDescent="0.25">
      <c r="A452">
        <v>223</v>
      </c>
      <c r="B452">
        <v>1264</v>
      </c>
      <c r="C452" t="s">
        <v>964</v>
      </c>
      <c r="D452" t="s">
        <v>64</v>
      </c>
      <c r="E452" t="s">
        <v>37</v>
      </c>
      <c r="F452" t="s">
        <v>965</v>
      </c>
      <c r="G452" t="str">
        <f>"00021457"</f>
        <v>00021457</v>
      </c>
      <c r="H452">
        <v>1067</v>
      </c>
      <c r="I452">
        <v>0</v>
      </c>
      <c r="J452">
        <v>30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T452">
        <v>0</v>
      </c>
      <c r="U452">
        <v>1097</v>
      </c>
    </row>
    <row r="453" spans="1:21" x14ac:dyDescent="0.25">
      <c r="H453" t="s">
        <v>966</v>
      </c>
    </row>
    <row r="454" spans="1:21" x14ac:dyDescent="0.25">
      <c r="A454">
        <v>224</v>
      </c>
      <c r="B454">
        <v>8693</v>
      </c>
      <c r="C454" t="s">
        <v>967</v>
      </c>
      <c r="D454" t="s">
        <v>121</v>
      </c>
      <c r="E454" t="s">
        <v>20</v>
      </c>
      <c r="F454" t="s">
        <v>968</v>
      </c>
      <c r="G454" t="str">
        <f>"00094090"</f>
        <v>00094090</v>
      </c>
      <c r="H454">
        <v>1067</v>
      </c>
      <c r="I454">
        <v>0</v>
      </c>
      <c r="J454">
        <v>30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T454">
        <v>0</v>
      </c>
      <c r="U454">
        <v>1097</v>
      </c>
    </row>
    <row r="455" spans="1:21" x14ac:dyDescent="0.25">
      <c r="H455" t="s">
        <v>969</v>
      </c>
    </row>
    <row r="456" spans="1:21" x14ac:dyDescent="0.25">
      <c r="A456">
        <v>225</v>
      </c>
      <c r="B456">
        <v>9180</v>
      </c>
      <c r="C456" t="s">
        <v>970</v>
      </c>
      <c r="D456" t="s">
        <v>121</v>
      </c>
      <c r="E456" t="s">
        <v>122</v>
      </c>
      <c r="F456" t="s">
        <v>971</v>
      </c>
      <c r="G456" t="str">
        <f>"00075046"</f>
        <v>00075046</v>
      </c>
      <c r="H456">
        <v>1067</v>
      </c>
      <c r="I456">
        <v>0</v>
      </c>
      <c r="J456">
        <v>30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T456">
        <v>0</v>
      </c>
      <c r="U456">
        <v>1097</v>
      </c>
    </row>
    <row r="457" spans="1:21" x14ac:dyDescent="0.25">
      <c r="H457" t="s">
        <v>972</v>
      </c>
    </row>
    <row r="458" spans="1:21" x14ac:dyDescent="0.25">
      <c r="A458">
        <v>226</v>
      </c>
      <c r="B458">
        <v>1139</v>
      </c>
      <c r="C458" t="s">
        <v>973</v>
      </c>
      <c r="D458" t="s">
        <v>974</v>
      </c>
      <c r="E458" t="s">
        <v>975</v>
      </c>
      <c r="F458" t="s">
        <v>976</v>
      </c>
      <c r="G458" t="str">
        <f>"200908000309"</f>
        <v>200908000309</v>
      </c>
      <c r="H458" t="s">
        <v>87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T458">
        <v>2</v>
      </c>
      <c r="U458" t="s">
        <v>87</v>
      </c>
    </row>
    <row r="459" spans="1:21" x14ac:dyDescent="0.25">
      <c r="H459" t="s">
        <v>977</v>
      </c>
    </row>
    <row r="460" spans="1:21" x14ac:dyDescent="0.25">
      <c r="A460">
        <v>227</v>
      </c>
      <c r="B460">
        <v>6740</v>
      </c>
      <c r="C460" t="s">
        <v>978</v>
      </c>
      <c r="D460" t="s">
        <v>36</v>
      </c>
      <c r="E460" t="s">
        <v>231</v>
      </c>
      <c r="F460" t="s">
        <v>979</v>
      </c>
      <c r="G460" t="str">
        <f>"201512004189"</f>
        <v>201512004189</v>
      </c>
      <c r="H460" t="s">
        <v>87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T460">
        <v>0</v>
      </c>
      <c r="U460" t="s">
        <v>87</v>
      </c>
    </row>
    <row r="461" spans="1:21" x14ac:dyDescent="0.25">
      <c r="H461" t="s">
        <v>980</v>
      </c>
    </row>
    <row r="462" spans="1:21" x14ac:dyDescent="0.25">
      <c r="A462">
        <v>228</v>
      </c>
      <c r="B462">
        <v>173</v>
      </c>
      <c r="C462" t="s">
        <v>981</v>
      </c>
      <c r="D462" t="s">
        <v>982</v>
      </c>
      <c r="E462" t="s">
        <v>225</v>
      </c>
      <c r="F462" t="s">
        <v>983</v>
      </c>
      <c r="G462" t="str">
        <f>"00016301"</f>
        <v>00016301</v>
      </c>
      <c r="H462" t="s">
        <v>87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T462">
        <v>0</v>
      </c>
      <c r="U462" t="s">
        <v>87</v>
      </c>
    </row>
    <row r="463" spans="1:21" x14ac:dyDescent="0.25">
      <c r="H463" t="s">
        <v>984</v>
      </c>
    </row>
    <row r="464" spans="1:21" x14ac:dyDescent="0.25">
      <c r="A464">
        <v>229</v>
      </c>
      <c r="B464">
        <v>611</v>
      </c>
      <c r="C464" t="s">
        <v>985</v>
      </c>
      <c r="D464" t="s">
        <v>85</v>
      </c>
      <c r="E464" t="s">
        <v>259</v>
      </c>
      <c r="F464" t="s">
        <v>986</v>
      </c>
      <c r="G464" t="str">
        <f>"200801003769"</f>
        <v>200801003769</v>
      </c>
      <c r="H464" t="s">
        <v>87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T464">
        <v>0</v>
      </c>
      <c r="U464" t="s">
        <v>87</v>
      </c>
    </row>
    <row r="465" spans="1:21" x14ac:dyDescent="0.25">
      <c r="H465" t="s">
        <v>987</v>
      </c>
    </row>
    <row r="466" spans="1:21" x14ac:dyDescent="0.25">
      <c r="A466">
        <v>230</v>
      </c>
      <c r="B466">
        <v>7839</v>
      </c>
      <c r="C466" t="s">
        <v>988</v>
      </c>
      <c r="D466" t="s">
        <v>655</v>
      </c>
      <c r="E466" t="s">
        <v>989</v>
      </c>
      <c r="F466">
        <v>875240</v>
      </c>
      <c r="G466" t="str">
        <f>"00039516"</f>
        <v>00039516</v>
      </c>
      <c r="H466">
        <v>1045</v>
      </c>
      <c r="I466">
        <v>0</v>
      </c>
      <c r="J466">
        <v>0</v>
      </c>
      <c r="K466">
        <v>0</v>
      </c>
      <c r="L466">
        <v>50</v>
      </c>
      <c r="M466">
        <v>0</v>
      </c>
      <c r="N466">
        <v>0</v>
      </c>
      <c r="O466">
        <v>0</v>
      </c>
      <c r="P466">
        <v>0</v>
      </c>
      <c r="Q466">
        <v>0</v>
      </c>
      <c r="T466">
        <v>0</v>
      </c>
      <c r="U466">
        <v>1095</v>
      </c>
    </row>
    <row r="467" spans="1:21" x14ac:dyDescent="0.25">
      <c r="H467" t="s">
        <v>990</v>
      </c>
    </row>
    <row r="468" spans="1:21" x14ac:dyDescent="0.25">
      <c r="A468">
        <v>231</v>
      </c>
      <c r="B468">
        <v>340</v>
      </c>
      <c r="C468" t="s">
        <v>991</v>
      </c>
      <c r="D468" t="s">
        <v>992</v>
      </c>
      <c r="E468" t="s">
        <v>993</v>
      </c>
      <c r="F468" t="s">
        <v>994</v>
      </c>
      <c r="G468" t="str">
        <f>"00035813"</f>
        <v>00035813</v>
      </c>
      <c r="H468" t="s">
        <v>995</v>
      </c>
      <c r="I468">
        <v>150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T468">
        <v>0</v>
      </c>
      <c r="U468" t="s">
        <v>996</v>
      </c>
    </row>
    <row r="469" spans="1:21" x14ac:dyDescent="0.25">
      <c r="H469" t="s">
        <v>997</v>
      </c>
    </row>
    <row r="470" spans="1:21" x14ac:dyDescent="0.25">
      <c r="A470">
        <v>232</v>
      </c>
      <c r="B470">
        <v>685</v>
      </c>
      <c r="C470" t="s">
        <v>998</v>
      </c>
      <c r="D470" t="s">
        <v>999</v>
      </c>
      <c r="E470" t="s">
        <v>1000</v>
      </c>
      <c r="F470" t="s">
        <v>1001</v>
      </c>
      <c r="G470" t="str">
        <f>"00024427"</f>
        <v>00024427</v>
      </c>
      <c r="H470" t="s">
        <v>296</v>
      </c>
      <c r="I470">
        <v>0</v>
      </c>
      <c r="J470">
        <v>30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T470">
        <v>0</v>
      </c>
      <c r="U470" t="s">
        <v>1002</v>
      </c>
    </row>
    <row r="471" spans="1:21" x14ac:dyDescent="0.25">
      <c r="H471" t="s">
        <v>1003</v>
      </c>
    </row>
    <row r="472" spans="1:21" x14ac:dyDescent="0.25">
      <c r="A472">
        <v>233</v>
      </c>
      <c r="B472">
        <v>6275</v>
      </c>
      <c r="C472" t="s">
        <v>1004</v>
      </c>
      <c r="D472" t="s">
        <v>85</v>
      </c>
      <c r="E472" t="s">
        <v>1005</v>
      </c>
      <c r="F472" t="s">
        <v>1006</v>
      </c>
      <c r="G472" t="str">
        <f>"201511038207"</f>
        <v>201511038207</v>
      </c>
      <c r="H472" t="s">
        <v>97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T472">
        <v>0</v>
      </c>
      <c r="U472" t="s">
        <v>97</v>
      </c>
    </row>
    <row r="473" spans="1:21" x14ac:dyDescent="0.25">
      <c r="H473" t="s">
        <v>1007</v>
      </c>
    </row>
    <row r="474" spans="1:21" x14ac:dyDescent="0.25">
      <c r="A474">
        <v>234</v>
      </c>
      <c r="B474">
        <v>6962</v>
      </c>
      <c r="C474" t="s">
        <v>1008</v>
      </c>
      <c r="D474" t="s">
        <v>646</v>
      </c>
      <c r="E474" t="s">
        <v>65</v>
      </c>
      <c r="F474" t="s">
        <v>1009</v>
      </c>
      <c r="G474" t="str">
        <f>"00084948"</f>
        <v>00084948</v>
      </c>
      <c r="H474" t="s">
        <v>97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T474">
        <v>0</v>
      </c>
      <c r="U474" t="s">
        <v>97</v>
      </c>
    </row>
    <row r="475" spans="1:21" x14ac:dyDescent="0.25">
      <c r="H475" t="s">
        <v>1010</v>
      </c>
    </row>
    <row r="476" spans="1:21" x14ac:dyDescent="0.25">
      <c r="A476">
        <v>235</v>
      </c>
      <c r="B476">
        <v>6114</v>
      </c>
      <c r="C476" t="s">
        <v>1011</v>
      </c>
      <c r="D476" t="s">
        <v>1012</v>
      </c>
      <c r="E476" t="s">
        <v>42</v>
      </c>
      <c r="F476" t="s">
        <v>1013</v>
      </c>
      <c r="G476" t="str">
        <f>"201512000949"</f>
        <v>201512000949</v>
      </c>
      <c r="H476" t="s">
        <v>97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6</v>
      </c>
      <c r="S476">
        <v>804</v>
      </c>
      <c r="T476">
        <v>0</v>
      </c>
      <c r="U476" t="s">
        <v>97</v>
      </c>
    </row>
    <row r="477" spans="1:21" x14ac:dyDescent="0.25">
      <c r="H477">
        <v>804</v>
      </c>
    </row>
    <row r="478" spans="1:21" x14ac:dyDescent="0.25">
      <c r="A478">
        <v>236</v>
      </c>
      <c r="B478">
        <v>8547</v>
      </c>
      <c r="C478" t="s">
        <v>1014</v>
      </c>
      <c r="D478" t="s">
        <v>95</v>
      </c>
      <c r="E478" t="s">
        <v>36</v>
      </c>
      <c r="F478" t="s">
        <v>1015</v>
      </c>
      <c r="G478" t="str">
        <f>"201511030147"</f>
        <v>201511030147</v>
      </c>
      <c r="H478" t="s">
        <v>97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T478">
        <v>0</v>
      </c>
      <c r="U478" t="s">
        <v>97</v>
      </c>
    </row>
    <row r="479" spans="1:21" x14ac:dyDescent="0.25">
      <c r="H479" t="s">
        <v>1016</v>
      </c>
    </row>
    <row r="480" spans="1:21" x14ac:dyDescent="0.25">
      <c r="A480">
        <v>237</v>
      </c>
      <c r="B480">
        <v>5284</v>
      </c>
      <c r="C480" t="s">
        <v>1017</v>
      </c>
      <c r="D480" t="s">
        <v>372</v>
      </c>
      <c r="E480" t="s">
        <v>36</v>
      </c>
      <c r="F480" t="s">
        <v>1018</v>
      </c>
      <c r="G480" t="str">
        <f>"201511033682"</f>
        <v>201511033682</v>
      </c>
      <c r="H480" t="s">
        <v>97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T480">
        <v>0</v>
      </c>
      <c r="U480" t="s">
        <v>97</v>
      </c>
    </row>
    <row r="481" spans="1:21" x14ac:dyDescent="0.25">
      <c r="H481" t="s">
        <v>1019</v>
      </c>
    </row>
    <row r="482" spans="1:21" x14ac:dyDescent="0.25">
      <c r="A482">
        <v>238</v>
      </c>
      <c r="B482">
        <v>1543</v>
      </c>
      <c r="C482" t="s">
        <v>1020</v>
      </c>
      <c r="D482" t="s">
        <v>319</v>
      </c>
      <c r="E482" t="s">
        <v>36</v>
      </c>
      <c r="F482" t="s">
        <v>1021</v>
      </c>
      <c r="G482" t="str">
        <f>"201511034888"</f>
        <v>201511034888</v>
      </c>
      <c r="H482" t="s">
        <v>97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T482">
        <v>0</v>
      </c>
      <c r="U482" t="s">
        <v>97</v>
      </c>
    </row>
    <row r="483" spans="1:21" x14ac:dyDescent="0.25">
      <c r="H483" t="s">
        <v>1022</v>
      </c>
    </row>
    <row r="484" spans="1:21" x14ac:dyDescent="0.25">
      <c r="A484">
        <v>239</v>
      </c>
      <c r="B484">
        <v>2049</v>
      </c>
      <c r="C484" t="s">
        <v>1023</v>
      </c>
      <c r="D484" t="s">
        <v>1024</v>
      </c>
      <c r="E484" t="s">
        <v>366</v>
      </c>
      <c r="F484" t="s">
        <v>1025</v>
      </c>
      <c r="G484" t="str">
        <f>"00069316"</f>
        <v>00069316</v>
      </c>
      <c r="H484" t="s">
        <v>97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T484">
        <v>0</v>
      </c>
      <c r="U484" t="s">
        <v>97</v>
      </c>
    </row>
    <row r="485" spans="1:21" x14ac:dyDescent="0.25">
      <c r="H485" t="s">
        <v>1026</v>
      </c>
    </row>
    <row r="486" spans="1:21" x14ac:dyDescent="0.25">
      <c r="A486">
        <v>240</v>
      </c>
      <c r="B486">
        <v>555</v>
      </c>
      <c r="C486" t="s">
        <v>1027</v>
      </c>
      <c r="D486" t="s">
        <v>121</v>
      </c>
      <c r="E486" t="s">
        <v>1028</v>
      </c>
      <c r="F486" t="s">
        <v>1029</v>
      </c>
      <c r="G486" t="str">
        <f>"00044974"</f>
        <v>00044974</v>
      </c>
      <c r="H486" t="s">
        <v>1030</v>
      </c>
      <c r="I486">
        <v>150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T486">
        <v>2</v>
      </c>
      <c r="U486" t="s">
        <v>1031</v>
      </c>
    </row>
    <row r="487" spans="1:21" x14ac:dyDescent="0.25">
      <c r="H487" t="s">
        <v>1032</v>
      </c>
    </row>
    <row r="488" spans="1:21" x14ac:dyDescent="0.25">
      <c r="A488">
        <v>241</v>
      </c>
      <c r="B488">
        <v>3674</v>
      </c>
      <c r="C488" t="s">
        <v>1033</v>
      </c>
      <c r="D488" t="s">
        <v>121</v>
      </c>
      <c r="E488" t="s">
        <v>27</v>
      </c>
      <c r="F488" t="s">
        <v>1034</v>
      </c>
      <c r="G488" t="str">
        <f>"00017082"</f>
        <v>00017082</v>
      </c>
      <c r="H488" t="s">
        <v>1030</v>
      </c>
      <c r="I488">
        <v>150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T488">
        <v>0</v>
      </c>
      <c r="U488" t="s">
        <v>1031</v>
      </c>
    </row>
    <row r="489" spans="1:21" x14ac:dyDescent="0.25">
      <c r="H489" t="s">
        <v>1035</v>
      </c>
    </row>
    <row r="490" spans="1:21" x14ac:dyDescent="0.25">
      <c r="A490">
        <v>242</v>
      </c>
      <c r="B490">
        <v>2941</v>
      </c>
      <c r="C490" t="s">
        <v>1036</v>
      </c>
      <c r="D490" t="s">
        <v>1037</v>
      </c>
      <c r="E490" t="s">
        <v>1038</v>
      </c>
      <c r="F490" t="s">
        <v>1039</v>
      </c>
      <c r="G490" t="str">
        <f>"201511012666"</f>
        <v>201511012666</v>
      </c>
      <c r="H490" t="s">
        <v>103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T490">
        <v>0</v>
      </c>
      <c r="U490" t="s">
        <v>103</v>
      </c>
    </row>
    <row r="491" spans="1:21" x14ac:dyDescent="0.25">
      <c r="H491" t="s">
        <v>1040</v>
      </c>
    </row>
    <row r="492" spans="1:21" x14ac:dyDescent="0.25">
      <c r="A492">
        <v>243</v>
      </c>
      <c r="B492">
        <v>6771</v>
      </c>
      <c r="C492" t="s">
        <v>1041</v>
      </c>
      <c r="D492" t="s">
        <v>289</v>
      </c>
      <c r="E492" t="s">
        <v>122</v>
      </c>
      <c r="F492" t="s">
        <v>1042</v>
      </c>
      <c r="G492" t="str">
        <f>"201511031776"</f>
        <v>201511031776</v>
      </c>
      <c r="H492" t="s">
        <v>103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T492">
        <v>1</v>
      </c>
      <c r="U492" t="s">
        <v>103</v>
      </c>
    </row>
    <row r="493" spans="1:21" x14ac:dyDescent="0.25">
      <c r="H493" t="s">
        <v>114</v>
      </c>
    </row>
    <row r="494" spans="1:21" x14ac:dyDescent="0.25">
      <c r="A494">
        <v>244</v>
      </c>
      <c r="B494">
        <v>8661</v>
      </c>
      <c r="C494" t="s">
        <v>1043</v>
      </c>
      <c r="D494" t="s">
        <v>207</v>
      </c>
      <c r="E494" t="s">
        <v>1044</v>
      </c>
      <c r="F494" t="s">
        <v>1045</v>
      </c>
      <c r="G494" t="str">
        <f>"201406017520"</f>
        <v>201406017520</v>
      </c>
      <c r="H494" t="s">
        <v>103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T494">
        <v>2</v>
      </c>
      <c r="U494" t="s">
        <v>103</v>
      </c>
    </row>
    <row r="495" spans="1:21" x14ac:dyDescent="0.25">
      <c r="H495" t="s">
        <v>1046</v>
      </c>
    </row>
    <row r="496" spans="1:21" x14ac:dyDescent="0.25">
      <c r="A496">
        <v>245</v>
      </c>
      <c r="B496">
        <v>216</v>
      </c>
      <c r="C496" t="s">
        <v>1047</v>
      </c>
      <c r="D496" t="s">
        <v>85</v>
      </c>
      <c r="E496" t="s">
        <v>1048</v>
      </c>
      <c r="F496" t="s">
        <v>1049</v>
      </c>
      <c r="G496" t="str">
        <f>"00016328"</f>
        <v>00016328</v>
      </c>
      <c r="H496" t="s">
        <v>675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T496">
        <v>0</v>
      </c>
      <c r="U496" t="s">
        <v>675</v>
      </c>
    </row>
    <row r="497" spans="1:21" x14ac:dyDescent="0.25">
      <c r="H497" t="s">
        <v>491</v>
      </c>
    </row>
    <row r="498" spans="1:21" x14ac:dyDescent="0.25">
      <c r="A498">
        <v>246</v>
      </c>
      <c r="B498">
        <v>3621</v>
      </c>
      <c r="C498" t="s">
        <v>1050</v>
      </c>
      <c r="D498" t="s">
        <v>377</v>
      </c>
      <c r="E498" t="s">
        <v>122</v>
      </c>
      <c r="F498" t="s">
        <v>1051</v>
      </c>
      <c r="G498" t="str">
        <f>"201512000842"</f>
        <v>201512000842</v>
      </c>
      <c r="H498" t="s">
        <v>675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T498">
        <v>2</v>
      </c>
      <c r="U498" t="s">
        <v>675</v>
      </c>
    </row>
    <row r="499" spans="1:21" x14ac:dyDescent="0.25">
      <c r="H499" t="s">
        <v>1052</v>
      </c>
    </row>
    <row r="500" spans="1:21" x14ac:dyDescent="0.25">
      <c r="A500">
        <v>247</v>
      </c>
      <c r="B500">
        <v>9995</v>
      </c>
      <c r="C500" t="s">
        <v>1053</v>
      </c>
      <c r="D500" t="s">
        <v>1054</v>
      </c>
      <c r="E500" t="s">
        <v>42</v>
      </c>
      <c r="F500" t="s">
        <v>1055</v>
      </c>
      <c r="G500" t="str">
        <f>"200803000840"</f>
        <v>200803000840</v>
      </c>
      <c r="H500" t="s">
        <v>675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T500">
        <v>0</v>
      </c>
      <c r="U500" t="s">
        <v>675</v>
      </c>
    </row>
    <row r="501" spans="1:21" x14ac:dyDescent="0.25">
      <c r="H501" t="s">
        <v>1056</v>
      </c>
    </row>
    <row r="502" spans="1:21" x14ac:dyDescent="0.25">
      <c r="A502">
        <v>248</v>
      </c>
      <c r="B502">
        <v>3179</v>
      </c>
      <c r="C502" t="s">
        <v>1057</v>
      </c>
      <c r="D502" t="s">
        <v>589</v>
      </c>
      <c r="E502" t="s">
        <v>1058</v>
      </c>
      <c r="F502" t="s">
        <v>1059</v>
      </c>
      <c r="G502" t="str">
        <f>"00084061"</f>
        <v>00084061</v>
      </c>
      <c r="H502" t="s">
        <v>675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T502">
        <v>0</v>
      </c>
      <c r="U502" t="s">
        <v>675</v>
      </c>
    </row>
    <row r="503" spans="1:21" x14ac:dyDescent="0.25">
      <c r="H503" t="s">
        <v>1060</v>
      </c>
    </row>
    <row r="504" spans="1:21" x14ac:dyDescent="0.25">
      <c r="A504">
        <v>249</v>
      </c>
      <c r="B504">
        <v>6706</v>
      </c>
      <c r="C504" t="s">
        <v>1061</v>
      </c>
      <c r="D504" t="s">
        <v>27</v>
      </c>
      <c r="E504" t="s">
        <v>135</v>
      </c>
      <c r="F504" t="s">
        <v>1062</v>
      </c>
      <c r="G504" t="str">
        <f>"00048144"</f>
        <v>00048144</v>
      </c>
      <c r="H504" t="s">
        <v>675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T504">
        <v>1</v>
      </c>
      <c r="U504" t="s">
        <v>675</v>
      </c>
    </row>
    <row r="505" spans="1:21" x14ac:dyDescent="0.25">
      <c r="H505" t="s">
        <v>1063</v>
      </c>
    </row>
    <row r="506" spans="1:21" x14ac:dyDescent="0.25">
      <c r="A506">
        <v>250</v>
      </c>
      <c r="B506">
        <v>8960</v>
      </c>
      <c r="C506" t="s">
        <v>1064</v>
      </c>
      <c r="D506" t="s">
        <v>1065</v>
      </c>
      <c r="E506" t="s">
        <v>373</v>
      </c>
      <c r="F506" t="s">
        <v>1066</v>
      </c>
      <c r="G506" t="str">
        <f>"201511024721"</f>
        <v>201511024721</v>
      </c>
      <c r="H506" t="s">
        <v>702</v>
      </c>
      <c r="I506">
        <v>150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T506">
        <v>2</v>
      </c>
      <c r="U506" t="s">
        <v>1067</v>
      </c>
    </row>
    <row r="507" spans="1:21" x14ac:dyDescent="0.25">
      <c r="H507" t="s">
        <v>1068</v>
      </c>
    </row>
    <row r="508" spans="1:21" x14ac:dyDescent="0.25">
      <c r="A508">
        <v>251</v>
      </c>
      <c r="B508">
        <v>3818</v>
      </c>
      <c r="C508" t="s">
        <v>1069</v>
      </c>
      <c r="D508" t="s">
        <v>1070</v>
      </c>
      <c r="E508" t="s">
        <v>27</v>
      </c>
      <c r="F508" t="s">
        <v>1071</v>
      </c>
      <c r="G508" t="str">
        <f>"201511004811"</f>
        <v>201511004811</v>
      </c>
      <c r="H508">
        <v>880</v>
      </c>
      <c r="I508">
        <v>150</v>
      </c>
      <c r="J508">
        <v>30</v>
      </c>
      <c r="K508">
        <v>0</v>
      </c>
      <c r="L508">
        <v>0</v>
      </c>
      <c r="M508">
        <v>30</v>
      </c>
      <c r="N508">
        <v>0</v>
      </c>
      <c r="O508">
        <v>0</v>
      </c>
      <c r="P508">
        <v>0</v>
      </c>
      <c r="Q508">
        <v>0</v>
      </c>
      <c r="T508">
        <v>0</v>
      </c>
      <c r="U508">
        <v>1090</v>
      </c>
    </row>
    <row r="509" spans="1:21" x14ac:dyDescent="0.25">
      <c r="H509" t="s">
        <v>1072</v>
      </c>
    </row>
    <row r="510" spans="1:21" x14ac:dyDescent="0.25">
      <c r="A510">
        <v>252</v>
      </c>
      <c r="B510">
        <v>4927</v>
      </c>
      <c r="C510" t="s">
        <v>1073</v>
      </c>
      <c r="D510" t="s">
        <v>185</v>
      </c>
      <c r="E510" t="s">
        <v>122</v>
      </c>
      <c r="F510" t="s">
        <v>1074</v>
      </c>
      <c r="G510" t="str">
        <f>"00030247"</f>
        <v>00030247</v>
      </c>
      <c r="H510">
        <v>1089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T510">
        <v>0</v>
      </c>
      <c r="U510">
        <v>1089</v>
      </c>
    </row>
    <row r="511" spans="1:21" x14ac:dyDescent="0.25">
      <c r="H511" t="s">
        <v>1075</v>
      </c>
    </row>
    <row r="512" spans="1:21" x14ac:dyDescent="0.25">
      <c r="A512">
        <v>253</v>
      </c>
      <c r="B512">
        <v>672</v>
      </c>
      <c r="C512" t="s">
        <v>1076</v>
      </c>
      <c r="D512" t="s">
        <v>304</v>
      </c>
      <c r="E512" t="s">
        <v>1077</v>
      </c>
      <c r="F512" t="s">
        <v>1078</v>
      </c>
      <c r="G512" t="str">
        <f>"00019691"</f>
        <v>00019691</v>
      </c>
      <c r="H512">
        <v>1089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T512">
        <v>0</v>
      </c>
      <c r="U512">
        <v>1089</v>
      </c>
    </row>
    <row r="513" spans="1:21" x14ac:dyDescent="0.25">
      <c r="H513" t="s">
        <v>1079</v>
      </c>
    </row>
    <row r="514" spans="1:21" x14ac:dyDescent="0.25">
      <c r="A514">
        <v>254</v>
      </c>
      <c r="B514">
        <v>1313</v>
      </c>
      <c r="C514" t="s">
        <v>1080</v>
      </c>
      <c r="D514" t="s">
        <v>1081</v>
      </c>
      <c r="E514" t="s">
        <v>1082</v>
      </c>
      <c r="F514" t="s">
        <v>1083</v>
      </c>
      <c r="G514" t="str">
        <f>"00030519"</f>
        <v>00030519</v>
      </c>
      <c r="H514" t="s">
        <v>1084</v>
      </c>
      <c r="I514">
        <v>150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T514">
        <v>0</v>
      </c>
      <c r="U514" t="s">
        <v>1085</v>
      </c>
    </row>
    <row r="515" spans="1:21" x14ac:dyDescent="0.25">
      <c r="H515" t="s">
        <v>1086</v>
      </c>
    </row>
    <row r="516" spans="1:21" x14ac:dyDescent="0.25">
      <c r="A516">
        <v>255</v>
      </c>
      <c r="B516">
        <v>7070</v>
      </c>
      <c r="C516" t="s">
        <v>1087</v>
      </c>
      <c r="D516" t="s">
        <v>366</v>
      </c>
      <c r="E516" t="s">
        <v>1088</v>
      </c>
      <c r="F516" t="s">
        <v>1089</v>
      </c>
      <c r="G516" t="str">
        <f>"00087217"</f>
        <v>00087217</v>
      </c>
      <c r="H516" t="s">
        <v>187</v>
      </c>
      <c r="I516">
        <v>0</v>
      </c>
      <c r="J516">
        <v>30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T516">
        <v>0</v>
      </c>
      <c r="U516" t="s">
        <v>1090</v>
      </c>
    </row>
    <row r="517" spans="1:21" x14ac:dyDescent="0.25">
      <c r="H517" t="s">
        <v>1091</v>
      </c>
    </row>
    <row r="518" spans="1:21" x14ac:dyDescent="0.25">
      <c r="A518">
        <v>256</v>
      </c>
      <c r="B518">
        <v>9924</v>
      </c>
      <c r="C518" t="s">
        <v>1092</v>
      </c>
      <c r="D518" t="s">
        <v>1093</v>
      </c>
      <c r="E518" t="s">
        <v>122</v>
      </c>
      <c r="F518" t="s">
        <v>1094</v>
      </c>
      <c r="G518" t="str">
        <f>"00028203"</f>
        <v>00028203</v>
      </c>
      <c r="H518" t="s">
        <v>187</v>
      </c>
      <c r="I518">
        <v>0</v>
      </c>
      <c r="J518">
        <v>30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T518">
        <v>0</v>
      </c>
      <c r="U518" t="s">
        <v>1090</v>
      </c>
    </row>
    <row r="519" spans="1:21" x14ac:dyDescent="0.25">
      <c r="H519" t="s">
        <v>1095</v>
      </c>
    </row>
    <row r="520" spans="1:21" x14ac:dyDescent="0.25">
      <c r="A520">
        <v>257</v>
      </c>
      <c r="B520">
        <v>2475</v>
      </c>
      <c r="C520" t="s">
        <v>1096</v>
      </c>
      <c r="D520" t="s">
        <v>1097</v>
      </c>
      <c r="E520" t="s">
        <v>65</v>
      </c>
      <c r="F520" t="s">
        <v>1098</v>
      </c>
      <c r="G520" t="str">
        <f>"00053722"</f>
        <v>00053722</v>
      </c>
      <c r="H520" t="s">
        <v>187</v>
      </c>
      <c r="I520">
        <v>0</v>
      </c>
      <c r="J520">
        <v>0</v>
      </c>
      <c r="K520">
        <v>30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T520">
        <v>0</v>
      </c>
      <c r="U520" t="s">
        <v>1090</v>
      </c>
    </row>
    <row r="521" spans="1:21" x14ac:dyDescent="0.25">
      <c r="H521" t="s">
        <v>1099</v>
      </c>
    </row>
    <row r="522" spans="1:21" x14ac:dyDescent="0.25">
      <c r="A522">
        <v>258</v>
      </c>
      <c r="B522">
        <v>2094</v>
      </c>
      <c r="C522" t="s">
        <v>1100</v>
      </c>
      <c r="D522" t="s">
        <v>173</v>
      </c>
      <c r="E522" t="s">
        <v>42</v>
      </c>
      <c r="F522" t="s">
        <v>1101</v>
      </c>
      <c r="G522" t="str">
        <f>"00012885"</f>
        <v>00012885</v>
      </c>
      <c r="H522" t="s">
        <v>736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T522">
        <v>2</v>
      </c>
      <c r="U522" t="s">
        <v>736</v>
      </c>
    </row>
    <row r="523" spans="1:21" x14ac:dyDescent="0.25">
      <c r="H523" t="s">
        <v>1102</v>
      </c>
    </row>
    <row r="524" spans="1:21" x14ac:dyDescent="0.25">
      <c r="A524">
        <v>259</v>
      </c>
      <c r="B524">
        <v>2263</v>
      </c>
      <c r="C524" t="s">
        <v>1103</v>
      </c>
      <c r="D524" t="s">
        <v>185</v>
      </c>
      <c r="E524" t="s">
        <v>27</v>
      </c>
      <c r="F524" t="s">
        <v>1104</v>
      </c>
      <c r="G524" t="str">
        <f>"201511030422"</f>
        <v>201511030422</v>
      </c>
      <c r="H524" t="s">
        <v>1105</v>
      </c>
      <c r="I524">
        <v>150</v>
      </c>
      <c r="J524">
        <v>30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T524">
        <v>0</v>
      </c>
      <c r="U524" t="s">
        <v>1106</v>
      </c>
    </row>
    <row r="525" spans="1:21" x14ac:dyDescent="0.25">
      <c r="H525" t="s">
        <v>1107</v>
      </c>
    </row>
    <row r="526" spans="1:21" x14ac:dyDescent="0.25">
      <c r="A526">
        <v>260</v>
      </c>
      <c r="B526">
        <v>9119</v>
      </c>
      <c r="C526" t="s">
        <v>1108</v>
      </c>
      <c r="D526" t="s">
        <v>121</v>
      </c>
      <c r="E526" t="s">
        <v>36</v>
      </c>
      <c r="F526" t="s">
        <v>1109</v>
      </c>
      <c r="G526" t="str">
        <f>"201511031614"</f>
        <v>201511031614</v>
      </c>
      <c r="H526" t="s">
        <v>193</v>
      </c>
      <c r="I526">
        <v>0</v>
      </c>
      <c r="J526">
        <v>30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T526">
        <v>0</v>
      </c>
      <c r="U526" t="s">
        <v>1110</v>
      </c>
    </row>
    <row r="527" spans="1:21" x14ac:dyDescent="0.25">
      <c r="H527" t="s">
        <v>1111</v>
      </c>
    </row>
    <row r="528" spans="1:21" x14ac:dyDescent="0.25">
      <c r="A528">
        <v>261</v>
      </c>
      <c r="B528">
        <v>8145</v>
      </c>
      <c r="C528" t="s">
        <v>1112</v>
      </c>
      <c r="D528" t="s">
        <v>1113</v>
      </c>
      <c r="E528" t="s">
        <v>614</v>
      </c>
      <c r="F528" t="s">
        <v>1114</v>
      </c>
      <c r="G528" t="str">
        <f>"00021356"</f>
        <v>00021356</v>
      </c>
      <c r="H528" t="s">
        <v>124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T528">
        <v>0</v>
      </c>
      <c r="U528" t="s">
        <v>124</v>
      </c>
    </row>
    <row r="529" spans="1:21" x14ac:dyDescent="0.25">
      <c r="H529" t="s">
        <v>491</v>
      </c>
    </row>
    <row r="530" spans="1:21" x14ac:dyDescent="0.25">
      <c r="A530">
        <v>262</v>
      </c>
      <c r="B530">
        <v>7891</v>
      </c>
      <c r="C530" t="s">
        <v>1115</v>
      </c>
      <c r="D530" t="s">
        <v>339</v>
      </c>
      <c r="E530" t="s">
        <v>27</v>
      </c>
      <c r="F530" t="s">
        <v>1116</v>
      </c>
      <c r="G530" t="str">
        <f>"200805000316"</f>
        <v>200805000316</v>
      </c>
      <c r="H530" t="s">
        <v>124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T530">
        <v>1</v>
      </c>
      <c r="U530" t="s">
        <v>124</v>
      </c>
    </row>
    <row r="531" spans="1:21" x14ac:dyDescent="0.25">
      <c r="H531" t="s">
        <v>1117</v>
      </c>
    </row>
    <row r="532" spans="1:21" x14ac:dyDescent="0.25">
      <c r="A532">
        <v>263</v>
      </c>
      <c r="B532">
        <v>5852</v>
      </c>
      <c r="C532" t="s">
        <v>1118</v>
      </c>
      <c r="D532" t="s">
        <v>134</v>
      </c>
      <c r="E532" t="s">
        <v>250</v>
      </c>
      <c r="F532" t="s">
        <v>1119</v>
      </c>
      <c r="G532" t="str">
        <f>"00043650"</f>
        <v>00043650</v>
      </c>
      <c r="H532" t="s">
        <v>124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T532">
        <v>0</v>
      </c>
      <c r="U532" t="s">
        <v>124</v>
      </c>
    </row>
    <row r="533" spans="1:21" x14ac:dyDescent="0.25">
      <c r="H533" t="s">
        <v>1120</v>
      </c>
    </row>
    <row r="534" spans="1:21" x14ac:dyDescent="0.25">
      <c r="A534">
        <v>264</v>
      </c>
      <c r="B534">
        <v>7082</v>
      </c>
      <c r="C534" t="s">
        <v>1121</v>
      </c>
      <c r="D534" t="s">
        <v>85</v>
      </c>
      <c r="E534" t="s">
        <v>36</v>
      </c>
      <c r="F534" t="s">
        <v>1122</v>
      </c>
      <c r="G534" t="str">
        <f>"00043968"</f>
        <v>00043968</v>
      </c>
      <c r="H534" t="s">
        <v>124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T534">
        <v>0</v>
      </c>
      <c r="U534" t="s">
        <v>124</v>
      </c>
    </row>
    <row r="535" spans="1:21" x14ac:dyDescent="0.25">
      <c r="H535" t="s">
        <v>710</v>
      </c>
    </row>
    <row r="536" spans="1:21" x14ac:dyDescent="0.25">
      <c r="A536">
        <v>265</v>
      </c>
      <c r="B536">
        <v>9574</v>
      </c>
      <c r="C536" t="s">
        <v>1123</v>
      </c>
      <c r="D536" t="s">
        <v>64</v>
      </c>
      <c r="E536" t="s">
        <v>65</v>
      </c>
      <c r="F536" t="s">
        <v>1124</v>
      </c>
      <c r="G536" t="str">
        <f>"201511029266"</f>
        <v>201511029266</v>
      </c>
      <c r="H536" t="s">
        <v>124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T536">
        <v>0</v>
      </c>
      <c r="U536" t="s">
        <v>124</v>
      </c>
    </row>
    <row r="537" spans="1:21" x14ac:dyDescent="0.25">
      <c r="H537" t="s">
        <v>1125</v>
      </c>
    </row>
    <row r="538" spans="1:21" x14ac:dyDescent="0.25">
      <c r="A538">
        <v>266</v>
      </c>
      <c r="B538">
        <v>8596</v>
      </c>
      <c r="C538" t="s">
        <v>1126</v>
      </c>
      <c r="D538" t="s">
        <v>1127</v>
      </c>
      <c r="E538" t="s">
        <v>65</v>
      </c>
      <c r="F538" t="s">
        <v>1128</v>
      </c>
      <c r="G538" t="str">
        <f>"00102431"</f>
        <v>00102431</v>
      </c>
      <c r="H538" t="s">
        <v>60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T538">
        <v>0</v>
      </c>
      <c r="U538" t="s">
        <v>60</v>
      </c>
    </row>
    <row r="539" spans="1:21" x14ac:dyDescent="0.25">
      <c r="H539" t="s">
        <v>1129</v>
      </c>
    </row>
    <row r="540" spans="1:21" x14ac:dyDescent="0.25">
      <c r="A540">
        <v>267</v>
      </c>
      <c r="B540">
        <v>7697</v>
      </c>
      <c r="C540" t="s">
        <v>1130</v>
      </c>
      <c r="D540" t="s">
        <v>1131</v>
      </c>
      <c r="E540" t="s">
        <v>1132</v>
      </c>
      <c r="F540" t="s">
        <v>1133</v>
      </c>
      <c r="G540" t="str">
        <f>"00048015"</f>
        <v>00048015</v>
      </c>
      <c r="H540" t="s">
        <v>60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6</v>
      </c>
      <c r="S540">
        <v>763</v>
      </c>
      <c r="T540">
        <v>0</v>
      </c>
      <c r="U540" t="s">
        <v>60</v>
      </c>
    </row>
    <row r="541" spans="1:21" x14ac:dyDescent="0.25">
      <c r="H541">
        <v>763</v>
      </c>
    </row>
    <row r="542" spans="1:21" x14ac:dyDescent="0.25">
      <c r="A542">
        <v>268</v>
      </c>
      <c r="B542">
        <v>4181</v>
      </c>
      <c r="C542" t="s">
        <v>1126</v>
      </c>
      <c r="D542" t="s">
        <v>85</v>
      </c>
      <c r="E542" t="s">
        <v>65</v>
      </c>
      <c r="F542" t="s">
        <v>1134</v>
      </c>
      <c r="G542" t="str">
        <f>"00021182"</f>
        <v>00021182</v>
      </c>
      <c r="H542" t="s">
        <v>60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T542">
        <v>1</v>
      </c>
      <c r="U542" t="s">
        <v>60</v>
      </c>
    </row>
    <row r="543" spans="1:21" x14ac:dyDescent="0.25">
      <c r="H543">
        <v>768</v>
      </c>
    </row>
    <row r="544" spans="1:21" x14ac:dyDescent="0.25">
      <c r="A544">
        <v>269</v>
      </c>
      <c r="B544">
        <v>5248</v>
      </c>
      <c r="C544" t="s">
        <v>1135</v>
      </c>
      <c r="D544" t="s">
        <v>185</v>
      </c>
      <c r="E544" t="s">
        <v>1136</v>
      </c>
      <c r="F544" t="s">
        <v>1137</v>
      </c>
      <c r="G544" t="str">
        <f>"00031668"</f>
        <v>00031668</v>
      </c>
      <c r="H544" t="s">
        <v>60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T544">
        <v>2</v>
      </c>
      <c r="U544" t="s">
        <v>60</v>
      </c>
    </row>
    <row r="545" spans="1:21" x14ac:dyDescent="0.25">
      <c r="H545" t="s">
        <v>1138</v>
      </c>
    </row>
    <row r="546" spans="1:21" x14ac:dyDescent="0.25">
      <c r="A546">
        <v>270</v>
      </c>
      <c r="B546">
        <v>4850</v>
      </c>
      <c r="C546" t="s">
        <v>1139</v>
      </c>
      <c r="D546" t="s">
        <v>69</v>
      </c>
      <c r="E546" t="s">
        <v>122</v>
      </c>
      <c r="F546" t="s">
        <v>1140</v>
      </c>
      <c r="G546" t="str">
        <f>"00002451"</f>
        <v>00002451</v>
      </c>
      <c r="H546" t="s">
        <v>1141</v>
      </c>
      <c r="I546">
        <v>0</v>
      </c>
      <c r="J546">
        <v>70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T546">
        <v>0</v>
      </c>
      <c r="U546" t="s">
        <v>1142</v>
      </c>
    </row>
    <row r="547" spans="1:21" x14ac:dyDescent="0.25">
      <c r="H547">
        <v>801</v>
      </c>
    </row>
    <row r="548" spans="1:21" x14ac:dyDescent="0.25">
      <c r="A548">
        <v>271</v>
      </c>
      <c r="B548">
        <v>4664</v>
      </c>
      <c r="C548" t="s">
        <v>1143</v>
      </c>
      <c r="D548" t="s">
        <v>646</v>
      </c>
      <c r="E548" t="s">
        <v>36</v>
      </c>
      <c r="F548" t="s">
        <v>1144</v>
      </c>
      <c r="G548" t="str">
        <f>"201502002891"</f>
        <v>201502002891</v>
      </c>
      <c r="H548">
        <v>935</v>
      </c>
      <c r="I548">
        <v>150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T548">
        <v>0</v>
      </c>
      <c r="U548">
        <v>1085</v>
      </c>
    </row>
    <row r="549" spans="1:21" x14ac:dyDescent="0.25">
      <c r="H549" t="s">
        <v>1145</v>
      </c>
    </row>
    <row r="550" spans="1:21" x14ac:dyDescent="0.25">
      <c r="A550">
        <v>272</v>
      </c>
      <c r="B550">
        <v>7969</v>
      </c>
      <c r="C550" t="s">
        <v>1146</v>
      </c>
      <c r="D550" t="s">
        <v>179</v>
      </c>
      <c r="E550" t="s">
        <v>688</v>
      </c>
      <c r="F550" t="s">
        <v>1147</v>
      </c>
      <c r="G550" t="str">
        <f>"201511037300"</f>
        <v>201511037300</v>
      </c>
      <c r="H550">
        <v>935</v>
      </c>
      <c r="I550">
        <v>150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T550">
        <v>0</v>
      </c>
      <c r="U550">
        <v>1085</v>
      </c>
    </row>
    <row r="551" spans="1:21" x14ac:dyDescent="0.25">
      <c r="H551" t="s">
        <v>1148</v>
      </c>
    </row>
    <row r="552" spans="1:21" x14ac:dyDescent="0.25">
      <c r="A552">
        <v>273</v>
      </c>
      <c r="B552">
        <v>423</v>
      </c>
      <c r="C552" t="s">
        <v>1149</v>
      </c>
      <c r="D552" t="s">
        <v>64</v>
      </c>
      <c r="E552" t="s">
        <v>1005</v>
      </c>
      <c r="F552" t="s">
        <v>1150</v>
      </c>
      <c r="G552" t="str">
        <f>"200901000136"</f>
        <v>200901000136</v>
      </c>
      <c r="H552">
        <v>935</v>
      </c>
      <c r="I552">
        <v>150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T552">
        <v>0</v>
      </c>
      <c r="U552">
        <v>1085</v>
      </c>
    </row>
    <row r="553" spans="1:21" x14ac:dyDescent="0.25">
      <c r="H553" t="s">
        <v>1151</v>
      </c>
    </row>
    <row r="554" spans="1:21" x14ac:dyDescent="0.25">
      <c r="A554">
        <v>274</v>
      </c>
      <c r="B554">
        <v>742</v>
      </c>
      <c r="C554" t="s">
        <v>1152</v>
      </c>
      <c r="D554" t="s">
        <v>1012</v>
      </c>
      <c r="E554" t="s">
        <v>122</v>
      </c>
      <c r="F554" t="s">
        <v>1153</v>
      </c>
      <c r="G554" t="str">
        <f>"201511017485"</f>
        <v>201511017485</v>
      </c>
      <c r="H554">
        <v>935</v>
      </c>
      <c r="I554">
        <v>150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6</v>
      </c>
      <c r="S554">
        <v>804</v>
      </c>
      <c r="T554">
        <v>1</v>
      </c>
      <c r="U554">
        <v>1085</v>
      </c>
    </row>
    <row r="555" spans="1:21" x14ac:dyDescent="0.25">
      <c r="H555" t="s">
        <v>1154</v>
      </c>
    </row>
    <row r="556" spans="1:21" x14ac:dyDescent="0.25">
      <c r="A556">
        <v>275</v>
      </c>
      <c r="B556">
        <v>742</v>
      </c>
      <c r="C556" t="s">
        <v>1152</v>
      </c>
      <c r="D556" t="s">
        <v>1012</v>
      </c>
      <c r="E556" t="s">
        <v>122</v>
      </c>
      <c r="F556" t="s">
        <v>1153</v>
      </c>
      <c r="G556" t="str">
        <f>"201511017485"</f>
        <v>201511017485</v>
      </c>
      <c r="H556">
        <v>935</v>
      </c>
      <c r="I556">
        <v>150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T556">
        <v>1</v>
      </c>
      <c r="U556">
        <v>1085</v>
      </c>
    </row>
    <row r="557" spans="1:21" x14ac:dyDescent="0.25">
      <c r="H557" t="s">
        <v>1154</v>
      </c>
    </row>
    <row r="558" spans="1:21" x14ac:dyDescent="0.25">
      <c r="A558">
        <v>276</v>
      </c>
      <c r="B558">
        <v>6056</v>
      </c>
      <c r="C558" t="s">
        <v>1130</v>
      </c>
      <c r="D558" t="s">
        <v>64</v>
      </c>
      <c r="E558" t="s">
        <v>122</v>
      </c>
      <c r="F558" t="s">
        <v>1155</v>
      </c>
      <c r="G558" t="str">
        <f>"00004181"</f>
        <v>00004181</v>
      </c>
      <c r="H558">
        <v>935</v>
      </c>
      <c r="I558">
        <v>150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T558">
        <v>0</v>
      </c>
      <c r="U558">
        <v>1085</v>
      </c>
    </row>
    <row r="559" spans="1:21" x14ac:dyDescent="0.25">
      <c r="H559" t="s">
        <v>1156</v>
      </c>
    </row>
    <row r="560" spans="1:21" x14ac:dyDescent="0.25">
      <c r="A560">
        <v>277</v>
      </c>
      <c r="B560">
        <v>7783</v>
      </c>
      <c r="C560" t="s">
        <v>1157</v>
      </c>
      <c r="D560" t="s">
        <v>78</v>
      </c>
      <c r="E560" t="s">
        <v>1158</v>
      </c>
      <c r="F560" t="s">
        <v>1159</v>
      </c>
      <c r="G560" t="str">
        <f>"00093801"</f>
        <v>00093801</v>
      </c>
      <c r="H560">
        <v>935</v>
      </c>
      <c r="I560">
        <v>150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T560">
        <v>0</v>
      </c>
      <c r="U560">
        <v>1085</v>
      </c>
    </row>
    <row r="561" spans="1:21" x14ac:dyDescent="0.25">
      <c r="H561">
        <v>756</v>
      </c>
    </row>
    <row r="562" spans="1:21" x14ac:dyDescent="0.25">
      <c r="A562">
        <v>278</v>
      </c>
      <c r="B562">
        <v>2649</v>
      </c>
      <c r="C562" t="s">
        <v>1160</v>
      </c>
      <c r="D562" t="s">
        <v>1161</v>
      </c>
      <c r="E562" t="s">
        <v>1005</v>
      </c>
      <c r="F562" t="s">
        <v>1162</v>
      </c>
      <c r="G562" t="str">
        <f>"00080529"</f>
        <v>00080529</v>
      </c>
      <c r="H562">
        <v>935</v>
      </c>
      <c r="I562">
        <v>150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T562">
        <v>0</v>
      </c>
      <c r="U562">
        <v>1085</v>
      </c>
    </row>
    <row r="563" spans="1:21" x14ac:dyDescent="0.25">
      <c r="H563" t="s">
        <v>1163</v>
      </c>
    </row>
    <row r="564" spans="1:21" x14ac:dyDescent="0.25">
      <c r="A564">
        <v>279</v>
      </c>
      <c r="B564">
        <v>10463</v>
      </c>
      <c r="C564" t="s">
        <v>1164</v>
      </c>
      <c r="D564" t="s">
        <v>145</v>
      </c>
      <c r="E564" t="s">
        <v>36</v>
      </c>
      <c r="F564" t="s">
        <v>1165</v>
      </c>
      <c r="G564" t="str">
        <f>"00026970"</f>
        <v>00026970</v>
      </c>
      <c r="H564" t="s">
        <v>315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T564">
        <v>0</v>
      </c>
      <c r="U564" t="s">
        <v>315</v>
      </c>
    </row>
    <row r="565" spans="1:21" x14ac:dyDescent="0.25">
      <c r="H565" t="s">
        <v>1166</v>
      </c>
    </row>
    <row r="566" spans="1:21" x14ac:dyDescent="0.25">
      <c r="A566">
        <v>280</v>
      </c>
      <c r="B566">
        <v>4907</v>
      </c>
      <c r="C566" t="s">
        <v>1167</v>
      </c>
      <c r="D566" t="s">
        <v>154</v>
      </c>
      <c r="E566" t="s">
        <v>1168</v>
      </c>
      <c r="F566" t="s">
        <v>1169</v>
      </c>
      <c r="G566" t="str">
        <f>"00075271"</f>
        <v>00075271</v>
      </c>
      <c r="H566" t="s">
        <v>315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T566">
        <v>0</v>
      </c>
      <c r="U566" t="s">
        <v>315</v>
      </c>
    </row>
    <row r="567" spans="1:21" x14ac:dyDescent="0.25">
      <c r="H567" t="s">
        <v>1170</v>
      </c>
    </row>
    <row r="568" spans="1:21" x14ac:dyDescent="0.25">
      <c r="A568">
        <v>281</v>
      </c>
      <c r="B568">
        <v>7913</v>
      </c>
      <c r="C568" t="s">
        <v>1171</v>
      </c>
      <c r="D568" t="s">
        <v>207</v>
      </c>
      <c r="E568" t="s">
        <v>135</v>
      </c>
      <c r="F568" t="s">
        <v>1172</v>
      </c>
      <c r="G568" t="str">
        <f>"201511024528"</f>
        <v>201511024528</v>
      </c>
      <c r="H568" t="s">
        <v>130</v>
      </c>
      <c r="I568">
        <v>0</v>
      </c>
      <c r="J568">
        <v>0</v>
      </c>
      <c r="K568">
        <v>30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T568">
        <v>0</v>
      </c>
      <c r="U568" t="s">
        <v>1173</v>
      </c>
    </row>
    <row r="569" spans="1:21" x14ac:dyDescent="0.25">
      <c r="H569" t="s">
        <v>1174</v>
      </c>
    </row>
    <row r="570" spans="1:21" x14ac:dyDescent="0.25">
      <c r="A570">
        <v>282</v>
      </c>
      <c r="B570">
        <v>7088</v>
      </c>
      <c r="C570" t="s">
        <v>1175</v>
      </c>
      <c r="D570" t="s">
        <v>64</v>
      </c>
      <c r="E570" t="s">
        <v>27</v>
      </c>
      <c r="F570" t="s">
        <v>1176</v>
      </c>
      <c r="G570" t="str">
        <f>"201511032710"</f>
        <v>201511032710</v>
      </c>
      <c r="H570" t="s">
        <v>130</v>
      </c>
      <c r="I570">
        <v>0</v>
      </c>
      <c r="J570">
        <v>0</v>
      </c>
      <c r="K570">
        <v>30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T570">
        <v>0</v>
      </c>
      <c r="U570" t="s">
        <v>1173</v>
      </c>
    </row>
    <row r="571" spans="1:21" x14ac:dyDescent="0.25">
      <c r="H571" t="s">
        <v>1177</v>
      </c>
    </row>
    <row r="572" spans="1:21" x14ac:dyDescent="0.25">
      <c r="A572">
        <v>283</v>
      </c>
      <c r="B572">
        <v>7472</v>
      </c>
      <c r="C572" t="s">
        <v>1178</v>
      </c>
      <c r="D572" t="s">
        <v>134</v>
      </c>
      <c r="E572" t="s">
        <v>474</v>
      </c>
      <c r="F572" t="s">
        <v>1179</v>
      </c>
      <c r="G572" t="str">
        <f>"200801010271"</f>
        <v>200801010271</v>
      </c>
      <c r="H572" t="s">
        <v>130</v>
      </c>
      <c r="I572">
        <v>0</v>
      </c>
      <c r="J572">
        <v>30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T572">
        <v>0</v>
      </c>
      <c r="U572" t="s">
        <v>1173</v>
      </c>
    </row>
    <row r="573" spans="1:21" x14ac:dyDescent="0.25">
      <c r="H573" t="s">
        <v>1180</v>
      </c>
    </row>
    <row r="574" spans="1:21" x14ac:dyDescent="0.25">
      <c r="A574">
        <v>284</v>
      </c>
      <c r="B574">
        <v>2369</v>
      </c>
      <c r="C574" t="s">
        <v>1181</v>
      </c>
      <c r="D574" t="s">
        <v>1182</v>
      </c>
      <c r="E574" t="s">
        <v>449</v>
      </c>
      <c r="F574" t="s">
        <v>1183</v>
      </c>
      <c r="G574" t="str">
        <f>"201511004822"</f>
        <v>201511004822</v>
      </c>
      <c r="H574" t="s">
        <v>1184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T574">
        <v>0</v>
      </c>
      <c r="U574" t="s">
        <v>1184</v>
      </c>
    </row>
    <row r="575" spans="1:21" x14ac:dyDescent="0.25">
      <c r="H575" t="s">
        <v>1185</v>
      </c>
    </row>
    <row r="576" spans="1:21" x14ac:dyDescent="0.25">
      <c r="A576">
        <v>285</v>
      </c>
      <c r="B576">
        <v>1697</v>
      </c>
      <c r="C576" t="s">
        <v>1186</v>
      </c>
      <c r="D576" t="s">
        <v>372</v>
      </c>
      <c r="E576" t="s">
        <v>225</v>
      </c>
      <c r="F576" t="s">
        <v>1187</v>
      </c>
      <c r="G576" t="str">
        <f>"201406001419"</f>
        <v>201406001419</v>
      </c>
      <c r="H576" t="s">
        <v>221</v>
      </c>
      <c r="I576">
        <v>0</v>
      </c>
      <c r="J576">
        <v>30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T576">
        <v>2</v>
      </c>
      <c r="U576" t="s">
        <v>1188</v>
      </c>
    </row>
    <row r="577" spans="1:21" x14ac:dyDescent="0.25">
      <c r="H577" t="s">
        <v>1189</v>
      </c>
    </row>
    <row r="578" spans="1:21" x14ac:dyDescent="0.25">
      <c r="A578">
        <v>286</v>
      </c>
      <c r="B578">
        <v>2294</v>
      </c>
      <c r="C578" t="s">
        <v>1190</v>
      </c>
      <c r="D578" t="s">
        <v>26</v>
      </c>
      <c r="E578" t="s">
        <v>1058</v>
      </c>
      <c r="F578" t="s">
        <v>1191</v>
      </c>
      <c r="G578" t="str">
        <f>"00025859"</f>
        <v>00025859</v>
      </c>
      <c r="H578" t="s">
        <v>797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T578">
        <v>0</v>
      </c>
      <c r="U578" t="s">
        <v>797</v>
      </c>
    </row>
    <row r="579" spans="1:21" x14ac:dyDescent="0.25">
      <c r="H579" t="s">
        <v>1192</v>
      </c>
    </row>
    <row r="580" spans="1:21" x14ac:dyDescent="0.25">
      <c r="A580">
        <v>287</v>
      </c>
      <c r="B580">
        <v>9631</v>
      </c>
      <c r="C580" t="s">
        <v>1193</v>
      </c>
      <c r="D580" t="s">
        <v>1194</v>
      </c>
      <c r="E580" t="s">
        <v>135</v>
      </c>
      <c r="F580" t="s">
        <v>1195</v>
      </c>
      <c r="G580" t="str">
        <f>"00045442"</f>
        <v>00045442</v>
      </c>
      <c r="H580" t="s">
        <v>797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T580">
        <v>2</v>
      </c>
      <c r="U580" t="s">
        <v>797</v>
      </c>
    </row>
    <row r="581" spans="1:21" x14ac:dyDescent="0.25">
      <c r="H581" t="s">
        <v>1196</v>
      </c>
    </row>
    <row r="582" spans="1:21" x14ac:dyDescent="0.25">
      <c r="A582">
        <v>288</v>
      </c>
      <c r="B582">
        <v>8623</v>
      </c>
      <c r="C582" t="s">
        <v>1197</v>
      </c>
      <c r="D582" t="s">
        <v>85</v>
      </c>
      <c r="E582" t="s">
        <v>27</v>
      </c>
      <c r="F582" t="s">
        <v>1198</v>
      </c>
      <c r="G582" t="str">
        <f>"00095482"</f>
        <v>00095482</v>
      </c>
      <c r="H582" t="s">
        <v>797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T582">
        <v>0</v>
      </c>
      <c r="U582" t="s">
        <v>797</v>
      </c>
    </row>
    <row r="583" spans="1:21" x14ac:dyDescent="0.25">
      <c r="H583" t="s">
        <v>1199</v>
      </c>
    </row>
    <row r="584" spans="1:21" x14ac:dyDescent="0.25">
      <c r="A584">
        <v>289</v>
      </c>
      <c r="B584">
        <v>3279</v>
      </c>
      <c r="C584" t="s">
        <v>1200</v>
      </c>
      <c r="D584" t="s">
        <v>1131</v>
      </c>
      <c r="E584" t="s">
        <v>42</v>
      </c>
      <c r="F584" t="s">
        <v>1201</v>
      </c>
      <c r="G584" t="str">
        <f>"201511042768"</f>
        <v>201511042768</v>
      </c>
      <c r="H584" t="s">
        <v>797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T584">
        <v>2</v>
      </c>
      <c r="U584" t="s">
        <v>797</v>
      </c>
    </row>
    <row r="585" spans="1:21" x14ac:dyDescent="0.25">
      <c r="H585" t="s">
        <v>1202</v>
      </c>
    </row>
    <row r="586" spans="1:21" x14ac:dyDescent="0.25">
      <c r="A586">
        <v>290</v>
      </c>
      <c r="B586">
        <v>6811</v>
      </c>
      <c r="C586" t="s">
        <v>1203</v>
      </c>
      <c r="D586" t="s">
        <v>134</v>
      </c>
      <c r="E586" t="s">
        <v>332</v>
      </c>
      <c r="F586" t="s">
        <v>1204</v>
      </c>
      <c r="G586" t="str">
        <f>"201511010096"</f>
        <v>201511010096</v>
      </c>
      <c r="H586" t="s">
        <v>233</v>
      </c>
      <c r="I586">
        <v>0</v>
      </c>
      <c r="J586">
        <v>30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T586">
        <v>0</v>
      </c>
      <c r="U586" t="s">
        <v>1205</v>
      </c>
    </row>
    <row r="587" spans="1:21" x14ac:dyDescent="0.25">
      <c r="H587" t="s">
        <v>1206</v>
      </c>
    </row>
    <row r="588" spans="1:21" x14ac:dyDescent="0.25">
      <c r="A588">
        <v>291</v>
      </c>
      <c r="B588">
        <v>1841</v>
      </c>
      <c r="C588" t="s">
        <v>1207</v>
      </c>
      <c r="D588" t="s">
        <v>1194</v>
      </c>
      <c r="E588" t="s">
        <v>1208</v>
      </c>
      <c r="F588" t="s">
        <v>1209</v>
      </c>
      <c r="G588" t="str">
        <f>"201511031087"</f>
        <v>201511031087</v>
      </c>
      <c r="H588" t="s">
        <v>233</v>
      </c>
      <c r="I588">
        <v>0</v>
      </c>
      <c r="J588">
        <v>30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T588">
        <v>0</v>
      </c>
      <c r="U588" t="s">
        <v>1205</v>
      </c>
    </row>
    <row r="589" spans="1:21" x14ac:dyDescent="0.25">
      <c r="H589" t="s">
        <v>1210</v>
      </c>
    </row>
    <row r="590" spans="1:21" x14ac:dyDescent="0.25">
      <c r="A590">
        <v>292</v>
      </c>
      <c r="B590">
        <v>10063</v>
      </c>
      <c r="C590" t="s">
        <v>1211</v>
      </c>
      <c r="D590" t="s">
        <v>759</v>
      </c>
      <c r="E590" t="s">
        <v>42</v>
      </c>
      <c r="F590" t="s">
        <v>1212</v>
      </c>
      <c r="G590" t="str">
        <f>"201507000702"</f>
        <v>201507000702</v>
      </c>
      <c r="H590" t="s">
        <v>233</v>
      </c>
      <c r="I590">
        <v>0</v>
      </c>
      <c r="J590">
        <v>30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T590">
        <v>2</v>
      </c>
      <c r="U590" t="s">
        <v>1205</v>
      </c>
    </row>
    <row r="591" spans="1:21" x14ac:dyDescent="0.25">
      <c r="H591" t="s">
        <v>1213</v>
      </c>
    </row>
    <row r="592" spans="1:21" x14ac:dyDescent="0.25">
      <c r="A592">
        <v>293</v>
      </c>
      <c r="B592">
        <v>8489</v>
      </c>
      <c r="C592" t="s">
        <v>1214</v>
      </c>
      <c r="D592" t="s">
        <v>26</v>
      </c>
      <c r="E592" t="s">
        <v>366</v>
      </c>
      <c r="F592" t="s">
        <v>1215</v>
      </c>
      <c r="G592" t="str">
        <f>"00076596"</f>
        <v>00076596</v>
      </c>
      <c r="H592" t="s">
        <v>233</v>
      </c>
      <c r="I592">
        <v>0</v>
      </c>
      <c r="J592">
        <v>30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T592">
        <v>2</v>
      </c>
      <c r="U592" t="s">
        <v>1205</v>
      </c>
    </row>
    <row r="593" spans="1:21" x14ac:dyDescent="0.25">
      <c r="H593" t="s">
        <v>1216</v>
      </c>
    </row>
    <row r="594" spans="1:21" x14ac:dyDescent="0.25">
      <c r="A594">
        <v>294</v>
      </c>
      <c r="B594">
        <v>4245</v>
      </c>
      <c r="C594" t="s">
        <v>1217</v>
      </c>
      <c r="D594" t="s">
        <v>1218</v>
      </c>
      <c r="E594" t="s">
        <v>122</v>
      </c>
      <c r="F594" t="s">
        <v>1219</v>
      </c>
      <c r="G594" t="str">
        <f>"201406017866"</f>
        <v>201406017866</v>
      </c>
      <c r="H594" t="s">
        <v>233</v>
      </c>
      <c r="I594">
        <v>0</v>
      </c>
      <c r="J594">
        <v>30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T594">
        <v>0</v>
      </c>
      <c r="U594" t="s">
        <v>1205</v>
      </c>
    </row>
    <row r="595" spans="1:21" x14ac:dyDescent="0.25">
      <c r="H595" t="s">
        <v>1220</v>
      </c>
    </row>
    <row r="596" spans="1:21" x14ac:dyDescent="0.25">
      <c r="A596">
        <v>295</v>
      </c>
      <c r="B596">
        <v>8119</v>
      </c>
      <c r="C596" t="s">
        <v>1221</v>
      </c>
      <c r="D596" t="s">
        <v>453</v>
      </c>
      <c r="E596" t="s">
        <v>37</v>
      </c>
      <c r="F596" t="s">
        <v>1222</v>
      </c>
      <c r="G596" t="str">
        <f>"201511026934"</f>
        <v>201511026934</v>
      </c>
      <c r="H596" t="s">
        <v>1223</v>
      </c>
      <c r="I596">
        <v>0</v>
      </c>
      <c r="J596">
        <v>70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T596">
        <v>0</v>
      </c>
      <c r="U596" t="s">
        <v>1224</v>
      </c>
    </row>
    <row r="597" spans="1:21" x14ac:dyDescent="0.25">
      <c r="H597" t="s">
        <v>1225</v>
      </c>
    </row>
    <row r="598" spans="1:21" x14ac:dyDescent="0.25">
      <c r="A598">
        <v>296</v>
      </c>
      <c r="B598">
        <v>4271</v>
      </c>
      <c r="C598" t="s">
        <v>1226</v>
      </c>
      <c r="D598" t="s">
        <v>95</v>
      </c>
      <c r="E598" t="s">
        <v>27</v>
      </c>
      <c r="F598" t="s">
        <v>1227</v>
      </c>
      <c r="G598" t="str">
        <f>"201511033904"</f>
        <v>201511033904</v>
      </c>
      <c r="H598" t="s">
        <v>137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T598">
        <v>0</v>
      </c>
      <c r="U598" t="s">
        <v>137</v>
      </c>
    </row>
    <row r="599" spans="1:21" x14ac:dyDescent="0.25">
      <c r="H599" t="s">
        <v>1228</v>
      </c>
    </row>
    <row r="600" spans="1:21" x14ac:dyDescent="0.25">
      <c r="A600">
        <v>297</v>
      </c>
      <c r="B600">
        <v>7623</v>
      </c>
      <c r="C600" t="s">
        <v>1229</v>
      </c>
      <c r="D600" t="s">
        <v>64</v>
      </c>
      <c r="E600" t="s">
        <v>27</v>
      </c>
      <c r="F600" t="s">
        <v>1230</v>
      </c>
      <c r="G600" t="str">
        <f>"00091292"</f>
        <v>00091292</v>
      </c>
      <c r="H600" t="s">
        <v>137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T600">
        <v>0</v>
      </c>
      <c r="U600" t="s">
        <v>137</v>
      </c>
    </row>
    <row r="601" spans="1:21" x14ac:dyDescent="0.25">
      <c r="H601" t="s">
        <v>1231</v>
      </c>
    </row>
    <row r="602" spans="1:21" x14ac:dyDescent="0.25">
      <c r="A602">
        <v>298</v>
      </c>
      <c r="B602">
        <v>4430</v>
      </c>
      <c r="C602" t="s">
        <v>163</v>
      </c>
      <c r="D602" t="s">
        <v>64</v>
      </c>
      <c r="E602" t="s">
        <v>1232</v>
      </c>
      <c r="F602" t="s">
        <v>1233</v>
      </c>
      <c r="G602" t="str">
        <f>"00044194"</f>
        <v>00044194</v>
      </c>
      <c r="H602" t="s">
        <v>137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T602">
        <v>0</v>
      </c>
      <c r="U602" t="s">
        <v>137</v>
      </c>
    </row>
    <row r="603" spans="1:21" x14ac:dyDescent="0.25">
      <c r="H603" t="s">
        <v>1234</v>
      </c>
    </row>
    <row r="604" spans="1:21" x14ac:dyDescent="0.25">
      <c r="A604">
        <v>299</v>
      </c>
      <c r="B604">
        <v>2224</v>
      </c>
      <c r="C604" t="s">
        <v>1235</v>
      </c>
      <c r="D604" t="s">
        <v>42</v>
      </c>
      <c r="E604" t="s">
        <v>135</v>
      </c>
      <c r="F604" t="s">
        <v>1236</v>
      </c>
      <c r="G604" t="str">
        <f>"201511004691"</f>
        <v>201511004691</v>
      </c>
      <c r="H604" t="s">
        <v>137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T604">
        <v>0</v>
      </c>
      <c r="U604" t="s">
        <v>137</v>
      </c>
    </row>
    <row r="605" spans="1:21" x14ac:dyDescent="0.25">
      <c r="H605" t="s">
        <v>1237</v>
      </c>
    </row>
    <row r="606" spans="1:21" x14ac:dyDescent="0.25">
      <c r="A606">
        <v>300</v>
      </c>
      <c r="B606">
        <v>2284</v>
      </c>
      <c r="C606" t="s">
        <v>1238</v>
      </c>
      <c r="D606" t="s">
        <v>64</v>
      </c>
      <c r="E606" t="s">
        <v>231</v>
      </c>
      <c r="F606" t="s">
        <v>1239</v>
      </c>
      <c r="G606" t="str">
        <f>"00046467"</f>
        <v>00046467</v>
      </c>
      <c r="H606" t="s">
        <v>137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T606">
        <v>0</v>
      </c>
      <c r="U606" t="s">
        <v>137</v>
      </c>
    </row>
    <row r="607" spans="1:21" x14ac:dyDescent="0.25">
      <c r="H607" t="s">
        <v>491</v>
      </c>
    </row>
    <row r="608" spans="1:21" x14ac:dyDescent="0.25">
      <c r="A608">
        <v>301</v>
      </c>
      <c r="B608">
        <v>7710</v>
      </c>
      <c r="C608" t="s">
        <v>1240</v>
      </c>
      <c r="D608" t="s">
        <v>1241</v>
      </c>
      <c r="E608" t="s">
        <v>1242</v>
      </c>
      <c r="F608" t="s">
        <v>1243</v>
      </c>
      <c r="G608" t="str">
        <f>"201511038176"</f>
        <v>201511038176</v>
      </c>
      <c r="H608">
        <v>1078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T608">
        <v>0</v>
      </c>
      <c r="U608">
        <v>1078</v>
      </c>
    </row>
    <row r="609" spans="1:21" x14ac:dyDescent="0.25">
      <c r="H609" t="s">
        <v>1244</v>
      </c>
    </row>
    <row r="610" spans="1:21" x14ac:dyDescent="0.25">
      <c r="A610">
        <v>302</v>
      </c>
      <c r="B610">
        <v>9261</v>
      </c>
      <c r="C610" t="s">
        <v>1245</v>
      </c>
      <c r="D610" t="s">
        <v>57</v>
      </c>
      <c r="E610" t="s">
        <v>36</v>
      </c>
      <c r="F610" t="s">
        <v>1246</v>
      </c>
      <c r="G610" t="str">
        <f>"00079276"</f>
        <v>00079276</v>
      </c>
      <c r="H610">
        <v>1078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T610">
        <v>0</v>
      </c>
      <c r="U610">
        <v>1078</v>
      </c>
    </row>
    <row r="611" spans="1:21" x14ac:dyDescent="0.25">
      <c r="H611" t="s">
        <v>1247</v>
      </c>
    </row>
    <row r="612" spans="1:21" x14ac:dyDescent="0.25">
      <c r="A612">
        <v>303</v>
      </c>
      <c r="B612">
        <v>1879</v>
      </c>
      <c r="C612" t="s">
        <v>144</v>
      </c>
      <c r="D612" t="s">
        <v>145</v>
      </c>
      <c r="E612" t="s">
        <v>122</v>
      </c>
      <c r="F612" t="s">
        <v>146</v>
      </c>
      <c r="G612" t="str">
        <f>"201511036383"</f>
        <v>201511036383</v>
      </c>
      <c r="H612">
        <v>1078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T612">
        <v>0</v>
      </c>
      <c r="U612">
        <v>1078</v>
      </c>
    </row>
    <row r="613" spans="1:21" x14ac:dyDescent="0.25">
      <c r="H613" t="s">
        <v>147</v>
      </c>
    </row>
    <row r="614" spans="1:21" x14ac:dyDescent="0.25">
      <c r="A614">
        <v>304</v>
      </c>
      <c r="B614">
        <v>8675</v>
      </c>
      <c r="C614" t="s">
        <v>1248</v>
      </c>
      <c r="D614" t="s">
        <v>64</v>
      </c>
      <c r="E614" t="s">
        <v>1249</v>
      </c>
      <c r="F614" t="s">
        <v>1250</v>
      </c>
      <c r="G614" t="str">
        <f>"201512000906"</f>
        <v>201512000906</v>
      </c>
      <c r="H614" t="s">
        <v>418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70</v>
      </c>
      <c r="O614">
        <v>0</v>
      </c>
      <c r="P614">
        <v>0</v>
      </c>
      <c r="Q614">
        <v>0</v>
      </c>
      <c r="T614">
        <v>0</v>
      </c>
      <c r="U614" t="s">
        <v>1251</v>
      </c>
    </row>
    <row r="615" spans="1:21" x14ac:dyDescent="0.25">
      <c r="H615" t="s">
        <v>1252</v>
      </c>
    </row>
    <row r="616" spans="1:21" x14ac:dyDescent="0.25">
      <c r="A616">
        <v>305</v>
      </c>
      <c r="B616">
        <v>5075</v>
      </c>
      <c r="C616" t="s">
        <v>1253</v>
      </c>
      <c r="D616" t="s">
        <v>1254</v>
      </c>
      <c r="E616" t="s">
        <v>263</v>
      </c>
      <c r="F616" t="s">
        <v>1255</v>
      </c>
      <c r="G616" t="str">
        <f>"00090002"</f>
        <v>00090002</v>
      </c>
      <c r="H616" t="s">
        <v>291</v>
      </c>
      <c r="I616">
        <v>0</v>
      </c>
      <c r="J616">
        <v>70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T616">
        <v>0</v>
      </c>
      <c r="U616" t="s">
        <v>1256</v>
      </c>
    </row>
    <row r="617" spans="1:21" x14ac:dyDescent="0.25">
      <c r="H617" t="s">
        <v>1257</v>
      </c>
    </row>
    <row r="618" spans="1:21" x14ac:dyDescent="0.25">
      <c r="A618">
        <v>306</v>
      </c>
      <c r="B618">
        <v>4222</v>
      </c>
      <c r="C618" t="s">
        <v>1258</v>
      </c>
      <c r="D618" t="s">
        <v>1065</v>
      </c>
      <c r="E618" t="s">
        <v>36</v>
      </c>
      <c r="F618" t="s">
        <v>1259</v>
      </c>
      <c r="G618" t="str">
        <f>"201511033635"</f>
        <v>201511033635</v>
      </c>
      <c r="H618" t="s">
        <v>854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T618">
        <v>0</v>
      </c>
      <c r="U618" t="s">
        <v>854</v>
      </c>
    </row>
    <row r="619" spans="1:21" x14ac:dyDescent="0.25">
      <c r="H619" t="s">
        <v>1260</v>
      </c>
    </row>
    <row r="620" spans="1:21" x14ac:dyDescent="0.25">
      <c r="A620">
        <v>307</v>
      </c>
      <c r="B620">
        <v>7443</v>
      </c>
      <c r="C620" t="s">
        <v>1261</v>
      </c>
      <c r="D620" t="s">
        <v>1262</v>
      </c>
      <c r="E620" t="s">
        <v>350</v>
      </c>
      <c r="F620" t="s">
        <v>1263</v>
      </c>
      <c r="G620" t="str">
        <f>"00036096"</f>
        <v>00036096</v>
      </c>
      <c r="H620" t="s">
        <v>864</v>
      </c>
      <c r="I620">
        <v>150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T620">
        <v>2</v>
      </c>
      <c r="U620" t="s">
        <v>1264</v>
      </c>
    </row>
    <row r="621" spans="1:21" x14ac:dyDescent="0.25">
      <c r="H621" t="s">
        <v>1265</v>
      </c>
    </row>
    <row r="622" spans="1:21" x14ac:dyDescent="0.25">
      <c r="A622">
        <v>308</v>
      </c>
      <c r="B622">
        <v>9832</v>
      </c>
      <c r="C622" t="s">
        <v>1266</v>
      </c>
      <c r="D622" t="s">
        <v>313</v>
      </c>
      <c r="E622" t="s">
        <v>225</v>
      </c>
      <c r="F622" t="s">
        <v>1267</v>
      </c>
      <c r="G622" t="str">
        <f>"201511029636"</f>
        <v>201511029636</v>
      </c>
      <c r="H622">
        <v>1045</v>
      </c>
      <c r="I622">
        <v>0</v>
      </c>
      <c r="J622">
        <v>30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T622">
        <v>0</v>
      </c>
      <c r="U622">
        <v>1075</v>
      </c>
    </row>
    <row r="623" spans="1:21" x14ac:dyDescent="0.25">
      <c r="H623" t="s">
        <v>1268</v>
      </c>
    </row>
    <row r="624" spans="1:21" x14ac:dyDescent="0.25">
      <c r="A624">
        <v>309</v>
      </c>
      <c r="B624">
        <v>9360</v>
      </c>
      <c r="C624" t="s">
        <v>1269</v>
      </c>
      <c r="D624" t="s">
        <v>185</v>
      </c>
      <c r="E624" t="s">
        <v>36</v>
      </c>
      <c r="F624" t="s">
        <v>1270</v>
      </c>
      <c r="G624" t="str">
        <f>"00020545"</f>
        <v>00020545</v>
      </c>
      <c r="H624">
        <v>1045</v>
      </c>
      <c r="I624">
        <v>0</v>
      </c>
      <c r="J624">
        <v>30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T624">
        <v>0</v>
      </c>
      <c r="U624">
        <v>1075</v>
      </c>
    </row>
    <row r="625" spans="1:21" x14ac:dyDescent="0.25">
      <c r="H625" t="s">
        <v>1035</v>
      </c>
    </row>
    <row r="626" spans="1:21" x14ac:dyDescent="0.25">
      <c r="A626">
        <v>310</v>
      </c>
      <c r="B626">
        <v>3659</v>
      </c>
      <c r="C626" t="s">
        <v>1271</v>
      </c>
      <c r="D626" t="s">
        <v>1272</v>
      </c>
      <c r="E626" t="s">
        <v>614</v>
      </c>
      <c r="F626" t="s">
        <v>1273</v>
      </c>
      <c r="G626" t="str">
        <f>"00052876"</f>
        <v>00052876</v>
      </c>
      <c r="H626">
        <v>1045</v>
      </c>
      <c r="I626">
        <v>0</v>
      </c>
      <c r="J626">
        <v>30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T626">
        <v>0</v>
      </c>
      <c r="U626">
        <v>1075</v>
      </c>
    </row>
    <row r="627" spans="1:21" x14ac:dyDescent="0.25">
      <c r="H627" t="s">
        <v>1274</v>
      </c>
    </row>
    <row r="628" spans="1:21" x14ac:dyDescent="0.25">
      <c r="A628">
        <v>311</v>
      </c>
      <c r="B628">
        <v>601</v>
      </c>
      <c r="C628" t="s">
        <v>1275</v>
      </c>
      <c r="D628" t="s">
        <v>338</v>
      </c>
      <c r="E628" t="s">
        <v>42</v>
      </c>
      <c r="F628" t="s">
        <v>1276</v>
      </c>
      <c r="G628" t="str">
        <f>"00032186"</f>
        <v>00032186</v>
      </c>
      <c r="H628">
        <v>1045</v>
      </c>
      <c r="I628">
        <v>0</v>
      </c>
      <c r="J628">
        <v>30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T628">
        <v>0</v>
      </c>
      <c r="U628">
        <v>1075</v>
      </c>
    </row>
    <row r="629" spans="1:21" x14ac:dyDescent="0.25">
      <c r="H629" t="s">
        <v>1277</v>
      </c>
    </row>
    <row r="630" spans="1:21" x14ac:dyDescent="0.25">
      <c r="A630">
        <v>312</v>
      </c>
      <c r="B630">
        <v>6994</v>
      </c>
      <c r="C630" t="s">
        <v>1278</v>
      </c>
      <c r="D630" t="s">
        <v>95</v>
      </c>
      <c r="E630" t="s">
        <v>27</v>
      </c>
      <c r="F630" t="s">
        <v>1279</v>
      </c>
      <c r="G630" t="str">
        <f>"201511033753"</f>
        <v>201511033753</v>
      </c>
      <c r="H630">
        <v>1045</v>
      </c>
      <c r="I630">
        <v>0</v>
      </c>
      <c r="J630">
        <v>30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T630">
        <v>0</v>
      </c>
      <c r="U630">
        <v>1075</v>
      </c>
    </row>
    <row r="631" spans="1:21" x14ac:dyDescent="0.25">
      <c r="H631" t="s">
        <v>1280</v>
      </c>
    </row>
    <row r="632" spans="1:21" x14ac:dyDescent="0.25">
      <c r="A632">
        <v>313</v>
      </c>
      <c r="B632">
        <v>4576</v>
      </c>
      <c r="C632" t="s">
        <v>1281</v>
      </c>
      <c r="D632" t="s">
        <v>64</v>
      </c>
      <c r="E632" t="s">
        <v>350</v>
      </c>
      <c r="F632" t="s">
        <v>1282</v>
      </c>
      <c r="G632" t="str">
        <f>"00090840"</f>
        <v>00090840</v>
      </c>
      <c r="H632">
        <v>1045</v>
      </c>
      <c r="I632">
        <v>0</v>
      </c>
      <c r="J632">
        <v>30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T632">
        <v>0</v>
      </c>
      <c r="U632">
        <v>1075</v>
      </c>
    </row>
    <row r="633" spans="1:21" x14ac:dyDescent="0.25">
      <c r="H633" t="s">
        <v>1283</v>
      </c>
    </row>
    <row r="634" spans="1:21" x14ac:dyDescent="0.25">
      <c r="A634">
        <v>314</v>
      </c>
      <c r="B634">
        <v>2503</v>
      </c>
      <c r="C634" t="s">
        <v>1284</v>
      </c>
      <c r="D634" t="s">
        <v>1285</v>
      </c>
      <c r="E634" t="s">
        <v>773</v>
      </c>
      <c r="F634" t="s">
        <v>1286</v>
      </c>
      <c r="G634" t="str">
        <f>"00024586"</f>
        <v>00024586</v>
      </c>
      <c r="H634">
        <v>1045</v>
      </c>
      <c r="I634">
        <v>0</v>
      </c>
      <c r="J634">
        <v>30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T634">
        <v>0</v>
      </c>
      <c r="U634">
        <v>1075</v>
      </c>
    </row>
    <row r="635" spans="1:21" x14ac:dyDescent="0.25">
      <c r="H635" t="s">
        <v>1287</v>
      </c>
    </row>
    <row r="636" spans="1:21" x14ac:dyDescent="0.25">
      <c r="A636">
        <v>315</v>
      </c>
      <c r="B636">
        <v>739</v>
      </c>
      <c r="C636" t="s">
        <v>1288</v>
      </c>
      <c r="D636" t="s">
        <v>64</v>
      </c>
      <c r="E636" t="s">
        <v>135</v>
      </c>
      <c r="F636" t="s">
        <v>1289</v>
      </c>
      <c r="G636" t="str">
        <f>"201402000235"</f>
        <v>201402000235</v>
      </c>
      <c r="H636">
        <v>1045</v>
      </c>
      <c r="I636">
        <v>0</v>
      </c>
      <c r="J636">
        <v>30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T636">
        <v>0</v>
      </c>
      <c r="U636">
        <v>1075</v>
      </c>
    </row>
    <row r="637" spans="1:21" x14ac:dyDescent="0.25">
      <c r="H637" t="s">
        <v>1290</v>
      </c>
    </row>
    <row r="638" spans="1:21" x14ac:dyDescent="0.25">
      <c r="A638">
        <v>316</v>
      </c>
      <c r="B638">
        <v>8083</v>
      </c>
      <c r="C638" t="s">
        <v>1291</v>
      </c>
      <c r="D638" t="s">
        <v>85</v>
      </c>
      <c r="E638" t="s">
        <v>51</v>
      </c>
      <c r="F638" t="s">
        <v>1292</v>
      </c>
      <c r="G638" t="str">
        <f>"00022741"</f>
        <v>00022741</v>
      </c>
      <c r="H638">
        <v>1045</v>
      </c>
      <c r="I638">
        <v>0</v>
      </c>
      <c r="J638">
        <v>30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T638">
        <v>0</v>
      </c>
      <c r="U638">
        <v>1075</v>
      </c>
    </row>
    <row r="639" spans="1:21" x14ac:dyDescent="0.25">
      <c r="H639" t="s">
        <v>1293</v>
      </c>
    </row>
    <row r="640" spans="1:21" x14ac:dyDescent="0.25">
      <c r="A640">
        <v>317</v>
      </c>
      <c r="B640">
        <v>10476</v>
      </c>
      <c r="C640" t="s">
        <v>1294</v>
      </c>
      <c r="D640" t="s">
        <v>64</v>
      </c>
      <c r="E640" t="s">
        <v>533</v>
      </c>
      <c r="F640" t="s">
        <v>1295</v>
      </c>
      <c r="G640" t="str">
        <f>"201511027274"</f>
        <v>201511027274</v>
      </c>
      <c r="H640">
        <v>1045</v>
      </c>
      <c r="I640">
        <v>0</v>
      </c>
      <c r="J640">
        <v>30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T640">
        <v>0</v>
      </c>
      <c r="U640">
        <v>1075</v>
      </c>
    </row>
    <row r="641" spans="1:21" x14ac:dyDescent="0.25">
      <c r="H641" t="s">
        <v>1296</v>
      </c>
    </row>
    <row r="642" spans="1:21" x14ac:dyDescent="0.25">
      <c r="A642">
        <v>318</v>
      </c>
      <c r="B642">
        <v>1999</v>
      </c>
      <c r="C642" t="s">
        <v>1297</v>
      </c>
      <c r="D642" t="s">
        <v>69</v>
      </c>
      <c r="E642" t="s">
        <v>1298</v>
      </c>
      <c r="F642" t="s">
        <v>1299</v>
      </c>
      <c r="G642" t="str">
        <f>"00031535"</f>
        <v>00031535</v>
      </c>
      <c r="H642" t="s">
        <v>22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T642">
        <v>0</v>
      </c>
      <c r="U642" t="s">
        <v>22</v>
      </c>
    </row>
    <row r="643" spans="1:21" x14ac:dyDescent="0.25">
      <c r="H643" t="s">
        <v>1046</v>
      </c>
    </row>
    <row r="644" spans="1:21" x14ac:dyDescent="0.25">
      <c r="A644">
        <v>319</v>
      </c>
      <c r="B644">
        <v>296</v>
      </c>
      <c r="C644" t="s">
        <v>1300</v>
      </c>
      <c r="D644" t="s">
        <v>502</v>
      </c>
      <c r="E644" t="s">
        <v>27</v>
      </c>
      <c r="F644" t="s">
        <v>1301</v>
      </c>
      <c r="G644" t="str">
        <f>"00017030"</f>
        <v>00017030</v>
      </c>
      <c r="H644" t="s">
        <v>22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T644">
        <v>0</v>
      </c>
      <c r="U644" t="s">
        <v>22</v>
      </c>
    </row>
    <row r="645" spans="1:21" x14ac:dyDescent="0.25">
      <c r="H645" t="s">
        <v>1302</v>
      </c>
    </row>
    <row r="646" spans="1:21" x14ac:dyDescent="0.25">
      <c r="A646">
        <v>320</v>
      </c>
      <c r="B646">
        <v>2308</v>
      </c>
      <c r="C646" t="s">
        <v>1303</v>
      </c>
      <c r="D646" t="s">
        <v>731</v>
      </c>
      <c r="E646" t="s">
        <v>561</v>
      </c>
      <c r="F646" t="s">
        <v>1304</v>
      </c>
      <c r="G646" t="str">
        <f>"00021982"</f>
        <v>00021982</v>
      </c>
      <c r="H646" t="s">
        <v>22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T646">
        <v>0</v>
      </c>
      <c r="U646" t="s">
        <v>22</v>
      </c>
    </row>
    <row r="647" spans="1:21" x14ac:dyDescent="0.25">
      <c r="H647" t="s">
        <v>1305</v>
      </c>
    </row>
    <row r="648" spans="1:21" x14ac:dyDescent="0.25">
      <c r="A648">
        <v>321</v>
      </c>
      <c r="B648">
        <v>2308</v>
      </c>
      <c r="C648" t="s">
        <v>1303</v>
      </c>
      <c r="D648" t="s">
        <v>731</v>
      </c>
      <c r="E648" t="s">
        <v>561</v>
      </c>
      <c r="F648" t="s">
        <v>1304</v>
      </c>
      <c r="G648" t="str">
        <f>"00021982"</f>
        <v>00021982</v>
      </c>
      <c r="H648" t="s">
        <v>22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6</v>
      </c>
      <c r="S648">
        <v>804</v>
      </c>
      <c r="T648">
        <v>0</v>
      </c>
      <c r="U648" t="s">
        <v>22</v>
      </c>
    </row>
    <row r="649" spans="1:21" x14ac:dyDescent="0.25">
      <c r="H649" t="s">
        <v>1305</v>
      </c>
    </row>
    <row r="650" spans="1:21" x14ac:dyDescent="0.25">
      <c r="A650">
        <v>322</v>
      </c>
      <c r="B650">
        <v>8842</v>
      </c>
      <c r="C650" t="s">
        <v>1306</v>
      </c>
      <c r="D650" t="s">
        <v>1307</v>
      </c>
      <c r="E650" t="s">
        <v>764</v>
      </c>
      <c r="F650" t="s">
        <v>1308</v>
      </c>
      <c r="G650" t="str">
        <f>"201511030417"</f>
        <v>201511030417</v>
      </c>
      <c r="H650" t="s">
        <v>1309</v>
      </c>
      <c r="I650">
        <v>0</v>
      </c>
      <c r="J650">
        <v>30</v>
      </c>
      <c r="K650">
        <v>30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T650">
        <v>2</v>
      </c>
      <c r="U650" t="s">
        <v>1310</v>
      </c>
    </row>
    <row r="651" spans="1:21" x14ac:dyDescent="0.25">
      <c r="H651" t="s">
        <v>1311</v>
      </c>
    </row>
    <row r="652" spans="1:21" x14ac:dyDescent="0.25">
      <c r="A652">
        <v>323</v>
      </c>
      <c r="B652">
        <v>9107</v>
      </c>
      <c r="C652" t="s">
        <v>1312</v>
      </c>
      <c r="D652" t="s">
        <v>64</v>
      </c>
      <c r="E652" t="s">
        <v>27</v>
      </c>
      <c r="F652" t="s">
        <v>1313</v>
      </c>
      <c r="G652" t="str">
        <f>"00094293"</f>
        <v>00094293</v>
      </c>
      <c r="H652" t="s">
        <v>341</v>
      </c>
      <c r="I652">
        <v>0</v>
      </c>
      <c r="J652">
        <v>50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T652">
        <v>0</v>
      </c>
      <c r="U652" t="s">
        <v>1314</v>
      </c>
    </row>
    <row r="653" spans="1:21" x14ac:dyDescent="0.25">
      <c r="H653" t="s">
        <v>1315</v>
      </c>
    </row>
    <row r="654" spans="1:21" x14ac:dyDescent="0.25">
      <c r="A654">
        <v>324</v>
      </c>
      <c r="B654">
        <v>4477</v>
      </c>
      <c r="C654" t="s">
        <v>1316</v>
      </c>
      <c r="D654" t="s">
        <v>759</v>
      </c>
      <c r="E654" t="s">
        <v>1132</v>
      </c>
      <c r="F654" t="s">
        <v>1317</v>
      </c>
      <c r="G654" t="str">
        <f>"201512000962"</f>
        <v>201512000962</v>
      </c>
      <c r="H654">
        <v>924</v>
      </c>
      <c r="I654">
        <v>150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T654">
        <v>1</v>
      </c>
      <c r="U654">
        <v>1074</v>
      </c>
    </row>
    <row r="655" spans="1:21" x14ac:dyDescent="0.25">
      <c r="H655" t="s">
        <v>1318</v>
      </c>
    </row>
    <row r="656" spans="1:21" x14ac:dyDescent="0.25">
      <c r="A656">
        <v>325</v>
      </c>
      <c r="B656">
        <v>10440</v>
      </c>
      <c r="C656" t="s">
        <v>1319</v>
      </c>
      <c r="D656" t="s">
        <v>532</v>
      </c>
      <c r="E656" t="s">
        <v>36</v>
      </c>
      <c r="F656" t="s">
        <v>1320</v>
      </c>
      <c r="G656" t="str">
        <f>"201511017959"</f>
        <v>201511017959</v>
      </c>
      <c r="H656">
        <v>924</v>
      </c>
      <c r="I656">
        <v>150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T656">
        <v>2</v>
      </c>
      <c r="U656">
        <v>1074</v>
      </c>
    </row>
    <row r="657" spans="1:21" x14ac:dyDescent="0.25">
      <c r="H657" t="s">
        <v>1321</v>
      </c>
    </row>
    <row r="658" spans="1:21" x14ac:dyDescent="0.25">
      <c r="A658">
        <v>326</v>
      </c>
      <c r="B658">
        <v>5089</v>
      </c>
      <c r="C658" t="s">
        <v>273</v>
      </c>
      <c r="D658" t="s">
        <v>1322</v>
      </c>
      <c r="E658" t="s">
        <v>36</v>
      </c>
      <c r="F658" t="s">
        <v>1323</v>
      </c>
      <c r="G658" t="str">
        <f>"00024651"</f>
        <v>00024651</v>
      </c>
      <c r="H658" t="s">
        <v>1324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T658">
        <v>0</v>
      </c>
      <c r="U658" t="s">
        <v>1324</v>
      </c>
    </row>
    <row r="659" spans="1:21" x14ac:dyDescent="0.25">
      <c r="H659" t="s">
        <v>1325</v>
      </c>
    </row>
    <row r="660" spans="1:21" x14ac:dyDescent="0.25">
      <c r="A660">
        <v>327</v>
      </c>
      <c r="B660">
        <v>7782</v>
      </c>
      <c r="C660" t="s">
        <v>1326</v>
      </c>
      <c r="D660" t="s">
        <v>1327</v>
      </c>
      <c r="E660" t="s">
        <v>37</v>
      </c>
      <c r="F660" t="s">
        <v>1328</v>
      </c>
      <c r="G660" t="str">
        <f>"00045804"</f>
        <v>00045804</v>
      </c>
      <c r="H660" t="s">
        <v>1329</v>
      </c>
      <c r="I660">
        <v>150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T660">
        <v>3</v>
      </c>
      <c r="U660" t="s">
        <v>1330</v>
      </c>
    </row>
    <row r="661" spans="1:21" x14ac:dyDescent="0.25">
      <c r="H661" t="s">
        <v>1331</v>
      </c>
    </row>
    <row r="662" spans="1:21" x14ac:dyDescent="0.25">
      <c r="A662">
        <v>328</v>
      </c>
      <c r="B662">
        <v>8097</v>
      </c>
      <c r="C662" t="s">
        <v>1332</v>
      </c>
      <c r="D662" t="s">
        <v>1333</v>
      </c>
      <c r="E662" t="s">
        <v>27</v>
      </c>
      <c r="F662" t="s">
        <v>1334</v>
      </c>
      <c r="G662" t="str">
        <f>"201511036134"</f>
        <v>201511036134</v>
      </c>
      <c r="H662" t="s">
        <v>150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T662">
        <v>2</v>
      </c>
      <c r="U662" t="s">
        <v>150</v>
      </c>
    </row>
    <row r="663" spans="1:21" x14ac:dyDescent="0.25">
      <c r="H663" t="s">
        <v>1335</v>
      </c>
    </row>
    <row r="664" spans="1:21" x14ac:dyDescent="0.25">
      <c r="A664">
        <v>329</v>
      </c>
      <c r="B664">
        <v>8734</v>
      </c>
      <c r="C664" t="s">
        <v>1336</v>
      </c>
      <c r="D664" t="s">
        <v>57</v>
      </c>
      <c r="E664" t="s">
        <v>835</v>
      </c>
      <c r="F664" t="s">
        <v>1337</v>
      </c>
      <c r="G664" t="str">
        <f>"00081442"</f>
        <v>00081442</v>
      </c>
      <c r="H664" t="s">
        <v>150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T664">
        <v>0</v>
      </c>
      <c r="U664" t="s">
        <v>150</v>
      </c>
    </row>
    <row r="665" spans="1:21" x14ac:dyDescent="0.25">
      <c r="H665" t="s">
        <v>1338</v>
      </c>
    </row>
    <row r="666" spans="1:21" x14ac:dyDescent="0.25">
      <c r="A666">
        <v>330</v>
      </c>
      <c r="B666">
        <v>9969</v>
      </c>
      <c r="C666" t="s">
        <v>1221</v>
      </c>
      <c r="D666" t="s">
        <v>173</v>
      </c>
      <c r="E666" t="s">
        <v>647</v>
      </c>
      <c r="F666" t="s">
        <v>1339</v>
      </c>
      <c r="G666" t="str">
        <f>"201512002304"</f>
        <v>201512002304</v>
      </c>
      <c r="H666" t="s">
        <v>150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T666">
        <v>0</v>
      </c>
      <c r="U666" t="s">
        <v>150</v>
      </c>
    </row>
    <row r="667" spans="1:21" x14ac:dyDescent="0.25">
      <c r="H667" t="s">
        <v>1340</v>
      </c>
    </row>
    <row r="668" spans="1:21" x14ac:dyDescent="0.25">
      <c r="A668">
        <v>331</v>
      </c>
      <c r="B668">
        <v>9691</v>
      </c>
      <c r="C668" t="s">
        <v>1341</v>
      </c>
      <c r="D668" t="s">
        <v>546</v>
      </c>
      <c r="E668" t="s">
        <v>27</v>
      </c>
      <c r="F668" t="s">
        <v>1342</v>
      </c>
      <c r="G668" t="str">
        <f>"00096045"</f>
        <v>00096045</v>
      </c>
      <c r="H668" t="s">
        <v>150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T668">
        <v>0</v>
      </c>
      <c r="U668" t="s">
        <v>150</v>
      </c>
    </row>
    <row r="669" spans="1:21" x14ac:dyDescent="0.25">
      <c r="H669" t="s">
        <v>1343</v>
      </c>
    </row>
    <row r="670" spans="1:21" x14ac:dyDescent="0.25">
      <c r="A670">
        <v>332</v>
      </c>
      <c r="B670">
        <v>524</v>
      </c>
      <c r="C670" t="s">
        <v>1344</v>
      </c>
      <c r="D670" t="s">
        <v>366</v>
      </c>
      <c r="E670" t="s">
        <v>231</v>
      </c>
      <c r="F670" t="s">
        <v>1345</v>
      </c>
      <c r="G670" t="str">
        <f>"00029476"</f>
        <v>00029476</v>
      </c>
      <c r="H670" t="s">
        <v>150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T670">
        <v>0</v>
      </c>
      <c r="U670" t="s">
        <v>150</v>
      </c>
    </row>
    <row r="671" spans="1:21" x14ac:dyDescent="0.25">
      <c r="H671" t="s">
        <v>1346</v>
      </c>
    </row>
    <row r="672" spans="1:21" x14ac:dyDescent="0.25">
      <c r="A672">
        <v>333</v>
      </c>
      <c r="B672">
        <v>10524</v>
      </c>
      <c r="C672" t="s">
        <v>1347</v>
      </c>
      <c r="D672" t="s">
        <v>1348</v>
      </c>
      <c r="E672" t="s">
        <v>281</v>
      </c>
      <c r="F672" t="s">
        <v>1349</v>
      </c>
      <c r="G672" t="str">
        <f>"201001000141"</f>
        <v>201001000141</v>
      </c>
      <c r="H672" t="s">
        <v>150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T672">
        <v>0</v>
      </c>
      <c r="U672" t="s">
        <v>150</v>
      </c>
    </row>
    <row r="673" spans="1:21" x14ac:dyDescent="0.25">
      <c r="H673" t="s">
        <v>1350</v>
      </c>
    </row>
    <row r="674" spans="1:21" x14ac:dyDescent="0.25">
      <c r="A674">
        <v>334</v>
      </c>
      <c r="B674">
        <v>5594</v>
      </c>
      <c r="C674" t="s">
        <v>1351</v>
      </c>
      <c r="D674" t="s">
        <v>473</v>
      </c>
      <c r="E674" t="s">
        <v>36</v>
      </c>
      <c r="F674" t="s">
        <v>1352</v>
      </c>
      <c r="G674" t="str">
        <f>"201510001720"</f>
        <v>201510001720</v>
      </c>
      <c r="H674" t="s">
        <v>670</v>
      </c>
      <c r="I674">
        <v>150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6</v>
      </c>
      <c r="S674">
        <v>809</v>
      </c>
      <c r="T674">
        <v>0</v>
      </c>
      <c r="U674" t="s">
        <v>1353</v>
      </c>
    </row>
    <row r="675" spans="1:21" x14ac:dyDescent="0.25">
      <c r="H675">
        <v>809</v>
      </c>
    </row>
    <row r="676" spans="1:21" x14ac:dyDescent="0.25">
      <c r="A676">
        <v>335</v>
      </c>
      <c r="B676">
        <v>5134</v>
      </c>
      <c r="C676" t="s">
        <v>1354</v>
      </c>
      <c r="D676" t="s">
        <v>141</v>
      </c>
      <c r="E676" t="s">
        <v>1355</v>
      </c>
      <c r="F676" t="s">
        <v>1356</v>
      </c>
      <c r="G676" t="str">
        <f>"00038943"</f>
        <v>00038943</v>
      </c>
      <c r="H676" t="s">
        <v>1357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T676">
        <v>0</v>
      </c>
      <c r="U676" t="s">
        <v>1357</v>
      </c>
    </row>
    <row r="677" spans="1:21" x14ac:dyDescent="0.25">
      <c r="H677" t="s">
        <v>1358</v>
      </c>
    </row>
    <row r="678" spans="1:21" x14ac:dyDescent="0.25">
      <c r="A678">
        <v>336</v>
      </c>
      <c r="B678">
        <v>10174</v>
      </c>
      <c r="C678" t="s">
        <v>1359</v>
      </c>
      <c r="D678" t="s">
        <v>70</v>
      </c>
      <c r="E678" t="s">
        <v>366</v>
      </c>
      <c r="F678" t="s">
        <v>1360</v>
      </c>
      <c r="G678" t="str">
        <f>"00101222"</f>
        <v>00101222</v>
      </c>
      <c r="H678" t="s">
        <v>1357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T678">
        <v>0</v>
      </c>
      <c r="U678" t="s">
        <v>1357</v>
      </c>
    </row>
    <row r="679" spans="1:21" x14ac:dyDescent="0.25">
      <c r="H679" t="s">
        <v>1361</v>
      </c>
    </row>
    <row r="680" spans="1:21" x14ac:dyDescent="0.25">
      <c r="A680">
        <v>337</v>
      </c>
      <c r="B680">
        <v>10164</v>
      </c>
      <c r="C680" t="s">
        <v>303</v>
      </c>
      <c r="D680" t="s">
        <v>528</v>
      </c>
      <c r="E680" t="s">
        <v>835</v>
      </c>
      <c r="F680" t="s">
        <v>1362</v>
      </c>
      <c r="G680" t="str">
        <f>"201102000002"</f>
        <v>201102000002</v>
      </c>
      <c r="H680" t="s">
        <v>1363</v>
      </c>
      <c r="I680">
        <v>0</v>
      </c>
      <c r="J680">
        <v>0</v>
      </c>
      <c r="K680">
        <v>0</v>
      </c>
      <c r="L680">
        <v>50</v>
      </c>
      <c r="M680">
        <v>0</v>
      </c>
      <c r="N680">
        <v>0</v>
      </c>
      <c r="O680">
        <v>0</v>
      </c>
      <c r="P680">
        <v>0</v>
      </c>
      <c r="Q680">
        <v>0</v>
      </c>
      <c r="T680">
        <v>1</v>
      </c>
      <c r="U680" t="s">
        <v>1364</v>
      </c>
    </row>
    <row r="681" spans="1:21" x14ac:dyDescent="0.25">
      <c r="H681" t="s">
        <v>1365</v>
      </c>
    </row>
    <row r="682" spans="1:21" x14ac:dyDescent="0.25">
      <c r="A682">
        <v>338</v>
      </c>
      <c r="B682">
        <v>488</v>
      </c>
      <c r="C682" t="s">
        <v>1366</v>
      </c>
      <c r="D682" t="s">
        <v>135</v>
      </c>
      <c r="E682" t="s">
        <v>135</v>
      </c>
      <c r="F682" t="s">
        <v>1367</v>
      </c>
      <c r="G682" t="str">
        <f>"201510003845"</f>
        <v>201510003845</v>
      </c>
      <c r="H682" t="s">
        <v>1368</v>
      </c>
      <c r="I682">
        <v>150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T682">
        <v>1</v>
      </c>
      <c r="U682" t="s">
        <v>1369</v>
      </c>
    </row>
    <row r="683" spans="1:21" x14ac:dyDescent="0.25">
      <c r="H683" t="s">
        <v>1370</v>
      </c>
    </row>
    <row r="684" spans="1:21" x14ac:dyDescent="0.25">
      <c r="A684">
        <v>339</v>
      </c>
      <c r="B684">
        <v>454</v>
      </c>
      <c r="C684" t="s">
        <v>1371</v>
      </c>
      <c r="D684" t="s">
        <v>78</v>
      </c>
      <c r="E684" t="s">
        <v>36</v>
      </c>
      <c r="F684" t="s">
        <v>1372</v>
      </c>
      <c r="G684" t="str">
        <f>"201511006247"</f>
        <v>201511006247</v>
      </c>
      <c r="H684" t="s">
        <v>1373</v>
      </c>
      <c r="I684">
        <v>150</v>
      </c>
      <c r="J684">
        <v>30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6</v>
      </c>
      <c r="S684">
        <v>809</v>
      </c>
      <c r="T684">
        <v>0</v>
      </c>
      <c r="U684" t="s">
        <v>1374</v>
      </c>
    </row>
    <row r="685" spans="1:21" x14ac:dyDescent="0.25">
      <c r="H685" t="s">
        <v>1375</v>
      </c>
    </row>
    <row r="686" spans="1:21" x14ac:dyDescent="0.25">
      <c r="A686">
        <v>340</v>
      </c>
      <c r="B686">
        <v>7436</v>
      </c>
      <c r="C686" t="s">
        <v>1376</v>
      </c>
      <c r="D686" t="s">
        <v>173</v>
      </c>
      <c r="E686" t="s">
        <v>51</v>
      </c>
      <c r="F686" t="s">
        <v>1377</v>
      </c>
      <c r="G686" t="str">
        <f>"00029625"</f>
        <v>00029625</v>
      </c>
      <c r="H686" t="s">
        <v>1378</v>
      </c>
      <c r="I686">
        <v>0</v>
      </c>
      <c r="J686">
        <v>30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T686">
        <v>0</v>
      </c>
      <c r="U686" t="s">
        <v>1379</v>
      </c>
    </row>
    <row r="687" spans="1:21" x14ac:dyDescent="0.25">
      <c r="H687" t="s">
        <v>1380</v>
      </c>
    </row>
    <row r="688" spans="1:21" x14ac:dyDescent="0.25">
      <c r="A688">
        <v>341</v>
      </c>
      <c r="B688">
        <v>10048</v>
      </c>
      <c r="C688" t="s">
        <v>1381</v>
      </c>
      <c r="D688" t="s">
        <v>557</v>
      </c>
      <c r="E688" t="s">
        <v>42</v>
      </c>
      <c r="F688" t="s">
        <v>1382</v>
      </c>
      <c r="G688" t="str">
        <f>"00029510"</f>
        <v>00029510</v>
      </c>
      <c r="H688" t="s">
        <v>166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T688">
        <v>1</v>
      </c>
      <c r="U688" t="s">
        <v>166</v>
      </c>
    </row>
    <row r="689" spans="1:21" x14ac:dyDescent="0.25">
      <c r="H689" t="s">
        <v>1383</v>
      </c>
    </row>
    <row r="690" spans="1:21" x14ac:dyDescent="0.25">
      <c r="A690">
        <v>342</v>
      </c>
      <c r="B690">
        <v>6033</v>
      </c>
      <c r="C690" t="s">
        <v>1384</v>
      </c>
      <c r="D690" t="s">
        <v>1385</v>
      </c>
      <c r="E690" t="s">
        <v>614</v>
      </c>
      <c r="F690" t="s">
        <v>1386</v>
      </c>
      <c r="G690" t="str">
        <f>"201511029609"</f>
        <v>201511029609</v>
      </c>
      <c r="H690">
        <v>1067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T690">
        <v>0</v>
      </c>
      <c r="U690">
        <v>1067</v>
      </c>
    </row>
    <row r="691" spans="1:21" x14ac:dyDescent="0.25">
      <c r="H691" t="s">
        <v>1387</v>
      </c>
    </row>
    <row r="692" spans="1:21" x14ac:dyDescent="0.25">
      <c r="A692">
        <v>343</v>
      </c>
      <c r="B692">
        <v>7957</v>
      </c>
      <c r="C692" t="s">
        <v>1388</v>
      </c>
      <c r="D692" t="s">
        <v>185</v>
      </c>
      <c r="E692" t="s">
        <v>65</v>
      </c>
      <c r="F692" t="s">
        <v>1389</v>
      </c>
      <c r="G692" t="str">
        <f>"00043563"</f>
        <v>00043563</v>
      </c>
      <c r="H692">
        <v>1067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T692">
        <v>1</v>
      </c>
      <c r="U692">
        <v>1067</v>
      </c>
    </row>
    <row r="693" spans="1:21" x14ac:dyDescent="0.25">
      <c r="H693">
        <v>801</v>
      </c>
    </row>
    <row r="694" spans="1:21" x14ac:dyDescent="0.25">
      <c r="A694">
        <v>344</v>
      </c>
      <c r="B694">
        <v>7408</v>
      </c>
      <c r="C694" t="s">
        <v>803</v>
      </c>
      <c r="D694" t="s">
        <v>1131</v>
      </c>
      <c r="E694" t="s">
        <v>65</v>
      </c>
      <c r="F694" t="s">
        <v>1390</v>
      </c>
      <c r="G694" t="str">
        <f>"00047899"</f>
        <v>00047899</v>
      </c>
      <c r="H694">
        <v>1067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6</v>
      </c>
      <c r="S694">
        <v>763</v>
      </c>
      <c r="T694">
        <v>0</v>
      </c>
      <c r="U694">
        <v>1067</v>
      </c>
    </row>
    <row r="695" spans="1:21" x14ac:dyDescent="0.25">
      <c r="H695" t="s">
        <v>1391</v>
      </c>
    </row>
    <row r="696" spans="1:21" x14ac:dyDescent="0.25">
      <c r="A696">
        <v>345</v>
      </c>
      <c r="B696">
        <v>7408</v>
      </c>
      <c r="C696" t="s">
        <v>803</v>
      </c>
      <c r="D696" t="s">
        <v>1131</v>
      </c>
      <c r="E696" t="s">
        <v>65</v>
      </c>
      <c r="F696" t="s">
        <v>1390</v>
      </c>
      <c r="G696" t="str">
        <f>"00047899"</f>
        <v>00047899</v>
      </c>
      <c r="H696">
        <v>1067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T696">
        <v>0</v>
      </c>
      <c r="U696">
        <v>1067</v>
      </c>
    </row>
    <row r="697" spans="1:21" x14ac:dyDescent="0.25">
      <c r="H697" t="s">
        <v>1391</v>
      </c>
    </row>
    <row r="698" spans="1:21" x14ac:dyDescent="0.25">
      <c r="A698">
        <v>346</v>
      </c>
      <c r="B698">
        <v>8885</v>
      </c>
      <c r="C698" t="s">
        <v>1392</v>
      </c>
      <c r="D698" t="s">
        <v>345</v>
      </c>
      <c r="E698" t="s">
        <v>36</v>
      </c>
      <c r="F698" t="s">
        <v>1393</v>
      </c>
      <c r="G698" t="str">
        <f>"201511042914"</f>
        <v>201511042914</v>
      </c>
      <c r="H698">
        <v>1067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T698">
        <v>1</v>
      </c>
      <c r="U698">
        <v>1067</v>
      </c>
    </row>
    <row r="699" spans="1:21" x14ac:dyDescent="0.25">
      <c r="H699" t="s">
        <v>1394</v>
      </c>
    </row>
    <row r="700" spans="1:21" x14ac:dyDescent="0.25">
      <c r="A700">
        <v>347</v>
      </c>
      <c r="B700">
        <v>1922</v>
      </c>
      <c r="C700" t="s">
        <v>1395</v>
      </c>
      <c r="D700" t="s">
        <v>1396</v>
      </c>
      <c r="E700" t="s">
        <v>449</v>
      </c>
      <c r="F700" t="s">
        <v>1397</v>
      </c>
      <c r="G700" t="str">
        <f>"00077618"</f>
        <v>00077618</v>
      </c>
      <c r="H700">
        <v>1067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T700">
        <v>1</v>
      </c>
      <c r="U700">
        <v>1067</v>
      </c>
    </row>
    <row r="701" spans="1:21" x14ac:dyDescent="0.25">
      <c r="H701" t="s">
        <v>1398</v>
      </c>
    </row>
    <row r="702" spans="1:21" x14ac:dyDescent="0.25">
      <c r="A702">
        <v>348</v>
      </c>
      <c r="B702">
        <v>8850</v>
      </c>
      <c r="C702" t="s">
        <v>1399</v>
      </c>
      <c r="D702" t="s">
        <v>26</v>
      </c>
      <c r="E702" t="s">
        <v>135</v>
      </c>
      <c r="F702" t="s">
        <v>1400</v>
      </c>
      <c r="G702" t="str">
        <f>"00103124"</f>
        <v>00103124</v>
      </c>
      <c r="H702" t="s">
        <v>291</v>
      </c>
      <c r="I702">
        <v>0</v>
      </c>
      <c r="J702">
        <v>30</v>
      </c>
      <c r="K702">
        <v>30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T702">
        <v>2</v>
      </c>
      <c r="U702" t="s">
        <v>1401</v>
      </c>
    </row>
    <row r="703" spans="1:21" x14ac:dyDescent="0.25">
      <c r="H703" t="s">
        <v>1402</v>
      </c>
    </row>
    <row r="704" spans="1:21" x14ac:dyDescent="0.25">
      <c r="A704">
        <v>349</v>
      </c>
      <c r="B704">
        <v>7326</v>
      </c>
      <c r="C704" t="s">
        <v>1403</v>
      </c>
      <c r="D704" t="s">
        <v>64</v>
      </c>
      <c r="E704" t="s">
        <v>122</v>
      </c>
      <c r="F704" t="s">
        <v>1404</v>
      </c>
      <c r="G704" t="str">
        <f>"00092448"</f>
        <v>00092448</v>
      </c>
      <c r="H704" t="s">
        <v>1405</v>
      </c>
      <c r="I704">
        <v>0</v>
      </c>
      <c r="J704">
        <v>30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T704">
        <v>0</v>
      </c>
      <c r="U704" t="s">
        <v>1406</v>
      </c>
    </row>
    <row r="705" spans="1:21" x14ac:dyDescent="0.25">
      <c r="H705" t="s">
        <v>1407</v>
      </c>
    </row>
    <row r="706" spans="1:21" x14ac:dyDescent="0.25">
      <c r="A706">
        <v>350</v>
      </c>
      <c r="B706">
        <v>9057</v>
      </c>
      <c r="C706" t="s">
        <v>1408</v>
      </c>
      <c r="D706" t="s">
        <v>285</v>
      </c>
      <c r="E706" t="s">
        <v>37</v>
      </c>
      <c r="F706" t="s">
        <v>1409</v>
      </c>
      <c r="G706" t="str">
        <f>"00087558"</f>
        <v>00087558</v>
      </c>
      <c r="H706" t="s">
        <v>296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T706">
        <v>0</v>
      </c>
      <c r="U706" t="s">
        <v>296</v>
      </c>
    </row>
    <row r="707" spans="1:21" x14ac:dyDescent="0.25">
      <c r="H707" t="s">
        <v>1410</v>
      </c>
    </row>
    <row r="708" spans="1:21" x14ac:dyDescent="0.25">
      <c r="A708">
        <v>351</v>
      </c>
      <c r="B708">
        <v>4816</v>
      </c>
      <c r="C708" t="s">
        <v>1411</v>
      </c>
      <c r="D708" t="s">
        <v>313</v>
      </c>
      <c r="E708" t="s">
        <v>533</v>
      </c>
      <c r="F708" t="s">
        <v>1412</v>
      </c>
      <c r="G708" t="str">
        <f>"00077162"</f>
        <v>00077162</v>
      </c>
      <c r="H708" t="s">
        <v>296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T708">
        <v>3</v>
      </c>
      <c r="U708" t="s">
        <v>296</v>
      </c>
    </row>
    <row r="709" spans="1:21" x14ac:dyDescent="0.25">
      <c r="H709" t="s">
        <v>1035</v>
      </c>
    </row>
    <row r="710" spans="1:21" x14ac:dyDescent="0.25">
      <c r="A710">
        <v>352</v>
      </c>
      <c r="B710">
        <v>9750</v>
      </c>
      <c r="C710" t="s">
        <v>1413</v>
      </c>
      <c r="D710" t="s">
        <v>134</v>
      </c>
      <c r="E710" t="s">
        <v>36</v>
      </c>
      <c r="F710" t="s">
        <v>1414</v>
      </c>
      <c r="G710" t="str">
        <f>"201502001884"</f>
        <v>201502001884</v>
      </c>
      <c r="H710" t="s">
        <v>296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T710">
        <v>0</v>
      </c>
      <c r="U710" t="s">
        <v>296</v>
      </c>
    </row>
    <row r="711" spans="1:21" x14ac:dyDescent="0.25">
      <c r="H711" t="s">
        <v>1415</v>
      </c>
    </row>
    <row r="712" spans="1:21" x14ac:dyDescent="0.25">
      <c r="A712">
        <v>353</v>
      </c>
      <c r="B712">
        <v>10078</v>
      </c>
      <c r="C712" t="s">
        <v>1416</v>
      </c>
      <c r="D712" t="s">
        <v>1417</v>
      </c>
      <c r="E712" t="s">
        <v>975</v>
      </c>
      <c r="F712" t="s">
        <v>1418</v>
      </c>
      <c r="G712" t="str">
        <f>"200801004239"</f>
        <v>200801004239</v>
      </c>
      <c r="H712" t="s">
        <v>498</v>
      </c>
      <c r="I712">
        <v>0</v>
      </c>
      <c r="J712">
        <v>70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T712">
        <v>0</v>
      </c>
      <c r="U712" t="s">
        <v>1419</v>
      </c>
    </row>
    <row r="713" spans="1:21" x14ac:dyDescent="0.25">
      <c r="H713" t="s">
        <v>1420</v>
      </c>
    </row>
    <row r="714" spans="1:21" x14ac:dyDescent="0.25">
      <c r="A714">
        <v>354</v>
      </c>
      <c r="B714">
        <v>8391</v>
      </c>
      <c r="C714" t="s">
        <v>163</v>
      </c>
      <c r="D714" t="s">
        <v>57</v>
      </c>
      <c r="E714" t="s">
        <v>42</v>
      </c>
      <c r="F714" t="s">
        <v>1421</v>
      </c>
      <c r="G714" t="str">
        <f>"201511040529"</f>
        <v>201511040529</v>
      </c>
      <c r="H714" t="s">
        <v>1422</v>
      </c>
      <c r="I714">
        <v>150</v>
      </c>
      <c r="J714">
        <v>30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T714">
        <v>0</v>
      </c>
      <c r="U714" t="s">
        <v>1419</v>
      </c>
    </row>
    <row r="715" spans="1:21" x14ac:dyDescent="0.25">
      <c r="H715" t="s">
        <v>1423</v>
      </c>
    </row>
    <row r="716" spans="1:21" x14ac:dyDescent="0.25">
      <c r="A716">
        <v>355</v>
      </c>
      <c r="B716">
        <v>4650</v>
      </c>
      <c r="C716" t="s">
        <v>1424</v>
      </c>
      <c r="D716" t="s">
        <v>185</v>
      </c>
      <c r="E716" t="s">
        <v>135</v>
      </c>
      <c r="F716" t="s">
        <v>1425</v>
      </c>
      <c r="G716" t="str">
        <f>"00091232"</f>
        <v>00091232</v>
      </c>
      <c r="H716" t="s">
        <v>1426</v>
      </c>
      <c r="I716">
        <v>150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T716">
        <v>0</v>
      </c>
      <c r="U716" t="s">
        <v>1427</v>
      </c>
    </row>
    <row r="717" spans="1:21" x14ac:dyDescent="0.25">
      <c r="H717" t="s">
        <v>1428</v>
      </c>
    </row>
    <row r="718" spans="1:21" x14ac:dyDescent="0.25">
      <c r="A718">
        <v>356</v>
      </c>
      <c r="B718">
        <v>639</v>
      </c>
      <c r="C718" t="s">
        <v>1429</v>
      </c>
      <c r="D718" t="s">
        <v>164</v>
      </c>
      <c r="E718" t="s">
        <v>42</v>
      </c>
      <c r="F718" t="s">
        <v>1430</v>
      </c>
      <c r="G718" t="str">
        <f>"201511006706"</f>
        <v>201511006706</v>
      </c>
      <c r="H718">
        <v>1034</v>
      </c>
      <c r="I718">
        <v>0</v>
      </c>
      <c r="J718">
        <v>30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6</v>
      </c>
      <c r="S718">
        <v>804</v>
      </c>
      <c r="T718">
        <v>0</v>
      </c>
      <c r="U718">
        <v>1064</v>
      </c>
    </row>
    <row r="719" spans="1:21" x14ac:dyDescent="0.25">
      <c r="H719" t="s">
        <v>507</v>
      </c>
    </row>
    <row r="720" spans="1:21" x14ac:dyDescent="0.25">
      <c r="A720">
        <v>357</v>
      </c>
      <c r="B720">
        <v>1546</v>
      </c>
      <c r="C720" t="s">
        <v>1431</v>
      </c>
      <c r="D720" t="s">
        <v>578</v>
      </c>
      <c r="E720" t="s">
        <v>533</v>
      </c>
      <c r="F720" t="s">
        <v>1432</v>
      </c>
      <c r="G720" t="str">
        <f>"00047043"</f>
        <v>00047043</v>
      </c>
      <c r="H720">
        <v>1034</v>
      </c>
      <c r="I720">
        <v>0</v>
      </c>
      <c r="J720">
        <v>30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T720">
        <v>0</v>
      </c>
      <c r="U720">
        <v>1064</v>
      </c>
    </row>
    <row r="721" spans="1:21" x14ac:dyDescent="0.25">
      <c r="H721" t="s">
        <v>1433</v>
      </c>
    </row>
    <row r="722" spans="1:21" x14ac:dyDescent="0.25">
      <c r="A722">
        <v>358</v>
      </c>
      <c r="B722">
        <v>1213</v>
      </c>
      <c r="C722" t="s">
        <v>1434</v>
      </c>
      <c r="D722" t="s">
        <v>1435</v>
      </c>
      <c r="E722" t="s">
        <v>1436</v>
      </c>
      <c r="F722" t="s">
        <v>1437</v>
      </c>
      <c r="G722" t="str">
        <f>"00024287"</f>
        <v>00024287</v>
      </c>
      <c r="H722">
        <v>924</v>
      </c>
      <c r="I722">
        <v>0</v>
      </c>
      <c r="J722">
        <v>70</v>
      </c>
      <c r="K722">
        <v>0</v>
      </c>
      <c r="L722">
        <v>0</v>
      </c>
      <c r="M722">
        <v>70</v>
      </c>
      <c r="N722">
        <v>0</v>
      </c>
      <c r="O722">
        <v>0</v>
      </c>
      <c r="P722">
        <v>0</v>
      </c>
      <c r="Q722">
        <v>0</v>
      </c>
      <c r="T722">
        <v>0</v>
      </c>
      <c r="U722">
        <v>1064</v>
      </c>
    </row>
    <row r="723" spans="1:21" x14ac:dyDescent="0.25">
      <c r="H723" t="s">
        <v>1438</v>
      </c>
    </row>
    <row r="724" spans="1:21" x14ac:dyDescent="0.25">
      <c r="A724">
        <v>359</v>
      </c>
      <c r="B724">
        <v>7281</v>
      </c>
      <c r="C724" t="s">
        <v>472</v>
      </c>
      <c r="D724" t="s">
        <v>85</v>
      </c>
      <c r="E724" t="s">
        <v>42</v>
      </c>
      <c r="F724" t="s">
        <v>1439</v>
      </c>
      <c r="G724" t="str">
        <f>"201511037120"</f>
        <v>201511037120</v>
      </c>
      <c r="H724" t="s">
        <v>1440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T724">
        <v>0</v>
      </c>
      <c r="U724" t="s">
        <v>1440</v>
      </c>
    </row>
    <row r="725" spans="1:21" x14ac:dyDescent="0.25">
      <c r="H725" t="s">
        <v>1441</v>
      </c>
    </row>
    <row r="726" spans="1:21" x14ac:dyDescent="0.25">
      <c r="A726">
        <v>360</v>
      </c>
      <c r="B726">
        <v>3473</v>
      </c>
      <c r="C726" t="s">
        <v>1442</v>
      </c>
      <c r="D726" t="s">
        <v>95</v>
      </c>
      <c r="E726" t="s">
        <v>20</v>
      </c>
      <c r="F726" t="s">
        <v>1443</v>
      </c>
      <c r="G726" t="str">
        <f>"201402004144"</f>
        <v>201402004144</v>
      </c>
      <c r="H726" t="s">
        <v>1444</v>
      </c>
      <c r="I726">
        <v>150</v>
      </c>
      <c r="J726">
        <v>50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T726">
        <v>0</v>
      </c>
      <c r="U726" t="s">
        <v>1445</v>
      </c>
    </row>
    <row r="727" spans="1:21" x14ac:dyDescent="0.25">
      <c r="H727" t="s">
        <v>1446</v>
      </c>
    </row>
    <row r="728" spans="1:21" x14ac:dyDescent="0.25">
      <c r="A728">
        <v>361</v>
      </c>
      <c r="B728">
        <v>7936</v>
      </c>
      <c r="C728" t="s">
        <v>1447</v>
      </c>
      <c r="D728" t="s">
        <v>64</v>
      </c>
      <c r="E728" t="s">
        <v>36</v>
      </c>
      <c r="F728" t="s">
        <v>1448</v>
      </c>
      <c r="G728" t="str">
        <f>"00026317"</f>
        <v>00026317</v>
      </c>
      <c r="H728">
        <v>913</v>
      </c>
      <c r="I728">
        <v>150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T728">
        <v>0</v>
      </c>
      <c r="U728">
        <v>1063</v>
      </c>
    </row>
    <row r="729" spans="1:21" x14ac:dyDescent="0.25">
      <c r="H729" t="s">
        <v>1449</v>
      </c>
    </row>
    <row r="730" spans="1:21" x14ac:dyDescent="0.25">
      <c r="A730">
        <v>362</v>
      </c>
      <c r="B730">
        <v>122</v>
      </c>
      <c r="C730" t="s">
        <v>1450</v>
      </c>
      <c r="D730" t="s">
        <v>502</v>
      </c>
      <c r="E730" t="s">
        <v>36</v>
      </c>
      <c r="F730" t="s">
        <v>1451</v>
      </c>
      <c r="G730" t="str">
        <f>"201510003464"</f>
        <v>201510003464</v>
      </c>
      <c r="H730">
        <v>913</v>
      </c>
      <c r="I730">
        <v>150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T730">
        <v>0</v>
      </c>
      <c r="U730">
        <v>1063</v>
      </c>
    </row>
    <row r="731" spans="1:21" x14ac:dyDescent="0.25">
      <c r="H731" t="s">
        <v>1452</v>
      </c>
    </row>
    <row r="732" spans="1:21" x14ac:dyDescent="0.25">
      <c r="A732">
        <v>363</v>
      </c>
      <c r="B732">
        <v>9440</v>
      </c>
      <c r="C732" t="s">
        <v>1453</v>
      </c>
      <c r="D732" t="s">
        <v>74</v>
      </c>
      <c r="E732" t="s">
        <v>42</v>
      </c>
      <c r="F732" t="s">
        <v>1454</v>
      </c>
      <c r="G732" t="str">
        <f>"00088091"</f>
        <v>00088091</v>
      </c>
      <c r="H732" t="s">
        <v>568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T732">
        <v>0</v>
      </c>
      <c r="U732" t="s">
        <v>568</v>
      </c>
    </row>
    <row r="733" spans="1:21" x14ac:dyDescent="0.25">
      <c r="H733" t="s">
        <v>1455</v>
      </c>
    </row>
    <row r="734" spans="1:21" x14ac:dyDescent="0.25">
      <c r="A734">
        <v>364</v>
      </c>
      <c r="B734">
        <v>9364</v>
      </c>
      <c r="C734" t="s">
        <v>1456</v>
      </c>
      <c r="D734" t="s">
        <v>64</v>
      </c>
      <c r="E734" t="s">
        <v>122</v>
      </c>
      <c r="F734" t="s">
        <v>1457</v>
      </c>
      <c r="G734" t="str">
        <f>"00040077"</f>
        <v>00040077</v>
      </c>
      <c r="H734" t="s">
        <v>568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T734">
        <v>0</v>
      </c>
      <c r="U734" t="s">
        <v>568</v>
      </c>
    </row>
    <row r="735" spans="1:21" x14ac:dyDescent="0.25">
      <c r="H735" t="s">
        <v>710</v>
      </c>
    </row>
    <row r="736" spans="1:21" x14ac:dyDescent="0.25">
      <c r="A736">
        <v>365</v>
      </c>
      <c r="B736">
        <v>3727</v>
      </c>
      <c r="C736" t="s">
        <v>1458</v>
      </c>
      <c r="D736" t="s">
        <v>502</v>
      </c>
      <c r="E736" t="s">
        <v>42</v>
      </c>
      <c r="F736" t="s">
        <v>1459</v>
      </c>
      <c r="G736" t="str">
        <f>"00016823"</f>
        <v>00016823</v>
      </c>
      <c r="H736" t="s">
        <v>322</v>
      </c>
      <c r="I736">
        <v>0</v>
      </c>
      <c r="J736">
        <v>30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T736">
        <v>0</v>
      </c>
      <c r="U736" t="s">
        <v>1460</v>
      </c>
    </row>
    <row r="737" spans="1:21" x14ac:dyDescent="0.25">
      <c r="H737" t="s">
        <v>1461</v>
      </c>
    </row>
    <row r="738" spans="1:21" x14ac:dyDescent="0.25">
      <c r="A738">
        <v>366</v>
      </c>
      <c r="B738">
        <v>9413</v>
      </c>
      <c r="C738" t="s">
        <v>1462</v>
      </c>
      <c r="D738" t="s">
        <v>1463</v>
      </c>
      <c r="E738" t="s">
        <v>155</v>
      </c>
      <c r="F738" t="s">
        <v>1464</v>
      </c>
      <c r="G738" t="str">
        <f>"00102520"</f>
        <v>00102520</v>
      </c>
      <c r="H738" t="s">
        <v>175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T738">
        <v>0</v>
      </c>
      <c r="U738" t="s">
        <v>175</v>
      </c>
    </row>
    <row r="739" spans="1:21" x14ac:dyDescent="0.25">
      <c r="H739" t="s">
        <v>1465</v>
      </c>
    </row>
    <row r="740" spans="1:21" x14ac:dyDescent="0.25">
      <c r="A740">
        <v>367</v>
      </c>
      <c r="B740">
        <v>5612</v>
      </c>
      <c r="C740" t="s">
        <v>1466</v>
      </c>
      <c r="D740" t="s">
        <v>1467</v>
      </c>
      <c r="E740" t="s">
        <v>614</v>
      </c>
      <c r="F740" t="s">
        <v>1468</v>
      </c>
      <c r="G740" t="str">
        <f>"00041791"</f>
        <v>00041791</v>
      </c>
      <c r="H740" t="s">
        <v>175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6</v>
      </c>
      <c r="S740">
        <v>763</v>
      </c>
      <c r="T740">
        <v>0</v>
      </c>
      <c r="U740" t="s">
        <v>175</v>
      </c>
    </row>
    <row r="741" spans="1:21" x14ac:dyDescent="0.25">
      <c r="H741" t="s">
        <v>1469</v>
      </c>
    </row>
    <row r="742" spans="1:21" x14ac:dyDescent="0.25">
      <c r="A742">
        <v>368</v>
      </c>
      <c r="B742">
        <v>8309</v>
      </c>
      <c r="C742" t="s">
        <v>1470</v>
      </c>
      <c r="D742" t="s">
        <v>533</v>
      </c>
      <c r="E742" t="s">
        <v>1471</v>
      </c>
      <c r="F742" t="s">
        <v>1472</v>
      </c>
      <c r="G742" t="str">
        <f>"00088964"</f>
        <v>00088964</v>
      </c>
      <c r="H742" t="s">
        <v>175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T742">
        <v>2</v>
      </c>
      <c r="U742" t="s">
        <v>175</v>
      </c>
    </row>
    <row r="743" spans="1:21" x14ac:dyDescent="0.25">
      <c r="H743" t="s">
        <v>89</v>
      </c>
    </row>
    <row r="744" spans="1:21" x14ac:dyDescent="0.25">
      <c r="A744">
        <v>369</v>
      </c>
      <c r="B744">
        <v>10132</v>
      </c>
      <c r="C744" t="s">
        <v>1473</v>
      </c>
      <c r="D744" t="s">
        <v>1474</v>
      </c>
      <c r="E744" t="s">
        <v>36</v>
      </c>
      <c r="F744" t="s">
        <v>1475</v>
      </c>
      <c r="G744" t="str">
        <f>"00097930"</f>
        <v>00097930</v>
      </c>
      <c r="H744" t="s">
        <v>175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T744">
        <v>0</v>
      </c>
      <c r="U744" t="s">
        <v>175</v>
      </c>
    </row>
    <row r="745" spans="1:21" x14ac:dyDescent="0.25">
      <c r="H745" t="s">
        <v>1476</v>
      </c>
    </row>
    <row r="746" spans="1:21" x14ac:dyDescent="0.25">
      <c r="A746">
        <v>370</v>
      </c>
      <c r="B746">
        <v>4670</v>
      </c>
      <c r="C746" t="s">
        <v>365</v>
      </c>
      <c r="D746" t="s">
        <v>502</v>
      </c>
      <c r="E746" t="s">
        <v>1477</v>
      </c>
      <c r="F746" t="s">
        <v>1478</v>
      </c>
      <c r="G746" t="str">
        <f>"00039979"</f>
        <v>00039979</v>
      </c>
      <c r="H746" t="s">
        <v>175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T746">
        <v>0</v>
      </c>
      <c r="U746" t="s">
        <v>175</v>
      </c>
    </row>
    <row r="747" spans="1:21" x14ac:dyDescent="0.25">
      <c r="H747" t="s">
        <v>147</v>
      </c>
    </row>
    <row r="748" spans="1:21" x14ac:dyDescent="0.25">
      <c r="A748">
        <v>371</v>
      </c>
      <c r="B748">
        <v>4484</v>
      </c>
      <c r="C748" t="s">
        <v>1479</v>
      </c>
      <c r="D748" t="s">
        <v>185</v>
      </c>
      <c r="E748" t="s">
        <v>37</v>
      </c>
      <c r="F748" t="s">
        <v>1480</v>
      </c>
      <c r="G748" t="str">
        <f>"201402010451"</f>
        <v>201402010451</v>
      </c>
      <c r="H748" t="s">
        <v>175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T748">
        <v>1</v>
      </c>
      <c r="U748" t="s">
        <v>175</v>
      </c>
    </row>
    <row r="749" spans="1:21" x14ac:dyDescent="0.25">
      <c r="H749" t="s">
        <v>1481</v>
      </c>
    </row>
    <row r="750" spans="1:21" x14ac:dyDescent="0.25">
      <c r="A750">
        <v>372</v>
      </c>
      <c r="B750">
        <v>4302</v>
      </c>
      <c r="C750" t="s">
        <v>1482</v>
      </c>
      <c r="D750" t="s">
        <v>1483</v>
      </c>
      <c r="E750" t="s">
        <v>764</v>
      </c>
      <c r="F750" t="s">
        <v>1484</v>
      </c>
      <c r="G750" t="str">
        <f>"201511033605"</f>
        <v>201511033605</v>
      </c>
      <c r="H750" t="s">
        <v>327</v>
      </c>
      <c r="I750">
        <v>0</v>
      </c>
      <c r="J750">
        <v>30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T750">
        <v>0</v>
      </c>
      <c r="U750" t="s">
        <v>1485</v>
      </c>
    </row>
    <row r="751" spans="1:21" x14ac:dyDescent="0.25">
      <c r="H751" t="s">
        <v>1486</v>
      </c>
    </row>
    <row r="752" spans="1:21" x14ac:dyDescent="0.25">
      <c r="A752">
        <v>373</v>
      </c>
      <c r="B752">
        <v>3416</v>
      </c>
      <c r="C752" t="s">
        <v>1487</v>
      </c>
      <c r="D752" t="s">
        <v>85</v>
      </c>
      <c r="E752" t="s">
        <v>773</v>
      </c>
      <c r="F752" t="s">
        <v>1488</v>
      </c>
      <c r="G752" t="str">
        <f>"201511022529"</f>
        <v>201511022529</v>
      </c>
      <c r="H752" t="s">
        <v>181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T752">
        <v>0</v>
      </c>
      <c r="U752" t="s">
        <v>181</v>
      </c>
    </row>
    <row r="753" spans="1:21" x14ac:dyDescent="0.25">
      <c r="H753" t="s">
        <v>1489</v>
      </c>
    </row>
    <row r="754" spans="1:21" x14ac:dyDescent="0.25">
      <c r="A754">
        <v>374</v>
      </c>
      <c r="B754">
        <v>850</v>
      </c>
      <c r="C754" t="s">
        <v>1490</v>
      </c>
      <c r="D754" t="s">
        <v>207</v>
      </c>
      <c r="E754" t="s">
        <v>373</v>
      </c>
      <c r="F754" t="s">
        <v>1491</v>
      </c>
      <c r="G754" t="str">
        <f>"201102000030"</f>
        <v>201102000030</v>
      </c>
      <c r="H754">
        <v>990</v>
      </c>
      <c r="I754">
        <v>0</v>
      </c>
      <c r="J754">
        <v>70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T754">
        <v>2</v>
      </c>
      <c r="U754">
        <v>1060</v>
      </c>
    </row>
    <row r="755" spans="1:21" x14ac:dyDescent="0.25">
      <c r="H755" t="s">
        <v>1492</v>
      </c>
    </row>
    <row r="756" spans="1:21" x14ac:dyDescent="0.25">
      <c r="A756">
        <v>375</v>
      </c>
      <c r="B756">
        <v>10493</v>
      </c>
      <c r="C756" t="s">
        <v>1493</v>
      </c>
      <c r="D756" t="s">
        <v>207</v>
      </c>
      <c r="E756" t="s">
        <v>1044</v>
      </c>
      <c r="F756" t="s">
        <v>1494</v>
      </c>
      <c r="G756" t="str">
        <f>"201511034982"</f>
        <v>201511034982</v>
      </c>
      <c r="H756">
        <v>880</v>
      </c>
      <c r="I756">
        <v>150</v>
      </c>
      <c r="J756">
        <v>30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T756">
        <v>0</v>
      </c>
      <c r="U756">
        <v>1060</v>
      </c>
    </row>
    <row r="757" spans="1:21" x14ac:dyDescent="0.25">
      <c r="H757" t="s">
        <v>1495</v>
      </c>
    </row>
    <row r="758" spans="1:21" x14ac:dyDescent="0.25">
      <c r="A758">
        <v>376</v>
      </c>
      <c r="B758">
        <v>7838</v>
      </c>
      <c r="C758" t="s">
        <v>1496</v>
      </c>
      <c r="D758" t="s">
        <v>64</v>
      </c>
      <c r="E758" t="s">
        <v>42</v>
      </c>
      <c r="F758" t="s">
        <v>1497</v>
      </c>
      <c r="G758" t="str">
        <f>"201402001374"</f>
        <v>201402001374</v>
      </c>
      <c r="H758" t="s">
        <v>334</v>
      </c>
      <c r="I758">
        <v>0</v>
      </c>
      <c r="J758">
        <v>30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T758">
        <v>0</v>
      </c>
      <c r="U758" t="s">
        <v>1498</v>
      </c>
    </row>
    <row r="759" spans="1:21" x14ac:dyDescent="0.25">
      <c r="H759" t="s">
        <v>1499</v>
      </c>
    </row>
    <row r="760" spans="1:21" x14ac:dyDescent="0.25">
      <c r="A760">
        <v>377</v>
      </c>
      <c r="B760">
        <v>2306</v>
      </c>
      <c r="C760" t="s">
        <v>1500</v>
      </c>
      <c r="D760" t="s">
        <v>641</v>
      </c>
      <c r="E760" t="s">
        <v>1501</v>
      </c>
      <c r="F760" t="s">
        <v>1502</v>
      </c>
      <c r="G760" t="str">
        <f>"00021438"</f>
        <v>00021438</v>
      </c>
      <c r="H760" t="s">
        <v>1503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T760">
        <v>0</v>
      </c>
      <c r="U760" t="s">
        <v>1503</v>
      </c>
    </row>
    <row r="761" spans="1:21" x14ac:dyDescent="0.25">
      <c r="H761" t="s">
        <v>1504</v>
      </c>
    </row>
    <row r="762" spans="1:21" x14ac:dyDescent="0.25">
      <c r="A762">
        <v>378</v>
      </c>
      <c r="B762">
        <v>1591</v>
      </c>
      <c r="C762" t="s">
        <v>1505</v>
      </c>
      <c r="D762" t="s">
        <v>85</v>
      </c>
      <c r="E762" t="s">
        <v>1506</v>
      </c>
      <c r="F762" t="s">
        <v>1507</v>
      </c>
      <c r="G762" t="str">
        <f>"201412000260"</f>
        <v>201412000260</v>
      </c>
      <c r="H762" t="s">
        <v>187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T762">
        <v>0</v>
      </c>
      <c r="U762" t="s">
        <v>187</v>
      </c>
    </row>
    <row r="763" spans="1:21" x14ac:dyDescent="0.25">
      <c r="H763" t="s">
        <v>1508</v>
      </c>
    </row>
    <row r="764" spans="1:21" x14ac:dyDescent="0.25">
      <c r="A764">
        <v>379</v>
      </c>
      <c r="B764">
        <v>7110</v>
      </c>
      <c r="C764" t="s">
        <v>1509</v>
      </c>
      <c r="D764" t="s">
        <v>185</v>
      </c>
      <c r="E764" t="s">
        <v>135</v>
      </c>
      <c r="F764" t="s">
        <v>1510</v>
      </c>
      <c r="G764" t="str">
        <f>"201511036038"</f>
        <v>201511036038</v>
      </c>
      <c r="H764" t="s">
        <v>187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T764">
        <v>0</v>
      </c>
      <c r="U764" t="s">
        <v>187</v>
      </c>
    </row>
    <row r="765" spans="1:21" x14ac:dyDescent="0.25">
      <c r="H765" t="s">
        <v>1511</v>
      </c>
    </row>
    <row r="766" spans="1:21" x14ac:dyDescent="0.25">
      <c r="A766">
        <v>380</v>
      </c>
      <c r="B766">
        <v>7092</v>
      </c>
      <c r="C766" t="s">
        <v>127</v>
      </c>
      <c r="D766" t="s">
        <v>64</v>
      </c>
      <c r="E766" t="s">
        <v>1136</v>
      </c>
      <c r="F766" t="s">
        <v>1512</v>
      </c>
      <c r="G766" t="str">
        <f>"201510001024"</f>
        <v>201510001024</v>
      </c>
      <c r="H766" t="s">
        <v>187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T766">
        <v>0</v>
      </c>
      <c r="U766" t="s">
        <v>187</v>
      </c>
    </row>
    <row r="767" spans="1:21" x14ac:dyDescent="0.25">
      <c r="H767" t="s">
        <v>1513</v>
      </c>
    </row>
    <row r="768" spans="1:21" x14ac:dyDescent="0.25">
      <c r="A768">
        <v>381</v>
      </c>
      <c r="B768">
        <v>1463</v>
      </c>
      <c r="C768" t="s">
        <v>1514</v>
      </c>
      <c r="D768" t="s">
        <v>57</v>
      </c>
      <c r="E768" t="s">
        <v>135</v>
      </c>
      <c r="F768" t="s">
        <v>1515</v>
      </c>
      <c r="G768" t="str">
        <f>"00026567"</f>
        <v>00026567</v>
      </c>
      <c r="H768" t="s">
        <v>187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T768">
        <v>0</v>
      </c>
      <c r="U768" t="s">
        <v>187</v>
      </c>
    </row>
    <row r="769" spans="1:21" x14ac:dyDescent="0.25">
      <c r="H769" t="s">
        <v>1516</v>
      </c>
    </row>
    <row r="770" spans="1:21" x14ac:dyDescent="0.25">
      <c r="A770">
        <v>382</v>
      </c>
      <c r="B770">
        <v>8419</v>
      </c>
      <c r="C770" t="s">
        <v>1517</v>
      </c>
      <c r="D770" t="s">
        <v>173</v>
      </c>
      <c r="E770" t="s">
        <v>773</v>
      </c>
      <c r="F770" t="s">
        <v>1518</v>
      </c>
      <c r="G770" t="str">
        <f>"00070138"</f>
        <v>00070138</v>
      </c>
      <c r="H770" t="s">
        <v>187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T770">
        <v>0</v>
      </c>
      <c r="U770" t="s">
        <v>187</v>
      </c>
    </row>
    <row r="771" spans="1:21" x14ac:dyDescent="0.25">
      <c r="H771" t="s">
        <v>1519</v>
      </c>
    </row>
    <row r="772" spans="1:21" x14ac:dyDescent="0.25">
      <c r="A772">
        <v>383</v>
      </c>
      <c r="B772">
        <v>6220</v>
      </c>
      <c r="C772" t="s">
        <v>1520</v>
      </c>
      <c r="D772" t="s">
        <v>532</v>
      </c>
      <c r="E772" t="s">
        <v>36</v>
      </c>
      <c r="F772" t="s">
        <v>1521</v>
      </c>
      <c r="G772" t="str">
        <f>"00029400"</f>
        <v>00029400</v>
      </c>
      <c r="H772" t="s">
        <v>187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T772">
        <v>0</v>
      </c>
      <c r="U772" t="s">
        <v>187</v>
      </c>
    </row>
    <row r="773" spans="1:21" x14ac:dyDescent="0.25">
      <c r="H773" t="s">
        <v>1522</v>
      </c>
    </row>
    <row r="774" spans="1:21" x14ac:dyDescent="0.25">
      <c r="A774">
        <v>384</v>
      </c>
      <c r="B774">
        <v>9416</v>
      </c>
      <c r="C774" t="s">
        <v>1523</v>
      </c>
      <c r="D774" t="s">
        <v>1524</v>
      </c>
      <c r="E774" t="s">
        <v>42</v>
      </c>
      <c r="F774" t="s">
        <v>1525</v>
      </c>
      <c r="G774" t="str">
        <f>"00046830"</f>
        <v>00046830</v>
      </c>
      <c r="H774" t="s">
        <v>1105</v>
      </c>
      <c r="I774">
        <v>150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T774">
        <v>2</v>
      </c>
      <c r="U774" t="s">
        <v>1526</v>
      </c>
    </row>
    <row r="775" spans="1:21" x14ac:dyDescent="0.25">
      <c r="H775" t="s">
        <v>1527</v>
      </c>
    </row>
    <row r="776" spans="1:21" x14ac:dyDescent="0.25">
      <c r="A776">
        <v>385</v>
      </c>
      <c r="B776">
        <v>7628</v>
      </c>
      <c r="C776" t="s">
        <v>1528</v>
      </c>
      <c r="D776" t="s">
        <v>453</v>
      </c>
      <c r="E776" t="s">
        <v>37</v>
      </c>
      <c r="F776" t="s">
        <v>1529</v>
      </c>
      <c r="G776" t="str">
        <f>"201512002307"</f>
        <v>201512002307</v>
      </c>
      <c r="H776" t="s">
        <v>1530</v>
      </c>
      <c r="I776">
        <v>0</v>
      </c>
      <c r="J776">
        <v>30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T776">
        <v>2</v>
      </c>
      <c r="U776" t="s">
        <v>1531</v>
      </c>
    </row>
    <row r="777" spans="1:21" x14ac:dyDescent="0.25">
      <c r="H777" t="s">
        <v>1532</v>
      </c>
    </row>
    <row r="778" spans="1:21" x14ac:dyDescent="0.25">
      <c r="A778">
        <v>386</v>
      </c>
      <c r="B778">
        <v>3615</v>
      </c>
      <c r="C778" t="s">
        <v>1533</v>
      </c>
      <c r="D778" t="s">
        <v>57</v>
      </c>
      <c r="E778" t="s">
        <v>122</v>
      </c>
      <c r="F778" t="s">
        <v>1534</v>
      </c>
      <c r="G778" t="str">
        <f>"00080470"</f>
        <v>00080470</v>
      </c>
      <c r="H778" t="s">
        <v>193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T778">
        <v>0</v>
      </c>
      <c r="U778" t="s">
        <v>193</v>
      </c>
    </row>
    <row r="779" spans="1:21" x14ac:dyDescent="0.25">
      <c r="H779" t="s">
        <v>1535</v>
      </c>
    </row>
    <row r="780" spans="1:21" x14ac:dyDescent="0.25">
      <c r="A780">
        <v>387</v>
      </c>
      <c r="B780">
        <v>1025</v>
      </c>
      <c r="C780" t="s">
        <v>1536</v>
      </c>
      <c r="D780" t="s">
        <v>85</v>
      </c>
      <c r="E780" t="s">
        <v>37</v>
      </c>
      <c r="F780" t="s">
        <v>1537</v>
      </c>
      <c r="G780" t="str">
        <f>"00030681"</f>
        <v>00030681</v>
      </c>
      <c r="H780" t="s">
        <v>193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T780">
        <v>2</v>
      </c>
      <c r="U780" t="s">
        <v>193</v>
      </c>
    </row>
    <row r="781" spans="1:21" x14ac:dyDescent="0.25">
      <c r="H781" t="s">
        <v>1538</v>
      </c>
    </row>
    <row r="782" spans="1:21" x14ac:dyDescent="0.25">
      <c r="A782">
        <v>388</v>
      </c>
      <c r="B782">
        <v>7041</v>
      </c>
      <c r="C782" t="s">
        <v>1539</v>
      </c>
      <c r="D782" t="s">
        <v>1540</v>
      </c>
      <c r="E782" t="s">
        <v>859</v>
      </c>
      <c r="F782" t="s">
        <v>1541</v>
      </c>
      <c r="G782" t="str">
        <f>"00029260"</f>
        <v>00029260</v>
      </c>
      <c r="H782">
        <v>1056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T782">
        <v>0</v>
      </c>
      <c r="U782">
        <v>1056</v>
      </c>
    </row>
    <row r="783" spans="1:21" x14ac:dyDescent="0.25">
      <c r="H783" t="s">
        <v>1542</v>
      </c>
    </row>
    <row r="784" spans="1:21" x14ac:dyDescent="0.25">
      <c r="A784">
        <v>389</v>
      </c>
      <c r="B784">
        <v>124</v>
      </c>
      <c r="C784" t="s">
        <v>1543</v>
      </c>
      <c r="D784" t="s">
        <v>572</v>
      </c>
      <c r="E784" t="s">
        <v>42</v>
      </c>
      <c r="F784" t="s">
        <v>1544</v>
      </c>
      <c r="G784" t="str">
        <f>"201510002116"</f>
        <v>201510002116</v>
      </c>
      <c r="H784">
        <v>1056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T784">
        <v>0</v>
      </c>
      <c r="U784">
        <v>1056</v>
      </c>
    </row>
    <row r="785" spans="1:21" x14ac:dyDescent="0.25">
      <c r="H785" t="s">
        <v>1545</v>
      </c>
    </row>
    <row r="786" spans="1:21" x14ac:dyDescent="0.25">
      <c r="A786">
        <v>390</v>
      </c>
      <c r="B786">
        <v>4861</v>
      </c>
      <c r="C786" t="s">
        <v>1546</v>
      </c>
      <c r="D786" t="s">
        <v>1547</v>
      </c>
      <c r="E786" t="s">
        <v>27</v>
      </c>
      <c r="F786" t="s">
        <v>1548</v>
      </c>
      <c r="G786" t="str">
        <f>"201511025991"</f>
        <v>201511025991</v>
      </c>
      <c r="H786">
        <v>1056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T786">
        <v>2</v>
      </c>
      <c r="U786">
        <v>1056</v>
      </c>
    </row>
    <row r="787" spans="1:21" x14ac:dyDescent="0.25">
      <c r="H787" t="s">
        <v>1549</v>
      </c>
    </row>
    <row r="788" spans="1:21" x14ac:dyDescent="0.25">
      <c r="A788">
        <v>391</v>
      </c>
      <c r="B788">
        <v>341</v>
      </c>
      <c r="C788" t="s">
        <v>1550</v>
      </c>
      <c r="D788" t="s">
        <v>646</v>
      </c>
      <c r="E788" t="s">
        <v>1551</v>
      </c>
      <c r="F788" t="s">
        <v>1552</v>
      </c>
      <c r="G788" t="str">
        <f>"201511027361"</f>
        <v>201511027361</v>
      </c>
      <c r="H788" t="s">
        <v>1553</v>
      </c>
      <c r="I788">
        <v>150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T788">
        <v>0</v>
      </c>
      <c r="U788" t="s">
        <v>1554</v>
      </c>
    </row>
    <row r="789" spans="1:21" x14ac:dyDescent="0.25">
      <c r="H789" t="s">
        <v>1555</v>
      </c>
    </row>
    <row r="790" spans="1:21" x14ac:dyDescent="0.25">
      <c r="A790">
        <v>392</v>
      </c>
      <c r="B790">
        <v>9659</v>
      </c>
      <c r="C790" t="s">
        <v>1556</v>
      </c>
      <c r="D790" t="s">
        <v>1557</v>
      </c>
      <c r="E790" t="s">
        <v>1558</v>
      </c>
      <c r="F790" t="s">
        <v>1559</v>
      </c>
      <c r="G790" t="str">
        <f>"00100835"</f>
        <v>00100835</v>
      </c>
      <c r="H790" t="s">
        <v>1560</v>
      </c>
      <c r="I790">
        <v>150</v>
      </c>
      <c r="J790">
        <v>30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T790">
        <v>0</v>
      </c>
      <c r="U790" t="s">
        <v>1561</v>
      </c>
    </row>
    <row r="791" spans="1:21" x14ac:dyDescent="0.25">
      <c r="H791" t="s">
        <v>1562</v>
      </c>
    </row>
    <row r="792" spans="1:21" x14ac:dyDescent="0.25">
      <c r="A792">
        <v>393</v>
      </c>
      <c r="B792">
        <v>7519</v>
      </c>
      <c r="C792" t="s">
        <v>439</v>
      </c>
      <c r="D792" t="s">
        <v>1563</v>
      </c>
      <c r="E792" t="s">
        <v>135</v>
      </c>
      <c r="F792" t="s">
        <v>1564</v>
      </c>
      <c r="G792" t="str">
        <f>"00029804"</f>
        <v>00029804</v>
      </c>
      <c r="H792" t="s">
        <v>1565</v>
      </c>
      <c r="I792">
        <v>150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T792">
        <v>0</v>
      </c>
      <c r="U792" t="s">
        <v>1566</v>
      </c>
    </row>
    <row r="793" spans="1:21" x14ac:dyDescent="0.25">
      <c r="H793" t="s">
        <v>1567</v>
      </c>
    </row>
    <row r="794" spans="1:21" x14ac:dyDescent="0.25">
      <c r="A794">
        <v>394</v>
      </c>
      <c r="B794">
        <v>9385</v>
      </c>
      <c r="C794" t="s">
        <v>1568</v>
      </c>
      <c r="D794" t="s">
        <v>1569</v>
      </c>
      <c r="E794" t="s">
        <v>135</v>
      </c>
      <c r="F794" t="s">
        <v>1570</v>
      </c>
      <c r="G794" t="str">
        <f>"201512001282"</f>
        <v>201512001282</v>
      </c>
      <c r="H794" t="s">
        <v>341</v>
      </c>
      <c r="I794">
        <v>0</v>
      </c>
      <c r="J794">
        <v>30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T794">
        <v>0</v>
      </c>
      <c r="U794" t="s">
        <v>1571</v>
      </c>
    </row>
    <row r="795" spans="1:21" x14ac:dyDescent="0.25">
      <c r="H795" t="s">
        <v>1572</v>
      </c>
    </row>
    <row r="796" spans="1:21" x14ac:dyDescent="0.25">
      <c r="A796">
        <v>395</v>
      </c>
      <c r="B796">
        <v>2811</v>
      </c>
      <c r="C796" t="s">
        <v>1573</v>
      </c>
      <c r="D796" t="s">
        <v>331</v>
      </c>
      <c r="E796" t="s">
        <v>36</v>
      </c>
      <c r="F796" t="s">
        <v>1574</v>
      </c>
      <c r="G796" t="str">
        <f>"201511021248"</f>
        <v>201511021248</v>
      </c>
      <c r="H796" t="s">
        <v>341</v>
      </c>
      <c r="I796">
        <v>0</v>
      </c>
      <c r="J796">
        <v>30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T796">
        <v>0</v>
      </c>
      <c r="U796" t="s">
        <v>1571</v>
      </c>
    </row>
    <row r="797" spans="1:21" x14ac:dyDescent="0.25">
      <c r="H797" t="s">
        <v>1575</v>
      </c>
    </row>
    <row r="798" spans="1:21" x14ac:dyDescent="0.25">
      <c r="A798">
        <v>396</v>
      </c>
      <c r="B798">
        <v>4646</v>
      </c>
      <c r="C798" t="s">
        <v>1576</v>
      </c>
      <c r="D798" t="s">
        <v>1131</v>
      </c>
      <c r="E798" t="s">
        <v>614</v>
      </c>
      <c r="F798" t="s">
        <v>1577</v>
      </c>
      <c r="G798" t="str">
        <f>"00040941"</f>
        <v>00040941</v>
      </c>
      <c r="H798" t="s">
        <v>1578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6</v>
      </c>
      <c r="S798">
        <v>807</v>
      </c>
      <c r="T798">
        <v>0</v>
      </c>
      <c r="U798" t="s">
        <v>1578</v>
      </c>
    </row>
    <row r="799" spans="1:21" x14ac:dyDescent="0.25">
      <c r="H799">
        <v>807</v>
      </c>
    </row>
    <row r="800" spans="1:21" x14ac:dyDescent="0.25">
      <c r="A800">
        <v>397</v>
      </c>
      <c r="B800">
        <v>9460</v>
      </c>
      <c r="C800" t="s">
        <v>1579</v>
      </c>
      <c r="D800" t="s">
        <v>445</v>
      </c>
      <c r="E800" t="s">
        <v>37</v>
      </c>
      <c r="F800" t="s">
        <v>1580</v>
      </c>
      <c r="G800" t="str">
        <f>"00103112"</f>
        <v>00103112</v>
      </c>
      <c r="H800">
        <v>1023</v>
      </c>
      <c r="I800">
        <v>0</v>
      </c>
      <c r="J800">
        <v>0</v>
      </c>
      <c r="K800">
        <v>0</v>
      </c>
      <c r="L800">
        <v>0</v>
      </c>
      <c r="M800">
        <v>30</v>
      </c>
      <c r="N800">
        <v>0</v>
      </c>
      <c r="O800">
        <v>0</v>
      </c>
      <c r="P800">
        <v>0</v>
      </c>
      <c r="Q800">
        <v>0</v>
      </c>
      <c r="T800">
        <v>0</v>
      </c>
      <c r="U800">
        <v>1053</v>
      </c>
    </row>
    <row r="801" spans="1:21" x14ac:dyDescent="0.25">
      <c r="H801" t="s">
        <v>1581</v>
      </c>
    </row>
    <row r="802" spans="1:21" x14ac:dyDescent="0.25">
      <c r="A802">
        <v>398</v>
      </c>
      <c r="B802">
        <v>9460</v>
      </c>
      <c r="C802" t="s">
        <v>1579</v>
      </c>
      <c r="D802" t="s">
        <v>445</v>
      </c>
      <c r="E802" t="s">
        <v>37</v>
      </c>
      <c r="F802" t="s">
        <v>1580</v>
      </c>
      <c r="G802" t="str">
        <f>"00103112"</f>
        <v>00103112</v>
      </c>
      <c r="H802">
        <v>1023</v>
      </c>
      <c r="I802">
        <v>0</v>
      </c>
      <c r="J802">
        <v>0</v>
      </c>
      <c r="K802">
        <v>0</v>
      </c>
      <c r="L802">
        <v>0</v>
      </c>
      <c r="M802">
        <v>30</v>
      </c>
      <c r="N802">
        <v>0</v>
      </c>
      <c r="O802">
        <v>0</v>
      </c>
      <c r="P802">
        <v>0</v>
      </c>
      <c r="Q802">
        <v>0</v>
      </c>
      <c r="R802">
        <v>6</v>
      </c>
      <c r="S802">
        <v>763</v>
      </c>
      <c r="T802">
        <v>0</v>
      </c>
      <c r="U802">
        <v>1053</v>
      </c>
    </row>
    <row r="803" spans="1:21" x14ac:dyDescent="0.25">
      <c r="H803" t="s">
        <v>1581</v>
      </c>
    </row>
    <row r="804" spans="1:21" x14ac:dyDescent="0.25">
      <c r="A804">
        <v>399</v>
      </c>
      <c r="B804">
        <v>5722</v>
      </c>
      <c r="C804" t="s">
        <v>1582</v>
      </c>
      <c r="D804" t="s">
        <v>313</v>
      </c>
      <c r="E804" t="s">
        <v>135</v>
      </c>
      <c r="F804" t="s">
        <v>1583</v>
      </c>
      <c r="G804" t="str">
        <f>"00080788"</f>
        <v>00080788</v>
      </c>
      <c r="H804" t="s">
        <v>130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T804">
        <v>2</v>
      </c>
      <c r="U804" t="s">
        <v>130</v>
      </c>
    </row>
    <row r="805" spans="1:21" x14ac:dyDescent="0.25">
      <c r="H805" t="s">
        <v>1584</v>
      </c>
    </row>
    <row r="806" spans="1:21" x14ac:dyDescent="0.25">
      <c r="A806">
        <v>400</v>
      </c>
      <c r="B806">
        <v>327</v>
      </c>
      <c r="C806" t="s">
        <v>1585</v>
      </c>
      <c r="D806" t="s">
        <v>1586</v>
      </c>
      <c r="E806" t="s">
        <v>42</v>
      </c>
      <c r="F806" t="s">
        <v>1587</v>
      </c>
      <c r="G806" t="str">
        <f>"00016121"</f>
        <v>00016121</v>
      </c>
      <c r="H806" t="s">
        <v>130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T806">
        <v>0</v>
      </c>
      <c r="U806" t="s">
        <v>130</v>
      </c>
    </row>
    <row r="807" spans="1:21" x14ac:dyDescent="0.25">
      <c r="H807" t="s">
        <v>1588</v>
      </c>
    </row>
    <row r="808" spans="1:21" x14ac:dyDescent="0.25">
      <c r="A808">
        <v>401</v>
      </c>
      <c r="B808">
        <v>3721</v>
      </c>
      <c r="C808" t="s">
        <v>1589</v>
      </c>
      <c r="D808" t="s">
        <v>116</v>
      </c>
      <c r="E808" t="s">
        <v>835</v>
      </c>
      <c r="F808" t="s">
        <v>1590</v>
      </c>
      <c r="G808" t="str">
        <f>"00087354"</f>
        <v>00087354</v>
      </c>
      <c r="H808" t="s">
        <v>221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T808">
        <v>0</v>
      </c>
      <c r="U808" t="s">
        <v>221</v>
      </c>
    </row>
    <row r="809" spans="1:21" x14ac:dyDescent="0.25">
      <c r="H809" t="s">
        <v>1591</v>
      </c>
    </row>
    <row r="810" spans="1:21" x14ac:dyDescent="0.25">
      <c r="A810">
        <v>402</v>
      </c>
      <c r="B810">
        <v>4288</v>
      </c>
      <c r="C810" t="s">
        <v>1592</v>
      </c>
      <c r="D810" t="s">
        <v>1593</v>
      </c>
      <c r="E810" t="s">
        <v>191</v>
      </c>
      <c r="F810" t="s">
        <v>1594</v>
      </c>
      <c r="G810" t="str">
        <f>"00090475"</f>
        <v>00090475</v>
      </c>
      <c r="H810" t="s">
        <v>221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T810">
        <v>0</v>
      </c>
      <c r="U810" t="s">
        <v>221</v>
      </c>
    </row>
    <row r="811" spans="1:21" x14ac:dyDescent="0.25">
      <c r="H811" t="s">
        <v>1595</v>
      </c>
    </row>
    <row r="812" spans="1:21" x14ac:dyDescent="0.25">
      <c r="A812">
        <v>403</v>
      </c>
      <c r="B812">
        <v>10171</v>
      </c>
      <c r="C812" t="s">
        <v>1596</v>
      </c>
      <c r="D812" t="s">
        <v>1597</v>
      </c>
      <c r="E812" t="s">
        <v>36</v>
      </c>
      <c r="F812" t="s">
        <v>1598</v>
      </c>
      <c r="G812" t="str">
        <f>"00046175"</f>
        <v>00046175</v>
      </c>
      <c r="H812" t="s">
        <v>221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T812">
        <v>0</v>
      </c>
      <c r="U812" t="s">
        <v>221</v>
      </c>
    </row>
    <row r="813" spans="1:21" x14ac:dyDescent="0.25">
      <c r="H813" t="s">
        <v>1599</v>
      </c>
    </row>
    <row r="814" spans="1:21" x14ac:dyDescent="0.25">
      <c r="A814">
        <v>404</v>
      </c>
      <c r="B814">
        <v>6635</v>
      </c>
      <c r="C814" t="s">
        <v>1600</v>
      </c>
      <c r="D814" t="s">
        <v>95</v>
      </c>
      <c r="E814" t="s">
        <v>764</v>
      </c>
      <c r="F814" t="s">
        <v>1601</v>
      </c>
      <c r="G814" t="str">
        <f>"201511038293"</f>
        <v>201511038293</v>
      </c>
      <c r="H814" t="s">
        <v>227</v>
      </c>
      <c r="I814">
        <v>0</v>
      </c>
      <c r="J814">
        <v>30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T814">
        <v>0</v>
      </c>
      <c r="U814" t="s">
        <v>1602</v>
      </c>
    </row>
    <row r="815" spans="1:21" x14ac:dyDescent="0.25">
      <c r="H815" t="s">
        <v>1603</v>
      </c>
    </row>
    <row r="816" spans="1:21" x14ac:dyDescent="0.25">
      <c r="A816">
        <v>405</v>
      </c>
      <c r="B816">
        <v>10363</v>
      </c>
      <c r="C816" t="s">
        <v>1604</v>
      </c>
      <c r="D816" t="s">
        <v>1605</v>
      </c>
      <c r="E816" t="s">
        <v>350</v>
      </c>
      <c r="F816" t="s">
        <v>1606</v>
      </c>
      <c r="G816" t="str">
        <f>"201510004632"</f>
        <v>201510004632</v>
      </c>
      <c r="H816" t="s">
        <v>233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T816">
        <v>1</v>
      </c>
      <c r="U816" t="s">
        <v>233</v>
      </c>
    </row>
    <row r="817" spans="1:21" x14ac:dyDescent="0.25">
      <c r="H817" t="s">
        <v>1607</v>
      </c>
    </row>
    <row r="818" spans="1:21" x14ac:dyDescent="0.25">
      <c r="A818">
        <v>406</v>
      </c>
      <c r="B818">
        <v>3508</v>
      </c>
      <c r="C818" t="s">
        <v>1608</v>
      </c>
      <c r="D818" t="s">
        <v>37</v>
      </c>
      <c r="E818" t="s">
        <v>36</v>
      </c>
      <c r="F818" t="s">
        <v>1609</v>
      </c>
      <c r="G818" t="str">
        <f>"00084516"</f>
        <v>00084516</v>
      </c>
      <c r="H818" t="s">
        <v>233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T818">
        <v>0</v>
      </c>
      <c r="U818" t="s">
        <v>233</v>
      </c>
    </row>
    <row r="819" spans="1:21" x14ac:dyDescent="0.25">
      <c r="H819" t="s">
        <v>1610</v>
      </c>
    </row>
    <row r="820" spans="1:21" x14ac:dyDescent="0.25">
      <c r="A820">
        <v>407</v>
      </c>
      <c r="B820">
        <v>6221</v>
      </c>
      <c r="C820" t="s">
        <v>1611</v>
      </c>
      <c r="D820" t="s">
        <v>64</v>
      </c>
      <c r="E820" t="s">
        <v>27</v>
      </c>
      <c r="F820" t="s">
        <v>1612</v>
      </c>
      <c r="G820" t="str">
        <f>"00094045"</f>
        <v>00094045</v>
      </c>
      <c r="H820">
        <v>990</v>
      </c>
      <c r="I820">
        <v>0</v>
      </c>
      <c r="J820">
        <v>30</v>
      </c>
      <c r="K820">
        <v>0</v>
      </c>
      <c r="L820">
        <v>0</v>
      </c>
      <c r="M820">
        <v>30</v>
      </c>
      <c r="N820">
        <v>0</v>
      </c>
      <c r="O820">
        <v>0</v>
      </c>
      <c r="P820">
        <v>0</v>
      </c>
      <c r="Q820">
        <v>0</v>
      </c>
      <c r="T820">
        <v>0</v>
      </c>
      <c r="U820">
        <v>1050</v>
      </c>
    </row>
    <row r="821" spans="1:21" x14ac:dyDescent="0.25">
      <c r="H821" t="s">
        <v>1613</v>
      </c>
    </row>
    <row r="822" spans="1:21" x14ac:dyDescent="0.25">
      <c r="A822">
        <v>408</v>
      </c>
      <c r="B822">
        <v>9827</v>
      </c>
      <c r="C822" t="s">
        <v>1614</v>
      </c>
      <c r="D822" t="s">
        <v>173</v>
      </c>
      <c r="E822" t="s">
        <v>70</v>
      </c>
      <c r="F822" t="s">
        <v>1615</v>
      </c>
      <c r="G822" t="str">
        <f>"00072818"</f>
        <v>00072818</v>
      </c>
      <c r="H822" t="s">
        <v>1616</v>
      </c>
      <c r="I822">
        <v>150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T822">
        <v>0</v>
      </c>
      <c r="U822" t="s">
        <v>1617</v>
      </c>
    </row>
    <row r="823" spans="1:21" x14ac:dyDescent="0.25">
      <c r="H823" t="s">
        <v>1618</v>
      </c>
    </row>
    <row r="824" spans="1:21" x14ac:dyDescent="0.25">
      <c r="A824">
        <v>409</v>
      </c>
      <c r="B824">
        <v>5872</v>
      </c>
      <c r="C824" t="s">
        <v>1619</v>
      </c>
      <c r="D824" t="s">
        <v>1620</v>
      </c>
      <c r="E824" t="s">
        <v>27</v>
      </c>
      <c r="F824" t="s">
        <v>1621</v>
      </c>
      <c r="G824" t="str">
        <f>"201511043555"</f>
        <v>201511043555</v>
      </c>
      <c r="H824" t="s">
        <v>1363</v>
      </c>
      <c r="I824">
        <v>0</v>
      </c>
      <c r="J824">
        <v>30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T824">
        <v>0</v>
      </c>
      <c r="U824" t="s">
        <v>1622</v>
      </c>
    </row>
    <row r="825" spans="1:21" x14ac:dyDescent="0.25">
      <c r="H825" t="s">
        <v>1623</v>
      </c>
    </row>
    <row r="826" spans="1:21" x14ac:dyDescent="0.25">
      <c r="A826">
        <v>410</v>
      </c>
      <c r="B826">
        <v>4699</v>
      </c>
      <c r="C826" t="s">
        <v>1624</v>
      </c>
      <c r="D826" t="s">
        <v>1625</v>
      </c>
      <c r="E826" t="s">
        <v>70</v>
      </c>
      <c r="F826" t="s">
        <v>1626</v>
      </c>
      <c r="G826" t="str">
        <f>"201511043345"</f>
        <v>201511043345</v>
      </c>
      <c r="H826" t="s">
        <v>1627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T826">
        <v>0</v>
      </c>
      <c r="U826" t="s">
        <v>1627</v>
      </c>
    </row>
    <row r="827" spans="1:21" x14ac:dyDescent="0.25">
      <c r="H827" t="s">
        <v>1628</v>
      </c>
    </row>
    <row r="828" spans="1:21" x14ac:dyDescent="0.25">
      <c r="A828">
        <v>411</v>
      </c>
      <c r="B828">
        <v>10281</v>
      </c>
      <c r="C828" t="s">
        <v>1629</v>
      </c>
      <c r="D828" t="s">
        <v>26</v>
      </c>
      <c r="E828" t="s">
        <v>231</v>
      </c>
      <c r="F828" t="s">
        <v>1630</v>
      </c>
      <c r="G828" t="str">
        <f>"201511031409"</f>
        <v>201511031409</v>
      </c>
      <c r="H828" t="s">
        <v>1627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T828">
        <v>0</v>
      </c>
      <c r="U828" t="s">
        <v>1627</v>
      </c>
    </row>
    <row r="829" spans="1:21" x14ac:dyDescent="0.25">
      <c r="H829" t="s">
        <v>1631</v>
      </c>
    </row>
    <row r="830" spans="1:21" x14ac:dyDescent="0.25">
      <c r="A830">
        <v>412</v>
      </c>
      <c r="B830">
        <v>7025</v>
      </c>
      <c r="C830" t="s">
        <v>1632</v>
      </c>
      <c r="D830" t="s">
        <v>121</v>
      </c>
      <c r="E830" t="s">
        <v>65</v>
      </c>
      <c r="F830" t="s">
        <v>1633</v>
      </c>
      <c r="G830" t="str">
        <f>"00076076"</f>
        <v>00076076</v>
      </c>
      <c r="H830">
        <v>979</v>
      </c>
      <c r="I830">
        <v>0</v>
      </c>
      <c r="J830">
        <v>70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T830">
        <v>0</v>
      </c>
      <c r="U830">
        <v>1049</v>
      </c>
    </row>
    <row r="831" spans="1:21" x14ac:dyDescent="0.25">
      <c r="H831" t="s">
        <v>1634</v>
      </c>
    </row>
    <row r="832" spans="1:21" x14ac:dyDescent="0.25">
      <c r="A832">
        <v>413</v>
      </c>
      <c r="B832">
        <v>9914</v>
      </c>
      <c r="C832" t="s">
        <v>1635</v>
      </c>
      <c r="D832" t="s">
        <v>1012</v>
      </c>
      <c r="E832" t="s">
        <v>1636</v>
      </c>
      <c r="F832" t="s">
        <v>1637</v>
      </c>
      <c r="G832" t="str">
        <f>"00102745"</f>
        <v>00102745</v>
      </c>
      <c r="H832" t="s">
        <v>246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T832">
        <v>0</v>
      </c>
      <c r="U832" t="s">
        <v>246</v>
      </c>
    </row>
    <row r="833" spans="1:21" x14ac:dyDescent="0.25">
      <c r="H833" t="s">
        <v>311</v>
      </c>
    </row>
    <row r="834" spans="1:21" x14ac:dyDescent="0.25">
      <c r="A834">
        <v>414</v>
      </c>
      <c r="B834">
        <v>1302</v>
      </c>
      <c r="C834" t="s">
        <v>1638</v>
      </c>
      <c r="D834" t="s">
        <v>173</v>
      </c>
      <c r="E834" t="s">
        <v>191</v>
      </c>
      <c r="F834" t="s">
        <v>1639</v>
      </c>
      <c r="G834" t="str">
        <f>"201511037342"</f>
        <v>201511037342</v>
      </c>
      <c r="H834" t="s">
        <v>246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T834">
        <v>1</v>
      </c>
      <c r="U834" t="s">
        <v>246</v>
      </c>
    </row>
    <row r="835" spans="1:21" x14ac:dyDescent="0.25">
      <c r="H835" t="s">
        <v>1640</v>
      </c>
    </row>
    <row r="836" spans="1:21" x14ac:dyDescent="0.25">
      <c r="A836">
        <v>415</v>
      </c>
      <c r="B836">
        <v>2119</v>
      </c>
      <c r="C836" t="s">
        <v>1641</v>
      </c>
      <c r="D836" t="s">
        <v>1642</v>
      </c>
      <c r="E836" t="s">
        <v>122</v>
      </c>
      <c r="F836" t="s">
        <v>1643</v>
      </c>
      <c r="G836" t="str">
        <f>"201510003485"</f>
        <v>201510003485</v>
      </c>
      <c r="H836" t="s">
        <v>1644</v>
      </c>
      <c r="I836">
        <v>150</v>
      </c>
      <c r="J836">
        <v>50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T836">
        <v>0</v>
      </c>
      <c r="U836" t="s">
        <v>1645</v>
      </c>
    </row>
    <row r="837" spans="1:21" x14ac:dyDescent="0.25">
      <c r="H837" t="s">
        <v>1646</v>
      </c>
    </row>
    <row r="838" spans="1:21" x14ac:dyDescent="0.25">
      <c r="A838">
        <v>416</v>
      </c>
      <c r="B838">
        <v>7159</v>
      </c>
      <c r="C838" t="s">
        <v>1647</v>
      </c>
      <c r="D838" t="s">
        <v>134</v>
      </c>
      <c r="E838" t="s">
        <v>36</v>
      </c>
      <c r="F838" t="s">
        <v>1648</v>
      </c>
      <c r="G838" t="str">
        <f>"201511018593"</f>
        <v>201511018593</v>
      </c>
      <c r="H838" t="s">
        <v>368</v>
      </c>
      <c r="I838">
        <v>0</v>
      </c>
      <c r="J838">
        <v>30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T838">
        <v>0</v>
      </c>
      <c r="U838" t="s">
        <v>1649</v>
      </c>
    </row>
    <row r="839" spans="1:21" x14ac:dyDescent="0.25">
      <c r="H839">
        <v>756</v>
      </c>
    </row>
    <row r="840" spans="1:21" x14ac:dyDescent="0.25">
      <c r="A840">
        <v>417</v>
      </c>
      <c r="B840">
        <v>7449</v>
      </c>
      <c r="C840" t="s">
        <v>1650</v>
      </c>
      <c r="D840" t="s">
        <v>78</v>
      </c>
      <c r="E840" t="s">
        <v>36</v>
      </c>
      <c r="F840" t="s">
        <v>1651</v>
      </c>
      <c r="G840" t="str">
        <f>"00042316"</f>
        <v>00042316</v>
      </c>
      <c r="H840" t="s">
        <v>368</v>
      </c>
      <c r="I840">
        <v>0</v>
      </c>
      <c r="J840">
        <v>30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T840">
        <v>0</v>
      </c>
      <c r="U840" t="s">
        <v>1649</v>
      </c>
    </row>
    <row r="841" spans="1:21" x14ac:dyDescent="0.25">
      <c r="H841" t="s">
        <v>1652</v>
      </c>
    </row>
    <row r="842" spans="1:21" x14ac:dyDescent="0.25">
      <c r="A842">
        <v>418</v>
      </c>
      <c r="B842">
        <v>10496</v>
      </c>
      <c r="C842" t="s">
        <v>1653</v>
      </c>
      <c r="D842" t="s">
        <v>64</v>
      </c>
      <c r="E842" t="s">
        <v>135</v>
      </c>
      <c r="F842" t="s">
        <v>1654</v>
      </c>
      <c r="G842" t="str">
        <f>"201511030198"</f>
        <v>201511030198</v>
      </c>
      <c r="H842" t="s">
        <v>1655</v>
      </c>
      <c r="I842">
        <v>150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T842">
        <v>0</v>
      </c>
      <c r="U842" t="s">
        <v>1656</v>
      </c>
    </row>
    <row r="843" spans="1:21" x14ac:dyDescent="0.25">
      <c r="H843" t="s">
        <v>1657</v>
      </c>
    </row>
    <row r="844" spans="1:21" x14ac:dyDescent="0.25">
      <c r="A844">
        <v>419</v>
      </c>
      <c r="B844">
        <v>7719</v>
      </c>
      <c r="C844" t="s">
        <v>1658</v>
      </c>
      <c r="D844" t="s">
        <v>1131</v>
      </c>
      <c r="E844" t="s">
        <v>1659</v>
      </c>
      <c r="F844" t="s">
        <v>1660</v>
      </c>
      <c r="G844" t="str">
        <f>"201511008137"</f>
        <v>201511008137</v>
      </c>
      <c r="H844">
        <v>1045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T844">
        <v>0</v>
      </c>
      <c r="U844">
        <v>1045</v>
      </c>
    </row>
    <row r="845" spans="1:21" x14ac:dyDescent="0.25">
      <c r="H845" t="s">
        <v>1661</v>
      </c>
    </row>
    <row r="846" spans="1:21" x14ac:dyDescent="0.25">
      <c r="A846">
        <v>420</v>
      </c>
      <c r="B846">
        <v>1327</v>
      </c>
      <c r="C846" t="s">
        <v>1662</v>
      </c>
      <c r="D846" t="s">
        <v>974</v>
      </c>
      <c r="E846" t="s">
        <v>37</v>
      </c>
      <c r="F846" t="s">
        <v>1663</v>
      </c>
      <c r="G846" t="str">
        <f>"201511022292"</f>
        <v>201511022292</v>
      </c>
      <c r="H846">
        <v>1045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T846">
        <v>0</v>
      </c>
      <c r="U846">
        <v>1045</v>
      </c>
    </row>
    <row r="847" spans="1:21" x14ac:dyDescent="0.25">
      <c r="H847" t="s">
        <v>1664</v>
      </c>
    </row>
    <row r="848" spans="1:21" x14ac:dyDescent="0.25">
      <c r="A848">
        <v>421</v>
      </c>
      <c r="B848">
        <v>7728</v>
      </c>
      <c r="C848" t="s">
        <v>1665</v>
      </c>
      <c r="D848" t="s">
        <v>64</v>
      </c>
      <c r="E848" t="s">
        <v>231</v>
      </c>
      <c r="F848" t="s">
        <v>1666</v>
      </c>
      <c r="G848" t="str">
        <f>"00021125"</f>
        <v>00021125</v>
      </c>
      <c r="H848">
        <v>1045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T848">
        <v>0</v>
      </c>
      <c r="U848">
        <v>1045</v>
      </c>
    </row>
    <row r="849" spans="1:21" x14ac:dyDescent="0.25">
      <c r="H849" t="s">
        <v>1667</v>
      </c>
    </row>
    <row r="850" spans="1:21" x14ac:dyDescent="0.25">
      <c r="A850">
        <v>422</v>
      </c>
      <c r="B850">
        <v>6422</v>
      </c>
      <c r="C850" t="s">
        <v>1668</v>
      </c>
      <c r="D850" t="s">
        <v>26</v>
      </c>
      <c r="E850" t="s">
        <v>42</v>
      </c>
      <c r="F850" t="s">
        <v>1669</v>
      </c>
      <c r="G850" t="str">
        <f>"00088670"</f>
        <v>00088670</v>
      </c>
      <c r="H850">
        <v>1045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T850">
        <v>0</v>
      </c>
      <c r="U850">
        <v>1045</v>
      </c>
    </row>
    <row r="851" spans="1:21" x14ac:dyDescent="0.25">
      <c r="H851" t="s">
        <v>1670</v>
      </c>
    </row>
    <row r="852" spans="1:21" x14ac:dyDescent="0.25">
      <c r="A852">
        <v>423</v>
      </c>
      <c r="B852">
        <v>862</v>
      </c>
      <c r="C852" t="s">
        <v>1671</v>
      </c>
      <c r="D852" t="s">
        <v>1672</v>
      </c>
      <c r="E852" t="s">
        <v>1673</v>
      </c>
      <c r="F852" t="s">
        <v>1674</v>
      </c>
      <c r="G852" t="str">
        <f>"00069321"</f>
        <v>00069321</v>
      </c>
      <c r="H852">
        <v>1045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T852">
        <v>0</v>
      </c>
      <c r="U852">
        <v>1045</v>
      </c>
    </row>
    <row r="853" spans="1:21" x14ac:dyDescent="0.25">
      <c r="H853" t="s">
        <v>1675</v>
      </c>
    </row>
    <row r="854" spans="1:21" x14ac:dyDescent="0.25">
      <c r="A854">
        <v>424</v>
      </c>
      <c r="B854">
        <v>10032</v>
      </c>
      <c r="C854" t="s">
        <v>1676</v>
      </c>
      <c r="D854" t="s">
        <v>42</v>
      </c>
      <c r="E854" t="s">
        <v>36</v>
      </c>
      <c r="F854" t="s">
        <v>1677</v>
      </c>
      <c r="G854" t="str">
        <f>"00026564"</f>
        <v>00026564</v>
      </c>
      <c r="H854">
        <v>1045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T854">
        <v>0</v>
      </c>
      <c r="U854">
        <v>1045</v>
      </c>
    </row>
    <row r="855" spans="1:21" x14ac:dyDescent="0.25">
      <c r="H855" t="s">
        <v>1678</v>
      </c>
    </row>
    <row r="856" spans="1:21" x14ac:dyDescent="0.25">
      <c r="A856">
        <v>425</v>
      </c>
      <c r="B856">
        <v>7662</v>
      </c>
      <c r="C856" t="s">
        <v>1679</v>
      </c>
      <c r="D856" t="s">
        <v>95</v>
      </c>
      <c r="E856" t="s">
        <v>259</v>
      </c>
      <c r="F856" t="s">
        <v>1680</v>
      </c>
      <c r="G856" t="str">
        <f>"00102001"</f>
        <v>00102001</v>
      </c>
      <c r="H856">
        <v>1045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T856">
        <v>0</v>
      </c>
      <c r="U856">
        <v>1045</v>
      </c>
    </row>
    <row r="857" spans="1:21" x14ac:dyDescent="0.25">
      <c r="H857" t="s">
        <v>1681</v>
      </c>
    </row>
    <row r="858" spans="1:21" x14ac:dyDescent="0.25">
      <c r="A858">
        <v>426</v>
      </c>
      <c r="B858">
        <v>6380</v>
      </c>
      <c r="C858" t="s">
        <v>1682</v>
      </c>
      <c r="D858" t="s">
        <v>1683</v>
      </c>
      <c r="E858" t="s">
        <v>1684</v>
      </c>
      <c r="F858" t="s">
        <v>1685</v>
      </c>
      <c r="G858" t="str">
        <f>"201510004709"</f>
        <v>201510004709</v>
      </c>
      <c r="H858">
        <v>1045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T858">
        <v>0</v>
      </c>
      <c r="U858">
        <v>1045</v>
      </c>
    </row>
    <row r="859" spans="1:21" x14ac:dyDescent="0.25">
      <c r="H859" t="s">
        <v>1686</v>
      </c>
    </row>
    <row r="860" spans="1:21" x14ac:dyDescent="0.25">
      <c r="A860">
        <v>427</v>
      </c>
      <c r="B860">
        <v>6764</v>
      </c>
      <c r="C860" t="s">
        <v>1687</v>
      </c>
      <c r="D860" t="s">
        <v>85</v>
      </c>
      <c r="E860" t="s">
        <v>42</v>
      </c>
      <c r="F860" t="s">
        <v>1688</v>
      </c>
      <c r="G860" t="str">
        <f>"201511041258"</f>
        <v>201511041258</v>
      </c>
      <c r="H860">
        <v>1045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T860">
        <v>0</v>
      </c>
      <c r="U860">
        <v>1045</v>
      </c>
    </row>
    <row r="861" spans="1:21" x14ac:dyDescent="0.25">
      <c r="H861" t="s">
        <v>1689</v>
      </c>
    </row>
    <row r="862" spans="1:21" x14ac:dyDescent="0.25">
      <c r="A862">
        <v>428</v>
      </c>
      <c r="B862">
        <v>1590</v>
      </c>
      <c r="C862" t="s">
        <v>1690</v>
      </c>
      <c r="D862" t="s">
        <v>1691</v>
      </c>
      <c r="E862" t="s">
        <v>122</v>
      </c>
      <c r="F862" t="s">
        <v>1692</v>
      </c>
      <c r="G862" t="str">
        <f>"201510003796"</f>
        <v>201510003796</v>
      </c>
      <c r="H862">
        <v>1045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T862">
        <v>0</v>
      </c>
      <c r="U862">
        <v>1045</v>
      </c>
    </row>
    <row r="863" spans="1:21" x14ac:dyDescent="0.25">
      <c r="H863" t="s">
        <v>1693</v>
      </c>
    </row>
    <row r="864" spans="1:21" x14ac:dyDescent="0.25">
      <c r="A864">
        <v>429</v>
      </c>
      <c r="B864">
        <v>7384</v>
      </c>
      <c r="C864" t="s">
        <v>1694</v>
      </c>
      <c r="D864" t="s">
        <v>331</v>
      </c>
      <c r="E864" t="s">
        <v>135</v>
      </c>
      <c r="F864" t="s">
        <v>1695</v>
      </c>
      <c r="G864" t="str">
        <f>"201511017388"</f>
        <v>201511017388</v>
      </c>
      <c r="H864">
        <v>1045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T864">
        <v>0</v>
      </c>
      <c r="U864">
        <v>1045</v>
      </c>
    </row>
    <row r="865" spans="1:21" x14ac:dyDescent="0.25">
      <c r="H865" t="s">
        <v>1696</v>
      </c>
    </row>
    <row r="866" spans="1:21" x14ac:dyDescent="0.25">
      <c r="A866">
        <v>430</v>
      </c>
      <c r="B866">
        <v>259</v>
      </c>
      <c r="C866" t="s">
        <v>1697</v>
      </c>
      <c r="D866" t="s">
        <v>85</v>
      </c>
      <c r="E866" t="s">
        <v>1698</v>
      </c>
      <c r="F866" t="s">
        <v>1699</v>
      </c>
      <c r="G866" t="str">
        <f>"00019482"</f>
        <v>00019482</v>
      </c>
      <c r="H866">
        <v>1045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T866">
        <v>0</v>
      </c>
      <c r="U866">
        <v>1045</v>
      </c>
    </row>
    <row r="867" spans="1:21" x14ac:dyDescent="0.25">
      <c r="H867" t="s">
        <v>1700</v>
      </c>
    </row>
    <row r="868" spans="1:21" x14ac:dyDescent="0.25">
      <c r="A868">
        <v>431</v>
      </c>
      <c r="B868">
        <v>8025</v>
      </c>
      <c r="C868" t="s">
        <v>1701</v>
      </c>
      <c r="D868" t="s">
        <v>121</v>
      </c>
      <c r="E868" t="s">
        <v>36</v>
      </c>
      <c r="F868" t="s">
        <v>1702</v>
      </c>
      <c r="G868" t="str">
        <f>"00022983"</f>
        <v>00022983</v>
      </c>
      <c r="H868">
        <v>1045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T868">
        <v>0</v>
      </c>
      <c r="U868">
        <v>1045</v>
      </c>
    </row>
    <row r="869" spans="1:21" x14ac:dyDescent="0.25">
      <c r="H869" t="s">
        <v>1703</v>
      </c>
    </row>
    <row r="870" spans="1:21" x14ac:dyDescent="0.25">
      <c r="A870">
        <v>432</v>
      </c>
      <c r="B870">
        <v>8630</v>
      </c>
      <c r="C870" t="s">
        <v>1704</v>
      </c>
      <c r="D870" t="s">
        <v>1705</v>
      </c>
      <c r="E870" t="s">
        <v>122</v>
      </c>
      <c r="F870" t="s">
        <v>1706</v>
      </c>
      <c r="G870" t="str">
        <f>"201102000543"</f>
        <v>201102000543</v>
      </c>
      <c r="H870">
        <v>1045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T870">
        <v>0</v>
      </c>
      <c r="U870">
        <v>1045</v>
      </c>
    </row>
    <row r="871" spans="1:21" x14ac:dyDescent="0.25">
      <c r="H871" t="s">
        <v>1511</v>
      </c>
    </row>
    <row r="872" spans="1:21" x14ac:dyDescent="0.25">
      <c r="A872">
        <v>433</v>
      </c>
      <c r="B872">
        <v>1709</v>
      </c>
      <c r="C872" t="s">
        <v>1707</v>
      </c>
      <c r="D872" t="s">
        <v>613</v>
      </c>
      <c r="E872" t="s">
        <v>122</v>
      </c>
      <c r="F872" t="s">
        <v>1708</v>
      </c>
      <c r="G872" t="str">
        <f>"201511026294"</f>
        <v>201511026294</v>
      </c>
      <c r="H872">
        <v>1045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T872">
        <v>0</v>
      </c>
      <c r="U872">
        <v>1045</v>
      </c>
    </row>
    <row r="873" spans="1:21" x14ac:dyDescent="0.25">
      <c r="H873" t="s">
        <v>1709</v>
      </c>
    </row>
    <row r="874" spans="1:21" x14ac:dyDescent="0.25">
      <c r="A874">
        <v>434</v>
      </c>
      <c r="B874">
        <v>6049</v>
      </c>
      <c r="C874" t="s">
        <v>1710</v>
      </c>
      <c r="D874" t="s">
        <v>42</v>
      </c>
      <c r="E874" t="s">
        <v>36</v>
      </c>
      <c r="F874" t="s">
        <v>1711</v>
      </c>
      <c r="G874" t="str">
        <f>"201511029928"</f>
        <v>201511029928</v>
      </c>
      <c r="H874">
        <v>1045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T874">
        <v>0</v>
      </c>
      <c r="U874">
        <v>1045</v>
      </c>
    </row>
    <row r="875" spans="1:21" x14ac:dyDescent="0.25">
      <c r="H875" t="s">
        <v>1712</v>
      </c>
    </row>
    <row r="876" spans="1:21" x14ac:dyDescent="0.25">
      <c r="A876">
        <v>435</v>
      </c>
      <c r="B876">
        <v>7206</v>
      </c>
      <c r="C876" t="s">
        <v>1713</v>
      </c>
      <c r="D876" t="s">
        <v>101</v>
      </c>
      <c r="E876" t="s">
        <v>907</v>
      </c>
      <c r="F876" t="s">
        <v>1714</v>
      </c>
      <c r="G876" t="str">
        <f>"201511037436"</f>
        <v>201511037436</v>
      </c>
      <c r="H876">
        <v>1045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T876">
        <v>0</v>
      </c>
      <c r="U876">
        <v>1045</v>
      </c>
    </row>
    <row r="877" spans="1:21" x14ac:dyDescent="0.25">
      <c r="H877" t="s">
        <v>1715</v>
      </c>
    </row>
    <row r="878" spans="1:21" x14ac:dyDescent="0.25">
      <c r="A878">
        <v>436</v>
      </c>
      <c r="B878">
        <v>3461</v>
      </c>
      <c r="C878" t="s">
        <v>603</v>
      </c>
      <c r="D878" t="s">
        <v>85</v>
      </c>
      <c r="E878" t="s">
        <v>952</v>
      </c>
      <c r="F878" t="s">
        <v>1716</v>
      </c>
      <c r="G878" t="str">
        <f>"201512002330"</f>
        <v>201512002330</v>
      </c>
      <c r="H878">
        <v>1045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T878">
        <v>0</v>
      </c>
      <c r="U878">
        <v>1045</v>
      </c>
    </row>
    <row r="879" spans="1:21" x14ac:dyDescent="0.25">
      <c r="H879" t="s">
        <v>1717</v>
      </c>
    </row>
    <row r="880" spans="1:21" x14ac:dyDescent="0.25">
      <c r="A880">
        <v>437</v>
      </c>
      <c r="B880">
        <v>6963</v>
      </c>
      <c r="C880" t="s">
        <v>1718</v>
      </c>
      <c r="D880" t="s">
        <v>285</v>
      </c>
      <c r="E880" t="s">
        <v>36</v>
      </c>
      <c r="F880" t="s">
        <v>1719</v>
      </c>
      <c r="G880" t="str">
        <f>"201406001265"</f>
        <v>201406001265</v>
      </c>
      <c r="H880">
        <v>1045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T880">
        <v>1</v>
      </c>
      <c r="U880">
        <v>1045</v>
      </c>
    </row>
    <row r="881" spans="1:21" x14ac:dyDescent="0.25">
      <c r="H881" t="s">
        <v>1720</v>
      </c>
    </row>
    <row r="882" spans="1:21" x14ac:dyDescent="0.25">
      <c r="A882">
        <v>438</v>
      </c>
      <c r="B882">
        <v>9209</v>
      </c>
      <c r="C882" t="s">
        <v>1721</v>
      </c>
      <c r="D882" t="s">
        <v>74</v>
      </c>
      <c r="E882" t="s">
        <v>533</v>
      </c>
      <c r="F882" t="s">
        <v>1722</v>
      </c>
      <c r="G882" t="str">
        <f>"00086879"</f>
        <v>00086879</v>
      </c>
      <c r="H882">
        <v>1045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T882">
        <v>0</v>
      </c>
      <c r="U882">
        <v>1045</v>
      </c>
    </row>
    <row r="883" spans="1:21" x14ac:dyDescent="0.25">
      <c r="H883" t="s">
        <v>1723</v>
      </c>
    </row>
    <row r="884" spans="1:21" x14ac:dyDescent="0.25">
      <c r="A884">
        <v>439</v>
      </c>
      <c r="B884">
        <v>6154</v>
      </c>
      <c r="C884" t="s">
        <v>1724</v>
      </c>
      <c r="D884" t="s">
        <v>1725</v>
      </c>
      <c r="E884" t="s">
        <v>36</v>
      </c>
      <c r="F884" t="s">
        <v>1726</v>
      </c>
      <c r="G884" t="str">
        <f>"201511031969"</f>
        <v>201511031969</v>
      </c>
      <c r="H884">
        <v>1045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T884">
        <v>0</v>
      </c>
      <c r="U884">
        <v>1045</v>
      </c>
    </row>
    <row r="885" spans="1:21" x14ac:dyDescent="0.25">
      <c r="H885" t="s">
        <v>629</v>
      </c>
    </row>
    <row r="886" spans="1:21" x14ac:dyDescent="0.25">
      <c r="A886">
        <v>440</v>
      </c>
      <c r="B886">
        <v>2947</v>
      </c>
      <c r="C886" t="s">
        <v>1727</v>
      </c>
      <c r="D886" t="s">
        <v>578</v>
      </c>
      <c r="E886" t="s">
        <v>70</v>
      </c>
      <c r="F886" t="s">
        <v>1728</v>
      </c>
      <c r="G886" t="str">
        <f>"201511031076"</f>
        <v>201511031076</v>
      </c>
      <c r="H886">
        <v>1045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T886">
        <v>0</v>
      </c>
      <c r="U886">
        <v>1045</v>
      </c>
    </row>
    <row r="887" spans="1:21" x14ac:dyDescent="0.25">
      <c r="H887" t="s">
        <v>1729</v>
      </c>
    </row>
    <row r="888" spans="1:21" x14ac:dyDescent="0.25">
      <c r="A888">
        <v>441</v>
      </c>
      <c r="B888">
        <v>3783</v>
      </c>
      <c r="C888" t="s">
        <v>1730</v>
      </c>
      <c r="D888" t="s">
        <v>27</v>
      </c>
      <c r="E888" t="s">
        <v>42</v>
      </c>
      <c r="F888" t="s">
        <v>1731</v>
      </c>
      <c r="G888" t="str">
        <f>"00075680"</f>
        <v>00075680</v>
      </c>
      <c r="H888" t="s">
        <v>995</v>
      </c>
      <c r="I888">
        <v>0</v>
      </c>
      <c r="J888">
        <v>50</v>
      </c>
      <c r="K888">
        <v>0</v>
      </c>
      <c r="L888">
        <v>0</v>
      </c>
      <c r="M888">
        <v>50</v>
      </c>
      <c r="N888">
        <v>0</v>
      </c>
      <c r="O888">
        <v>0</v>
      </c>
      <c r="P888">
        <v>0</v>
      </c>
      <c r="Q888">
        <v>0</v>
      </c>
      <c r="T888">
        <v>2</v>
      </c>
      <c r="U888" t="s">
        <v>1732</v>
      </c>
    </row>
    <row r="889" spans="1:21" x14ac:dyDescent="0.25">
      <c r="H889">
        <v>801</v>
      </c>
    </row>
    <row r="890" spans="1:21" x14ac:dyDescent="0.25">
      <c r="A890">
        <v>442</v>
      </c>
      <c r="B890">
        <v>8747</v>
      </c>
      <c r="C890" t="s">
        <v>1733</v>
      </c>
      <c r="D890" t="s">
        <v>453</v>
      </c>
      <c r="E890" t="s">
        <v>42</v>
      </c>
      <c r="F890" t="s">
        <v>1734</v>
      </c>
      <c r="G890" t="str">
        <f>"00076823"</f>
        <v>00076823</v>
      </c>
      <c r="H890" t="s">
        <v>1735</v>
      </c>
      <c r="I890">
        <v>0</v>
      </c>
      <c r="J890">
        <v>50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T890">
        <v>0</v>
      </c>
      <c r="U890" t="s">
        <v>1736</v>
      </c>
    </row>
    <row r="891" spans="1:21" x14ac:dyDescent="0.25">
      <c r="H891" t="s">
        <v>1737</v>
      </c>
    </row>
    <row r="892" spans="1:21" x14ac:dyDescent="0.25">
      <c r="A892">
        <v>443</v>
      </c>
      <c r="B892">
        <v>3568</v>
      </c>
      <c r="C892" t="s">
        <v>1738</v>
      </c>
      <c r="D892" t="s">
        <v>1739</v>
      </c>
      <c r="E892" t="s">
        <v>65</v>
      </c>
      <c r="F892" t="s">
        <v>1740</v>
      </c>
      <c r="G892" t="str">
        <f>"201411002535"</f>
        <v>201411002535</v>
      </c>
      <c r="H892" t="s">
        <v>270</v>
      </c>
      <c r="I892">
        <v>0</v>
      </c>
      <c r="J892">
        <v>30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T892">
        <v>0</v>
      </c>
      <c r="U892" t="s">
        <v>1741</v>
      </c>
    </row>
    <row r="893" spans="1:21" x14ac:dyDescent="0.25">
      <c r="H893" t="s">
        <v>1742</v>
      </c>
    </row>
    <row r="894" spans="1:21" x14ac:dyDescent="0.25">
      <c r="A894">
        <v>444</v>
      </c>
      <c r="B894">
        <v>3612</v>
      </c>
      <c r="C894" t="s">
        <v>1743</v>
      </c>
      <c r="D894" t="s">
        <v>64</v>
      </c>
      <c r="E894" t="s">
        <v>1744</v>
      </c>
      <c r="F894" t="s">
        <v>1745</v>
      </c>
      <c r="G894" t="str">
        <f>"201511025362"</f>
        <v>201511025362</v>
      </c>
      <c r="H894" t="s">
        <v>270</v>
      </c>
      <c r="I894">
        <v>0</v>
      </c>
      <c r="J894">
        <v>30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T894">
        <v>0</v>
      </c>
      <c r="U894" t="s">
        <v>1741</v>
      </c>
    </row>
    <row r="895" spans="1:21" x14ac:dyDescent="0.25">
      <c r="H895" t="s">
        <v>1746</v>
      </c>
    </row>
    <row r="896" spans="1:21" x14ac:dyDescent="0.25">
      <c r="A896">
        <v>445</v>
      </c>
      <c r="B896">
        <v>3506</v>
      </c>
      <c r="C896" t="s">
        <v>1747</v>
      </c>
      <c r="D896" t="s">
        <v>646</v>
      </c>
      <c r="E896" t="s">
        <v>122</v>
      </c>
      <c r="F896" t="s">
        <v>1748</v>
      </c>
      <c r="G896" t="str">
        <f>"201511034035"</f>
        <v>201511034035</v>
      </c>
      <c r="H896" t="s">
        <v>1749</v>
      </c>
      <c r="I896">
        <v>150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T896">
        <v>0</v>
      </c>
      <c r="U896" t="s">
        <v>1750</v>
      </c>
    </row>
    <row r="897" spans="1:21" x14ac:dyDescent="0.25">
      <c r="H897" t="s">
        <v>1751</v>
      </c>
    </row>
    <row r="898" spans="1:21" x14ac:dyDescent="0.25">
      <c r="A898">
        <v>446</v>
      </c>
      <c r="B898">
        <v>10173</v>
      </c>
      <c r="C898" t="s">
        <v>1752</v>
      </c>
      <c r="D898" t="s">
        <v>259</v>
      </c>
      <c r="E898" t="s">
        <v>366</v>
      </c>
      <c r="F898" t="s">
        <v>1753</v>
      </c>
      <c r="G898" t="str">
        <f>"201510002504"</f>
        <v>201510002504</v>
      </c>
      <c r="H898" t="s">
        <v>1749</v>
      </c>
      <c r="I898">
        <v>150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T898">
        <v>0</v>
      </c>
      <c r="U898" t="s">
        <v>1750</v>
      </c>
    </row>
    <row r="899" spans="1:21" x14ac:dyDescent="0.25">
      <c r="H899" t="s">
        <v>1754</v>
      </c>
    </row>
    <row r="900" spans="1:21" x14ac:dyDescent="0.25">
      <c r="A900">
        <v>447</v>
      </c>
      <c r="B900">
        <v>1032</v>
      </c>
      <c r="C900" t="s">
        <v>1755</v>
      </c>
      <c r="D900" t="s">
        <v>434</v>
      </c>
      <c r="E900" t="s">
        <v>231</v>
      </c>
      <c r="F900" t="s">
        <v>1756</v>
      </c>
      <c r="G900" t="str">
        <f>"00026097"</f>
        <v>00026097</v>
      </c>
      <c r="H900">
        <v>1012</v>
      </c>
      <c r="I900">
        <v>0</v>
      </c>
      <c r="J900">
        <v>30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T900">
        <v>2</v>
      </c>
      <c r="U900">
        <v>1042</v>
      </c>
    </row>
    <row r="901" spans="1:21" x14ac:dyDescent="0.25">
      <c r="H901" t="s">
        <v>1757</v>
      </c>
    </row>
    <row r="902" spans="1:21" x14ac:dyDescent="0.25">
      <c r="A902">
        <v>448</v>
      </c>
      <c r="B902">
        <v>7948</v>
      </c>
      <c r="C902" t="s">
        <v>834</v>
      </c>
      <c r="D902" t="s">
        <v>116</v>
      </c>
      <c r="E902" t="s">
        <v>70</v>
      </c>
      <c r="F902" t="s">
        <v>1758</v>
      </c>
      <c r="G902" t="str">
        <f>"00095312"</f>
        <v>00095312</v>
      </c>
      <c r="H902" t="s">
        <v>413</v>
      </c>
      <c r="I902">
        <v>0</v>
      </c>
      <c r="J902">
        <v>30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T902">
        <v>0</v>
      </c>
      <c r="U902" t="s">
        <v>1759</v>
      </c>
    </row>
    <row r="903" spans="1:21" x14ac:dyDescent="0.25">
      <c r="H903" t="s">
        <v>1760</v>
      </c>
    </row>
    <row r="904" spans="1:21" x14ac:dyDescent="0.25">
      <c r="A904">
        <v>449</v>
      </c>
      <c r="B904">
        <v>7940</v>
      </c>
      <c r="C904" t="s">
        <v>1761</v>
      </c>
      <c r="D904" t="s">
        <v>26</v>
      </c>
      <c r="E904" t="s">
        <v>764</v>
      </c>
      <c r="F904" t="s">
        <v>1762</v>
      </c>
      <c r="G904" t="str">
        <f>"201511038435"</f>
        <v>201511038435</v>
      </c>
      <c r="H904" t="s">
        <v>276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T904">
        <v>0</v>
      </c>
      <c r="U904" t="s">
        <v>276</v>
      </c>
    </row>
    <row r="905" spans="1:21" x14ac:dyDescent="0.25">
      <c r="H905" t="s">
        <v>1763</v>
      </c>
    </row>
    <row r="906" spans="1:21" x14ac:dyDescent="0.25">
      <c r="A906">
        <v>450</v>
      </c>
      <c r="B906">
        <v>9033</v>
      </c>
      <c r="C906" t="s">
        <v>1764</v>
      </c>
      <c r="D906" t="s">
        <v>42</v>
      </c>
      <c r="E906" t="s">
        <v>27</v>
      </c>
      <c r="F906" t="s">
        <v>1765</v>
      </c>
      <c r="G906" t="str">
        <f>"201412000654"</f>
        <v>201412000654</v>
      </c>
      <c r="H906" t="s">
        <v>276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T906">
        <v>0</v>
      </c>
      <c r="U906" t="s">
        <v>276</v>
      </c>
    </row>
    <row r="907" spans="1:21" x14ac:dyDescent="0.25">
      <c r="H907" t="s">
        <v>1766</v>
      </c>
    </row>
    <row r="908" spans="1:21" x14ac:dyDescent="0.25">
      <c r="A908">
        <v>451</v>
      </c>
      <c r="B908">
        <v>6471</v>
      </c>
      <c r="C908" t="s">
        <v>1767</v>
      </c>
      <c r="D908" t="s">
        <v>473</v>
      </c>
      <c r="E908" t="s">
        <v>1477</v>
      </c>
      <c r="F908" t="s">
        <v>1768</v>
      </c>
      <c r="G908" t="str">
        <f>"201511032059"</f>
        <v>201511032059</v>
      </c>
      <c r="H908" t="s">
        <v>276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T908">
        <v>0</v>
      </c>
      <c r="U908" t="s">
        <v>276</v>
      </c>
    </row>
    <row r="909" spans="1:21" x14ac:dyDescent="0.25">
      <c r="H909" t="s">
        <v>1769</v>
      </c>
    </row>
    <row r="910" spans="1:21" x14ac:dyDescent="0.25">
      <c r="A910">
        <v>452</v>
      </c>
      <c r="B910">
        <v>3246</v>
      </c>
      <c r="C910" t="s">
        <v>1770</v>
      </c>
      <c r="D910" t="s">
        <v>57</v>
      </c>
      <c r="E910" t="s">
        <v>467</v>
      </c>
      <c r="F910" t="s">
        <v>1771</v>
      </c>
      <c r="G910" t="str">
        <f>"200801008908"</f>
        <v>200801008908</v>
      </c>
      <c r="H910">
        <v>990</v>
      </c>
      <c r="I910">
        <v>0</v>
      </c>
      <c r="J910">
        <v>50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T910">
        <v>0</v>
      </c>
      <c r="U910">
        <v>1040</v>
      </c>
    </row>
    <row r="911" spans="1:21" x14ac:dyDescent="0.25">
      <c r="H911" t="s">
        <v>1772</v>
      </c>
    </row>
    <row r="912" spans="1:21" x14ac:dyDescent="0.25">
      <c r="A912">
        <v>453</v>
      </c>
      <c r="B912">
        <v>1816</v>
      </c>
      <c r="C912" t="s">
        <v>1773</v>
      </c>
      <c r="D912" t="s">
        <v>26</v>
      </c>
      <c r="E912" t="s">
        <v>366</v>
      </c>
      <c r="F912" t="s">
        <v>1774</v>
      </c>
      <c r="G912" t="str">
        <f>"201511023880"</f>
        <v>201511023880</v>
      </c>
      <c r="H912">
        <v>990</v>
      </c>
      <c r="I912">
        <v>0</v>
      </c>
      <c r="J912">
        <v>50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T912">
        <v>0</v>
      </c>
      <c r="U912">
        <v>1040</v>
      </c>
    </row>
    <row r="913" spans="1:21" x14ac:dyDescent="0.25">
      <c r="H913" t="s">
        <v>1775</v>
      </c>
    </row>
    <row r="914" spans="1:21" x14ac:dyDescent="0.25">
      <c r="A914">
        <v>454</v>
      </c>
      <c r="B914">
        <v>9885</v>
      </c>
      <c r="C914" t="s">
        <v>1776</v>
      </c>
      <c r="D914" t="s">
        <v>1463</v>
      </c>
      <c r="E914" t="s">
        <v>366</v>
      </c>
      <c r="F914" t="s">
        <v>1777</v>
      </c>
      <c r="G914" t="str">
        <f>"00073341"</f>
        <v>00073341</v>
      </c>
      <c r="H914" t="s">
        <v>1223</v>
      </c>
      <c r="I914">
        <v>0</v>
      </c>
      <c r="J914">
        <v>30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T914">
        <v>0</v>
      </c>
      <c r="U914" t="s">
        <v>1778</v>
      </c>
    </row>
    <row r="915" spans="1:21" x14ac:dyDescent="0.25">
      <c r="H915" t="s">
        <v>1779</v>
      </c>
    </row>
    <row r="916" spans="1:21" x14ac:dyDescent="0.25">
      <c r="A916">
        <v>455</v>
      </c>
      <c r="B916">
        <v>8626</v>
      </c>
      <c r="C916" t="s">
        <v>1780</v>
      </c>
      <c r="D916" t="s">
        <v>285</v>
      </c>
      <c r="E916" t="s">
        <v>36</v>
      </c>
      <c r="F916" t="s">
        <v>1781</v>
      </c>
      <c r="G916" t="str">
        <f>"00045010"</f>
        <v>00045010</v>
      </c>
      <c r="H916" t="s">
        <v>160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T916">
        <v>0</v>
      </c>
      <c r="U916" t="s">
        <v>160</v>
      </c>
    </row>
    <row r="917" spans="1:21" x14ac:dyDescent="0.25">
      <c r="H917" t="s">
        <v>1782</v>
      </c>
    </row>
    <row r="918" spans="1:21" x14ac:dyDescent="0.25">
      <c r="A918">
        <v>456</v>
      </c>
      <c r="B918">
        <v>2719</v>
      </c>
      <c r="C918" t="s">
        <v>1783</v>
      </c>
      <c r="D918" t="s">
        <v>145</v>
      </c>
      <c r="E918" t="s">
        <v>449</v>
      </c>
      <c r="F918" t="s">
        <v>1784</v>
      </c>
      <c r="G918" t="str">
        <f>"00079649"</f>
        <v>00079649</v>
      </c>
      <c r="H918" t="s">
        <v>160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T918">
        <v>0</v>
      </c>
      <c r="U918" t="s">
        <v>160</v>
      </c>
    </row>
    <row r="919" spans="1:21" x14ac:dyDescent="0.25">
      <c r="H919" t="s">
        <v>1785</v>
      </c>
    </row>
    <row r="920" spans="1:21" x14ac:dyDescent="0.25">
      <c r="A920">
        <v>457</v>
      </c>
      <c r="B920">
        <v>7040</v>
      </c>
      <c r="C920" t="s">
        <v>1786</v>
      </c>
      <c r="D920" t="s">
        <v>85</v>
      </c>
      <c r="E920" t="s">
        <v>27</v>
      </c>
      <c r="F920" t="s">
        <v>1787</v>
      </c>
      <c r="G920" t="str">
        <f>"201511040578"</f>
        <v>201511040578</v>
      </c>
      <c r="H920" t="s">
        <v>160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6</v>
      </c>
      <c r="S920">
        <v>804</v>
      </c>
      <c r="T920">
        <v>0</v>
      </c>
      <c r="U920" t="s">
        <v>160</v>
      </c>
    </row>
    <row r="921" spans="1:21" x14ac:dyDescent="0.25">
      <c r="H921">
        <v>804</v>
      </c>
    </row>
    <row r="922" spans="1:21" x14ac:dyDescent="0.25">
      <c r="A922">
        <v>458</v>
      </c>
      <c r="B922">
        <v>2197</v>
      </c>
      <c r="C922" t="s">
        <v>1788</v>
      </c>
      <c r="D922" t="s">
        <v>122</v>
      </c>
      <c r="E922" t="s">
        <v>1789</v>
      </c>
      <c r="F922" t="s">
        <v>1790</v>
      </c>
      <c r="G922" t="str">
        <f>"201511018928"</f>
        <v>201511018928</v>
      </c>
      <c r="H922" t="s">
        <v>160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T922">
        <v>0</v>
      </c>
      <c r="U922" t="s">
        <v>160</v>
      </c>
    </row>
    <row r="923" spans="1:21" x14ac:dyDescent="0.25">
      <c r="H923" t="s">
        <v>491</v>
      </c>
    </row>
    <row r="924" spans="1:21" x14ac:dyDescent="0.25">
      <c r="A924">
        <v>459</v>
      </c>
      <c r="B924">
        <v>6470</v>
      </c>
      <c r="C924" t="s">
        <v>1392</v>
      </c>
      <c r="D924" t="s">
        <v>1791</v>
      </c>
      <c r="E924" t="s">
        <v>36</v>
      </c>
      <c r="F924" t="s">
        <v>1792</v>
      </c>
      <c r="G924" t="str">
        <f>"201511037677"</f>
        <v>201511037677</v>
      </c>
      <c r="H924" t="s">
        <v>160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T924">
        <v>1</v>
      </c>
      <c r="U924" t="s">
        <v>160</v>
      </c>
    </row>
    <row r="925" spans="1:21" x14ac:dyDescent="0.25">
      <c r="H925" t="s">
        <v>1793</v>
      </c>
    </row>
    <row r="926" spans="1:21" x14ac:dyDescent="0.25">
      <c r="A926">
        <v>460</v>
      </c>
      <c r="B926">
        <v>4230</v>
      </c>
      <c r="C926" t="s">
        <v>1794</v>
      </c>
      <c r="D926" t="s">
        <v>26</v>
      </c>
      <c r="E926" t="s">
        <v>647</v>
      </c>
      <c r="F926" t="s">
        <v>1795</v>
      </c>
      <c r="G926" t="str">
        <f>"201511040036"</f>
        <v>201511040036</v>
      </c>
      <c r="H926" t="s">
        <v>1378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T926">
        <v>0</v>
      </c>
      <c r="U926" t="s">
        <v>1378</v>
      </c>
    </row>
    <row r="927" spans="1:21" x14ac:dyDescent="0.25">
      <c r="H927" t="s">
        <v>1796</v>
      </c>
    </row>
    <row r="928" spans="1:21" x14ac:dyDescent="0.25">
      <c r="A928">
        <v>461</v>
      </c>
      <c r="B928">
        <v>4765</v>
      </c>
      <c r="C928" t="s">
        <v>1797</v>
      </c>
      <c r="D928" t="s">
        <v>78</v>
      </c>
      <c r="E928" t="s">
        <v>65</v>
      </c>
      <c r="F928" t="s">
        <v>1798</v>
      </c>
      <c r="G928" t="str">
        <f>"201511039828"</f>
        <v>201511039828</v>
      </c>
      <c r="H928" t="s">
        <v>1799</v>
      </c>
      <c r="I928">
        <v>150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T928">
        <v>0</v>
      </c>
      <c r="U928" t="s">
        <v>1800</v>
      </c>
    </row>
    <row r="929" spans="1:21" x14ac:dyDescent="0.25">
      <c r="H929" t="s">
        <v>1801</v>
      </c>
    </row>
    <row r="930" spans="1:21" x14ac:dyDescent="0.25">
      <c r="A930">
        <v>462</v>
      </c>
      <c r="B930">
        <v>885</v>
      </c>
      <c r="C930" t="s">
        <v>1802</v>
      </c>
      <c r="D930" t="s">
        <v>1803</v>
      </c>
      <c r="E930" t="s">
        <v>20</v>
      </c>
      <c r="F930" t="s">
        <v>1804</v>
      </c>
      <c r="G930" t="str">
        <f>"00082678"</f>
        <v>00082678</v>
      </c>
      <c r="H930" t="s">
        <v>1799</v>
      </c>
      <c r="I930">
        <v>150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T930">
        <v>0</v>
      </c>
      <c r="U930" t="s">
        <v>1800</v>
      </c>
    </row>
    <row r="931" spans="1:21" x14ac:dyDescent="0.25">
      <c r="H931" t="s">
        <v>1805</v>
      </c>
    </row>
    <row r="932" spans="1:21" x14ac:dyDescent="0.25">
      <c r="A932">
        <v>463</v>
      </c>
      <c r="B932">
        <v>5068</v>
      </c>
      <c r="C932" t="s">
        <v>1392</v>
      </c>
      <c r="D932" t="s">
        <v>589</v>
      </c>
      <c r="E932" t="s">
        <v>27</v>
      </c>
      <c r="F932" t="s">
        <v>1806</v>
      </c>
      <c r="G932" t="str">
        <f>"201512001648"</f>
        <v>201512001648</v>
      </c>
      <c r="H932" t="s">
        <v>418</v>
      </c>
      <c r="I932">
        <v>0</v>
      </c>
      <c r="J932">
        <v>30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T932">
        <v>0</v>
      </c>
      <c r="U932" t="s">
        <v>1807</v>
      </c>
    </row>
    <row r="933" spans="1:21" x14ac:dyDescent="0.25">
      <c r="H933" t="s">
        <v>1808</v>
      </c>
    </row>
    <row r="934" spans="1:21" x14ac:dyDescent="0.25">
      <c r="A934">
        <v>464</v>
      </c>
      <c r="B934">
        <v>2826</v>
      </c>
      <c r="C934" t="s">
        <v>1809</v>
      </c>
      <c r="D934" t="s">
        <v>572</v>
      </c>
      <c r="E934" t="s">
        <v>79</v>
      </c>
      <c r="F934" t="s">
        <v>1810</v>
      </c>
      <c r="G934" t="str">
        <f>"00037886"</f>
        <v>00037886</v>
      </c>
      <c r="H934" t="s">
        <v>1811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T934">
        <v>0</v>
      </c>
      <c r="U934" t="s">
        <v>1811</v>
      </c>
    </row>
    <row r="935" spans="1:21" x14ac:dyDescent="0.25">
      <c r="H935" t="s">
        <v>1812</v>
      </c>
    </row>
    <row r="936" spans="1:21" x14ac:dyDescent="0.25">
      <c r="A936">
        <v>465</v>
      </c>
      <c r="B936">
        <v>5593</v>
      </c>
      <c r="C936" t="s">
        <v>1813</v>
      </c>
      <c r="D936" t="s">
        <v>85</v>
      </c>
      <c r="E936" t="s">
        <v>42</v>
      </c>
      <c r="F936" t="s">
        <v>1814</v>
      </c>
      <c r="G936" t="str">
        <f>"201511038929"</f>
        <v>201511038929</v>
      </c>
      <c r="H936" t="s">
        <v>1811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T936">
        <v>0</v>
      </c>
      <c r="U936" t="s">
        <v>1811</v>
      </c>
    </row>
    <row r="937" spans="1:21" x14ac:dyDescent="0.25">
      <c r="H937" t="s">
        <v>1815</v>
      </c>
    </row>
    <row r="938" spans="1:21" x14ac:dyDescent="0.25">
      <c r="A938">
        <v>466</v>
      </c>
      <c r="B938">
        <v>2807</v>
      </c>
      <c r="C938" t="s">
        <v>1816</v>
      </c>
      <c r="D938" t="s">
        <v>453</v>
      </c>
      <c r="E938" t="s">
        <v>42</v>
      </c>
      <c r="F938" t="s">
        <v>1817</v>
      </c>
      <c r="G938" t="str">
        <f>"201511043057"</f>
        <v>201511043057</v>
      </c>
      <c r="H938" t="s">
        <v>1811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T938">
        <v>0</v>
      </c>
      <c r="U938" t="s">
        <v>1811</v>
      </c>
    </row>
    <row r="939" spans="1:21" x14ac:dyDescent="0.25">
      <c r="H939" t="s">
        <v>1818</v>
      </c>
    </row>
    <row r="940" spans="1:21" x14ac:dyDescent="0.25">
      <c r="A940">
        <v>467</v>
      </c>
      <c r="B940">
        <v>242</v>
      </c>
      <c r="C940" t="s">
        <v>1819</v>
      </c>
      <c r="D940" t="s">
        <v>179</v>
      </c>
      <c r="E940" t="s">
        <v>1820</v>
      </c>
      <c r="F940" t="s">
        <v>1821</v>
      </c>
      <c r="G940" t="str">
        <f>"201504001047"</f>
        <v>201504001047</v>
      </c>
      <c r="H940" t="s">
        <v>291</v>
      </c>
      <c r="I940">
        <v>0</v>
      </c>
      <c r="J940">
        <v>30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T940">
        <v>3</v>
      </c>
      <c r="U940" t="s">
        <v>1822</v>
      </c>
    </row>
    <row r="941" spans="1:21" x14ac:dyDescent="0.25">
      <c r="H941" t="s">
        <v>1823</v>
      </c>
    </row>
    <row r="942" spans="1:21" x14ac:dyDescent="0.25">
      <c r="A942">
        <v>468</v>
      </c>
      <c r="B942">
        <v>5899</v>
      </c>
      <c r="C942" t="s">
        <v>1629</v>
      </c>
      <c r="D942" t="s">
        <v>173</v>
      </c>
      <c r="E942" t="s">
        <v>373</v>
      </c>
      <c r="F942" t="s">
        <v>1824</v>
      </c>
      <c r="G942" t="str">
        <f>"00072843"</f>
        <v>00072843</v>
      </c>
      <c r="H942" t="s">
        <v>1825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T942">
        <v>1</v>
      </c>
      <c r="U942" t="s">
        <v>1825</v>
      </c>
    </row>
    <row r="943" spans="1:21" x14ac:dyDescent="0.25">
      <c r="H943" t="s">
        <v>1826</v>
      </c>
    </row>
    <row r="944" spans="1:21" x14ac:dyDescent="0.25">
      <c r="A944">
        <v>469</v>
      </c>
      <c r="B944">
        <v>7960</v>
      </c>
      <c r="C944" t="s">
        <v>1827</v>
      </c>
      <c r="D944" t="s">
        <v>207</v>
      </c>
      <c r="E944" t="s">
        <v>27</v>
      </c>
      <c r="F944" t="s">
        <v>1828</v>
      </c>
      <c r="G944" t="str">
        <f>"00046928"</f>
        <v>00046928</v>
      </c>
      <c r="H944" t="s">
        <v>1825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T944">
        <v>0</v>
      </c>
      <c r="U944" t="s">
        <v>1825</v>
      </c>
    </row>
    <row r="945" spans="1:21" x14ac:dyDescent="0.25">
      <c r="H945" t="s">
        <v>1829</v>
      </c>
    </row>
    <row r="946" spans="1:21" x14ac:dyDescent="0.25">
      <c r="A946">
        <v>470</v>
      </c>
      <c r="B946">
        <v>9187</v>
      </c>
      <c r="C946" t="s">
        <v>185</v>
      </c>
      <c r="D946" t="s">
        <v>1830</v>
      </c>
      <c r="E946" t="s">
        <v>1506</v>
      </c>
      <c r="F946" t="s">
        <v>1831</v>
      </c>
      <c r="G946" t="str">
        <f>"00075101"</f>
        <v>00075101</v>
      </c>
      <c r="H946" t="s">
        <v>1825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T946">
        <v>0</v>
      </c>
      <c r="U946" t="s">
        <v>1825</v>
      </c>
    </row>
    <row r="947" spans="1:21" x14ac:dyDescent="0.25">
      <c r="H947">
        <v>801</v>
      </c>
    </row>
    <row r="948" spans="1:21" x14ac:dyDescent="0.25">
      <c r="A948">
        <v>471</v>
      </c>
      <c r="B948">
        <v>198</v>
      </c>
      <c r="C948" t="s">
        <v>1832</v>
      </c>
      <c r="D948" t="s">
        <v>145</v>
      </c>
      <c r="E948" t="s">
        <v>259</v>
      </c>
      <c r="F948" t="s">
        <v>1833</v>
      </c>
      <c r="G948" t="str">
        <f>"00035925"</f>
        <v>00035925</v>
      </c>
      <c r="H948" t="s">
        <v>1825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T948">
        <v>0</v>
      </c>
      <c r="U948" t="s">
        <v>1825</v>
      </c>
    </row>
    <row r="949" spans="1:21" x14ac:dyDescent="0.25">
      <c r="H949" t="s">
        <v>1834</v>
      </c>
    </row>
    <row r="950" spans="1:21" x14ac:dyDescent="0.25">
      <c r="A950">
        <v>472</v>
      </c>
      <c r="B950">
        <v>5537</v>
      </c>
      <c r="C950" t="s">
        <v>1835</v>
      </c>
      <c r="D950" t="s">
        <v>64</v>
      </c>
      <c r="E950" t="s">
        <v>1836</v>
      </c>
      <c r="F950" t="s">
        <v>1837</v>
      </c>
      <c r="G950" t="str">
        <f>"201511018004"</f>
        <v>201511018004</v>
      </c>
      <c r="H950" t="s">
        <v>1838</v>
      </c>
      <c r="I950">
        <v>150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6</v>
      </c>
      <c r="S950">
        <v>804</v>
      </c>
      <c r="T950">
        <v>0</v>
      </c>
      <c r="U950" t="s">
        <v>1839</v>
      </c>
    </row>
    <row r="951" spans="1:21" x14ac:dyDescent="0.25">
      <c r="H951" t="s">
        <v>507</v>
      </c>
    </row>
    <row r="952" spans="1:21" x14ac:dyDescent="0.25">
      <c r="A952">
        <v>473</v>
      </c>
      <c r="B952">
        <v>8305</v>
      </c>
      <c r="C952" t="s">
        <v>1840</v>
      </c>
      <c r="D952" t="s">
        <v>1841</v>
      </c>
      <c r="E952" t="s">
        <v>42</v>
      </c>
      <c r="F952" t="s">
        <v>1842</v>
      </c>
      <c r="G952" t="str">
        <f>"00088892"</f>
        <v>00088892</v>
      </c>
      <c r="H952" t="s">
        <v>1838</v>
      </c>
      <c r="I952">
        <v>150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T952">
        <v>0</v>
      </c>
      <c r="U952" t="s">
        <v>1839</v>
      </c>
    </row>
    <row r="953" spans="1:21" x14ac:dyDescent="0.25">
      <c r="H953" t="s">
        <v>1843</v>
      </c>
    </row>
    <row r="954" spans="1:21" x14ac:dyDescent="0.25">
      <c r="A954">
        <v>474</v>
      </c>
      <c r="B954">
        <v>6496</v>
      </c>
      <c r="C954" t="s">
        <v>1844</v>
      </c>
      <c r="D954" t="s">
        <v>439</v>
      </c>
      <c r="E954" t="s">
        <v>135</v>
      </c>
      <c r="F954" t="s">
        <v>1845</v>
      </c>
      <c r="G954" t="str">
        <f>"201511041388"</f>
        <v>201511041388</v>
      </c>
      <c r="H954" t="s">
        <v>1405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T954">
        <v>0</v>
      </c>
      <c r="U954" t="s">
        <v>1405</v>
      </c>
    </row>
    <row r="955" spans="1:21" x14ac:dyDescent="0.25">
      <c r="H955" t="s">
        <v>1846</v>
      </c>
    </row>
    <row r="956" spans="1:21" x14ac:dyDescent="0.25">
      <c r="A956">
        <v>475</v>
      </c>
      <c r="B956">
        <v>5940</v>
      </c>
      <c r="C956" t="s">
        <v>1847</v>
      </c>
      <c r="D956" t="s">
        <v>164</v>
      </c>
      <c r="E956" t="s">
        <v>449</v>
      </c>
      <c r="F956" t="s">
        <v>1848</v>
      </c>
      <c r="G956" t="str">
        <f>"201302000108"</f>
        <v>201302000108</v>
      </c>
      <c r="H956" t="s">
        <v>1405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T956">
        <v>0</v>
      </c>
      <c r="U956" t="s">
        <v>1405</v>
      </c>
    </row>
    <row r="957" spans="1:21" x14ac:dyDescent="0.25">
      <c r="H957" t="s">
        <v>382</v>
      </c>
    </row>
    <row r="958" spans="1:21" x14ac:dyDescent="0.25">
      <c r="A958">
        <v>476</v>
      </c>
      <c r="B958">
        <v>9053</v>
      </c>
      <c r="C958" t="s">
        <v>1849</v>
      </c>
      <c r="D958" t="s">
        <v>121</v>
      </c>
      <c r="E958" t="s">
        <v>366</v>
      </c>
      <c r="F958" t="s">
        <v>1850</v>
      </c>
      <c r="G958" t="str">
        <f>"201511027791"</f>
        <v>201511027791</v>
      </c>
      <c r="H958" t="s">
        <v>1405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T958">
        <v>0</v>
      </c>
      <c r="U958" t="s">
        <v>1405</v>
      </c>
    </row>
    <row r="959" spans="1:21" x14ac:dyDescent="0.25">
      <c r="H959" t="s">
        <v>1851</v>
      </c>
    </row>
    <row r="960" spans="1:21" x14ac:dyDescent="0.25">
      <c r="A960">
        <v>477</v>
      </c>
      <c r="B960">
        <v>2295</v>
      </c>
      <c r="C960" t="s">
        <v>1852</v>
      </c>
      <c r="D960" t="s">
        <v>36</v>
      </c>
      <c r="E960" t="s">
        <v>332</v>
      </c>
      <c r="F960" t="s">
        <v>1853</v>
      </c>
      <c r="G960" t="str">
        <f>"201511028954"</f>
        <v>201511028954</v>
      </c>
      <c r="H960" t="s">
        <v>1422</v>
      </c>
      <c r="I960">
        <v>150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T960">
        <v>0</v>
      </c>
      <c r="U960" t="s">
        <v>1854</v>
      </c>
    </row>
    <row r="961" spans="1:21" x14ac:dyDescent="0.25">
      <c r="H961" t="s">
        <v>1855</v>
      </c>
    </row>
    <row r="962" spans="1:21" x14ac:dyDescent="0.25">
      <c r="A962">
        <v>478</v>
      </c>
      <c r="B962">
        <v>4978</v>
      </c>
      <c r="C962" t="s">
        <v>1856</v>
      </c>
      <c r="D962" t="s">
        <v>1857</v>
      </c>
      <c r="E962" t="s">
        <v>533</v>
      </c>
      <c r="F962" t="s">
        <v>1858</v>
      </c>
      <c r="G962" t="str">
        <f>"201511029127"</f>
        <v>201511029127</v>
      </c>
      <c r="H962">
        <v>1034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T962">
        <v>0</v>
      </c>
      <c r="U962">
        <v>1034</v>
      </c>
    </row>
    <row r="963" spans="1:21" x14ac:dyDescent="0.25">
      <c r="H963" t="s">
        <v>1859</v>
      </c>
    </row>
    <row r="964" spans="1:21" x14ac:dyDescent="0.25">
      <c r="A964">
        <v>479</v>
      </c>
      <c r="B964">
        <v>1073</v>
      </c>
      <c r="C964" t="s">
        <v>1860</v>
      </c>
      <c r="D964" t="s">
        <v>78</v>
      </c>
      <c r="E964" t="s">
        <v>449</v>
      </c>
      <c r="F964" t="s">
        <v>1861</v>
      </c>
      <c r="G964" t="str">
        <f>"00046404"</f>
        <v>00046404</v>
      </c>
      <c r="H964" t="s">
        <v>1862</v>
      </c>
      <c r="I964">
        <v>0</v>
      </c>
      <c r="J964">
        <v>30</v>
      </c>
      <c r="K964">
        <v>0</v>
      </c>
      <c r="L964">
        <v>30</v>
      </c>
      <c r="M964">
        <v>0</v>
      </c>
      <c r="N964">
        <v>0</v>
      </c>
      <c r="O964">
        <v>0</v>
      </c>
      <c r="P964">
        <v>0</v>
      </c>
      <c r="Q964">
        <v>0</v>
      </c>
      <c r="T964">
        <v>0</v>
      </c>
      <c r="U964" t="s">
        <v>1863</v>
      </c>
    </row>
    <row r="965" spans="1:21" x14ac:dyDescent="0.25">
      <c r="H965" t="s">
        <v>1864</v>
      </c>
    </row>
    <row r="966" spans="1:21" x14ac:dyDescent="0.25">
      <c r="A966">
        <v>480</v>
      </c>
      <c r="B966">
        <v>10293</v>
      </c>
      <c r="C966" t="s">
        <v>1865</v>
      </c>
      <c r="D966" t="s">
        <v>64</v>
      </c>
      <c r="E966" t="s">
        <v>36</v>
      </c>
      <c r="F966" t="s">
        <v>1866</v>
      </c>
      <c r="G966" t="str">
        <f>"201511013850"</f>
        <v>201511013850</v>
      </c>
      <c r="H966" t="s">
        <v>1867</v>
      </c>
      <c r="I966">
        <v>150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T966">
        <v>0</v>
      </c>
      <c r="U966" t="s">
        <v>1868</v>
      </c>
    </row>
    <row r="967" spans="1:21" x14ac:dyDescent="0.25">
      <c r="H967" t="s">
        <v>1869</v>
      </c>
    </row>
    <row r="968" spans="1:21" x14ac:dyDescent="0.25">
      <c r="A968">
        <v>481</v>
      </c>
      <c r="B968">
        <v>9079</v>
      </c>
      <c r="C968" t="s">
        <v>1870</v>
      </c>
      <c r="D968" t="s">
        <v>173</v>
      </c>
      <c r="E968" t="s">
        <v>561</v>
      </c>
      <c r="F968" t="s">
        <v>1871</v>
      </c>
      <c r="G968" t="str">
        <f>"00046330"</f>
        <v>00046330</v>
      </c>
      <c r="H968" t="s">
        <v>1872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T968">
        <v>0</v>
      </c>
      <c r="U968" t="s">
        <v>1872</v>
      </c>
    </row>
    <row r="969" spans="1:21" x14ac:dyDescent="0.25">
      <c r="H969">
        <v>756</v>
      </c>
    </row>
    <row r="970" spans="1:21" x14ac:dyDescent="0.25">
      <c r="A970">
        <v>482</v>
      </c>
      <c r="B970">
        <v>7890</v>
      </c>
      <c r="C970" t="s">
        <v>1873</v>
      </c>
      <c r="D970" t="s">
        <v>1625</v>
      </c>
      <c r="E970" t="s">
        <v>155</v>
      </c>
      <c r="F970" t="s">
        <v>1874</v>
      </c>
      <c r="G970" t="str">
        <f>"201511041423"</f>
        <v>201511041423</v>
      </c>
      <c r="H970" t="s">
        <v>1872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T970">
        <v>0</v>
      </c>
      <c r="U970" t="s">
        <v>1872</v>
      </c>
    </row>
    <row r="971" spans="1:21" x14ac:dyDescent="0.25">
      <c r="H971" t="s">
        <v>1875</v>
      </c>
    </row>
    <row r="972" spans="1:21" x14ac:dyDescent="0.25">
      <c r="A972">
        <v>483</v>
      </c>
      <c r="B972">
        <v>8999</v>
      </c>
      <c r="C972" t="s">
        <v>1096</v>
      </c>
      <c r="D972" t="s">
        <v>1876</v>
      </c>
      <c r="E972" t="s">
        <v>27</v>
      </c>
      <c r="F972" t="s">
        <v>1877</v>
      </c>
      <c r="G972" t="str">
        <f>"00092816"</f>
        <v>00092816</v>
      </c>
      <c r="H972" t="s">
        <v>408</v>
      </c>
      <c r="I972">
        <v>0</v>
      </c>
      <c r="J972">
        <v>0</v>
      </c>
      <c r="K972">
        <v>0</v>
      </c>
      <c r="L972">
        <v>50</v>
      </c>
      <c r="M972">
        <v>0</v>
      </c>
      <c r="N972">
        <v>0</v>
      </c>
      <c r="O972">
        <v>0</v>
      </c>
      <c r="P972">
        <v>0</v>
      </c>
      <c r="Q972">
        <v>0</v>
      </c>
      <c r="T972">
        <v>0</v>
      </c>
      <c r="U972" t="s">
        <v>1878</v>
      </c>
    </row>
    <row r="973" spans="1:21" x14ac:dyDescent="0.25">
      <c r="H973" t="s">
        <v>1879</v>
      </c>
    </row>
    <row r="974" spans="1:21" x14ac:dyDescent="0.25">
      <c r="A974">
        <v>484</v>
      </c>
      <c r="B974">
        <v>833</v>
      </c>
      <c r="C974" t="s">
        <v>1880</v>
      </c>
      <c r="D974" t="s">
        <v>366</v>
      </c>
      <c r="E974" t="s">
        <v>614</v>
      </c>
      <c r="F974" t="s">
        <v>1881</v>
      </c>
      <c r="G974" t="str">
        <f>"00025154"</f>
        <v>00025154</v>
      </c>
      <c r="H974" t="s">
        <v>322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T974">
        <v>0</v>
      </c>
      <c r="U974" t="s">
        <v>322</v>
      </c>
    </row>
    <row r="975" spans="1:21" x14ac:dyDescent="0.25">
      <c r="H975" t="s">
        <v>1882</v>
      </c>
    </row>
    <row r="976" spans="1:21" x14ac:dyDescent="0.25">
      <c r="A976">
        <v>485</v>
      </c>
      <c r="B976">
        <v>8236</v>
      </c>
      <c r="C976" t="s">
        <v>1883</v>
      </c>
      <c r="D976" t="s">
        <v>36</v>
      </c>
      <c r="E976" t="s">
        <v>37</v>
      </c>
      <c r="F976" t="s">
        <v>1884</v>
      </c>
      <c r="G976" t="str">
        <f>"00095188"</f>
        <v>00095188</v>
      </c>
      <c r="H976" t="s">
        <v>322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T976">
        <v>0</v>
      </c>
      <c r="U976" t="s">
        <v>322</v>
      </c>
    </row>
    <row r="977" spans="1:21" x14ac:dyDescent="0.25">
      <c r="H977" t="s">
        <v>1885</v>
      </c>
    </row>
    <row r="978" spans="1:21" x14ac:dyDescent="0.25">
      <c r="A978">
        <v>486</v>
      </c>
      <c r="B978">
        <v>9336</v>
      </c>
      <c r="C978" t="s">
        <v>1886</v>
      </c>
      <c r="D978" t="s">
        <v>1887</v>
      </c>
      <c r="E978" t="s">
        <v>449</v>
      </c>
      <c r="F978" t="s">
        <v>1888</v>
      </c>
      <c r="G978" t="str">
        <f>"201507002465"</f>
        <v>201507002465</v>
      </c>
      <c r="H978">
        <v>1001</v>
      </c>
      <c r="I978">
        <v>0</v>
      </c>
      <c r="J978">
        <v>30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T978">
        <v>0</v>
      </c>
      <c r="U978">
        <v>1031</v>
      </c>
    </row>
    <row r="979" spans="1:21" x14ac:dyDescent="0.25">
      <c r="H979" t="s">
        <v>1889</v>
      </c>
    </row>
    <row r="980" spans="1:21" x14ac:dyDescent="0.25">
      <c r="A980">
        <v>487</v>
      </c>
      <c r="B980">
        <v>2087</v>
      </c>
      <c r="C980" t="s">
        <v>1319</v>
      </c>
      <c r="D980" t="s">
        <v>85</v>
      </c>
      <c r="E980" t="s">
        <v>27</v>
      </c>
      <c r="F980" t="s">
        <v>1890</v>
      </c>
      <c r="G980" t="str">
        <f>"00083510"</f>
        <v>00083510</v>
      </c>
      <c r="H980" t="s">
        <v>327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T980">
        <v>0</v>
      </c>
      <c r="U980" t="s">
        <v>327</v>
      </c>
    </row>
    <row r="981" spans="1:21" x14ac:dyDescent="0.25">
      <c r="H981" t="s">
        <v>1535</v>
      </c>
    </row>
    <row r="982" spans="1:21" x14ac:dyDescent="0.25">
      <c r="A982">
        <v>488</v>
      </c>
      <c r="B982">
        <v>8033</v>
      </c>
      <c r="C982" t="s">
        <v>1891</v>
      </c>
      <c r="D982" t="s">
        <v>70</v>
      </c>
      <c r="E982" t="s">
        <v>614</v>
      </c>
      <c r="F982" t="s">
        <v>1892</v>
      </c>
      <c r="G982" t="str">
        <f>"00078845"</f>
        <v>00078845</v>
      </c>
      <c r="H982" t="s">
        <v>327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T982">
        <v>1</v>
      </c>
      <c r="U982" t="s">
        <v>327</v>
      </c>
    </row>
    <row r="983" spans="1:21" x14ac:dyDescent="0.25">
      <c r="H983" t="s">
        <v>1893</v>
      </c>
    </row>
    <row r="984" spans="1:21" x14ac:dyDescent="0.25">
      <c r="A984">
        <v>489</v>
      </c>
      <c r="B984">
        <v>4008</v>
      </c>
      <c r="C984" t="s">
        <v>1894</v>
      </c>
      <c r="D984" t="s">
        <v>69</v>
      </c>
      <c r="E984" t="s">
        <v>225</v>
      </c>
      <c r="F984" t="s">
        <v>1895</v>
      </c>
      <c r="G984" t="str">
        <f>"00027434"</f>
        <v>00027434</v>
      </c>
      <c r="H984" t="s">
        <v>327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T984">
        <v>2</v>
      </c>
      <c r="U984" t="s">
        <v>327</v>
      </c>
    </row>
    <row r="985" spans="1:21" x14ac:dyDescent="0.25">
      <c r="H985" t="s">
        <v>1896</v>
      </c>
    </row>
    <row r="986" spans="1:21" x14ac:dyDescent="0.25">
      <c r="A986">
        <v>490</v>
      </c>
      <c r="B986">
        <v>3352</v>
      </c>
      <c r="C986" t="s">
        <v>1897</v>
      </c>
      <c r="D986" t="s">
        <v>1898</v>
      </c>
      <c r="E986" t="s">
        <v>366</v>
      </c>
      <c r="F986" t="s">
        <v>1899</v>
      </c>
      <c r="G986" t="str">
        <f>"00018850"</f>
        <v>00018850</v>
      </c>
      <c r="H986" t="s">
        <v>327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T986">
        <v>0</v>
      </c>
      <c r="U986" t="s">
        <v>327</v>
      </c>
    </row>
    <row r="987" spans="1:21" x14ac:dyDescent="0.25">
      <c r="H987">
        <v>782</v>
      </c>
    </row>
    <row r="988" spans="1:21" x14ac:dyDescent="0.25">
      <c r="A988">
        <v>491</v>
      </c>
      <c r="B988">
        <v>1511</v>
      </c>
      <c r="C988" t="s">
        <v>1900</v>
      </c>
      <c r="D988" t="s">
        <v>1841</v>
      </c>
      <c r="E988" t="s">
        <v>255</v>
      </c>
      <c r="F988" t="s">
        <v>1901</v>
      </c>
      <c r="G988" t="str">
        <f>"201007000079"</f>
        <v>201007000079</v>
      </c>
      <c r="H988" t="s">
        <v>327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T988">
        <v>0</v>
      </c>
      <c r="U988" t="s">
        <v>327</v>
      </c>
    </row>
    <row r="989" spans="1:21" x14ac:dyDescent="0.25">
      <c r="H989" t="s">
        <v>1902</v>
      </c>
    </row>
    <row r="990" spans="1:21" x14ac:dyDescent="0.25">
      <c r="A990">
        <v>492</v>
      </c>
      <c r="B990">
        <v>1353</v>
      </c>
      <c r="C990" t="s">
        <v>1903</v>
      </c>
      <c r="D990" t="s">
        <v>95</v>
      </c>
      <c r="E990" t="s">
        <v>1904</v>
      </c>
      <c r="F990" t="s">
        <v>1905</v>
      </c>
      <c r="G990" t="str">
        <f>"201511039686"</f>
        <v>201511039686</v>
      </c>
      <c r="H990" t="s">
        <v>327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T990">
        <v>0</v>
      </c>
      <c r="U990" t="s">
        <v>327</v>
      </c>
    </row>
    <row r="991" spans="1:21" x14ac:dyDescent="0.25">
      <c r="H991" t="s">
        <v>1906</v>
      </c>
    </row>
    <row r="992" spans="1:21" x14ac:dyDescent="0.25">
      <c r="A992">
        <v>493</v>
      </c>
      <c r="B992">
        <v>3372</v>
      </c>
      <c r="C992" t="s">
        <v>1907</v>
      </c>
      <c r="D992" t="s">
        <v>185</v>
      </c>
      <c r="E992" t="s">
        <v>42</v>
      </c>
      <c r="F992" t="s">
        <v>1908</v>
      </c>
      <c r="G992" t="str">
        <f>"00075064"</f>
        <v>00075064</v>
      </c>
      <c r="H992" t="s">
        <v>327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T992">
        <v>0</v>
      </c>
      <c r="U992" t="s">
        <v>327</v>
      </c>
    </row>
    <row r="993" spans="1:21" x14ac:dyDescent="0.25">
      <c r="H993" t="s">
        <v>1909</v>
      </c>
    </row>
    <row r="994" spans="1:21" x14ac:dyDescent="0.25">
      <c r="A994">
        <v>494</v>
      </c>
      <c r="B994">
        <v>8780</v>
      </c>
      <c r="C994" t="s">
        <v>1910</v>
      </c>
      <c r="D994" t="s">
        <v>377</v>
      </c>
      <c r="E994" t="s">
        <v>37</v>
      </c>
      <c r="F994" t="s">
        <v>1911</v>
      </c>
      <c r="G994" t="str">
        <f>"201010000159"</f>
        <v>201010000159</v>
      </c>
      <c r="H994">
        <v>880</v>
      </c>
      <c r="I994">
        <v>150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T994">
        <v>0</v>
      </c>
      <c r="U994">
        <v>1030</v>
      </c>
    </row>
    <row r="995" spans="1:21" x14ac:dyDescent="0.25">
      <c r="H995" t="s">
        <v>1912</v>
      </c>
    </row>
    <row r="996" spans="1:21" x14ac:dyDescent="0.25">
      <c r="A996">
        <v>495</v>
      </c>
      <c r="B996">
        <v>9074</v>
      </c>
      <c r="C996" t="s">
        <v>1913</v>
      </c>
      <c r="D996" t="s">
        <v>1463</v>
      </c>
      <c r="E996" t="s">
        <v>1501</v>
      </c>
      <c r="F996" t="s">
        <v>1914</v>
      </c>
      <c r="G996" t="str">
        <f>"201511042440"</f>
        <v>201511042440</v>
      </c>
      <c r="H996">
        <v>880</v>
      </c>
      <c r="I996">
        <v>150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T996">
        <v>0</v>
      </c>
      <c r="U996">
        <v>1030</v>
      </c>
    </row>
    <row r="997" spans="1:21" x14ac:dyDescent="0.25">
      <c r="H997" t="s">
        <v>1915</v>
      </c>
    </row>
    <row r="998" spans="1:21" x14ac:dyDescent="0.25">
      <c r="A998">
        <v>496</v>
      </c>
      <c r="B998">
        <v>6696</v>
      </c>
      <c r="C998" t="s">
        <v>1916</v>
      </c>
      <c r="D998" t="s">
        <v>64</v>
      </c>
      <c r="E998" t="s">
        <v>36</v>
      </c>
      <c r="F998" t="s">
        <v>1917</v>
      </c>
      <c r="G998" t="str">
        <f>"201510004941"</f>
        <v>201510004941</v>
      </c>
      <c r="H998">
        <v>880</v>
      </c>
      <c r="I998">
        <v>150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T998">
        <v>2</v>
      </c>
      <c r="U998">
        <v>1030</v>
      </c>
    </row>
    <row r="999" spans="1:21" x14ac:dyDescent="0.25">
      <c r="H999" t="s">
        <v>1918</v>
      </c>
    </row>
    <row r="1000" spans="1:21" x14ac:dyDescent="0.25">
      <c r="A1000">
        <v>497</v>
      </c>
      <c r="B1000">
        <v>4214</v>
      </c>
      <c r="C1000" t="s">
        <v>1919</v>
      </c>
      <c r="D1000" t="s">
        <v>78</v>
      </c>
      <c r="E1000" t="s">
        <v>36</v>
      </c>
      <c r="F1000" t="s">
        <v>1920</v>
      </c>
      <c r="G1000" t="str">
        <f>"201511006798"</f>
        <v>201511006798</v>
      </c>
      <c r="H1000">
        <v>880</v>
      </c>
      <c r="I1000">
        <v>150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T1000">
        <v>0</v>
      </c>
      <c r="U1000">
        <v>1030</v>
      </c>
    </row>
    <row r="1001" spans="1:21" x14ac:dyDescent="0.25">
      <c r="H1001" t="s">
        <v>1921</v>
      </c>
    </row>
    <row r="1002" spans="1:21" x14ac:dyDescent="0.25">
      <c r="A1002">
        <v>498</v>
      </c>
      <c r="B1002">
        <v>4592</v>
      </c>
      <c r="C1002" t="s">
        <v>1922</v>
      </c>
      <c r="D1002" t="s">
        <v>128</v>
      </c>
      <c r="E1002" t="s">
        <v>582</v>
      </c>
      <c r="F1002" t="s">
        <v>1923</v>
      </c>
      <c r="G1002" t="str">
        <f>"201511024603"</f>
        <v>201511024603</v>
      </c>
      <c r="H1002">
        <v>880</v>
      </c>
      <c r="I1002">
        <v>150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T1002">
        <v>0</v>
      </c>
      <c r="U1002">
        <v>1030</v>
      </c>
    </row>
    <row r="1003" spans="1:21" x14ac:dyDescent="0.25">
      <c r="H1003" t="s">
        <v>1924</v>
      </c>
    </row>
    <row r="1004" spans="1:21" x14ac:dyDescent="0.25">
      <c r="A1004">
        <v>499</v>
      </c>
      <c r="B1004">
        <v>10421</v>
      </c>
      <c r="C1004" t="s">
        <v>1925</v>
      </c>
      <c r="D1004" t="s">
        <v>1926</v>
      </c>
      <c r="E1004" t="s">
        <v>36</v>
      </c>
      <c r="F1004" t="s">
        <v>1927</v>
      </c>
      <c r="G1004" t="str">
        <f>"00070339"</f>
        <v>00070339</v>
      </c>
      <c r="H1004">
        <v>880</v>
      </c>
      <c r="I1004">
        <v>150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T1004">
        <v>2</v>
      </c>
      <c r="U1004">
        <v>1030</v>
      </c>
    </row>
    <row r="1005" spans="1:21" x14ac:dyDescent="0.25">
      <c r="H1005" t="s">
        <v>229</v>
      </c>
    </row>
    <row r="1006" spans="1:21" x14ac:dyDescent="0.25">
      <c r="A1006">
        <v>500</v>
      </c>
      <c r="B1006">
        <v>2972</v>
      </c>
      <c r="C1006" t="s">
        <v>1928</v>
      </c>
      <c r="D1006" t="s">
        <v>64</v>
      </c>
      <c r="E1006" t="s">
        <v>533</v>
      </c>
      <c r="F1006" t="s">
        <v>1929</v>
      </c>
      <c r="G1006" t="str">
        <f>"201511022603"</f>
        <v>201511022603</v>
      </c>
      <c r="H1006">
        <v>880</v>
      </c>
      <c r="I1006">
        <v>150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6</v>
      </c>
      <c r="S1006">
        <v>809</v>
      </c>
      <c r="T1006">
        <v>0</v>
      </c>
      <c r="U1006">
        <v>1030</v>
      </c>
    </row>
    <row r="1007" spans="1:21" x14ac:dyDescent="0.25">
      <c r="H1007" t="s">
        <v>1930</v>
      </c>
    </row>
    <row r="1008" spans="1:21" x14ac:dyDescent="0.25">
      <c r="A1008">
        <v>501</v>
      </c>
      <c r="B1008">
        <v>2972</v>
      </c>
      <c r="C1008" t="s">
        <v>1928</v>
      </c>
      <c r="D1008" t="s">
        <v>64</v>
      </c>
      <c r="E1008" t="s">
        <v>533</v>
      </c>
      <c r="F1008" t="s">
        <v>1929</v>
      </c>
      <c r="G1008" t="str">
        <f>"201511022603"</f>
        <v>201511022603</v>
      </c>
      <c r="H1008">
        <v>880</v>
      </c>
      <c r="I1008">
        <v>150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T1008">
        <v>0</v>
      </c>
      <c r="U1008">
        <v>1030</v>
      </c>
    </row>
    <row r="1009" spans="1:21" x14ac:dyDescent="0.25">
      <c r="H1009" t="s">
        <v>1930</v>
      </c>
    </row>
    <row r="1010" spans="1:21" x14ac:dyDescent="0.25">
      <c r="A1010">
        <v>502</v>
      </c>
      <c r="B1010">
        <v>4869</v>
      </c>
      <c r="C1010" t="s">
        <v>1931</v>
      </c>
      <c r="D1010" t="s">
        <v>64</v>
      </c>
      <c r="E1010" t="s">
        <v>135</v>
      </c>
      <c r="F1010" t="s">
        <v>1932</v>
      </c>
      <c r="G1010" t="str">
        <f>"00061726"</f>
        <v>00061726</v>
      </c>
      <c r="H1010">
        <v>880</v>
      </c>
      <c r="I1010">
        <v>150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T1010">
        <v>0</v>
      </c>
      <c r="U1010">
        <v>1030</v>
      </c>
    </row>
    <row r="1011" spans="1:21" x14ac:dyDescent="0.25">
      <c r="H1011" t="s">
        <v>1933</v>
      </c>
    </row>
    <row r="1012" spans="1:21" x14ac:dyDescent="0.25">
      <c r="A1012">
        <v>503</v>
      </c>
      <c r="B1012">
        <v>602</v>
      </c>
      <c r="C1012" t="s">
        <v>582</v>
      </c>
      <c r="D1012" t="s">
        <v>975</v>
      </c>
      <c r="E1012" t="s">
        <v>27</v>
      </c>
      <c r="F1012" t="s">
        <v>1934</v>
      </c>
      <c r="G1012" t="str">
        <f>"00032346"</f>
        <v>00032346</v>
      </c>
      <c r="H1012">
        <v>880</v>
      </c>
      <c r="I1012">
        <v>150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T1012">
        <v>2</v>
      </c>
      <c r="U1012">
        <v>1030</v>
      </c>
    </row>
    <row r="1013" spans="1:21" x14ac:dyDescent="0.25">
      <c r="H1013" t="s">
        <v>1935</v>
      </c>
    </row>
    <row r="1014" spans="1:21" x14ac:dyDescent="0.25">
      <c r="A1014">
        <v>504</v>
      </c>
      <c r="B1014">
        <v>7534</v>
      </c>
      <c r="C1014" t="s">
        <v>1936</v>
      </c>
      <c r="D1014" t="s">
        <v>37</v>
      </c>
      <c r="E1014" t="s">
        <v>373</v>
      </c>
      <c r="F1014" t="s">
        <v>1937</v>
      </c>
      <c r="G1014" t="str">
        <f>"00048938"</f>
        <v>00048938</v>
      </c>
      <c r="H1014" t="s">
        <v>1938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T1014">
        <v>0</v>
      </c>
      <c r="U1014" t="s">
        <v>1938</v>
      </c>
    </row>
    <row r="1015" spans="1:21" x14ac:dyDescent="0.25">
      <c r="H1015" t="s">
        <v>1939</v>
      </c>
    </row>
    <row r="1016" spans="1:21" x14ac:dyDescent="0.25">
      <c r="A1016">
        <v>505</v>
      </c>
      <c r="B1016">
        <v>4970</v>
      </c>
      <c r="C1016" t="s">
        <v>69</v>
      </c>
      <c r="D1016" t="s">
        <v>1940</v>
      </c>
      <c r="E1016" t="s">
        <v>1941</v>
      </c>
      <c r="F1016" t="s">
        <v>1942</v>
      </c>
      <c r="G1016" t="str">
        <f>"00018233"</f>
        <v>00018233</v>
      </c>
      <c r="H1016" t="s">
        <v>1530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T1016">
        <v>0</v>
      </c>
      <c r="U1016" t="s">
        <v>1530</v>
      </c>
    </row>
    <row r="1017" spans="1:21" x14ac:dyDescent="0.25">
      <c r="H1017" t="s">
        <v>1943</v>
      </c>
    </row>
    <row r="1018" spans="1:21" x14ac:dyDescent="0.25">
      <c r="A1018">
        <v>506</v>
      </c>
      <c r="B1018">
        <v>7032</v>
      </c>
      <c r="C1018" t="s">
        <v>1944</v>
      </c>
      <c r="D1018" t="s">
        <v>46</v>
      </c>
      <c r="E1018" t="s">
        <v>42</v>
      </c>
      <c r="F1018" t="s">
        <v>1945</v>
      </c>
      <c r="G1018" t="str">
        <f>"201511033331"</f>
        <v>201511033331</v>
      </c>
      <c r="H1018" t="s">
        <v>1530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T1018">
        <v>0</v>
      </c>
      <c r="U1018" t="s">
        <v>1530</v>
      </c>
    </row>
    <row r="1019" spans="1:21" x14ac:dyDescent="0.25">
      <c r="H1019" t="s">
        <v>1946</v>
      </c>
    </row>
    <row r="1020" spans="1:21" x14ac:dyDescent="0.25">
      <c r="A1020">
        <v>507</v>
      </c>
      <c r="B1020">
        <v>7254</v>
      </c>
      <c r="C1020" t="s">
        <v>1947</v>
      </c>
      <c r="D1020" t="s">
        <v>1948</v>
      </c>
      <c r="E1020" t="s">
        <v>366</v>
      </c>
      <c r="F1020" t="s">
        <v>1949</v>
      </c>
      <c r="G1020" t="str">
        <f>"201102000441"</f>
        <v>201102000441</v>
      </c>
      <c r="H1020">
        <v>847</v>
      </c>
      <c r="I1020">
        <v>150</v>
      </c>
      <c r="J1020">
        <v>0</v>
      </c>
      <c r="K1020">
        <v>30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T1020">
        <v>0</v>
      </c>
      <c r="U1020">
        <v>1027</v>
      </c>
    </row>
    <row r="1021" spans="1:21" x14ac:dyDescent="0.25">
      <c r="H1021" t="s">
        <v>1950</v>
      </c>
    </row>
    <row r="1022" spans="1:21" x14ac:dyDescent="0.25">
      <c r="A1022">
        <v>508</v>
      </c>
      <c r="B1022">
        <v>7351</v>
      </c>
      <c r="C1022" t="s">
        <v>1951</v>
      </c>
      <c r="D1022" t="s">
        <v>57</v>
      </c>
      <c r="E1022" t="s">
        <v>37</v>
      </c>
      <c r="F1022" t="s">
        <v>1952</v>
      </c>
      <c r="G1022" t="str">
        <f>"200801011065"</f>
        <v>200801011065</v>
      </c>
      <c r="H1022" t="s">
        <v>1953</v>
      </c>
      <c r="I1022">
        <v>0</v>
      </c>
      <c r="J1022">
        <v>30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T1022">
        <v>0</v>
      </c>
      <c r="U1022" t="s">
        <v>1954</v>
      </c>
    </row>
    <row r="1023" spans="1:21" x14ac:dyDescent="0.25">
      <c r="H1023" t="s">
        <v>1955</v>
      </c>
    </row>
    <row r="1024" spans="1:21" x14ac:dyDescent="0.25">
      <c r="A1024">
        <v>509</v>
      </c>
      <c r="B1024">
        <v>4272</v>
      </c>
      <c r="C1024" t="s">
        <v>998</v>
      </c>
      <c r="D1024" t="s">
        <v>74</v>
      </c>
      <c r="E1024" t="s">
        <v>533</v>
      </c>
      <c r="F1024" t="s">
        <v>1956</v>
      </c>
      <c r="G1024" t="str">
        <f>"201511042773"</f>
        <v>201511042773</v>
      </c>
      <c r="H1024" t="s">
        <v>1957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T1024">
        <v>0</v>
      </c>
      <c r="U1024" t="s">
        <v>1957</v>
      </c>
    </row>
    <row r="1025" spans="1:21" x14ac:dyDescent="0.25">
      <c r="H1025" t="s">
        <v>1958</v>
      </c>
    </row>
    <row r="1026" spans="1:21" x14ac:dyDescent="0.25">
      <c r="A1026">
        <v>510</v>
      </c>
      <c r="B1026">
        <v>4794</v>
      </c>
      <c r="C1026" t="s">
        <v>1959</v>
      </c>
      <c r="D1026" t="s">
        <v>134</v>
      </c>
      <c r="E1026" t="s">
        <v>27</v>
      </c>
      <c r="F1026" t="s">
        <v>1960</v>
      </c>
      <c r="G1026" t="str">
        <f>"00020165"</f>
        <v>00020165</v>
      </c>
      <c r="H1026" t="s">
        <v>1957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T1026">
        <v>0</v>
      </c>
      <c r="U1026" t="s">
        <v>1957</v>
      </c>
    </row>
    <row r="1027" spans="1:21" x14ac:dyDescent="0.25">
      <c r="H1027" t="s">
        <v>1961</v>
      </c>
    </row>
    <row r="1028" spans="1:21" x14ac:dyDescent="0.25">
      <c r="A1028">
        <v>511</v>
      </c>
      <c r="B1028">
        <v>6233</v>
      </c>
      <c r="C1028" t="s">
        <v>472</v>
      </c>
      <c r="D1028" t="s">
        <v>1926</v>
      </c>
      <c r="E1028" t="s">
        <v>36</v>
      </c>
      <c r="F1028" t="s">
        <v>1962</v>
      </c>
      <c r="G1028" t="str">
        <f>"00086358"</f>
        <v>00086358</v>
      </c>
      <c r="H1028" t="s">
        <v>1963</v>
      </c>
      <c r="I1028">
        <v>0</v>
      </c>
      <c r="J1028">
        <v>0</v>
      </c>
      <c r="K1028">
        <v>0</v>
      </c>
      <c r="L1028">
        <v>50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6</v>
      </c>
      <c r="S1028">
        <v>807</v>
      </c>
      <c r="T1028">
        <v>1</v>
      </c>
      <c r="U1028" t="s">
        <v>1964</v>
      </c>
    </row>
    <row r="1029" spans="1:21" x14ac:dyDescent="0.25">
      <c r="H1029" t="s">
        <v>1965</v>
      </c>
    </row>
    <row r="1030" spans="1:21" x14ac:dyDescent="0.25">
      <c r="A1030">
        <v>512</v>
      </c>
      <c r="B1030">
        <v>6233</v>
      </c>
      <c r="C1030" t="s">
        <v>472</v>
      </c>
      <c r="D1030" t="s">
        <v>1926</v>
      </c>
      <c r="E1030" t="s">
        <v>36</v>
      </c>
      <c r="F1030" t="s">
        <v>1962</v>
      </c>
      <c r="G1030" t="str">
        <f>"00086358"</f>
        <v>00086358</v>
      </c>
      <c r="H1030" t="s">
        <v>1963</v>
      </c>
      <c r="I1030">
        <v>0</v>
      </c>
      <c r="J1030">
        <v>0</v>
      </c>
      <c r="K1030">
        <v>0</v>
      </c>
      <c r="L1030">
        <v>50</v>
      </c>
      <c r="M1030">
        <v>0</v>
      </c>
      <c r="N1030">
        <v>0</v>
      </c>
      <c r="O1030">
        <v>0</v>
      </c>
      <c r="P1030">
        <v>0</v>
      </c>
      <c r="Q1030">
        <v>0</v>
      </c>
      <c r="T1030">
        <v>1</v>
      </c>
      <c r="U1030" t="s">
        <v>1964</v>
      </c>
    </row>
    <row r="1031" spans="1:21" x14ac:dyDescent="0.25">
      <c r="H1031" t="s">
        <v>1965</v>
      </c>
    </row>
    <row r="1032" spans="1:21" x14ac:dyDescent="0.25">
      <c r="A1032">
        <v>513</v>
      </c>
      <c r="B1032">
        <v>1908</v>
      </c>
      <c r="C1032" t="s">
        <v>1966</v>
      </c>
      <c r="D1032" t="s">
        <v>121</v>
      </c>
      <c r="E1032" t="s">
        <v>225</v>
      </c>
      <c r="F1032" t="s">
        <v>1967</v>
      </c>
      <c r="G1032" t="str">
        <f>"201511032800"</f>
        <v>201511032800</v>
      </c>
      <c r="H1032" t="s">
        <v>1968</v>
      </c>
      <c r="I1032">
        <v>150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T1032">
        <v>0</v>
      </c>
      <c r="U1032" t="s">
        <v>1969</v>
      </c>
    </row>
    <row r="1033" spans="1:21" x14ac:dyDescent="0.25">
      <c r="H1033" t="s">
        <v>1970</v>
      </c>
    </row>
    <row r="1034" spans="1:21" x14ac:dyDescent="0.25">
      <c r="A1034">
        <v>514</v>
      </c>
      <c r="B1034">
        <v>7585</v>
      </c>
      <c r="C1034" t="s">
        <v>1971</v>
      </c>
      <c r="D1034" t="s">
        <v>1972</v>
      </c>
      <c r="E1034" t="s">
        <v>533</v>
      </c>
      <c r="F1034" t="s">
        <v>1973</v>
      </c>
      <c r="G1034" t="str">
        <f>"201511015344"</f>
        <v>201511015344</v>
      </c>
      <c r="H1034" t="s">
        <v>1968</v>
      </c>
      <c r="I1034">
        <v>150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T1034">
        <v>0</v>
      </c>
      <c r="U1034" t="s">
        <v>1969</v>
      </c>
    </row>
    <row r="1035" spans="1:21" x14ac:dyDescent="0.25">
      <c r="H1035" t="s">
        <v>1974</v>
      </c>
    </row>
    <row r="1036" spans="1:21" x14ac:dyDescent="0.25">
      <c r="A1036">
        <v>515</v>
      </c>
      <c r="B1036">
        <v>5970</v>
      </c>
      <c r="C1036" t="s">
        <v>1975</v>
      </c>
      <c r="D1036" t="s">
        <v>366</v>
      </c>
      <c r="E1036" t="s">
        <v>263</v>
      </c>
      <c r="F1036" t="s">
        <v>1976</v>
      </c>
      <c r="G1036" t="str">
        <f>"201511027641"</f>
        <v>201511027641</v>
      </c>
      <c r="H1036" t="s">
        <v>1560</v>
      </c>
      <c r="I1036">
        <v>150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T1036">
        <v>0</v>
      </c>
      <c r="U1036" t="s">
        <v>1977</v>
      </c>
    </row>
    <row r="1037" spans="1:21" x14ac:dyDescent="0.25">
      <c r="H1037" t="s">
        <v>1978</v>
      </c>
    </row>
    <row r="1038" spans="1:21" x14ac:dyDescent="0.25">
      <c r="A1038">
        <v>516</v>
      </c>
      <c r="B1038">
        <v>4627</v>
      </c>
      <c r="C1038" t="s">
        <v>1979</v>
      </c>
      <c r="D1038" t="s">
        <v>546</v>
      </c>
      <c r="E1038" t="s">
        <v>27</v>
      </c>
      <c r="F1038" t="s">
        <v>1980</v>
      </c>
      <c r="G1038" t="str">
        <f>"201511025461"</f>
        <v>201511025461</v>
      </c>
      <c r="H1038" t="s">
        <v>1560</v>
      </c>
      <c r="I1038">
        <v>150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T1038">
        <v>0</v>
      </c>
      <c r="U1038" t="s">
        <v>1977</v>
      </c>
    </row>
    <row r="1039" spans="1:21" x14ac:dyDescent="0.25">
      <c r="H1039" t="s">
        <v>1981</v>
      </c>
    </row>
    <row r="1040" spans="1:21" x14ac:dyDescent="0.25">
      <c r="A1040">
        <v>517</v>
      </c>
      <c r="B1040">
        <v>10151</v>
      </c>
      <c r="C1040" t="s">
        <v>1982</v>
      </c>
      <c r="D1040" t="s">
        <v>313</v>
      </c>
      <c r="E1040" t="s">
        <v>582</v>
      </c>
      <c r="F1040" t="s">
        <v>1983</v>
      </c>
      <c r="G1040" t="str">
        <f>"201402000345"</f>
        <v>201402000345</v>
      </c>
      <c r="H1040" t="s">
        <v>341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T1040">
        <v>2</v>
      </c>
      <c r="U1040" t="s">
        <v>341</v>
      </c>
    </row>
    <row r="1041" spans="1:21" x14ac:dyDescent="0.25">
      <c r="H1041" t="s">
        <v>1984</v>
      </c>
    </row>
    <row r="1042" spans="1:21" x14ac:dyDescent="0.25">
      <c r="A1042">
        <v>518</v>
      </c>
      <c r="B1042">
        <v>360</v>
      </c>
      <c r="C1042" t="s">
        <v>1985</v>
      </c>
      <c r="D1042" t="s">
        <v>95</v>
      </c>
      <c r="E1042" t="s">
        <v>27</v>
      </c>
      <c r="F1042" t="s">
        <v>1986</v>
      </c>
      <c r="G1042" t="str">
        <f>"00029655"</f>
        <v>00029655</v>
      </c>
      <c r="H1042" t="s">
        <v>341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T1042">
        <v>0</v>
      </c>
      <c r="U1042" t="s">
        <v>341</v>
      </c>
    </row>
    <row r="1043" spans="1:21" x14ac:dyDescent="0.25">
      <c r="H1043" t="s">
        <v>1987</v>
      </c>
    </row>
    <row r="1044" spans="1:21" x14ac:dyDescent="0.25">
      <c r="A1044">
        <v>519</v>
      </c>
      <c r="B1044">
        <v>9036</v>
      </c>
      <c r="C1044" t="s">
        <v>1988</v>
      </c>
      <c r="D1044" t="s">
        <v>85</v>
      </c>
      <c r="E1044" t="s">
        <v>37</v>
      </c>
      <c r="F1044" t="s">
        <v>1989</v>
      </c>
      <c r="G1044" t="str">
        <f>"00022215"</f>
        <v>00022215</v>
      </c>
      <c r="H1044" t="s">
        <v>1735</v>
      </c>
      <c r="I1044">
        <v>0</v>
      </c>
      <c r="J1044">
        <v>30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T1044">
        <v>0</v>
      </c>
      <c r="U1044" t="s">
        <v>1990</v>
      </c>
    </row>
    <row r="1045" spans="1:21" x14ac:dyDescent="0.25">
      <c r="H1045" t="s">
        <v>1991</v>
      </c>
    </row>
    <row r="1046" spans="1:21" x14ac:dyDescent="0.25">
      <c r="A1046">
        <v>520</v>
      </c>
      <c r="B1046">
        <v>2673</v>
      </c>
      <c r="C1046" t="s">
        <v>1992</v>
      </c>
      <c r="D1046" t="s">
        <v>1131</v>
      </c>
      <c r="E1046" t="s">
        <v>533</v>
      </c>
      <c r="F1046" t="s">
        <v>1993</v>
      </c>
      <c r="G1046" t="str">
        <f>"200802005180"</f>
        <v>200802005180</v>
      </c>
      <c r="H1046" t="s">
        <v>1735</v>
      </c>
      <c r="I1046">
        <v>0</v>
      </c>
      <c r="J1046">
        <v>30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T1046">
        <v>0</v>
      </c>
      <c r="U1046" t="s">
        <v>1990</v>
      </c>
    </row>
    <row r="1047" spans="1:21" x14ac:dyDescent="0.25">
      <c r="H1047" t="s">
        <v>1994</v>
      </c>
    </row>
    <row r="1048" spans="1:21" x14ac:dyDescent="0.25">
      <c r="A1048">
        <v>521</v>
      </c>
      <c r="B1048">
        <v>10374</v>
      </c>
      <c r="C1048" t="s">
        <v>1995</v>
      </c>
      <c r="D1048" t="s">
        <v>173</v>
      </c>
      <c r="E1048" t="s">
        <v>696</v>
      </c>
      <c r="F1048" t="s">
        <v>1996</v>
      </c>
      <c r="G1048" t="str">
        <f>"00087895"</f>
        <v>00087895</v>
      </c>
      <c r="H1048">
        <v>1023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T1048">
        <v>2</v>
      </c>
      <c r="U1048">
        <v>1023</v>
      </c>
    </row>
    <row r="1049" spans="1:21" x14ac:dyDescent="0.25">
      <c r="H1049" t="s">
        <v>1997</v>
      </c>
    </row>
    <row r="1050" spans="1:21" x14ac:dyDescent="0.25">
      <c r="A1050">
        <v>522</v>
      </c>
      <c r="B1050">
        <v>10198</v>
      </c>
      <c r="C1050" t="s">
        <v>1998</v>
      </c>
      <c r="D1050" t="s">
        <v>1999</v>
      </c>
      <c r="E1050" t="s">
        <v>42</v>
      </c>
      <c r="F1050" t="s">
        <v>2000</v>
      </c>
      <c r="G1050" t="str">
        <f>"00070833"</f>
        <v>00070833</v>
      </c>
      <c r="H1050">
        <v>1023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T1050">
        <v>0</v>
      </c>
      <c r="U1050">
        <v>1023</v>
      </c>
    </row>
    <row r="1051" spans="1:21" x14ac:dyDescent="0.25">
      <c r="H1051" t="s">
        <v>2001</v>
      </c>
    </row>
    <row r="1052" spans="1:21" x14ac:dyDescent="0.25">
      <c r="A1052">
        <v>523</v>
      </c>
      <c r="B1052">
        <v>321</v>
      </c>
      <c r="C1052" t="s">
        <v>2002</v>
      </c>
      <c r="D1052" t="s">
        <v>2003</v>
      </c>
      <c r="E1052" t="s">
        <v>135</v>
      </c>
      <c r="F1052" t="s">
        <v>2004</v>
      </c>
      <c r="G1052" t="str">
        <f>"00040284"</f>
        <v>00040284</v>
      </c>
      <c r="H1052">
        <v>1023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T1052">
        <v>1</v>
      </c>
      <c r="U1052">
        <v>1023</v>
      </c>
    </row>
    <row r="1053" spans="1:21" x14ac:dyDescent="0.25">
      <c r="H1053" t="s">
        <v>710</v>
      </c>
    </row>
    <row r="1054" spans="1:21" x14ac:dyDescent="0.25">
      <c r="A1054">
        <v>524</v>
      </c>
      <c r="B1054">
        <v>2081</v>
      </c>
      <c r="C1054" t="s">
        <v>2005</v>
      </c>
      <c r="D1054" t="s">
        <v>135</v>
      </c>
      <c r="E1054" t="s">
        <v>614</v>
      </c>
      <c r="F1054" t="s">
        <v>2006</v>
      </c>
      <c r="G1054" t="str">
        <f>"201511028681"</f>
        <v>201511028681</v>
      </c>
      <c r="H1054">
        <v>1023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T1054">
        <v>0</v>
      </c>
      <c r="U1054">
        <v>1023</v>
      </c>
    </row>
    <row r="1055" spans="1:21" x14ac:dyDescent="0.25">
      <c r="H1055" t="s">
        <v>2007</v>
      </c>
    </row>
    <row r="1056" spans="1:21" x14ac:dyDescent="0.25">
      <c r="A1056">
        <v>525</v>
      </c>
      <c r="B1056">
        <v>7950</v>
      </c>
      <c r="C1056" t="s">
        <v>2008</v>
      </c>
      <c r="D1056" t="s">
        <v>2009</v>
      </c>
      <c r="E1056" t="s">
        <v>37</v>
      </c>
      <c r="F1056" t="s">
        <v>2010</v>
      </c>
      <c r="G1056" t="str">
        <f>"00021803"</f>
        <v>00021803</v>
      </c>
      <c r="H1056">
        <v>1023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T1056">
        <v>0</v>
      </c>
      <c r="U1056">
        <v>1023</v>
      </c>
    </row>
    <row r="1057" spans="1:21" x14ac:dyDescent="0.25">
      <c r="H1057" t="s">
        <v>177</v>
      </c>
    </row>
    <row r="1058" spans="1:21" x14ac:dyDescent="0.25">
      <c r="A1058">
        <v>526</v>
      </c>
      <c r="B1058">
        <v>8672</v>
      </c>
      <c r="C1058" t="s">
        <v>2011</v>
      </c>
      <c r="D1058" t="s">
        <v>85</v>
      </c>
      <c r="E1058" t="s">
        <v>614</v>
      </c>
      <c r="F1058" t="s">
        <v>2012</v>
      </c>
      <c r="G1058" t="str">
        <f>"00101217"</f>
        <v>00101217</v>
      </c>
      <c r="H1058">
        <v>1023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T1058">
        <v>0</v>
      </c>
      <c r="U1058">
        <v>1023</v>
      </c>
    </row>
    <row r="1059" spans="1:21" x14ac:dyDescent="0.25">
      <c r="H1059" t="s">
        <v>2013</v>
      </c>
    </row>
    <row r="1060" spans="1:21" x14ac:dyDescent="0.25">
      <c r="A1060">
        <v>527</v>
      </c>
      <c r="B1060">
        <v>841</v>
      </c>
      <c r="C1060" t="s">
        <v>2014</v>
      </c>
      <c r="D1060" t="s">
        <v>42</v>
      </c>
      <c r="E1060" t="s">
        <v>37</v>
      </c>
      <c r="F1060" t="s">
        <v>2015</v>
      </c>
      <c r="G1060" t="str">
        <f>"201511012518"</f>
        <v>201511012518</v>
      </c>
      <c r="H1060">
        <v>1023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T1060">
        <v>0</v>
      </c>
      <c r="U1060">
        <v>1023</v>
      </c>
    </row>
    <row r="1061" spans="1:21" x14ac:dyDescent="0.25">
      <c r="H1061" t="s">
        <v>2016</v>
      </c>
    </row>
    <row r="1062" spans="1:21" x14ac:dyDescent="0.25">
      <c r="A1062">
        <v>528</v>
      </c>
      <c r="B1062">
        <v>7180</v>
      </c>
      <c r="C1062" t="s">
        <v>2017</v>
      </c>
      <c r="D1062" t="s">
        <v>313</v>
      </c>
      <c r="E1062" t="s">
        <v>2018</v>
      </c>
      <c r="F1062" t="s">
        <v>2019</v>
      </c>
      <c r="G1062" t="str">
        <f>"201511020281"</f>
        <v>201511020281</v>
      </c>
      <c r="H1062">
        <v>1023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T1062">
        <v>0</v>
      </c>
      <c r="U1062">
        <v>1023</v>
      </c>
    </row>
    <row r="1063" spans="1:21" x14ac:dyDescent="0.25">
      <c r="H1063" t="s">
        <v>2020</v>
      </c>
    </row>
    <row r="1064" spans="1:21" x14ac:dyDescent="0.25">
      <c r="A1064">
        <v>529</v>
      </c>
      <c r="B1064">
        <v>3435</v>
      </c>
      <c r="C1064" t="s">
        <v>2021</v>
      </c>
      <c r="D1064" t="s">
        <v>2022</v>
      </c>
      <c r="E1064" t="s">
        <v>27</v>
      </c>
      <c r="F1064" t="s">
        <v>2023</v>
      </c>
      <c r="G1064" t="str">
        <f>"201511026308"</f>
        <v>201511026308</v>
      </c>
      <c r="H1064">
        <v>1023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T1064">
        <v>0</v>
      </c>
      <c r="U1064">
        <v>1023</v>
      </c>
    </row>
    <row r="1065" spans="1:21" x14ac:dyDescent="0.25">
      <c r="H1065" t="s">
        <v>2024</v>
      </c>
    </row>
    <row r="1066" spans="1:21" x14ac:dyDescent="0.25">
      <c r="A1066">
        <v>530</v>
      </c>
      <c r="B1066">
        <v>4657</v>
      </c>
      <c r="C1066" t="s">
        <v>2011</v>
      </c>
      <c r="D1066" t="s">
        <v>2025</v>
      </c>
      <c r="E1066" t="s">
        <v>668</v>
      </c>
      <c r="F1066" t="s">
        <v>2026</v>
      </c>
      <c r="G1066" t="str">
        <f>"201407000111"</f>
        <v>201407000111</v>
      </c>
      <c r="H1066" t="s">
        <v>2027</v>
      </c>
      <c r="I1066">
        <v>150</v>
      </c>
      <c r="J1066">
        <v>30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T1066">
        <v>1</v>
      </c>
      <c r="U1066" t="s">
        <v>2028</v>
      </c>
    </row>
    <row r="1067" spans="1:21" x14ac:dyDescent="0.25">
      <c r="H1067" t="s">
        <v>2029</v>
      </c>
    </row>
    <row r="1068" spans="1:21" x14ac:dyDescent="0.25">
      <c r="A1068">
        <v>531</v>
      </c>
      <c r="B1068">
        <v>1044</v>
      </c>
      <c r="C1068" t="s">
        <v>2030</v>
      </c>
      <c r="D1068" t="s">
        <v>2031</v>
      </c>
      <c r="E1068" t="s">
        <v>1132</v>
      </c>
      <c r="F1068" t="s">
        <v>2032</v>
      </c>
      <c r="G1068" t="str">
        <f>"201511014358"</f>
        <v>201511014358</v>
      </c>
      <c r="H1068" t="s">
        <v>2033</v>
      </c>
      <c r="I1068">
        <v>0</v>
      </c>
      <c r="J1068">
        <v>50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T1068">
        <v>0</v>
      </c>
      <c r="U1068" t="s">
        <v>2034</v>
      </c>
    </row>
    <row r="1069" spans="1:21" x14ac:dyDescent="0.25">
      <c r="H1069" t="s">
        <v>1763</v>
      </c>
    </row>
    <row r="1070" spans="1:21" x14ac:dyDescent="0.25">
      <c r="A1070">
        <v>532</v>
      </c>
      <c r="B1070">
        <v>8458</v>
      </c>
      <c r="C1070" t="s">
        <v>2035</v>
      </c>
      <c r="D1070" t="s">
        <v>2036</v>
      </c>
      <c r="E1070" t="s">
        <v>259</v>
      </c>
      <c r="F1070" t="s">
        <v>2037</v>
      </c>
      <c r="G1070" t="str">
        <f>"201511041221"</f>
        <v>201511041221</v>
      </c>
      <c r="H1070" t="s">
        <v>2038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6</v>
      </c>
      <c r="S1070">
        <v>763</v>
      </c>
      <c r="T1070">
        <v>0</v>
      </c>
      <c r="U1070" t="s">
        <v>2038</v>
      </c>
    </row>
    <row r="1071" spans="1:21" x14ac:dyDescent="0.25">
      <c r="H1071" t="s">
        <v>2039</v>
      </c>
    </row>
    <row r="1072" spans="1:21" x14ac:dyDescent="0.25">
      <c r="A1072">
        <v>533</v>
      </c>
      <c r="B1072">
        <v>8458</v>
      </c>
      <c r="C1072" t="s">
        <v>2035</v>
      </c>
      <c r="D1072" t="s">
        <v>2036</v>
      </c>
      <c r="E1072" t="s">
        <v>259</v>
      </c>
      <c r="F1072" t="s">
        <v>2037</v>
      </c>
      <c r="G1072" t="str">
        <f>"201511041221"</f>
        <v>201511041221</v>
      </c>
      <c r="H1072" t="s">
        <v>2038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T1072">
        <v>0</v>
      </c>
      <c r="U1072" t="s">
        <v>2038</v>
      </c>
    </row>
    <row r="1073" spans="1:21" x14ac:dyDescent="0.25">
      <c r="H1073" t="s">
        <v>2039</v>
      </c>
    </row>
    <row r="1074" spans="1:21" x14ac:dyDescent="0.25">
      <c r="A1074">
        <v>534</v>
      </c>
      <c r="B1074">
        <v>9945</v>
      </c>
      <c r="C1074" t="s">
        <v>2040</v>
      </c>
      <c r="D1074" t="s">
        <v>818</v>
      </c>
      <c r="E1074" t="s">
        <v>474</v>
      </c>
      <c r="F1074" t="s">
        <v>2041</v>
      </c>
      <c r="G1074" t="str">
        <f>"00095765"</f>
        <v>00095765</v>
      </c>
      <c r="H1074" t="s">
        <v>2042</v>
      </c>
      <c r="I1074">
        <v>150</v>
      </c>
      <c r="J1074">
        <v>30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T1074">
        <v>0</v>
      </c>
      <c r="U1074" t="s">
        <v>2043</v>
      </c>
    </row>
    <row r="1075" spans="1:21" x14ac:dyDescent="0.25">
      <c r="H1075" t="s">
        <v>2044</v>
      </c>
    </row>
    <row r="1076" spans="1:21" x14ac:dyDescent="0.25">
      <c r="A1076">
        <v>535</v>
      </c>
      <c r="B1076">
        <v>6562</v>
      </c>
      <c r="C1076" t="s">
        <v>2045</v>
      </c>
      <c r="D1076" t="s">
        <v>2046</v>
      </c>
      <c r="E1076" t="s">
        <v>42</v>
      </c>
      <c r="F1076" t="s">
        <v>2047</v>
      </c>
      <c r="G1076" t="str">
        <f>"201511025231"</f>
        <v>201511025231</v>
      </c>
      <c r="H1076" t="s">
        <v>2048</v>
      </c>
      <c r="I1076">
        <v>150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T1076">
        <v>2</v>
      </c>
      <c r="U1076" t="s">
        <v>2049</v>
      </c>
    </row>
    <row r="1077" spans="1:21" x14ac:dyDescent="0.25">
      <c r="H1077" t="s">
        <v>1465</v>
      </c>
    </row>
    <row r="1078" spans="1:21" x14ac:dyDescent="0.25">
      <c r="A1078">
        <v>536</v>
      </c>
      <c r="B1078">
        <v>9802</v>
      </c>
      <c r="C1078" t="s">
        <v>1057</v>
      </c>
      <c r="D1078" t="s">
        <v>1683</v>
      </c>
      <c r="E1078" t="s">
        <v>42</v>
      </c>
      <c r="F1078" t="s">
        <v>2050</v>
      </c>
      <c r="G1078" t="str">
        <f>"00078833"</f>
        <v>00078833</v>
      </c>
      <c r="H1078" t="s">
        <v>2048</v>
      </c>
      <c r="I1078">
        <v>150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T1078">
        <v>1</v>
      </c>
      <c r="U1078" t="s">
        <v>2049</v>
      </c>
    </row>
    <row r="1079" spans="1:21" x14ac:dyDescent="0.25">
      <c r="H1079" t="s">
        <v>114</v>
      </c>
    </row>
    <row r="1080" spans="1:21" x14ac:dyDescent="0.25">
      <c r="A1080">
        <v>537</v>
      </c>
      <c r="B1080">
        <v>3220</v>
      </c>
      <c r="C1080" t="s">
        <v>2051</v>
      </c>
      <c r="D1080" t="s">
        <v>225</v>
      </c>
      <c r="E1080" t="s">
        <v>225</v>
      </c>
      <c r="F1080" t="s">
        <v>2052</v>
      </c>
      <c r="G1080" t="str">
        <f>"00022679"</f>
        <v>00022679</v>
      </c>
      <c r="H1080" t="s">
        <v>2048</v>
      </c>
      <c r="I1080">
        <v>150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T1080">
        <v>0</v>
      </c>
      <c r="U1080" t="s">
        <v>2049</v>
      </c>
    </row>
    <row r="1081" spans="1:21" x14ac:dyDescent="0.25">
      <c r="H1081" t="s">
        <v>2053</v>
      </c>
    </row>
    <row r="1082" spans="1:21" x14ac:dyDescent="0.25">
      <c r="A1082">
        <v>538</v>
      </c>
      <c r="B1082">
        <v>1119</v>
      </c>
      <c r="C1082" t="s">
        <v>2054</v>
      </c>
      <c r="D1082" t="s">
        <v>1131</v>
      </c>
      <c r="E1082" t="s">
        <v>27</v>
      </c>
      <c r="F1082" t="s">
        <v>2055</v>
      </c>
      <c r="G1082" t="str">
        <f>"201511010996"</f>
        <v>201511010996</v>
      </c>
      <c r="H1082" t="s">
        <v>227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T1082">
        <v>0</v>
      </c>
      <c r="U1082" t="s">
        <v>227</v>
      </c>
    </row>
    <row r="1083" spans="1:21" x14ac:dyDescent="0.25">
      <c r="H1083" t="s">
        <v>1138</v>
      </c>
    </row>
    <row r="1084" spans="1:21" x14ac:dyDescent="0.25">
      <c r="A1084">
        <v>539</v>
      </c>
      <c r="B1084">
        <v>3958</v>
      </c>
      <c r="C1084" t="s">
        <v>2056</v>
      </c>
      <c r="D1084" t="s">
        <v>911</v>
      </c>
      <c r="E1084" t="s">
        <v>2057</v>
      </c>
      <c r="F1084" t="s">
        <v>2058</v>
      </c>
      <c r="G1084" t="str">
        <f>"00021932"</f>
        <v>00021932</v>
      </c>
      <c r="H1084" t="s">
        <v>227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T1084">
        <v>0</v>
      </c>
      <c r="U1084" t="s">
        <v>227</v>
      </c>
    </row>
    <row r="1085" spans="1:21" x14ac:dyDescent="0.25">
      <c r="H1085" t="s">
        <v>2059</v>
      </c>
    </row>
    <row r="1086" spans="1:21" x14ac:dyDescent="0.25">
      <c r="A1086">
        <v>540</v>
      </c>
      <c r="B1086">
        <v>3776</v>
      </c>
      <c r="C1086" t="s">
        <v>2060</v>
      </c>
      <c r="D1086" t="s">
        <v>121</v>
      </c>
      <c r="E1086" t="s">
        <v>2061</v>
      </c>
      <c r="F1086" t="s">
        <v>2062</v>
      </c>
      <c r="G1086" t="str">
        <f>"00040942"</f>
        <v>00040942</v>
      </c>
      <c r="H1086" t="s">
        <v>227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T1086">
        <v>0</v>
      </c>
      <c r="U1086" t="s">
        <v>227</v>
      </c>
    </row>
    <row r="1087" spans="1:21" x14ac:dyDescent="0.25">
      <c r="H1087" t="s">
        <v>2063</v>
      </c>
    </row>
    <row r="1088" spans="1:21" x14ac:dyDescent="0.25">
      <c r="A1088">
        <v>541</v>
      </c>
      <c r="B1088">
        <v>9851</v>
      </c>
      <c r="C1088" t="s">
        <v>2064</v>
      </c>
      <c r="D1088" t="s">
        <v>2065</v>
      </c>
      <c r="E1088" t="s">
        <v>2066</v>
      </c>
      <c r="F1088" t="s">
        <v>2067</v>
      </c>
      <c r="G1088" t="str">
        <f>"00102251"</f>
        <v>00102251</v>
      </c>
      <c r="H1088">
        <v>990</v>
      </c>
      <c r="I1088">
        <v>0</v>
      </c>
      <c r="J1088">
        <v>30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T1088">
        <v>0</v>
      </c>
      <c r="U1088">
        <v>1020</v>
      </c>
    </row>
    <row r="1089" spans="1:21" x14ac:dyDescent="0.25">
      <c r="H1089" t="s">
        <v>2068</v>
      </c>
    </row>
    <row r="1090" spans="1:21" x14ac:dyDescent="0.25">
      <c r="A1090">
        <v>542</v>
      </c>
      <c r="B1090">
        <v>6392</v>
      </c>
      <c r="C1090" t="s">
        <v>2069</v>
      </c>
      <c r="D1090" t="s">
        <v>528</v>
      </c>
      <c r="E1090" t="s">
        <v>135</v>
      </c>
      <c r="F1090" t="s">
        <v>2070</v>
      </c>
      <c r="G1090" t="str">
        <f>"200806000243"</f>
        <v>200806000243</v>
      </c>
      <c r="H1090">
        <v>990</v>
      </c>
      <c r="I1090">
        <v>0</v>
      </c>
      <c r="J1090">
        <v>30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T1090">
        <v>0</v>
      </c>
      <c r="U1090">
        <v>1020</v>
      </c>
    </row>
    <row r="1091" spans="1:21" x14ac:dyDescent="0.25">
      <c r="H1091" t="s">
        <v>2071</v>
      </c>
    </row>
    <row r="1092" spans="1:21" x14ac:dyDescent="0.25">
      <c r="A1092">
        <v>543</v>
      </c>
      <c r="B1092">
        <v>2122</v>
      </c>
      <c r="C1092" t="s">
        <v>2072</v>
      </c>
      <c r="D1092" t="s">
        <v>121</v>
      </c>
      <c r="E1092" t="s">
        <v>231</v>
      </c>
      <c r="F1092" t="s">
        <v>2073</v>
      </c>
      <c r="G1092" t="str">
        <f>"201511027779"</f>
        <v>201511027779</v>
      </c>
      <c r="H1092">
        <v>990</v>
      </c>
      <c r="I1092">
        <v>0</v>
      </c>
      <c r="J1092">
        <v>30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T1092">
        <v>0</v>
      </c>
      <c r="U1092">
        <v>1020</v>
      </c>
    </row>
    <row r="1093" spans="1:21" x14ac:dyDescent="0.25">
      <c r="H1093" t="s">
        <v>2074</v>
      </c>
    </row>
    <row r="1094" spans="1:21" x14ac:dyDescent="0.25">
      <c r="A1094">
        <v>544</v>
      </c>
      <c r="B1094">
        <v>7572</v>
      </c>
      <c r="C1094" t="s">
        <v>2075</v>
      </c>
      <c r="D1094" t="s">
        <v>2076</v>
      </c>
      <c r="E1094" t="s">
        <v>112</v>
      </c>
      <c r="F1094" t="s">
        <v>2077</v>
      </c>
      <c r="G1094" t="str">
        <f>"201102000649"</f>
        <v>201102000649</v>
      </c>
      <c r="H1094">
        <v>990</v>
      </c>
      <c r="I1094">
        <v>0</v>
      </c>
      <c r="J1094">
        <v>30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T1094">
        <v>0</v>
      </c>
      <c r="U1094">
        <v>1020</v>
      </c>
    </row>
    <row r="1095" spans="1:21" x14ac:dyDescent="0.25">
      <c r="H1095" t="s">
        <v>2078</v>
      </c>
    </row>
    <row r="1096" spans="1:21" x14ac:dyDescent="0.25">
      <c r="A1096">
        <v>545</v>
      </c>
      <c r="B1096">
        <v>1650</v>
      </c>
      <c r="C1096" t="s">
        <v>2079</v>
      </c>
      <c r="D1096" t="s">
        <v>78</v>
      </c>
      <c r="E1096" t="s">
        <v>42</v>
      </c>
      <c r="F1096" t="s">
        <v>2080</v>
      </c>
      <c r="G1096" t="str">
        <f>"00030690"</f>
        <v>00030690</v>
      </c>
      <c r="H1096">
        <v>990</v>
      </c>
      <c r="I1096">
        <v>0</v>
      </c>
      <c r="J1096">
        <v>30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T1096">
        <v>0</v>
      </c>
      <c r="U1096">
        <v>1020</v>
      </c>
    </row>
    <row r="1097" spans="1:21" x14ac:dyDescent="0.25">
      <c r="H1097" t="s">
        <v>2081</v>
      </c>
    </row>
    <row r="1098" spans="1:21" x14ac:dyDescent="0.25">
      <c r="A1098">
        <v>546</v>
      </c>
      <c r="B1098">
        <v>9257</v>
      </c>
      <c r="C1098" t="s">
        <v>2082</v>
      </c>
      <c r="D1098" t="s">
        <v>372</v>
      </c>
      <c r="E1098" t="s">
        <v>2083</v>
      </c>
      <c r="F1098" t="s">
        <v>2084</v>
      </c>
      <c r="G1098" t="str">
        <f>"201511038420"</f>
        <v>201511038420</v>
      </c>
      <c r="H1098">
        <v>990</v>
      </c>
      <c r="I1098">
        <v>0</v>
      </c>
      <c r="J1098">
        <v>30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T1098">
        <v>0</v>
      </c>
      <c r="U1098">
        <v>1020</v>
      </c>
    </row>
    <row r="1099" spans="1:21" x14ac:dyDescent="0.25">
      <c r="H1099" t="s">
        <v>2085</v>
      </c>
    </row>
    <row r="1100" spans="1:21" x14ac:dyDescent="0.25">
      <c r="A1100">
        <v>547</v>
      </c>
      <c r="B1100">
        <v>9257</v>
      </c>
      <c r="C1100" t="s">
        <v>2082</v>
      </c>
      <c r="D1100" t="s">
        <v>372</v>
      </c>
      <c r="E1100" t="s">
        <v>2083</v>
      </c>
      <c r="F1100" t="s">
        <v>2084</v>
      </c>
      <c r="G1100" t="str">
        <f>"201511038420"</f>
        <v>201511038420</v>
      </c>
      <c r="H1100">
        <v>990</v>
      </c>
      <c r="I1100">
        <v>0</v>
      </c>
      <c r="J1100">
        <v>30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6</v>
      </c>
      <c r="S1100">
        <v>804</v>
      </c>
      <c r="T1100">
        <v>0</v>
      </c>
      <c r="U1100">
        <v>1020</v>
      </c>
    </row>
    <row r="1101" spans="1:21" x14ac:dyDescent="0.25">
      <c r="H1101" t="s">
        <v>2085</v>
      </c>
    </row>
    <row r="1102" spans="1:21" x14ac:dyDescent="0.25">
      <c r="A1102">
        <v>548</v>
      </c>
      <c r="B1102">
        <v>1529</v>
      </c>
      <c r="C1102" t="s">
        <v>2086</v>
      </c>
      <c r="D1102" t="s">
        <v>64</v>
      </c>
      <c r="E1102" t="s">
        <v>474</v>
      </c>
      <c r="F1102" t="s">
        <v>2087</v>
      </c>
      <c r="G1102" t="str">
        <f>"201102000408"</f>
        <v>201102000408</v>
      </c>
      <c r="H1102">
        <v>990</v>
      </c>
      <c r="I1102">
        <v>0</v>
      </c>
      <c r="J1102">
        <v>30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T1102">
        <v>0</v>
      </c>
      <c r="U1102">
        <v>1020</v>
      </c>
    </row>
    <row r="1103" spans="1:21" x14ac:dyDescent="0.25">
      <c r="H1103" t="s">
        <v>2088</v>
      </c>
    </row>
    <row r="1104" spans="1:21" x14ac:dyDescent="0.25">
      <c r="A1104">
        <v>549</v>
      </c>
      <c r="B1104">
        <v>1016</v>
      </c>
      <c r="C1104" t="s">
        <v>2089</v>
      </c>
      <c r="D1104" t="s">
        <v>85</v>
      </c>
      <c r="E1104" t="s">
        <v>42</v>
      </c>
      <c r="F1104" t="s">
        <v>2090</v>
      </c>
      <c r="G1104" t="str">
        <f>"201402010332"</f>
        <v>201402010332</v>
      </c>
      <c r="H1104">
        <v>990</v>
      </c>
      <c r="I1104">
        <v>0</v>
      </c>
      <c r="J1104">
        <v>30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T1104">
        <v>0</v>
      </c>
      <c r="U1104">
        <v>1020</v>
      </c>
    </row>
    <row r="1105" spans="1:21" x14ac:dyDescent="0.25">
      <c r="H1105" t="s">
        <v>2091</v>
      </c>
    </row>
    <row r="1106" spans="1:21" x14ac:dyDescent="0.25">
      <c r="A1106">
        <v>550</v>
      </c>
      <c r="B1106">
        <v>250</v>
      </c>
      <c r="C1106" t="s">
        <v>2092</v>
      </c>
      <c r="D1106" t="s">
        <v>37</v>
      </c>
      <c r="E1106" t="s">
        <v>36</v>
      </c>
      <c r="F1106" t="s">
        <v>2093</v>
      </c>
      <c r="G1106" t="str">
        <f>"201506004061"</f>
        <v>201506004061</v>
      </c>
      <c r="H1106">
        <v>990</v>
      </c>
      <c r="I1106">
        <v>0</v>
      </c>
      <c r="J1106">
        <v>30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T1106">
        <v>0</v>
      </c>
      <c r="U1106">
        <v>1020</v>
      </c>
    </row>
    <row r="1107" spans="1:21" x14ac:dyDescent="0.25">
      <c r="H1107" t="s">
        <v>382</v>
      </c>
    </row>
    <row r="1108" spans="1:21" x14ac:dyDescent="0.25">
      <c r="A1108">
        <v>551</v>
      </c>
      <c r="B1108">
        <v>8211</v>
      </c>
      <c r="C1108" t="s">
        <v>2094</v>
      </c>
      <c r="D1108" t="s">
        <v>64</v>
      </c>
      <c r="E1108" t="s">
        <v>112</v>
      </c>
      <c r="F1108" t="s">
        <v>2095</v>
      </c>
      <c r="G1108" t="str">
        <f>"201511022588"</f>
        <v>201511022588</v>
      </c>
      <c r="H1108">
        <v>990</v>
      </c>
      <c r="I1108">
        <v>0</v>
      </c>
      <c r="J1108">
        <v>30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T1108">
        <v>0</v>
      </c>
      <c r="U1108">
        <v>1020</v>
      </c>
    </row>
    <row r="1109" spans="1:21" x14ac:dyDescent="0.25">
      <c r="H1109" t="s">
        <v>2096</v>
      </c>
    </row>
    <row r="1110" spans="1:21" x14ac:dyDescent="0.25">
      <c r="A1110">
        <v>552</v>
      </c>
      <c r="B1110">
        <v>2880</v>
      </c>
      <c r="C1110" t="s">
        <v>2097</v>
      </c>
      <c r="D1110" t="s">
        <v>589</v>
      </c>
      <c r="E1110" t="s">
        <v>27</v>
      </c>
      <c r="F1110" t="s">
        <v>2098</v>
      </c>
      <c r="G1110" t="str">
        <f>"201102000601"</f>
        <v>201102000601</v>
      </c>
      <c r="H1110">
        <v>990</v>
      </c>
      <c r="I1110">
        <v>0</v>
      </c>
      <c r="J1110">
        <v>30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T1110">
        <v>0</v>
      </c>
      <c r="U1110">
        <v>1020</v>
      </c>
    </row>
    <row r="1111" spans="1:21" x14ac:dyDescent="0.25">
      <c r="H1111" t="s">
        <v>2099</v>
      </c>
    </row>
    <row r="1112" spans="1:21" x14ac:dyDescent="0.25">
      <c r="A1112">
        <v>553</v>
      </c>
      <c r="B1112">
        <v>7995</v>
      </c>
      <c r="C1112" t="s">
        <v>2100</v>
      </c>
      <c r="D1112" t="s">
        <v>185</v>
      </c>
      <c r="E1112" t="s">
        <v>20</v>
      </c>
      <c r="F1112" t="s">
        <v>2101</v>
      </c>
      <c r="G1112" t="str">
        <f>"00043636"</f>
        <v>00043636</v>
      </c>
      <c r="H1112">
        <v>990</v>
      </c>
      <c r="I1112">
        <v>0</v>
      </c>
      <c r="J1112">
        <v>30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T1112">
        <v>0</v>
      </c>
      <c r="U1112">
        <v>1020</v>
      </c>
    </row>
    <row r="1113" spans="1:21" x14ac:dyDescent="0.25">
      <c r="H1113" t="s">
        <v>2102</v>
      </c>
    </row>
    <row r="1114" spans="1:21" x14ac:dyDescent="0.25">
      <c r="A1114">
        <v>554</v>
      </c>
      <c r="B1114">
        <v>540</v>
      </c>
      <c r="C1114" t="s">
        <v>2103</v>
      </c>
      <c r="D1114" t="s">
        <v>57</v>
      </c>
      <c r="E1114" t="s">
        <v>350</v>
      </c>
      <c r="F1114" t="s">
        <v>2104</v>
      </c>
      <c r="G1114" t="str">
        <f>"201511027627"</f>
        <v>201511027627</v>
      </c>
      <c r="H1114" t="s">
        <v>1363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T1114">
        <v>0</v>
      </c>
      <c r="U1114" t="s">
        <v>1363</v>
      </c>
    </row>
    <row r="1115" spans="1:21" x14ac:dyDescent="0.25">
      <c r="H1115" t="s">
        <v>2105</v>
      </c>
    </row>
    <row r="1116" spans="1:21" x14ac:dyDescent="0.25">
      <c r="A1116">
        <v>555</v>
      </c>
      <c r="B1116">
        <v>6978</v>
      </c>
      <c r="C1116" t="s">
        <v>2106</v>
      </c>
      <c r="D1116" t="s">
        <v>2107</v>
      </c>
      <c r="E1116" t="s">
        <v>27</v>
      </c>
      <c r="F1116" t="s">
        <v>2108</v>
      </c>
      <c r="G1116" t="str">
        <f>"00101945"</f>
        <v>00101945</v>
      </c>
      <c r="H1116" t="s">
        <v>1363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T1116">
        <v>2</v>
      </c>
      <c r="U1116" t="s">
        <v>1363</v>
      </c>
    </row>
    <row r="1117" spans="1:21" x14ac:dyDescent="0.25">
      <c r="H1117" t="s">
        <v>2109</v>
      </c>
    </row>
    <row r="1118" spans="1:21" x14ac:dyDescent="0.25">
      <c r="A1118">
        <v>556</v>
      </c>
      <c r="B1118">
        <v>7059</v>
      </c>
      <c r="C1118" t="s">
        <v>2110</v>
      </c>
      <c r="D1118" t="s">
        <v>64</v>
      </c>
      <c r="E1118" t="s">
        <v>36</v>
      </c>
      <c r="F1118" t="s">
        <v>2111</v>
      </c>
      <c r="G1118" t="str">
        <f>"201102000352"</f>
        <v>201102000352</v>
      </c>
      <c r="H1118" t="s">
        <v>1363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T1118">
        <v>0</v>
      </c>
      <c r="U1118" t="s">
        <v>1363</v>
      </c>
    </row>
    <row r="1119" spans="1:21" x14ac:dyDescent="0.25">
      <c r="H1119">
        <v>802</v>
      </c>
    </row>
    <row r="1120" spans="1:21" x14ac:dyDescent="0.25">
      <c r="A1120">
        <v>557</v>
      </c>
      <c r="B1120">
        <v>1652</v>
      </c>
      <c r="C1120" t="s">
        <v>2112</v>
      </c>
      <c r="D1120" t="s">
        <v>1241</v>
      </c>
      <c r="E1120" t="s">
        <v>36</v>
      </c>
      <c r="F1120" t="s">
        <v>2113</v>
      </c>
      <c r="G1120" t="str">
        <f>"201511031236"</f>
        <v>201511031236</v>
      </c>
      <c r="H1120">
        <v>869</v>
      </c>
      <c r="I1120">
        <v>150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T1120">
        <v>0</v>
      </c>
      <c r="U1120">
        <v>1019</v>
      </c>
    </row>
    <row r="1121" spans="1:21" x14ac:dyDescent="0.25">
      <c r="H1121" t="s">
        <v>2114</v>
      </c>
    </row>
    <row r="1122" spans="1:21" x14ac:dyDescent="0.25">
      <c r="A1122">
        <v>558</v>
      </c>
      <c r="B1122">
        <v>9361</v>
      </c>
      <c r="C1122" t="s">
        <v>2115</v>
      </c>
      <c r="D1122" t="s">
        <v>532</v>
      </c>
      <c r="E1122" t="s">
        <v>42</v>
      </c>
      <c r="F1122" t="s">
        <v>2116</v>
      </c>
      <c r="G1122" t="str">
        <f>"00031714"</f>
        <v>00031714</v>
      </c>
      <c r="H1122" t="s">
        <v>368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T1122">
        <v>0</v>
      </c>
      <c r="U1122" t="s">
        <v>368</v>
      </c>
    </row>
    <row r="1123" spans="1:21" x14ac:dyDescent="0.25">
      <c r="H1123" t="s">
        <v>2117</v>
      </c>
    </row>
    <row r="1124" spans="1:21" x14ac:dyDescent="0.25">
      <c r="A1124">
        <v>559</v>
      </c>
      <c r="B1124">
        <v>5928</v>
      </c>
      <c r="C1124" t="s">
        <v>2118</v>
      </c>
      <c r="D1124" t="s">
        <v>57</v>
      </c>
      <c r="E1124" t="s">
        <v>37</v>
      </c>
      <c r="F1124" t="s">
        <v>2119</v>
      </c>
      <c r="G1124" t="str">
        <f>"00028667"</f>
        <v>00028667</v>
      </c>
      <c r="H1124" t="s">
        <v>368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T1124">
        <v>2</v>
      </c>
      <c r="U1124" t="s">
        <v>368</v>
      </c>
    </row>
    <row r="1125" spans="1:21" x14ac:dyDescent="0.25">
      <c r="H1125" t="s">
        <v>2120</v>
      </c>
    </row>
    <row r="1126" spans="1:21" x14ac:dyDescent="0.25">
      <c r="A1126">
        <v>560</v>
      </c>
      <c r="B1126">
        <v>3899</v>
      </c>
      <c r="C1126" t="s">
        <v>2121</v>
      </c>
      <c r="D1126" t="s">
        <v>145</v>
      </c>
      <c r="E1126" t="s">
        <v>614</v>
      </c>
      <c r="F1126" t="s">
        <v>2122</v>
      </c>
      <c r="G1126" t="str">
        <f>"201511042528"</f>
        <v>201511042528</v>
      </c>
      <c r="H1126" t="s">
        <v>368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T1126">
        <v>0</v>
      </c>
      <c r="U1126" t="s">
        <v>368</v>
      </c>
    </row>
    <row r="1127" spans="1:21" x14ac:dyDescent="0.25">
      <c r="H1127" t="s">
        <v>2123</v>
      </c>
    </row>
    <row r="1128" spans="1:21" x14ac:dyDescent="0.25">
      <c r="A1128">
        <v>561</v>
      </c>
      <c r="B1128">
        <v>9014</v>
      </c>
      <c r="C1128" t="s">
        <v>2124</v>
      </c>
      <c r="D1128" t="s">
        <v>185</v>
      </c>
      <c r="E1128" t="s">
        <v>769</v>
      </c>
      <c r="F1128" t="s">
        <v>2125</v>
      </c>
      <c r="G1128" t="str">
        <f>"00019670"</f>
        <v>00019670</v>
      </c>
      <c r="H1128" t="s">
        <v>368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T1128">
        <v>2</v>
      </c>
      <c r="U1128" t="s">
        <v>368</v>
      </c>
    </row>
    <row r="1129" spans="1:21" x14ac:dyDescent="0.25">
      <c r="H1129" t="s">
        <v>2126</v>
      </c>
    </row>
    <row r="1130" spans="1:21" x14ac:dyDescent="0.25">
      <c r="A1130">
        <v>562</v>
      </c>
      <c r="B1130">
        <v>7569</v>
      </c>
      <c r="C1130" t="s">
        <v>2127</v>
      </c>
      <c r="D1130" t="s">
        <v>1948</v>
      </c>
      <c r="E1130" t="s">
        <v>474</v>
      </c>
      <c r="F1130" t="s">
        <v>2128</v>
      </c>
      <c r="G1130" t="str">
        <f>"00028764"</f>
        <v>00028764</v>
      </c>
      <c r="H1130" t="s">
        <v>368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T1130">
        <v>0</v>
      </c>
      <c r="U1130" t="s">
        <v>368</v>
      </c>
    </row>
    <row r="1131" spans="1:21" x14ac:dyDescent="0.25">
      <c r="H1131" t="s">
        <v>2129</v>
      </c>
    </row>
    <row r="1132" spans="1:21" x14ac:dyDescent="0.25">
      <c r="A1132">
        <v>563</v>
      </c>
      <c r="B1132">
        <v>6057</v>
      </c>
      <c r="C1132" t="s">
        <v>2130</v>
      </c>
      <c r="D1132" t="s">
        <v>134</v>
      </c>
      <c r="E1132" t="s">
        <v>2131</v>
      </c>
      <c r="F1132" t="s">
        <v>2132</v>
      </c>
      <c r="G1132" t="str">
        <f>"00030356"</f>
        <v>00030356</v>
      </c>
      <c r="H1132" t="s">
        <v>368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T1132">
        <v>0</v>
      </c>
      <c r="U1132" t="s">
        <v>368</v>
      </c>
    </row>
    <row r="1133" spans="1:21" x14ac:dyDescent="0.25">
      <c r="H1133" t="s">
        <v>2133</v>
      </c>
    </row>
    <row r="1134" spans="1:21" x14ac:dyDescent="0.25">
      <c r="A1134">
        <v>564</v>
      </c>
      <c r="B1134">
        <v>2180</v>
      </c>
      <c r="C1134" t="s">
        <v>2134</v>
      </c>
      <c r="D1134" t="s">
        <v>185</v>
      </c>
      <c r="E1134" t="s">
        <v>27</v>
      </c>
      <c r="F1134" t="s">
        <v>2135</v>
      </c>
      <c r="G1134" t="str">
        <f>"00069956"</f>
        <v>00069956</v>
      </c>
      <c r="H1134" t="s">
        <v>368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T1134">
        <v>0</v>
      </c>
      <c r="U1134" t="s">
        <v>368</v>
      </c>
    </row>
    <row r="1135" spans="1:21" x14ac:dyDescent="0.25">
      <c r="H1135" t="s">
        <v>2136</v>
      </c>
    </row>
    <row r="1136" spans="1:21" x14ac:dyDescent="0.25">
      <c r="A1136">
        <v>565</v>
      </c>
      <c r="B1136">
        <v>6435</v>
      </c>
      <c r="C1136" t="s">
        <v>2137</v>
      </c>
      <c r="D1136" t="s">
        <v>64</v>
      </c>
      <c r="E1136" t="s">
        <v>122</v>
      </c>
      <c r="F1136" t="s">
        <v>2138</v>
      </c>
      <c r="G1136" t="str">
        <f>"201511013824"</f>
        <v>201511013824</v>
      </c>
      <c r="H1136" t="s">
        <v>368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T1136">
        <v>0</v>
      </c>
      <c r="U1136" t="s">
        <v>368</v>
      </c>
    </row>
    <row r="1137" spans="1:21" x14ac:dyDescent="0.25">
      <c r="H1137" t="s">
        <v>2139</v>
      </c>
    </row>
    <row r="1138" spans="1:21" x14ac:dyDescent="0.25">
      <c r="A1138">
        <v>566</v>
      </c>
      <c r="B1138">
        <v>7404</v>
      </c>
      <c r="C1138" t="s">
        <v>2140</v>
      </c>
      <c r="D1138" t="s">
        <v>154</v>
      </c>
      <c r="E1138" t="s">
        <v>135</v>
      </c>
      <c r="F1138" t="s">
        <v>2141</v>
      </c>
      <c r="G1138" t="str">
        <f>"00038858"</f>
        <v>00038858</v>
      </c>
      <c r="H1138" t="s">
        <v>368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T1138">
        <v>1</v>
      </c>
      <c r="U1138" t="s">
        <v>368</v>
      </c>
    </row>
    <row r="1139" spans="1:21" x14ac:dyDescent="0.25">
      <c r="H1139" t="s">
        <v>2142</v>
      </c>
    </row>
    <row r="1140" spans="1:21" x14ac:dyDescent="0.25">
      <c r="A1140">
        <v>567</v>
      </c>
      <c r="B1140">
        <v>2088</v>
      </c>
      <c r="C1140" t="s">
        <v>2143</v>
      </c>
      <c r="D1140" t="s">
        <v>2144</v>
      </c>
      <c r="E1140" t="s">
        <v>2145</v>
      </c>
      <c r="F1140" t="s">
        <v>2146</v>
      </c>
      <c r="G1140" t="str">
        <f>"00040107"</f>
        <v>00040107</v>
      </c>
      <c r="H1140" t="s">
        <v>368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T1140">
        <v>0</v>
      </c>
      <c r="U1140" t="s">
        <v>368</v>
      </c>
    </row>
    <row r="1141" spans="1:21" x14ac:dyDescent="0.25">
      <c r="H1141" t="s">
        <v>2147</v>
      </c>
    </row>
    <row r="1142" spans="1:21" x14ac:dyDescent="0.25">
      <c r="A1142">
        <v>568</v>
      </c>
      <c r="B1142">
        <v>7742</v>
      </c>
      <c r="C1142" t="s">
        <v>1336</v>
      </c>
      <c r="D1142" t="s">
        <v>134</v>
      </c>
      <c r="E1142" t="s">
        <v>36</v>
      </c>
      <c r="F1142" t="s">
        <v>2148</v>
      </c>
      <c r="G1142" t="str">
        <f>"00069830"</f>
        <v>00069830</v>
      </c>
      <c r="H1142" t="s">
        <v>368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T1142">
        <v>0</v>
      </c>
      <c r="U1142" t="s">
        <v>368</v>
      </c>
    </row>
    <row r="1143" spans="1:21" x14ac:dyDescent="0.25">
      <c r="H1143" t="s">
        <v>1902</v>
      </c>
    </row>
    <row r="1144" spans="1:21" x14ac:dyDescent="0.25">
      <c r="A1144">
        <v>569</v>
      </c>
      <c r="B1144">
        <v>5272</v>
      </c>
      <c r="C1144" t="s">
        <v>2149</v>
      </c>
      <c r="D1144" t="s">
        <v>377</v>
      </c>
      <c r="E1144" t="s">
        <v>36</v>
      </c>
      <c r="F1144" t="s">
        <v>2150</v>
      </c>
      <c r="G1144" t="str">
        <f>"201303000832"</f>
        <v>201303000832</v>
      </c>
      <c r="H1144">
        <v>957</v>
      </c>
      <c r="I1144">
        <v>0</v>
      </c>
      <c r="J1144">
        <v>30</v>
      </c>
      <c r="K1144">
        <v>0</v>
      </c>
      <c r="L1144">
        <v>0</v>
      </c>
      <c r="M1144">
        <v>30</v>
      </c>
      <c r="N1144">
        <v>0</v>
      </c>
      <c r="O1144">
        <v>0</v>
      </c>
      <c r="P1144">
        <v>0</v>
      </c>
      <c r="Q1144">
        <v>0</v>
      </c>
      <c r="R1144">
        <v>6</v>
      </c>
      <c r="S1144">
        <v>804</v>
      </c>
      <c r="T1144">
        <v>0</v>
      </c>
      <c r="U1144">
        <v>1017</v>
      </c>
    </row>
    <row r="1145" spans="1:21" x14ac:dyDescent="0.25">
      <c r="H1145">
        <v>804</v>
      </c>
    </row>
    <row r="1146" spans="1:21" x14ac:dyDescent="0.25">
      <c r="A1146">
        <v>570</v>
      </c>
      <c r="B1146">
        <v>3964</v>
      </c>
      <c r="C1146" t="s">
        <v>2151</v>
      </c>
      <c r="D1146" t="s">
        <v>2152</v>
      </c>
      <c r="E1146" t="s">
        <v>1136</v>
      </c>
      <c r="F1146" t="s">
        <v>2153</v>
      </c>
      <c r="G1146" t="str">
        <f>"201511014043"</f>
        <v>201511014043</v>
      </c>
      <c r="H1146" t="s">
        <v>2154</v>
      </c>
      <c r="I1146">
        <v>0</v>
      </c>
      <c r="J1146">
        <v>50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T1146">
        <v>0</v>
      </c>
      <c r="U1146" t="s">
        <v>2155</v>
      </c>
    </row>
    <row r="1147" spans="1:21" x14ac:dyDescent="0.25">
      <c r="H1147" t="s">
        <v>2156</v>
      </c>
    </row>
    <row r="1148" spans="1:21" x14ac:dyDescent="0.25">
      <c r="A1148">
        <v>571</v>
      </c>
      <c r="B1148">
        <v>4389</v>
      </c>
      <c r="C1148" t="s">
        <v>1466</v>
      </c>
      <c r="D1148" t="s">
        <v>304</v>
      </c>
      <c r="E1148" t="s">
        <v>122</v>
      </c>
      <c r="F1148" t="s">
        <v>2157</v>
      </c>
      <c r="G1148" t="str">
        <f>"201511031004"</f>
        <v>201511031004</v>
      </c>
      <c r="H1148" t="s">
        <v>2158</v>
      </c>
      <c r="I1148">
        <v>150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T1148">
        <v>0</v>
      </c>
      <c r="U1148" t="s">
        <v>2159</v>
      </c>
    </row>
    <row r="1149" spans="1:21" x14ac:dyDescent="0.25">
      <c r="H1149" t="s">
        <v>2160</v>
      </c>
    </row>
    <row r="1150" spans="1:21" x14ac:dyDescent="0.25">
      <c r="A1150">
        <v>572</v>
      </c>
      <c r="B1150">
        <v>3628</v>
      </c>
      <c r="C1150" t="s">
        <v>2161</v>
      </c>
      <c r="D1150" t="s">
        <v>2162</v>
      </c>
      <c r="E1150" t="s">
        <v>1501</v>
      </c>
      <c r="F1150" t="s">
        <v>2163</v>
      </c>
      <c r="G1150" t="str">
        <f>"201511025139"</f>
        <v>201511025139</v>
      </c>
      <c r="H1150" t="s">
        <v>2158</v>
      </c>
      <c r="I1150">
        <v>150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T1150">
        <v>0</v>
      </c>
      <c r="U1150" t="s">
        <v>2159</v>
      </c>
    </row>
    <row r="1151" spans="1:21" x14ac:dyDescent="0.25">
      <c r="H1151" t="s">
        <v>2164</v>
      </c>
    </row>
    <row r="1152" spans="1:21" x14ac:dyDescent="0.25">
      <c r="A1152">
        <v>573</v>
      </c>
      <c r="B1152">
        <v>963</v>
      </c>
      <c r="C1152" t="s">
        <v>2165</v>
      </c>
      <c r="D1152" t="s">
        <v>2166</v>
      </c>
      <c r="E1152" t="s">
        <v>373</v>
      </c>
      <c r="F1152" t="s">
        <v>2167</v>
      </c>
      <c r="G1152" t="str">
        <f>"00070862"</f>
        <v>00070862</v>
      </c>
      <c r="H1152" t="s">
        <v>2158</v>
      </c>
      <c r="I1152">
        <v>150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T1152">
        <v>0</v>
      </c>
      <c r="U1152" t="s">
        <v>2159</v>
      </c>
    </row>
    <row r="1153" spans="1:21" x14ac:dyDescent="0.25">
      <c r="H1153" t="s">
        <v>2168</v>
      </c>
    </row>
    <row r="1154" spans="1:21" x14ac:dyDescent="0.25">
      <c r="A1154">
        <v>574</v>
      </c>
      <c r="B1154">
        <v>4339</v>
      </c>
      <c r="C1154" t="s">
        <v>2169</v>
      </c>
      <c r="D1154" t="s">
        <v>285</v>
      </c>
      <c r="E1154" t="s">
        <v>366</v>
      </c>
      <c r="F1154" t="s">
        <v>2170</v>
      </c>
      <c r="G1154" t="str">
        <f>"00024968"</f>
        <v>00024968</v>
      </c>
      <c r="H1154" t="s">
        <v>1141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T1154">
        <v>0</v>
      </c>
      <c r="U1154" t="s">
        <v>1141</v>
      </c>
    </row>
    <row r="1155" spans="1:21" x14ac:dyDescent="0.25">
      <c r="H1155" t="s">
        <v>2171</v>
      </c>
    </row>
    <row r="1156" spans="1:21" x14ac:dyDescent="0.25">
      <c r="A1156">
        <v>575</v>
      </c>
      <c r="B1156">
        <v>1440</v>
      </c>
      <c r="C1156" t="s">
        <v>2172</v>
      </c>
      <c r="D1156" t="s">
        <v>141</v>
      </c>
      <c r="E1156" t="s">
        <v>36</v>
      </c>
      <c r="F1156" t="s">
        <v>2173</v>
      </c>
      <c r="G1156" t="str">
        <f>"00024013"</f>
        <v>00024013</v>
      </c>
      <c r="H1156" t="s">
        <v>1141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T1156">
        <v>0</v>
      </c>
      <c r="U1156" t="s">
        <v>1141</v>
      </c>
    </row>
    <row r="1157" spans="1:21" x14ac:dyDescent="0.25">
      <c r="H1157" t="s">
        <v>2174</v>
      </c>
    </row>
    <row r="1158" spans="1:21" x14ac:dyDescent="0.25">
      <c r="A1158">
        <v>576</v>
      </c>
      <c r="B1158">
        <v>6224</v>
      </c>
      <c r="C1158" t="s">
        <v>2175</v>
      </c>
      <c r="D1158" t="s">
        <v>121</v>
      </c>
      <c r="E1158" t="s">
        <v>36</v>
      </c>
      <c r="F1158" t="s">
        <v>2176</v>
      </c>
      <c r="G1158" t="str">
        <f>"00088814"</f>
        <v>00088814</v>
      </c>
      <c r="H1158" t="s">
        <v>1141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T1158">
        <v>0</v>
      </c>
      <c r="U1158" t="s">
        <v>1141</v>
      </c>
    </row>
    <row r="1159" spans="1:21" x14ac:dyDescent="0.25">
      <c r="H1159" t="s">
        <v>2177</v>
      </c>
    </row>
    <row r="1160" spans="1:21" x14ac:dyDescent="0.25">
      <c r="A1160">
        <v>577</v>
      </c>
      <c r="B1160">
        <v>3986</v>
      </c>
      <c r="C1160" t="s">
        <v>163</v>
      </c>
      <c r="D1160" t="s">
        <v>64</v>
      </c>
      <c r="E1160" t="s">
        <v>36</v>
      </c>
      <c r="F1160" t="s">
        <v>2178</v>
      </c>
      <c r="G1160" t="str">
        <f>"201511025113"</f>
        <v>201511025113</v>
      </c>
      <c r="H1160">
        <v>935</v>
      </c>
      <c r="I1160">
        <v>0</v>
      </c>
      <c r="J1160">
        <v>30</v>
      </c>
      <c r="K1160">
        <v>50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T1160">
        <v>0</v>
      </c>
      <c r="U1160">
        <v>1015</v>
      </c>
    </row>
    <row r="1161" spans="1:21" x14ac:dyDescent="0.25">
      <c r="H1161" t="s">
        <v>2179</v>
      </c>
    </row>
    <row r="1162" spans="1:21" x14ac:dyDescent="0.25">
      <c r="A1162">
        <v>578</v>
      </c>
      <c r="B1162">
        <v>8482</v>
      </c>
      <c r="C1162" t="s">
        <v>2180</v>
      </c>
      <c r="D1162" t="s">
        <v>112</v>
      </c>
      <c r="E1162" t="s">
        <v>122</v>
      </c>
      <c r="F1162" t="s">
        <v>2181</v>
      </c>
      <c r="G1162" t="str">
        <f>"00030146"</f>
        <v>00030146</v>
      </c>
      <c r="H1162" t="s">
        <v>2182</v>
      </c>
      <c r="I1162">
        <v>150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T1162">
        <v>0</v>
      </c>
      <c r="U1162" t="s">
        <v>2183</v>
      </c>
    </row>
    <row r="1163" spans="1:21" x14ac:dyDescent="0.25">
      <c r="H1163" t="s">
        <v>1763</v>
      </c>
    </row>
    <row r="1164" spans="1:21" x14ac:dyDescent="0.25">
      <c r="A1164">
        <v>579</v>
      </c>
      <c r="B1164">
        <v>493</v>
      </c>
      <c r="C1164" t="s">
        <v>2184</v>
      </c>
      <c r="D1164" t="s">
        <v>121</v>
      </c>
      <c r="E1164" t="s">
        <v>122</v>
      </c>
      <c r="F1164" t="s">
        <v>2185</v>
      </c>
      <c r="G1164" t="str">
        <f>"00049999"</f>
        <v>00049999</v>
      </c>
      <c r="H1164" t="s">
        <v>396</v>
      </c>
      <c r="I1164">
        <v>0</v>
      </c>
      <c r="J1164">
        <v>30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T1164">
        <v>0</v>
      </c>
      <c r="U1164" t="s">
        <v>2186</v>
      </c>
    </row>
    <row r="1165" spans="1:21" x14ac:dyDescent="0.25">
      <c r="H1165" t="s">
        <v>2187</v>
      </c>
    </row>
    <row r="1166" spans="1:21" x14ac:dyDescent="0.25">
      <c r="A1166">
        <v>580</v>
      </c>
      <c r="B1166">
        <v>3470</v>
      </c>
      <c r="C1166" t="s">
        <v>2188</v>
      </c>
      <c r="D1166" t="s">
        <v>225</v>
      </c>
      <c r="E1166" t="s">
        <v>191</v>
      </c>
      <c r="F1166" t="s">
        <v>2189</v>
      </c>
      <c r="G1166" t="str">
        <f>"201511025670"</f>
        <v>201511025670</v>
      </c>
      <c r="H1166" t="s">
        <v>1309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T1166">
        <v>0</v>
      </c>
      <c r="U1166" t="s">
        <v>1309</v>
      </c>
    </row>
    <row r="1167" spans="1:21" x14ac:dyDescent="0.25">
      <c r="H1167" t="s">
        <v>2190</v>
      </c>
    </row>
    <row r="1168" spans="1:21" x14ac:dyDescent="0.25">
      <c r="A1168">
        <v>581</v>
      </c>
      <c r="B1168">
        <v>5957</v>
      </c>
      <c r="C1168" t="s">
        <v>2191</v>
      </c>
      <c r="D1168" t="s">
        <v>231</v>
      </c>
      <c r="E1168" t="s">
        <v>231</v>
      </c>
      <c r="F1168" t="s">
        <v>2192</v>
      </c>
      <c r="G1168" t="str">
        <f>"201511023531"</f>
        <v>201511023531</v>
      </c>
      <c r="H1168" t="s">
        <v>1309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T1168">
        <v>0</v>
      </c>
      <c r="U1168" t="s">
        <v>1309</v>
      </c>
    </row>
    <row r="1169" spans="1:21" x14ac:dyDescent="0.25">
      <c r="H1169" t="s">
        <v>2193</v>
      </c>
    </row>
    <row r="1170" spans="1:21" x14ac:dyDescent="0.25">
      <c r="A1170">
        <v>582</v>
      </c>
      <c r="B1170">
        <v>6893</v>
      </c>
      <c r="C1170" t="s">
        <v>2194</v>
      </c>
      <c r="D1170" t="s">
        <v>27</v>
      </c>
      <c r="E1170" t="s">
        <v>37</v>
      </c>
      <c r="F1170" t="s">
        <v>2195</v>
      </c>
      <c r="G1170" t="str">
        <f>"00027882"</f>
        <v>00027882</v>
      </c>
      <c r="H1170" t="s">
        <v>2196</v>
      </c>
      <c r="I1170">
        <v>0</v>
      </c>
      <c r="J1170">
        <v>0</v>
      </c>
      <c r="K1170">
        <v>0</v>
      </c>
      <c r="L1170">
        <v>70</v>
      </c>
      <c r="M1170">
        <v>0</v>
      </c>
      <c r="N1170">
        <v>0</v>
      </c>
      <c r="O1170">
        <v>0</v>
      </c>
      <c r="P1170">
        <v>0</v>
      </c>
      <c r="Q1170">
        <v>0</v>
      </c>
      <c r="T1170">
        <v>0</v>
      </c>
      <c r="U1170" t="s">
        <v>2197</v>
      </c>
    </row>
    <row r="1171" spans="1:21" x14ac:dyDescent="0.25">
      <c r="H1171" t="s">
        <v>2198</v>
      </c>
    </row>
    <row r="1172" spans="1:21" x14ac:dyDescent="0.25">
      <c r="A1172">
        <v>583</v>
      </c>
      <c r="B1172">
        <v>6411</v>
      </c>
      <c r="C1172" t="s">
        <v>2199</v>
      </c>
      <c r="D1172" t="s">
        <v>2200</v>
      </c>
      <c r="E1172" t="s">
        <v>533</v>
      </c>
      <c r="F1172" t="s">
        <v>2201</v>
      </c>
      <c r="G1172" t="str">
        <f>"00068670"</f>
        <v>00068670</v>
      </c>
      <c r="H1172" t="s">
        <v>1444</v>
      </c>
      <c r="I1172">
        <v>150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6</v>
      </c>
      <c r="S1172">
        <v>804</v>
      </c>
      <c r="T1172">
        <v>0</v>
      </c>
      <c r="U1172" t="s">
        <v>2202</v>
      </c>
    </row>
    <row r="1173" spans="1:21" x14ac:dyDescent="0.25">
      <c r="H1173">
        <v>804</v>
      </c>
    </row>
    <row r="1174" spans="1:21" x14ac:dyDescent="0.25">
      <c r="A1174">
        <v>584</v>
      </c>
      <c r="B1174">
        <v>1848</v>
      </c>
      <c r="C1174" t="s">
        <v>1998</v>
      </c>
      <c r="D1174" t="s">
        <v>502</v>
      </c>
      <c r="E1174" t="s">
        <v>366</v>
      </c>
      <c r="F1174" t="s">
        <v>2203</v>
      </c>
      <c r="G1174" t="str">
        <f>"00030486"</f>
        <v>00030486</v>
      </c>
      <c r="H1174" t="s">
        <v>2204</v>
      </c>
      <c r="I1174">
        <v>0</v>
      </c>
      <c r="J1174">
        <v>30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T1174">
        <v>0</v>
      </c>
      <c r="U1174" t="s">
        <v>2205</v>
      </c>
    </row>
    <row r="1175" spans="1:21" x14ac:dyDescent="0.25">
      <c r="H1175" t="s">
        <v>2206</v>
      </c>
    </row>
    <row r="1176" spans="1:21" x14ac:dyDescent="0.25">
      <c r="A1176">
        <v>585</v>
      </c>
      <c r="B1176">
        <v>10382</v>
      </c>
      <c r="C1176" t="s">
        <v>2207</v>
      </c>
      <c r="D1176" t="s">
        <v>134</v>
      </c>
      <c r="E1176" t="s">
        <v>1836</v>
      </c>
      <c r="F1176" t="s">
        <v>2208</v>
      </c>
      <c r="G1176" t="str">
        <f>"00069791"</f>
        <v>00069791</v>
      </c>
      <c r="H1176" t="s">
        <v>270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T1176">
        <v>0</v>
      </c>
      <c r="U1176" t="s">
        <v>270</v>
      </c>
    </row>
    <row r="1177" spans="1:21" x14ac:dyDescent="0.25">
      <c r="H1177" t="s">
        <v>2209</v>
      </c>
    </row>
    <row r="1178" spans="1:21" x14ac:dyDescent="0.25">
      <c r="A1178">
        <v>586</v>
      </c>
      <c r="B1178">
        <v>1975</v>
      </c>
      <c r="C1178" t="s">
        <v>2210</v>
      </c>
      <c r="D1178" t="s">
        <v>2211</v>
      </c>
      <c r="E1178" t="s">
        <v>191</v>
      </c>
      <c r="F1178" t="s">
        <v>2212</v>
      </c>
      <c r="G1178" t="str">
        <f>"201512002241"</f>
        <v>201512002241</v>
      </c>
      <c r="H1178" t="s">
        <v>270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6</v>
      </c>
      <c r="S1178">
        <v>809</v>
      </c>
      <c r="T1178">
        <v>0</v>
      </c>
      <c r="U1178" t="s">
        <v>270</v>
      </c>
    </row>
    <row r="1179" spans="1:21" x14ac:dyDescent="0.25">
      <c r="H1179">
        <v>809</v>
      </c>
    </row>
    <row r="1180" spans="1:21" x14ac:dyDescent="0.25">
      <c r="A1180">
        <v>587</v>
      </c>
      <c r="B1180">
        <v>1392</v>
      </c>
      <c r="C1180" t="s">
        <v>2213</v>
      </c>
      <c r="D1180" t="s">
        <v>285</v>
      </c>
      <c r="E1180" t="s">
        <v>1058</v>
      </c>
      <c r="F1180" t="s">
        <v>2214</v>
      </c>
      <c r="G1180" t="str">
        <f>"00030661"</f>
        <v>00030661</v>
      </c>
      <c r="H1180">
        <v>1012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T1180">
        <v>0</v>
      </c>
      <c r="U1180">
        <v>1012</v>
      </c>
    </row>
    <row r="1181" spans="1:21" x14ac:dyDescent="0.25">
      <c r="H1181" t="s">
        <v>2215</v>
      </c>
    </row>
    <row r="1182" spans="1:21" x14ac:dyDescent="0.25">
      <c r="A1182">
        <v>588</v>
      </c>
      <c r="B1182">
        <v>6284</v>
      </c>
      <c r="C1182" t="s">
        <v>2216</v>
      </c>
      <c r="D1182" t="s">
        <v>85</v>
      </c>
      <c r="E1182" t="s">
        <v>135</v>
      </c>
      <c r="F1182" t="s">
        <v>2217</v>
      </c>
      <c r="G1182" t="str">
        <f>"00092291"</f>
        <v>00092291</v>
      </c>
      <c r="H1182">
        <v>1012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T1182">
        <v>0</v>
      </c>
      <c r="U1182">
        <v>1012</v>
      </c>
    </row>
    <row r="1183" spans="1:21" x14ac:dyDescent="0.25">
      <c r="H1183" t="s">
        <v>2218</v>
      </c>
    </row>
    <row r="1184" spans="1:21" x14ac:dyDescent="0.25">
      <c r="A1184">
        <v>589</v>
      </c>
      <c r="B1184">
        <v>2038</v>
      </c>
      <c r="C1184" t="s">
        <v>2219</v>
      </c>
      <c r="D1184" t="s">
        <v>2220</v>
      </c>
      <c r="E1184" t="s">
        <v>27</v>
      </c>
      <c r="F1184" t="s">
        <v>2221</v>
      </c>
      <c r="G1184" t="str">
        <f>"201406005127"</f>
        <v>201406005127</v>
      </c>
      <c r="H1184" t="s">
        <v>2222</v>
      </c>
      <c r="I1184">
        <v>0</v>
      </c>
      <c r="J1184">
        <v>0</v>
      </c>
      <c r="K1184">
        <v>0</v>
      </c>
      <c r="L1184">
        <v>30</v>
      </c>
      <c r="M1184">
        <v>0</v>
      </c>
      <c r="N1184">
        <v>0</v>
      </c>
      <c r="O1184">
        <v>0</v>
      </c>
      <c r="P1184">
        <v>0</v>
      </c>
      <c r="Q1184">
        <v>0</v>
      </c>
      <c r="T1184">
        <v>0</v>
      </c>
      <c r="U1184" t="s">
        <v>2223</v>
      </c>
    </row>
    <row r="1185" spans="1:21" x14ac:dyDescent="0.25">
      <c r="H1185" t="s">
        <v>2224</v>
      </c>
    </row>
    <row r="1186" spans="1:21" x14ac:dyDescent="0.25">
      <c r="A1186">
        <v>590</v>
      </c>
      <c r="B1186">
        <v>7341</v>
      </c>
      <c r="C1186" t="s">
        <v>2225</v>
      </c>
      <c r="D1186" t="s">
        <v>64</v>
      </c>
      <c r="E1186" t="s">
        <v>42</v>
      </c>
      <c r="F1186" t="s">
        <v>2226</v>
      </c>
      <c r="G1186" t="str">
        <f>"201511036884"</f>
        <v>201511036884</v>
      </c>
      <c r="H1186" t="s">
        <v>2222</v>
      </c>
      <c r="I1186">
        <v>0</v>
      </c>
      <c r="J1186">
        <v>30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T1186">
        <v>0</v>
      </c>
      <c r="U1186" t="s">
        <v>2223</v>
      </c>
    </row>
    <row r="1187" spans="1:21" x14ac:dyDescent="0.25">
      <c r="H1187">
        <v>756</v>
      </c>
    </row>
    <row r="1188" spans="1:21" x14ac:dyDescent="0.25">
      <c r="A1188">
        <v>591</v>
      </c>
      <c r="B1188">
        <v>5353</v>
      </c>
      <c r="C1188" t="s">
        <v>2227</v>
      </c>
      <c r="D1188" t="s">
        <v>134</v>
      </c>
      <c r="E1188" t="s">
        <v>135</v>
      </c>
      <c r="F1188" t="s">
        <v>2228</v>
      </c>
      <c r="G1188" t="str">
        <f>"00048122"</f>
        <v>00048122</v>
      </c>
      <c r="H1188" t="s">
        <v>2222</v>
      </c>
      <c r="I1188">
        <v>0</v>
      </c>
      <c r="J1188">
        <v>30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T1188">
        <v>0</v>
      </c>
      <c r="U1188" t="s">
        <v>2223</v>
      </c>
    </row>
    <row r="1189" spans="1:21" x14ac:dyDescent="0.25">
      <c r="H1189" t="s">
        <v>2229</v>
      </c>
    </row>
    <row r="1190" spans="1:21" x14ac:dyDescent="0.25">
      <c r="A1190">
        <v>592</v>
      </c>
      <c r="B1190">
        <v>5348</v>
      </c>
      <c r="C1190" t="s">
        <v>2230</v>
      </c>
      <c r="D1190" t="s">
        <v>95</v>
      </c>
      <c r="E1190" t="s">
        <v>122</v>
      </c>
      <c r="F1190" t="s">
        <v>2231</v>
      </c>
      <c r="G1190" t="str">
        <f>"201511014757"</f>
        <v>201511014757</v>
      </c>
      <c r="H1190" t="s">
        <v>413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T1190">
        <v>0</v>
      </c>
      <c r="U1190" t="s">
        <v>413</v>
      </c>
    </row>
    <row r="1191" spans="1:21" x14ac:dyDescent="0.25">
      <c r="H1191" t="s">
        <v>2232</v>
      </c>
    </row>
    <row r="1192" spans="1:21" x14ac:dyDescent="0.25">
      <c r="A1192">
        <v>593</v>
      </c>
      <c r="B1192">
        <v>8702</v>
      </c>
      <c r="C1192" t="s">
        <v>2233</v>
      </c>
      <c r="D1192" t="s">
        <v>2234</v>
      </c>
      <c r="E1192" t="s">
        <v>42</v>
      </c>
      <c r="F1192" t="s">
        <v>2235</v>
      </c>
      <c r="G1192" t="str">
        <f>"201511017177"</f>
        <v>201511017177</v>
      </c>
      <c r="H1192" t="s">
        <v>413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T1192">
        <v>2</v>
      </c>
      <c r="U1192" t="s">
        <v>413</v>
      </c>
    </row>
    <row r="1193" spans="1:21" x14ac:dyDescent="0.25">
      <c r="H1193" t="s">
        <v>2236</v>
      </c>
    </row>
    <row r="1194" spans="1:21" x14ac:dyDescent="0.25">
      <c r="A1194">
        <v>594</v>
      </c>
      <c r="B1194">
        <v>9774</v>
      </c>
      <c r="C1194" t="s">
        <v>2237</v>
      </c>
      <c r="D1194" t="s">
        <v>64</v>
      </c>
      <c r="E1194" t="s">
        <v>37</v>
      </c>
      <c r="F1194" t="s">
        <v>2238</v>
      </c>
      <c r="G1194" t="str">
        <f>"201510004109"</f>
        <v>201510004109</v>
      </c>
      <c r="H1194" t="s">
        <v>2239</v>
      </c>
      <c r="I1194">
        <v>150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T1194">
        <v>0</v>
      </c>
      <c r="U1194" t="s">
        <v>2240</v>
      </c>
    </row>
    <row r="1195" spans="1:21" x14ac:dyDescent="0.25">
      <c r="H1195" t="s">
        <v>2241</v>
      </c>
    </row>
    <row r="1196" spans="1:21" x14ac:dyDescent="0.25">
      <c r="A1196">
        <v>595</v>
      </c>
      <c r="B1196">
        <v>1482</v>
      </c>
      <c r="C1196" t="s">
        <v>2242</v>
      </c>
      <c r="D1196" t="s">
        <v>2243</v>
      </c>
      <c r="E1196" t="s">
        <v>112</v>
      </c>
      <c r="F1196" t="s">
        <v>2244</v>
      </c>
      <c r="G1196" t="str">
        <f>"00032026"</f>
        <v>00032026</v>
      </c>
      <c r="H1196" t="s">
        <v>1223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T1196">
        <v>0</v>
      </c>
      <c r="U1196" t="s">
        <v>1223</v>
      </c>
    </row>
    <row r="1197" spans="1:21" x14ac:dyDescent="0.25">
      <c r="H1197" t="s">
        <v>2245</v>
      </c>
    </row>
    <row r="1198" spans="1:21" x14ac:dyDescent="0.25">
      <c r="A1198">
        <v>596</v>
      </c>
      <c r="B1198">
        <v>1502</v>
      </c>
      <c r="C1198" t="s">
        <v>2246</v>
      </c>
      <c r="D1198" t="s">
        <v>2247</v>
      </c>
      <c r="E1198" t="s">
        <v>37</v>
      </c>
      <c r="F1198" t="s">
        <v>2248</v>
      </c>
      <c r="G1198" t="str">
        <f>"00041595"</f>
        <v>00041595</v>
      </c>
      <c r="H1198" t="s">
        <v>1223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T1198">
        <v>0</v>
      </c>
      <c r="U1198" t="s">
        <v>1223</v>
      </c>
    </row>
    <row r="1199" spans="1:21" x14ac:dyDescent="0.25">
      <c r="H1199" t="s">
        <v>2249</v>
      </c>
    </row>
    <row r="1200" spans="1:21" x14ac:dyDescent="0.25">
      <c r="A1200">
        <v>597</v>
      </c>
      <c r="B1200">
        <v>521</v>
      </c>
      <c r="C1200" t="s">
        <v>2250</v>
      </c>
      <c r="D1200" t="s">
        <v>64</v>
      </c>
      <c r="E1200" t="s">
        <v>42</v>
      </c>
      <c r="F1200" t="s">
        <v>2251</v>
      </c>
      <c r="G1200" t="str">
        <f>"00041780"</f>
        <v>00041780</v>
      </c>
      <c r="H1200" t="s">
        <v>1223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T1200">
        <v>0</v>
      </c>
      <c r="U1200" t="s">
        <v>1223</v>
      </c>
    </row>
    <row r="1201" spans="1:21" x14ac:dyDescent="0.25">
      <c r="H1201">
        <v>802</v>
      </c>
    </row>
    <row r="1202" spans="1:21" x14ac:dyDescent="0.25">
      <c r="A1202">
        <v>598</v>
      </c>
      <c r="B1202">
        <v>931</v>
      </c>
      <c r="C1202" t="s">
        <v>2252</v>
      </c>
      <c r="D1202" t="s">
        <v>64</v>
      </c>
      <c r="E1202" t="s">
        <v>65</v>
      </c>
      <c r="F1202" t="s">
        <v>2253</v>
      </c>
      <c r="G1202" t="str">
        <f>"201511018725"</f>
        <v>201511018725</v>
      </c>
      <c r="H1202" t="s">
        <v>1223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T1202">
        <v>0</v>
      </c>
      <c r="U1202" t="s">
        <v>1223</v>
      </c>
    </row>
    <row r="1203" spans="1:21" x14ac:dyDescent="0.25">
      <c r="H1203" t="s">
        <v>2254</v>
      </c>
    </row>
    <row r="1204" spans="1:21" x14ac:dyDescent="0.25">
      <c r="A1204">
        <v>599</v>
      </c>
      <c r="B1204">
        <v>1854</v>
      </c>
      <c r="C1204" t="s">
        <v>2255</v>
      </c>
      <c r="D1204" t="s">
        <v>313</v>
      </c>
      <c r="E1204" t="s">
        <v>36</v>
      </c>
      <c r="F1204" t="s">
        <v>2256</v>
      </c>
      <c r="G1204" t="str">
        <f>"00076090"</f>
        <v>00076090</v>
      </c>
      <c r="H1204" t="s">
        <v>1223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T1204">
        <v>0</v>
      </c>
      <c r="U1204" t="s">
        <v>1223</v>
      </c>
    </row>
    <row r="1205" spans="1:21" x14ac:dyDescent="0.25">
      <c r="H1205" t="s">
        <v>2257</v>
      </c>
    </row>
    <row r="1206" spans="1:21" x14ac:dyDescent="0.25">
      <c r="A1206">
        <v>600</v>
      </c>
      <c r="B1206">
        <v>2050</v>
      </c>
      <c r="C1206" t="s">
        <v>2258</v>
      </c>
      <c r="D1206" t="s">
        <v>154</v>
      </c>
      <c r="E1206" t="s">
        <v>36</v>
      </c>
      <c r="F1206" t="s">
        <v>2259</v>
      </c>
      <c r="G1206" t="str">
        <f>"201511006142"</f>
        <v>201511006142</v>
      </c>
      <c r="H1206" t="s">
        <v>1223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T1206">
        <v>0</v>
      </c>
      <c r="U1206" t="s">
        <v>1223</v>
      </c>
    </row>
    <row r="1207" spans="1:21" x14ac:dyDescent="0.25">
      <c r="H1207" t="s">
        <v>2260</v>
      </c>
    </row>
    <row r="1208" spans="1:21" x14ac:dyDescent="0.25">
      <c r="A1208">
        <v>601</v>
      </c>
      <c r="B1208">
        <v>2476</v>
      </c>
      <c r="C1208" t="s">
        <v>2261</v>
      </c>
      <c r="D1208" t="s">
        <v>434</v>
      </c>
      <c r="E1208" t="s">
        <v>1058</v>
      </c>
      <c r="F1208" t="s">
        <v>2262</v>
      </c>
      <c r="G1208" t="str">
        <f>"200801007429"</f>
        <v>200801007429</v>
      </c>
      <c r="H1208" t="s">
        <v>1223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T1208">
        <v>0</v>
      </c>
      <c r="U1208" t="s">
        <v>1223</v>
      </c>
    </row>
    <row r="1209" spans="1:21" x14ac:dyDescent="0.25">
      <c r="H1209" t="s">
        <v>2263</v>
      </c>
    </row>
    <row r="1210" spans="1:21" x14ac:dyDescent="0.25">
      <c r="A1210">
        <v>602</v>
      </c>
      <c r="B1210">
        <v>116</v>
      </c>
      <c r="C1210" t="s">
        <v>2264</v>
      </c>
      <c r="D1210" t="s">
        <v>2265</v>
      </c>
      <c r="E1210" t="s">
        <v>2266</v>
      </c>
      <c r="F1210" t="s">
        <v>2267</v>
      </c>
      <c r="G1210" t="str">
        <f>"201510001830"</f>
        <v>201510001830</v>
      </c>
      <c r="H1210" t="s">
        <v>1223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T1210">
        <v>0</v>
      </c>
      <c r="U1210" t="s">
        <v>1223</v>
      </c>
    </row>
    <row r="1211" spans="1:21" x14ac:dyDescent="0.25">
      <c r="H1211" t="s">
        <v>2268</v>
      </c>
    </row>
    <row r="1212" spans="1:21" x14ac:dyDescent="0.25">
      <c r="A1212">
        <v>603</v>
      </c>
      <c r="B1212">
        <v>3431</v>
      </c>
      <c r="C1212" t="s">
        <v>2269</v>
      </c>
      <c r="D1212" t="s">
        <v>65</v>
      </c>
      <c r="E1212" t="s">
        <v>27</v>
      </c>
      <c r="F1212" t="s">
        <v>2270</v>
      </c>
      <c r="G1212" t="str">
        <f>"201510001959"</f>
        <v>201510001959</v>
      </c>
      <c r="H1212" t="s">
        <v>1223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T1212">
        <v>0</v>
      </c>
      <c r="U1212" t="s">
        <v>1223</v>
      </c>
    </row>
    <row r="1213" spans="1:21" x14ac:dyDescent="0.25">
      <c r="H1213" t="s">
        <v>2271</v>
      </c>
    </row>
    <row r="1214" spans="1:21" x14ac:dyDescent="0.25">
      <c r="A1214">
        <v>604</v>
      </c>
      <c r="B1214">
        <v>10129</v>
      </c>
      <c r="C1214" t="s">
        <v>2272</v>
      </c>
      <c r="D1214" t="s">
        <v>85</v>
      </c>
      <c r="E1214" t="s">
        <v>36</v>
      </c>
      <c r="F1214" t="s">
        <v>2273</v>
      </c>
      <c r="G1214" t="str">
        <f>"201102000662"</f>
        <v>201102000662</v>
      </c>
      <c r="H1214">
        <v>979</v>
      </c>
      <c r="I1214">
        <v>0</v>
      </c>
      <c r="J1214">
        <v>30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T1214">
        <v>0</v>
      </c>
      <c r="U1214">
        <v>1009</v>
      </c>
    </row>
    <row r="1215" spans="1:21" x14ac:dyDescent="0.25">
      <c r="H1215" t="s">
        <v>2274</v>
      </c>
    </row>
    <row r="1216" spans="1:21" x14ac:dyDescent="0.25">
      <c r="A1216">
        <v>605</v>
      </c>
      <c r="B1216">
        <v>575</v>
      </c>
      <c r="C1216" t="s">
        <v>2275</v>
      </c>
      <c r="D1216" t="s">
        <v>121</v>
      </c>
      <c r="E1216" t="s">
        <v>27</v>
      </c>
      <c r="F1216" t="s">
        <v>2276</v>
      </c>
      <c r="G1216" t="str">
        <f>"00033391"</f>
        <v>00033391</v>
      </c>
      <c r="H1216">
        <v>979</v>
      </c>
      <c r="I1216">
        <v>0</v>
      </c>
      <c r="J1216">
        <v>30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T1216">
        <v>1</v>
      </c>
      <c r="U1216">
        <v>1009</v>
      </c>
    </row>
    <row r="1217" spans="1:21" x14ac:dyDescent="0.25">
      <c r="H1217" t="s">
        <v>2277</v>
      </c>
    </row>
    <row r="1218" spans="1:21" x14ac:dyDescent="0.25">
      <c r="A1218">
        <v>606</v>
      </c>
      <c r="B1218">
        <v>7707</v>
      </c>
      <c r="C1218" t="s">
        <v>2278</v>
      </c>
      <c r="D1218" t="s">
        <v>696</v>
      </c>
      <c r="E1218" t="s">
        <v>135</v>
      </c>
      <c r="F1218" t="s">
        <v>2279</v>
      </c>
      <c r="G1218" t="str">
        <f>"00070638"</f>
        <v>00070638</v>
      </c>
      <c r="H1218">
        <v>979</v>
      </c>
      <c r="I1218">
        <v>0</v>
      </c>
      <c r="J1218">
        <v>30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T1218">
        <v>0</v>
      </c>
      <c r="U1218">
        <v>1009</v>
      </c>
    </row>
    <row r="1219" spans="1:21" x14ac:dyDescent="0.25">
      <c r="H1219" t="s">
        <v>2280</v>
      </c>
    </row>
    <row r="1220" spans="1:21" x14ac:dyDescent="0.25">
      <c r="A1220">
        <v>607</v>
      </c>
      <c r="B1220">
        <v>9676</v>
      </c>
      <c r="C1220" t="s">
        <v>2281</v>
      </c>
      <c r="D1220" t="s">
        <v>207</v>
      </c>
      <c r="E1220" t="s">
        <v>533</v>
      </c>
      <c r="F1220" t="s">
        <v>2282</v>
      </c>
      <c r="G1220" t="str">
        <f>"00047789"</f>
        <v>00047789</v>
      </c>
      <c r="H1220" t="s">
        <v>2283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T1220">
        <v>0</v>
      </c>
      <c r="U1220" t="s">
        <v>2283</v>
      </c>
    </row>
    <row r="1221" spans="1:21" x14ac:dyDescent="0.25">
      <c r="H1221" t="s">
        <v>2284</v>
      </c>
    </row>
    <row r="1222" spans="1:21" x14ac:dyDescent="0.25">
      <c r="A1222">
        <v>608</v>
      </c>
      <c r="B1222">
        <v>3684</v>
      </c>
      <c r="C1222" t="s">
        <v>1523</v>
      </c>
      <c r="D1222" t="s">
        <v>64</v>
      </c>
      <c r="E1222" t="s">
        <v>36</v>
      </c>
      <c r="F1222" t="s">
        <v>2285</v>
      </c>
      <c r="G1222" t="str">
        <f>"201511042083"</f>
        <v>201511042083</v>
      </c>
      <c r="H1222" t="s">
        <v>2286</v>
      </c>
      <c r="I1222">
        <v>0</v>
      </c>
      <c r="J1222">
        <v>30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T1222">
        <v>0</v>
      </c>
      <c r="U1222" t="s">
        <v>2287</v>
      </c>
    </row>
    <row r="1223" spans="1:21" x14ac:dyDescent="0.25">
      <c r="H1223" t="s">
        <v>2288</v>
      </c>
    </row>
    <row r="1224" spans="1:21" x14ac:dyDescent="0.25">
      <c r="A1224">
        <v>609</v>
      </c>
      <c r="B1224">
        <v>3507</v>
      </c>
      <c r="C1224" t="s">
        <v>2289</v>
      </c>
      <c r="D1224" t="s">
        <v>2290</v>
      </c>
      <c r="E1224" t="s">
        <v>764</v>
      </c>
      <c r="F1224" t="s">
        <v>2291</v>
      </c>
      <c r="G1224" t="str">
        <f>"00082849"</f>
        <v>00082849</v>
      </c>
      <c r="H1224" t="s">
        <v>418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T1224">
        <v>0</v>
      </c>
      <c r="U1224" t="s">
        <v>418</v>
      </c>
    </row>
    <row r="1225" spans="1:21" x14ac:dyDescent="0.25">
      <c r="H1225" t="s">
        <v>2292</v>
      </c>
    </row>
    <row r="1226" spans="1:21" x14ac:dyDescent="0.25">
      <c r="A1226">
        <v>610</v>
      </c>
      <c r="B1226">
        <v>19</v>
      </c>
      <c r="C1226" t="s">
        <v>2293</v>
      </c>
      <c r="D1226" t="s">
        <v>532</v>
      </c>
      <c r="E1226" t="s">
        <v>122</v>
      </c>
      <c r="F1226" t="s">
        <v>2294</v>
      </c>
      <c r="G1226" t="str">
        <f>"201511004787"</f>
        <v>201511004787</v>
      </c>
      <c r="H1226" t="s">
        <v>418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T1226">
        <v>0</v>
      </c>
      <c r="U1226" t="s">
        <v>418</v>
      </c>
    </row>
    <row r="1227" spans="1:21" x14ac:dyDescent="0.25">
      <c r="H1227" t="s">
        <v>2295</v>
      </c>
    </row>
    <row r="1228" spans="1:21" x14ac:dyDescent="0.25">
      <c r="A1228">
        <v>611</v>
      </c>
      <c r="B1228">
        <v>392</v>
      </c>
      <c r="C1228" t="s">
        <v>2296</v>
      </c>
      <c r="D1228" t="s">
        <v>185</v>
      </c>
      <c r="E1228" t="s">
        <v>27</v>
      </c>
      <c r="F1228" t="s">
        <v>2297</v>
      </c>
      <c r="G1228" t="str">
        <f>"201510002896"</f>
        <v>201510002896</v>
      </c>
      <c r="H1228" t="s">
        <v>291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T1228">
        <v>0</v>
      </c>
      <c r="U1228" t="s">
        <v>291</v>
      </c>
    </row>
    <row r="1229" spans="1:21" x14ac:dyDescent="0.25">
      <c r="H1229" t="s">
        <v>2298</v>
      </c>
    </row>
    <row r="1230" spans="1:21" x14ac:dyDescent="0.25">
      <c r="A1230">
        <v>612</v>
      </c>
      <c r="B1230">
        <v>5677</v>
      </c>
      <c r="C1230" t="s">
        <v>2299</v>
      </c>
      <c r="D1230" t="s">
        <v>225</v>
      </c>
      <c r="E1230" t="s">
        <v>37</v>
      </c>
      <c r="F1230" t="s">
        <v>2300</v>
      </c>
      <c r="G1230" t="str">
        <f>"200802004895"</f>
        <v>200802004895</v>
      </c>
      <c r="H1230" t="s">
        <v>291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T1230">
        <v>0</v>
      </c>
      <c r="U1230" t="s">
        <v>291</v>
      </c>
    </row>
    <row r="1231" spans="1:21" x14ac:dyDescent="0.25">
      <c r="H1231" t="s">
        <v>2301</v>
      </c>
    </row>
    <row r="1232" spans="1:21" x14ac:dyDescent="0.25">
      <c r="A1232">
        <v>613</v>
      </c>
      <c r="B1232">
        <v>2279</v>
      </c>
      <c r="C1232" t="s">
        <v>2302</v>
      </c>
      <c r="D1232" t="s">
        <v>285</v>
      </c>
      <c r="E1232" t="s">
        <v>2303</v>
      </c>
      <c r="F1232" t="s">
        <v>2304</v>
      </c>
      <c r="G1232" t="str">
        <f>"00036003"</f>
        <v>00036003</v>
      </c>
      <c r="H1232" t="s">
        <v>291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T1232">
        <v>0</v>
      </c>
      <c r="U1232" t="s">
        <v>291</v>
      </c>
    </row>
    <row r="1233" spans="1:21" x14ac:dyDescent="0.25">
      <c r="H1233" t="s">
        <v>2305</v>
      </c>
    </row>
    <row r="1234" spans="1:21" x14ac:dyDescent="0.25">
      <c r="A1234">
        <v>614</v>
      </c>
      <c r="B1234">
        <v>3960</v>
      </c>
      <c r="C1234" t="s">
        <v>2306</v>
      </c>
      <c r="D1234" t="s">
        <v>2307</v>
      </c>
      <c r="E1234" t="s">
        <v>449</v>
      </c>
      <c r="F1234" t="s">
        <v>2308</v>
      </c>
      <c r="G1234" t="str">
        <f>"201511034412"</f>
        <v>201511034412</v>
      </c>
      <c r="H1234" t="s">
        <v>291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T1234">
        <v>0</v>
      </c>
      <c r="U1234" t="s">
        <v>291</v>
      </c>
    </row>
    <row r="1235" spans="1:21" x14ac:dyDescent="0.25">
      <c r="H1235" t="s">
        <v>2309</v>
      </c>
    </row>
    <row r="1236" spans="1:21" x14ac:dyDescent="0.25">
      <c r="A1236">
        <v>615</v>
      </c>
      <c r="B1236">
        <v>3960</v>
      </c>
      <c r="C1236" t="s">
        <v>2306</v>
      </c>
      <c r="D1236" t="s">
        <v>2307</v>
      </c>
      <c r="E1236" t="s">
        <v>449</v>
      </c>
      <c r="F1236" t="s">
        <v>2308</v>
      </c>
      <c r="G1236" t="str">
        <f>"201511034412"</f>
        <v>201511034412</v>
      </c>
      <c r="H1236" t="s">
        <v>291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6</v>
      </c>
      <c r="S1236">
        <v>804</v>
      </c>
      <c r="T1236">
        <v>0</v>
      </c>
      <c r="U1236" t="s">
        <v>291</v>
      </c>
    </row>
    <row r="1237" spans="1:21" x14ac:dyDescent="0.25">
      <c r="H1237" t="s">
        <v>2309</v>
      </c>
    </row>
    <row r="1238" spans="1:21" x14ac:dyDescent="0.25">
      <c r="A1238">
        <v>616</v>
      </c>
      <c r="B1238">
        <v>2933</v>
      </c>
      <c r="C1238" t="s">
        <v>2310</v>
      </c>
      <c r="D1238" t="s">
        <v>37</v>
      </c>
      <c r="E1238" t="s">
        <v>36</v>
      </c>
      <c r="F1238" t="s">
        <v>2311</v>
      </c>
      <c r="G1238" t="str">
        <f>"00020708"</f>
        <v>00020708</v>
      </c>
      <c r="H1238" t="s">
        <v>291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T1238">
        <v>2</v>
      </c>
      <c r="U1238" t="s">
        <v>291</v>
      </c>
    </row>
    <row r="1239" spans="1:21" x14ac:dyDescent="0.25">
      <c r="H1239" t="s">
        <v>2312</v>
      </c>
    </row>
    <row r="1240" spans="1:21" x14ac:dyDescent="0.25">
      <c r="A1240">
        <v>617</v>
      </c>
      <c r="B1240">
        <v>4792</v>
      </c>
      <c r="C1240" t="s">
        <v>2313</v>
      </c>
      <c r="D1240" t="s">
        <v>85</v>
      </c>
      <c r="E1240" t="s">
        <v>42</v>
      </c>
      <c r="F1240" t="s">
        <v>2314</v>
      </c>
      <c r="G1240" t="str">
        <f>"201511025590"</f>
        <v>201511025590</v>
      </c>
      <c r="H1240" t="s">
        <v>291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T1240">
        <v>1</v>
      </c>
      <c r="U1240" t="s">
        <v>291</v>
      </c>
    </row>
    <row r="1241" spans="1:21" x14ac:dyDescent="0.25">
      <c r="H1241" t="s">
        <v>2315</v>
      </c>
    </row>
    <row r="1242" spans="1:21" x14ac:dyDescent="0.25">
      <c r="A1242">
        <v>618</v>
      </c>
      <c r="B1242">
        <v>2186</v>
      </c>
      <c r="C1242" t="s">
        <v>2316</v>
      </c>
      <c r="D1242" t="s">
        <v>116</v>
      </c>
      <c r="E1242" t="s">
        <v>27</v>
      </c>
      <c r="F1242" t="s">
        <v>2317</v>
      </c>
      <c r="G1242" t="str">
        <f>"201511012133"</f>
        <v>201511012133</v>
      </c>
      <c r="H1242" t="s">
        <v>2318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T1242">
        <v>0</v>
      </c>
      <c r="U1242" t="s">
        <v>2318</v>
      </c>
    </row>
    <row r="1243" spans="1:21" x14ac:dyDescent="0.25">
      <c r="H1243" t="s">
        <v>2319</v>
      </c>
    </row>
    <row r="1244" spans="1:21" x14ac:dyDescent="0.25">
      <c r="A1244">
        <v>619</v>
      </c>
      <c r="B1244">
        <v>2718</v>
      </c>
      <c r="C1244" t="s">
        <v>2320</v>
      </c>
      <c r="D1244" t="s">
        <v>2321</v>
      </c>
      <c r="E1244" t="s">
        <v>1005</v>
      </c>
      <c r="F1244" t="s">
        <v>2322</v>
      </c>
      <c r="G1244" t="str">
        <f>"00043319"</f>
        <v>00043319</v>
      </c>
      <c r="H1244" t="s">
        <v>2318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T1244">
        <v>2</v>
      </c>
      <c r="U1244" t="s">
        <v>2318</v>
      </c>
    </row>
    <row r="1245" spans="1:21" x14ac:dyDescent="0.25">
      <c r="H1245" t="s">
        <v>2323</v>
      </c>
    </row>
    <row r="1246" spans="1:21" x14ac:dyDescent="0.25">
      <c r="A1246">
        <v>620</v>
      </c>
      <c r="B1246">
        <v>5053</v>
      </c>
      <c r="C1246" t="s">
        <v>2324</v>
      </c>
      <c r="D1246" t="s">
        <v>453</v>
      </c>
      <c r="E1246" t="s">
        <v>27</v>
      </c>
      <c r="F1246" t="s">
        <v>2325</v>
      </c>
      <c r="G1246" t="str">
        <f>"00031683"</f>
        <v>00031683</v>
      </c>
      <c r="H1246" t="s">
        <v>2318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T1246">
        <v>0</v>
      </c>
      <c r="U1246" t="s">
        <v>2318</v>
      </c>
    </row>
    <row r="1247" spans="1:21" x14ac:dyDescent="0.25">
      <c r="H1247" t="s">
        <v>2326</v>
      </c>
    </row>
    <row r="1248" spans="1:21" x14ac:dyDescent="0.25">
      <c r="A1248">
        <v>621</v>
      </c>
      <c r="B1248">
        <v>7184</v>
      </c>
      <c r="C1248" t="s">
        <v>2327</v>
      </c>
      <c r="D1248" t="s">
        <v>2328</v>
      </c>
      <c r="E1248" t="s">
        <v>474</v>
      </c>
      <c r="F1248" t="s">
        <v>2329</v>
      </c>
      <c r="G1248" t="str">
        <f>"00022518"</f>
        <v>00022518</v>
      </c>
      <c r="H1248">
        <v>935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70</v>
      </c>
      <c r="Q1248">
        <v>0</v>
      </c>
      <c r="T1248">
        <v>0</v>
      </c>
      <c r="U1248">
        <v>1005</v>
      </c>
    </row>
    <row r="1249" spans="1:21" x14ac:dyDescent="0.25">
      <c r="H1249" t="s">
        <v>2330</v>
      </c>
    </row>
    <row r="1250" spans="1:21" x14ac:dyDescent="0.25">
      <c r="A1250">
        <v>622</v>
      </c>
      <c r="B1250">
        <v>6388</v>
      </c>
      <c r="C1250" t="s">
        <v>2331</v>
      </c>
      <c r="D1250" t="s">
        <v>2332</v>
      </c>
      <c r="E1250" t="s">
        <v>2333</v>
      </c>
      <c r="F1250" t="s">
        <v>2334</v>
      </c>
      <c r="G1250" t="str">
        <f>"00101663"</f>
        <v>00101663</v>
      </c>
      <c r="H1250">
        <v>935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70</v>
      </c>
      <c r="P1250">
        <v>0</v>
      </c>
      <c r="Q1250">
        <v>0</v>
      </c>
      <c r="T1250">
        <v>0</v>
      </c>
      <c r="U1250">
        <v>1005</v>
      </c>
    </row>
    <row r="1251" spans="1:21" x14ac:dyDescent="0.25">
      <c r="H1251" t="s">
        <v>2335</v>
      </c>
    </row>
    <row r="1252" spans="1:21" x14ac:dyDescent="0.25">
      <c r="A1252">
        <v>623</v>
      </c>
      <c r="B1252">
        <v>2840</v>
      </c>
      <c r="C1252" t="s">
        <v>2336</v>
      </c>
      <c r="D1252" t="s">
        <v>532</v>
      </c>
      <c r="E1252" t="s">
        <v>533</v>
      </c>
      <c r="F1252" t="s">
        <v>2337</v>
      </c>
      <c r="G1252" t="str">
        <f>"201511043323"</f>
        <v>201511043323</v>
      </c>
      <c r="H1252">
        <v>935</v>
      </c>
      <c r="I1252">
        <v>0</v>
      </c>
      <c r="J1252">
        <v>70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T1252">
        <v>0</v>
      </c>
      <c r="U1252">
        <v>1005</v>
      </c>
    </row>
    <row r="1253" spans="1:21" x14ac:dyDescent="0.25">
      <c r="H1253" t="s">
        <v>2338</v>
      </c>
    </row>
    <row r="1254" spans="1:21" x14ac:dyDescent="0.25">
      <c r="A1254">
        <v>624</v>
      </c>
      <c r="B1254">
        <v>7611</v>
      </c>
      <c r="C1254" t="s">
        <v>2339</v>
      </c>
      <c r="D1254" t="s">
        <v>1605</v>
      </c>
      <c r="E1254" t="s">
        <v>1477</v>
      </c>
      <c r="F1254" t="s">
        <v>2340</v>
      </c>
      <c r="G1254" t="str">
        <f>"00031534"</f>
        <v>00031534</v>
      </c>
      <c r="H1254" t="s">
        <v>1862</v>
      </c>
      <c r="I1254">
        <v>0</v>
      </c>
      <c r="J1254">
        <v>30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T1254">
        <v>1</v>
      </c>
      <c r="U1254" t="s">
        <v>2341</v>
      </c>
    </row>
    <row r="1255" spans="1:21" x14ac:dyDescent="0.25">
      <c r="H1255" t="s">
        <v>2342</v>
      </c>
    </row>
    <row r="1256" spans="1:21" x14ac:dyDescent="0.25">
      <c r="A1256">
        <v>625</v>
      </c>
      <c r="B1256">
        <v>7590</v>
      </c>
      <c r="C1256" t="s">
        <v>2343</v>
      </c>
      <c r="D1256" t="s">
        <v>2009</v>
      </c>
      <c r="E1256" t="s">
        <v>37</v>
      </c>
      <c r="F1256" t="s">
        <v>2344</v>
      </c>
      <c r="G1256" t="str">
        <f>"00042101"</f>
        <v>00042101</v>
      </c>
      <c r="H1256" t="s">
        <v>2345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T1256">
        <v>0</v>
      </c>
      <c r="U1256" t="s">
        <v>2345</v>
      </c>
    </row>
    <row r="1257" spans="1:21" x14ac:dyDescent="0.25">
      <c r="H1257" t="s">
        <v>2346</v>
      </c>
    </row>
    <row r="1258" spans="1:21" x14ac:dyDescent="0.25">
      <c r="A1258">
        <v>626</v>
      </c>
      <c r="B1258">
        <v>10028</v>
      </c>
      <c r="C1258" t="s">
        <v>2347</v>
      </c>
      <c r="D1258" t="s">
        <v>572</v>
      </c>
      <c r="E1258" t="s">
        <v>42</v>
      </c>
      <c r="F1258" t="s">
        <v>2348</v>
      </c>
      <c r="G1258" t="str">
        <f>"201511039079"</f>
        <v>201511039079</v>
      </c>
      <c r="H1258" t="s">
        <v>2345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T1258">
        <v>0</v>
      </c>
      <c r="U1258" t="s">
        <v>2345</v>
      </c>
    </row>
    <row r="1259" spans="1:21" x14ac:dyDescent="0.25">
      <c r="H1259" t="s">
        <v>2349</v>
      </c>
    </row>
    <row r="1260" spans="1:21" x14ac:dyDescent="0.25">
      <c r="A1260">
        <v>627</v>
      </c>
      <c r="B1260">
        <v>8592</v>
      </c>
      <c r="C1260" t="s">
        <v>2350</v>
      </c>
      <c r="D1260" t="s">
        <v>768</v>
      </c>
      <c r="E1260" t="s">
        <v>647</v>
      </c>
      <c r="F1260" t="s">
        <v>2351</v>
      </c>
      <c r="G1260" t="str">
        <f>"00079881"</f>
        <v>00079881</v>
      </c>
      <c r="H1260" t="s">
        <v>2345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T1260">
        <v>0</v>
      </c>
      <c r="U1260" t="s">
        <v>2345</v>
      </c>
    </row>
    <row r="1261" spans="1:21" x14ac:dyDescent="0.25">
      <c r="H1261" t="s">
        <v>2352</v>
      </c>
    </row>
    <row r="1262" spans="1:21" x14ac:dyDescent="0.25">
      <c r="A1262">
        <v>628</v>
      </c>
      <c r="B1262">
        <v>2492</v>
      </c>
      <c r="C1262" t="s">
        <v>2353</v>
      </c>
      <c r="D1262" t="s">
        <v>768</v>
      </c>
      <c r="E1262" t="s">
        <v>1005</v>
      </c>
      <c r="F1262" t="s">
        <v>2354</v>
      </c>
      <c r="G1262" t="str">
        <f>"201511041602"</f>
        <v>201511041602</v>
      </c>
      <c r="H1262" t="s">
        <v>2345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T1262">
        <v>0</v>
      </c>
      <c r="U1262" t="s">
        <v>2345</v>
      </c>
    </row>
    <row r="1263" spans="1:21" x14ac:dyDescent="0.25">
      <c r="H1263" t="s">
        <v>2355</v>
      </c>
    </row>
    <row r="1264" spans="1:21" x14ac:dyDescent="0.25">
      <c r="A1264">
        <v>629</v>
      </c>
      <c r="B1264">
        <v>2143</v>
      </c>
      <c r="C1264" t="s">
        <v>2356</v>
      </c>
      <c r="D1264" t="s">
        <v>95</v>
      </c>
      <c r="E1264" t="s">
        <v>122</v>
      </c>
      <c r="F1264" t="s">
        <v>2357</v>
      </c>
      <c r="G1264" t="str">
        <f>"00074732"</f>
        <v>00074732</v>
      </c>
      <c r="H1264" t="s">
        <v>2345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T1264">
        <v>0</v>
      </c>
      <c r="U1264" t="s">
        <v>2345</v>
      </c>
    </row>
    <row r="1265" spans="1:21" x14ac:dyDescent="0.25">
      <c r="H1265" t="s">
        <v>2358</v>
      </c>
    </row>
    <row r="1266" spans="1:21" x14ac:dyDescent="0.25">
      <c r="A1266">
        <v>630</v>
      </c>
      <c r="B1266">
        <v>7599</v>
      </c>
      <c r="C1266" t="s">
        <v>2359</v>
      </c>
      <c r="D1266" t="s">
        <v>121</v>
      </c>
      <c r="E1266" t="s">
        <v>32</v>
      </c>
      <c r="F1266" t="s">
        <v>2360</v>
      </c>
      <c r="G1266" t="str">
        <f>"00036706"</f>
        <v>00036706</v>
      </c>
      <c r="H1266" t="s">
        <v>2345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T1266">
        <v>0</v>
      </c>
      <c r="U1266" t="s">
        <v>2345</v>
      </c>
    </row>
    <row r="1267" spans="1:21" x14ac:dyDescent="0.25">
      <c r="H1267" t="s">
        <v>2361</v>
      </c>
    </row>
    <row r="1268" spans="1:21" x14ac:dyDescent="0.25">
      <c r="A1268">
        <v>631</v>
      </c>
      <c r="B1268">
        <v>1123</v>
      </c>
      <c r="C1268" t="s">
        <v>2362</v>
      </c>
      <c r="D1268" t="s">
        <v>121</v>
      </c>
      <c r="E1268" t="s">
        <v>27</v>
      </c>
      <c r="F1268" t="s">
        <v>2363</v>
      </c>
      <c r="G1268" t="str">
        <f>"201511028644"</f>
        <v>201511028644</v>
      </c>
      <c r="H1268" t="s">
        <v>2345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T1268">
        <v>0</v>
      </c>
      <c r="U1268" t="s">
        <v>2345</v>
      </c>
    </row>
    <row r="1269" spans="1:21" x14ac:dyDescent="0.25">
      <c r="H1269" t="s">
        <v>2364</v>
      </c>
    </row>
    <row r="1270" spans="1:21" x14ac:dyDescent="0.25">
      <c r="A1270">
        <v>632</v>
      </c>
      <c r="B1270">
        <v>5743</v>
      </c>
      <c r="C1270" t="s">
        <v>2365</v>
      </c>
      <c r="D1270" t="s">
        <v>394</v>
      </c>
      <c r="E1270" t="s">
        <v>122</v>
      </c>
      <c r="F1270" t="s">
        <v>2366</v>
      </c>
      <c r="G1270" t="str">
        <f>"00050038"</f>
        <v>00050038</v>
      </c>
      <c r="H1270" t="s">
        <v>2345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T1270">
        <v>0</v>
      </c>
      <c r="U1270" t="s">
        <v>2345</v>
      </c>
    </row>
    <row r="1271" spans="1:21" x14ac:dyDescent="0.25">
      <c r="H1271" t="s">
        <v>2367</v>
      </c>
    </row>
    <row r="1272" spans="1:21" x14ac:dyDescent="0.25">
      <c r="A1272">
        <v>633</v>
      </c>
      <c r="B1272">
        <v>804</v>
      </c>
      <c r="C1272" t="s">
        <v>2368</v>
      </c>
      <c r="D1272" t="s">
        <v>95</v>
      </c>
      <c r="E1272" t="s">
        <v>42</v>
      </c>
      <c r="F1272" t="s">
        <v>2369</v>
      </c>
      <c r="G1272" t="str">
        <f>"201511035874"</f>
        <v>201511035874</v>
      </c>
      <c r="H1272" t="s">
        <v>2033</v>
      </c>
      <c r="I1272">
        <v>0</v>
      </c>
      <c r="J1272">
        <v>30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T1272">
        <v>0</v>
      </c>
      <c r="U1272" t="s">
        <v>2370</v>
      </c>
    </row>
    <row r="1273" spans="1:21" x14ac:dyDescent="0.25">
      <c r="H1273" t="s">
        <v>2371</v>
      </c>
    </row>
    <row r="1274" spans="1:21" x14ac:dyDescent="0.25">
      <c r="A1274">
        <v>634</v>
      </c>
      <c r="B1274">
        <v>7154</v>
      </c>
      <c r="C1274" t="s">
        <v>2372</v>
      </c>
      <c r="D1274" t="s">
        <v>85</v>
      </c>
      <c r="E1274" t="s">
        <v>647</v>
      </c>
      <c r="F1274" t="s">
        <v>2373</v>
      </c>
      <c r="G1274" t="str">
        <f>"00095763"</f>
        <v>00095763</v>
      </c>
      <c r="H1274" t="s">
        <v>2033</v>
      </c>
      <c r="I1274">
        <v>0</v>
      </c>
      <c r="J1274">
        <v>30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T1274">
        <v>0</v>
      </c>
      <c r="U1274" t="s">
        <v>2370</v>
      </c>
    </row>
    <row r="1275" spans="1:21" x14ac:dyDescent="0.25">
      <c r="H1275" t="s">
        <v>762</v>
      </c>
    </row>
    <row r="1276" spans="1:21" x14ac:dyDescent="0.25">
      <c r="A1276">
        <v>635</v>
      </c>
      <c r="B1276">
        <v>620</v>
      </c>
      <c r="C1276" t="s">
        <v>2374</v>
      </c>
      <c r="D1276" t="s">
        <v>2375</v>
      </c>
      <c r="E1276" t="s">
        <v>647</v>
      </c>
      <c r="F1276" t="s">
        <v>2376</v>
      </c>
      <c r="G1276" t="str">
        <f>"201511009610"</f>
        <v>201511009610</v>
      </c>
      <c r="H1276" t="s">
        <v>2377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T1276">
        <v>0</v>
      </c>
      <c r="U1276" t="s">
        <v>2377</v>
      </c>
    </row>
    <row r="1277" spans="1:21" x14ac:dyDescent="0.25">
      <c r="H1277" t="s">
        <v>2378</v>
      </c>
    </row>
    <row r="1278" spans="1:21" x14ac:dyDescent="0.25">
      <c r="A1278">
        <v>636</v>
      </c>
      <c r="B1278">
        <v>1821</v>
      </c>
      <c r="C1278" t="s">
        <v>2379</v>
      </c>
      <c r="D1278" t="s">
        <v>121</v>
      </c>
      <c r="E1278" t="s">
        <v>1506</v>
      </c>
      <c r="F1278" t="s">
        <v>2380</v>
      </c>
      <c r="G1278" t="str">
        <f>"200807000593"</f>
        <v>200807000593</v>
      </c>
      <c r="H1278" t="s">
        <v>2377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T1278">
        <v>2</v>
      </c>
      <c r="U1278" t="s">
        <v>2377</v>
      </c>
    </row>
    <row r="1279" spans="1:21" x14ac:dyDescent="0.25">
      <c r="H1279">
        <v>801</v>
      </c>
    </row>
    <row r="1280" spans="1:21" x14ac:dyDescent="0.25">
      <c r="A1280">
        <v>637</v>
      </c>
      <c r="B1280">
        <v>7018</v>
      </c>
      <c r="C1280" t="s">
        <v>1840</v>
      </c>
      <c r="D1280" t="s">
        <v>85</v>
      </c>
      <c r="E1280" t="s">
        <v>533</v>
      </c>
      <c r="F1280" t="s">
        <v>2381</v>
      </c>
      <c r="G1280" t="str">
        <f>"00070990"</f>
        <v>00070990</v>
      </c>
      <c r="H1280" t="s">
        <v>2377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T1280">
        <v>0</v>
      </c>
      <c r="U1280" t="s">
        <v>2377</v>
      </c>
    </row>
    <row r="1281" spans="1:21" x14ac:dyDescent="0.25">
      <c r="H1281" t="s">
        <v>2382</v>
      </c>
    </row>
    <row r="1282" spans="1:21" x14ac:dyDescent="0.25">
      <c r="A1282">
        <v>638</v>
      </c>
      <c r="B1282">
        <v>2356</v>
      </c>
      <c r="C1282" t="s">
        <v>2383</v>
      </c>
      <c r="D1282" t="s">
        <v>2384</v>
      </c>
      <c r="E1282" t="s">
        <v>27</v>
      </c>
      <c r="F1282" t="s">
        <v>2385</v>
      </c>
      <c r="G1282" t="str">
        <f>"00033114"</f>
        <v>00033114</v>
      </c>
      <c r="H1282" t="s">
        <v>2386</v>
      </c>
      <c r="I1282">
        <v>0</v>
      </c>
      <c r="J1282">
        <v>30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T1282">
        <v>2</v>
      </c>
      <c r="U1282" t="s">
        <v>2387</v>
      </c>
    </row>
    <row r="1283" spans="1:21" x14ac:dyDescent="0.25">
      <c r="H1283" t="s">
        <v>1763</v>
      </c>
    </row>
    <row r="1284" spans="1:21" x14ac:dyDescent="0.25">
      <c r="A1284">
        <v>639</v>
      </c>
      <c r="B1284">
        <v>9051</v>
      </c>
      <c r="C1284" t="s">
        <v>2388</v>
      </c>
      <c r="D1284" t="s">
        <v>2389</v>
      </c>
      <c r="E1284" t="s">
        <v>366</v>
      </c>
      <c r="F1284" t="s">
        <v>2390</v>
      </c>
      <c r="G1284" t="str">
        <f>"201402009009"</f>
        <v>201402009009</v>
      </c>
      <c r="H1284">
        <v>1001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T1284">
        <v>0</v>
      </c>
      <c r="U1284">
        <v>1001</v>
      </c>
    </row>
    <row r="1285" spans="1:21" x14ac:dyDescent="0.25">
      <c r="H1285" t="s">
        <v>2391</v>
      </c>
    </row>
    <row r="1286" spans="1:21" x14ac:dyDescent="0.25">
      <c r="A1286">
        <v>640</v>
      </c>
      <c r="B1286">
        <v>9026</v>
      </c>
      <c r="C1286" t="s">
        <v>2392</v>
      </c>
      <c r="D1286" t="s">
        <v>164</v>
      </c>
      <c r="E1286" t="s">
        <v>366</v>
      </c>
      <c r="F1286" t="s">
        <v>2393</v>
      </c>
      <c r="G1286" t="str">
        <f>"201511016743"</f>
        <v>201511016743</v>
      </c>
      <c r="H1286">
        <v>1001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T1286">
        <v>0</v>
      </c>
      <c r="U1286">
        <v>1001</v>
      </c>
    </row>
    <row r="1287" spans="1:21" x14ac:dyDescent="0.25">
      <c r="H1287" t="s">
        <v>2394</v>
      </c>
    </row>
    <row r="1288" spans="1:21" x14ac:dyDescent="0.25">
      <c r="A1288">
        <v>641</v>
      </c>
      <c r="B1288">
        <v>5798</v>
      </c>
      <c r="C1288" t="s">
        <v>2395</v>
      </c>
      <c r="D1288" t="s">
        <v>85</v>
      </c>
      <c r="E1288" t="s">
        <v>36</v>
      </c>
      <c r="F1288" t="s">
        <v>2396</v>
      </c>
      <c r="G1288" t="str">
        <f>"00048176"</f>
        <v>00048176</v>
      </c>
      <c r="H1288">
        <v>1001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T1288">
        <v>0</v>
      </c>
      <c r="U1288">
        <v>1001</v>
      </c>
    </row>
    <row r="1289" spans="1:21" x14ac:dyDescent="0.25">
      <c r="H1289" t="s">
        <v>2397</v>
      </c>
    </row>
    <row r="1290" spans="1:21" x14ac:dyDescent="0.25">
      <c r="A1290">
        <v>642</v>
      </c>
      <c r="B1290">
        <v>1517</v>
      </c>
      <c r="C1290" t="s">
        <v>2398</v>
      </c>
      <c r="D1290" t="s">
        <v>85</v>
      </c>
      <c r="E1290" t="s">
        <v>122</v>
      </c>
      <c r="F1290" t="s">
        <v>2399</v>
      </c>
      <c r="G1290" t="str">
        <f>"200802000705"</f>
        <v>200802000705</v>
      </c>
      <c r="H1290" t="s">
        <v>2400</v>
      </c>
      <c r="I1290">
        <v>150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T1290">
        <v>0</v>
      </c>
      <c r="U1290" t="s">
        <v>2401</v>
      </c>
    </row>
    <row r="1291" spans="1:21" x14ac:dyDescent="0.25">
      <c r="H1291" t="s">
        <v>2402</v>
      </c>
    </row>
    <row r="1292" spans="1:21" x14ac:dyDescent="0.25">
      <c r="A1292">
        <v>643</v>
      </c>
      <c r="B1292">
        <v>2425</v>
      </c>
      <c r="C1292" t="s">
        <v>2403</v>
      </c>
      <c r="D1292" t="s">
        <v>614</v>
      </c>
      <c r="E1292" t="s">
        <v>36</v>
      </c>
      <c r="F1292" t="s">
        <v>2404</v>
      </c>
      <c r="G1292" t="str">
        <f>"201401001516"</f>
        <v>201401001516</v>
      </c>
      <c r="H1292">
        <v>880</v>
      </c>
      <c r="I1292">
        <v>0</v>
      </c>
      <c r="J1292">
        <v>70</v>
      </c>
      <c r="K1292">
        <v>0</v>
      </c>
      <c r="L1292">
        <v>50</v>
      </c>
      <c r="M1292">
        <v>0</v>
      </c>
      <c r="N1292">
        <v>0</v>
      </c>
      <c r="O1292">
        <v>0</v>
      </c>
      <c r="P1292">
        <v>0</v>
      </c>
      <c r="Q1292">
        <v>0</v>
      </c>
      <c r="T1292">
        <v>0</v>
      </c>
      <c r="U1292">
        <v>1000</v>
      </c>
    </row>
    <row r="1293" spans="1:21" x14ac:dyDescent="0.25">
      <c r="H1293" t="s">
        <v>2405</v>
      </c>
    </row>
    <row r="1294" spans="1:21" x14ac:dyDescent="0.25">
      <c r="A1294">
        <v>644</v>
      </c>
      <c r="B1294">
        <v>110</v>
      </c>
      <c r="C1294" t="s">
        <v>2406</v>
      </c>
      <c r="D1294" t="s">
        <v>332</v>
      </c>
      <c r="E1294" t="s">
        <v>27</v>
      </c>
      <c r="F1294" t="s">
        <v>2407</v>
      </c>
      <c r="G1294" t="str">
        <f>"201511029935"</f>
        <v>201511029935</v>
      </c>
      <c r="H1294" t="s">
        <v>2408</v>
      </c>
      <c r="I1294">
        <v>150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T1294">
        <v>0</v>
      </c>
      <c r="U1294" t="s">
        <v>2409</v>
      </c>
    </row>
    <row r="1295" spans="1:21" x14ac:dyDescent="0.25">
      <c r="H1295" t="s">
        <v>2410</v>
      </c>
    </row>
    <row r="1296" spans="1:21" x14ac:dyDescent="0.25">
      <c r="A1296">
        <v>645</v>
      </c>
      <c r="B1296">
        <v>2026</v>
      </c>
      <c r="C1296" t="s">
        <v>2411</v>
      </c>
      <c r="D1296" t="s">
        <v>2412</v>
      </c>
      <c r="E1296" t="s">
        <v>533</v>
      </c>
      <c r="F1296" t="s">
        <v>2413</v>
      </c>
      <c r="G1296" t="str">
        <f>"201510004178"</f>
        <v>201510004178</v>
      </c>
      <c r="H1296" t="s">
        <v>2414</v>
      </c>
      <c r="I1296">
        <v>0</v>
      </c>
      <c r="J1296">
        <v>30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T1296">
        <v>0</v>
      </c>
      <c r="U1296" t="s">
        <v>2415</v>
      </c>
    </row>
    <row r="1297" spans="1:21" x14ac:dyDescent="0.25">
      <c r="H1297" t="s">
        <v>2416</v>
      </c>
    </row>
    <row r="1298" spans="1:21" x14ac:dyDescent="0.25">
      <c r="A1298">
        <v>646</v>
      </c>
      <c r="B1298">
        <v>8349</v>
      </c>
      <c r="C1298" t="s">
        <v>433</v>
      </c>
      <c r="D1298" t="s">
        <v>134</v>
      </c>
      <c r="E1298" t="s">
        <v>37</v>
      </c>
      <c r="F1298" t="s">
        <v>2417</v>
      </c>
      <c r="G1298" t="str">
        <f>"201511007746"</f>
        <v>201511007746</v>
      </c>
      <c r="H1298" t="s">
        <v>1644</v>
      </c>
      <c r="I1298">
        <v>150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T1298">
        <v>1</v>
      </c>
      <c r="U1298" t="s">
        <v>2418</v>
      </c>
    </row>
    <row r="1299" spans="1:21" x14ac:dyDescent="0.25">
      <c r="H1299" t="s">
        <v>2419</v>
      </c>
    </row>
    <row r="1300" spans="1:21" x14ac:dyDescent="0.25">
      <c r="A1300">
        <v>647</v>
      </c>
      <c r="B1300">
        <v>9762</v>
      </c>
      <c r="C1300" t="s">
        <v>1520</v>
      </c>
      <c r="D1300" t="s">
        <v>95</v>
      </c>
      <c r="E1300" t="s">
        <v>366</v>
      </c>
      <c r="F1300" t="s">
        <v>2420</v>
      </c>
      <c r="G1300" t="str">
        <f>"00027626"</f>
        <v>00027626</v>
      </c>
      <c r="H1300">
        <v>968</v>
      </c>
      <c r="I1300">
        <v>0</v>
      </c>
      <c r="J1300">
        <v>30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T1300">
        <v>0</v>
      </c>
      <c r="U1300">
        <v>998</v>
      </c>
    </row>
    <row r="1301" spans="1:21" x14ac:dyDescent="0.25">
      <c r="H1301" t="s">
        <v>2421</v>
      </c>
    </row>
    <row r="1302" spans="1:21" x14ac:dyDescent="0.25">
      <c r="A1302">
        <v>648</v>
      </c>
      <c r="B1302">
        <v>4385</v>
      </c>
      <c r="C1302" t="s">
        <v>2422</v>
      </c>
      <c r="D1302" t="s">
        <v>27</v>
      </c>
      <c r="E1302" t="s">
        <v>533</v>
      </c>
      <c r="F1302" t="s">
        <v>2423</v>
      </c>
      <c r="G1302" t="str">
        <f>"201511033100"</f>
        <v>201511033100</v>
      </c>
      <c r="H1302" t="s">
        <v>2424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T1302">
        <v>0</v>
      </c>
      <c r="U1302" t="s">
        <v>2424</v>
      </c>
    </row>
    <row r="1303" spans="1:21" x14ac:dyDescent="0.25">
      <c r="H1303" t="s">
        <v>2425</v>
      </c>
    </row>
    <row r="1304" spans="1:21" x14ac:dyDescent="0.25">
      <c r="A1304">
        <v>649</v>
      </c>
      <c r="B1304">
        <v>9986</v>
      </c>
      <c r="C1304" t="s">
        <v>2426</v>
      </c>
      <c r="D1304" t="s">
        <v>173</v>
      </c>
      <c r="E1304" t="s">
        <v>366</v>
      </c>
      <c r="F1304" t="s">
        <v>2427</v>
      </c>
      <c r="G1304" t="str">
        <f>"00042854"</f>
        <v>00042854</v>
      </c>
      <c r="H1304" t="s">
        <v>2424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T1304">
        <v>0</v>
      </c>
      <c r="U1304" t="s">
        <v>2424</v>
      </c>
    </row>
    <row r="1305" spans="1:21" x14ac:dyDescent="0.25">
      <c r="H1305" t="s">
        <v>2428</v>
      </c>
    </row>
    <row r="1306" spans="1:21" x14ac:dyDescent="0.25">
      <c r="A1306">
        <v>650</v>
      </c>
      <c r="B1306">
        <v>657</v>
      </c>
      <c r="C1306" t="s">
        <v>2429</v>
      </c>
      <c r="D1306" t="s">
        <v>2430</v>
      </c>
      <c r="E1306" t="s">
        <v>42</v>
      </c>
      <c r="F1306" t="s">
        <v>2431</v>
      </c>
      <c r="G1306" t="str">
        <f>"201103000342"</f>
        <v>201103000342</v>
      </c>
      <c r="H1306" t="s">
        <v>2424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T1306">
        <v>0</v>
      </c>
      <c r="U1306" t="s">
        <v>2424</v>
      </c>
    </row>
    <row r="1307" spans="1:21" x14ac:dyDescent="0.25">
      <c r="H1307" t="s">
        <v>2432</v>
      </c>
    </row>
    <row r="1308" spans="1:21" x14ac:dyDescent="0.25">
      <c r="A1308">
        <v>651</v>
      </c>
      <c r="B1308">
        <v>7276</v>
      </c>
      <c r="C1308" t="s">
        <v>2433</v>
      </c>
      <c r="D1308" t="s">
        <v>2434</v>
      </c>
      <c r="E1308" t="s">
        <v>42</v>
      </c>
      <c r="F1308" t="s">
        <v>2435</v>
      </c>
      <c r="G1308" t="str">
        <f>"00077703"</f>
        <v>00077703</v>
      </c>
      <c r="H1308" t="s">
        <v>2424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6</v>
      </c>
      <c r="S1308">
        <v>763</v>
      </c>
      <c r="T1308">
        <v>0</v>
      </c>
      <c r="U1308" t="s">
        <v>2424</v>
      </c>
    </row>
    <row r="1309" spans="1:21" x14ac:dyDescent="0.25">
      <c r="H1309">
        <v>763</v>
      </c>
    </row>
    <row r="1310" spans="1:21" x14ac:dyDescent="0.25">
      <c r="A1310">
        <v>652</v>
      </c>
      <c r="B1310">
        <v>498</v>
      </c>
      <c r="C1310" t="s">
        <v>2436</v>
      </c>
      <c r="D1310" t="s">
        <v>338</v>
      </c>
      <c r="E1310" t="s">
        <v>37</v>
      </c>
      <c r="F1310" t="s">
        <v>2437</v>
      </c>
      <c r="G1310" t="str">
        <f>"00031084"</f>
        <v>00031084</v>
      </c>
      <c r="H1310" t="s">
        <v>2424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T1310">
        <v>0</v>
      </c>
      <c r="U1310" t="s">
        <v>2424</v>
      </c>
    </row>
    <row r="1311" spans="1:21" x14ac:dyDescent="0.25">
      <c r="H1311" t="s">
        <v>2438</v>
      </c>
    </row>
    <row r="1312" spans="1:21" x14ac:dyDescent="0.25">
      <c r="A1312">
        <v>653</v>
      </c>
      <c r="B1312">
        <v>4653</v>
      </c>
      <c r="C1312" t="s">
        <v>2439</v>
      </c>
      <c r="D1312" t="s">
        <v>2440</v>
      </c>
      <c r="E1312" t="s">
        <v>42</v>
      </c>
      <c r="F1312" t="s">
        <v>2441</v>
      </c>
      <c r="G1312" t="str">
        <f>"201511040502"</f>
        <v>201511040502</v>
      </c>
      <c r="H1312" t="s">
        <v>2424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T1312">
        <v>2</v>
      </c>
      <c r="U1312" t="s">
        <v>2424</v>
      </c>
    </row>
    <row r="1313" spans="1:21" x14ac:dyDescent="0.25">
      <c r="H1313" t="s">
        <v>2442</v>
      </c>
    </row>
    <row r="1314" spans="1:21" x14ac:dyDescent="0.25">
      <c r="A1314">
        <v>654</v>
      </c>
      <c r="B1314">
        <v>8796</v>
      </c>
      <c r="C1314" t="s">
        <v>2443</v>
      </c>
      <c r="D1314" t="s">
        <v>74</v>
      </c>
      <c r="E1314" t="s">
        <v>135</v>
      </c>
      <c r="F1314" t="s">
        <v>2444</v>
      </c>
      <c r="G1314" t="str">
        <f>"201511021594"</f>
        <v>201511021594</v>
      </c>
      <c r="H1314">
        <v>847</v>
      </c>
      <c r="I1314">
        <v>150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T1314">
        <v>0</v>
      </c>
      <c r="U1314">
        <v>997</v>
      </c>
    </row>
    <row r="1315" spans="1:21" x14ac:dyDescent="0.25">
      <c r="H1315" t="s">
        <v>2445</v>
      </c>
    </row>
    <row r="1316" spans="1:21" x14ac:dyDescent="0.25">
      <c r="A1316">
        <v>655</v>
      </c>
      <c r="B1316">
        <v>73</v>
      </c>
      <c r="C1316" t="s">
        <v>2446</v>
      </c>
      <c r="D1316" t="s">
        <v>64</v>
      </c>
      <c r="E1316" t="s">
        <v>225</v>
      </c>
      <c r="F1316" t="s">
        <v>2447</v>
      </c>
      <c r="G1316" t="str">
        <f>"201511004803"</f>
        <v>201511004803</v>
      </c>
      <c r="H1316" t="s">
        <v>2448</v>
      </c>
      <c r="I1316">
        <v>0</v>
      </c>
      <c r="J1316">
        <v>30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T1316">
        <v>0</v>
      </c>
      <c r="U1316" t="s">
        <v>2449</v>
      </c>
    </row>
    <row r="1317" spans="1:21" x14ac:dyDescent="0.25">
      <c r="H1317" t="s">
        <v>2450</v>
      </c>
    </row>
    <row r="1318" spans="1:21" x14ac:dyDescent="0.25">
      <c r="A1318">
        <v>656</v>
      </c>
      <c r="B1318">
        <v>2402</v>
      </c>
      <c r="C1318" t="s">
        <v>63</v>
      </c>
      <c r="D1318" t="s">
        <v>134</v>
      </c>
      <c r="E1318" t="s">
        <v>36</v>
      </c>
      <c r="F1318" t="s">
        <v>2451</v>
      </c>
      <c r="G1318" t="str">
        <f>"00020915"</f>
        <v>00020915</v>
      </c>
      <c r="H1318" t="s">
        <v>1953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6</v>
      </c>
      <c r="S1318">
        <v>804</v>
      </c>
      <c r="T1318">
        <v>0</v>
      </c>
      <c r="U1318" t="s">
        <v>1953</v>
      </c>
    </row>
    <row r="1319" spans="1:21" x14ac:dyDescent="0.25">
      <c r="H1319">
        <v>804</v>
      </c>
    </row>
    <row r="1320" spans="1:21" x14ac:dyDescent="0.25">
      <c r="A1320">
        <v>657</v>
      </c>
      <c r="B1320">
        <v>113</v>
      </c>
      <c r="C1320" t="s">
        <v>2452</v>
      </c>
      <c r="D1320" t="s">
        <v>2453</v>
      </c>
      <c r="E1320" t="s">
        <v>27</v>
      </c>
      <c r="F1320" t="s">
        <v>2454</v>
      </c>
      <c r="G1320" t="str">
        <f>"201412004984"</f>
        <v>201412004984</v>
      </c>
      <c r="H1320" t="s">
        <v>1953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T1320">
        <v>0</v>
      </c>
      <c r="U1320" t="s">
        <v>1953</v>
      </c>
    </row>
    <row r="1321" spans="1:21" x14ac:dyDescent="0.25">
      <c r="H1321" t="s">
        <v>2455</v>
      </c>
    </row>
    <row r="1322" spans="1:21" x14ac:dyDescent="0.25">
      <c r="A1322">
        <v>658</v>
      </c>
      <c r="B1322">
        <v>6561</v>
      </c>
      <c r="C1322" t="s">
        <v>2456</v>
      </c>
      <c r="D1322" t="s">
        <v>78</v>
      </c>
      <c r="E1322" t="s">
        <v>65</v>
      </c>
      <c r="F1322" t="s">
        <v>2457</v>
      </c>
      <c r="G1322" t="str">
        <f>"201511037707"</f>
        <v>201511037707</v>
      </c>
      <c r="H1322" t="s">
        <v>1953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T1322">
        <v>0</v>
      </c>
      <c r="U1322" t="s">
        <v>1953</v>
      </c>
    </row>
    <row r="1323" spans="1:21" x14ac:dyDescent="0.25">
      <c r="H1323" t="s">
        <v>2458</v>
      </c>
    </row>
    <row r="1324" spans="1:21" x14ac:dyDescent="0.25">
      <c r="A1324">
        <v>659</v>
      </c>
      <c r="B1324">
        <v>2561</v>
      </c>
      <c r="C1324" t="s">
        <v>2459</v>
      </c>
      <c r="D1324" t="s">
        <v>85</v>
      </c>
      <c r="E1324" t="s">
        <v>773</v>
      </c>
      <c r="F1324" t="s">
        <v>2460</v>
      </c>
      <c r="G1324" t="str">
        <f>"201511025164"</f>
        <v>201511025164</v>
      </c>
      <c r="H1324" t="s">
        <v>1953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6</v>
      </c>
      <c r="S1324">
        <v>763</v>
      </c>
      <c r="T1324">
        <v>0</v>
      </c>
      <c r="U1324" t="s">
        <v>1953</v>
      </c>
    </row>
    <row r="1325" spans="1:21" x14ac:dyDescent="0.25">
      <c r="H1325" t="s">
        <v>2461</v>
      </c>
    </row>
    <row r="1326" spans="1:21" x14ac:dyDescent="0.25">
      <c r="A1326">
        <v>660</v>
      </c>
      <c r="B1326">
        <v>2561</v>
      </c>
      <c r="C1326" t="s">
        <v>2459</v>
      </c>
      <c r="D1326" t="s">
        <v>85</v>
      </c>
      <c r="E1326" t="s">
        <v>773</v>
      </c>
      <c r="F1326" t="s">
        <v>2460</v>
      </c>
      <c r="G1326" t="str">
        <f>"201511025164"</f>
        <v>201511025164</v>
      </c>
      <c r="H1326" t="s">
        <v>1953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T1326">
        <v>0</v>
      </c>
      <c r="U1326" t="s">
        <v>1953</v>
      </c>
    </row>
    <row r="1327" spans="1:21" x14ac:dyDescent="0.25">
      <c r="H1327" t="s">
        <v>2461</v>
      </c>
    </row>
    <row r="1328" spans="1:21" x14ac:dyDescent="0.25">
      <c r="A1328">
        <v>661</v>
      </c>
      <c r="B1328">
        <v>1140</v>
      </c>
      <c r="C1328" t="s">
        <v>2462</v>
      </c>
      <c r="D1328" t="s">
        <v>394</v>
      </c>
      <c r="E1328" t="s">
        <v>1058</v>
      </c>
      <c r="F1328" t="s">
        <v>2463</v>
      </c>
      <c r="G1328" t="str">
        <f>"00027703"</f>
        <v>00027703</v>
      </c>
      <c r="H1328">
        <v>946</v>
      </c>
      <c r="I1328">
        <v>0</v>
      </c>
      <c r="J1328">
        <v>50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T1328">
        <v>1</v>
      </c>
      <c r="U1328">
        <v>996</v>
      </c>
    </row>
    <row r="1329" spans="1:21" x14ac:dyDescent="0.25">
      <c r="H1329" t="s">
        <v>2464</v>
      </c>
    </row>
    <row r="1330" spans="1:21" x14ac:dyDescent="0.25">
      <c r="A1330">
        <v>662</v>
      </c>
      <c r="B1330">
        <v>5399</v>
      </c>
      <c r="C1330" t="s">
        <v>2465</v>
      </c>
      <c r="D1330" t="s">
        <v>116</v>
      </c>
      <c r="E1330" t="s">
        <v>36</v>
      </c>
      <c r="F1330" t="s">
        <v>2466</v>
      </c>
      <c r="G1330" t="str">
        <f>"200801008557"</f>
        <v>200801008557</v>
      </c>
      <c r="H1330" t="s">
        <v>2467</v>
      </c>
      <c r="I1330">
        <v>150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T1330">
        <v>0</v>
      </c>
      <c r="U1330" t="s">
        <v>2468</v>
      </c>
    </row>
    <row r="1331" spans="1:21" x14ac:dyDescent="0.25">
      <c r="H1331" t="s">
        <v>2469</v>
      </c>
    </row>
    <row r="1332" spans="1:21" x14ac:dyDescent="0.25">
      <c r="A1332">
        <v>663</v>
      </c>
      <c r="B1332">
        <v>7669</v>
      </c>
      <c r="C1332" t="s">
        <v>2470</v>
      </c>
      <c r="D1332" t="s">
        <v>57</v>
      </c>
      <c r="E1332" t="s">
        <v>373</v>
      </c>
      <c r="F1332" t="s">
        <v>2471</v>
      </c>
      <c r="G1332" t="str">
        <f>"201511032549"</f>
        <v>201511032549</v>
      </c>
      <c r="H1332" t="s">
        <v>2467</v>
      </c>
      <c r="I1332">
        <v>150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T1332">
        <v>0</v>
      </c>
      <c r="U1332" t="s">
        <v>2468</v>
      </c>
    </row>
    <row r="1333" spans="1:21" x14ac:dyDescent="0.25">
      <c r="H1333" t="s">
        <v>2472</v>
      </c>
    </row>
    <row r="1334" spans="1:21" x14ac:dyDescent="0.25">
      <c r="A1334">
        <v>664</v>
      </c>
      <c r="B1334">
        <v>9711</v>
      </c>
      <c r="C1334" t="s">
        <v>2473</v>
      </c>
      <c r="D1334" t="s">
        <v>2003</v>
      </c>
      <c r="E1334" t="s">
        <v>27</v>
      </c>
      <c r="F1334" t="s">
        <v>2474</v>
      </c>
      <c r="G1334" t="str">
        <f>"201511041736"</f>
        <v>201511041736</v>
      </c>
      <c r="H1334" t="s">
        <v>2154</v>
      </c>
      <c r="I1334">
        <v>0</v>
      </c>
      <c r="J1334">
        <v>30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T1334">
        <v>0</v>
      </c>
      <c r="U1334" t="s">
        <v>2475</v>
      </c>
    </row>
    <row r="1335" spans="1:21" x14ac:dyDescent="0.25">
      <c r="H1335" t="s">
        <v>2476</v>
      </c>
    </row>
    <row r="1336" spans="1:21" x14ac:dyDescent="0.25">
      <c r="A1336">
        <v>665</v>
      </c>
      <c r="B1336">
        <v>3923</v>
      </c>
      <c r="C1336" t="s">
        <v>2477</v>
      </c>
      <c r="D1336" t="s">
        <v>121</v>
      </c>
      <c r="E1336" t="s">
        <v>366</v>
      </c>
      <c r="F1336" t="s">
        <v>2478</v>
      </c>
      <c r="G1336" t="str">
        <f>"00047887"</f>
        <v>00047887</v>
      </c>
      <c r="H1336" t="s">
        <v>2479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T1336">
        <v>0</v>
      </c>
      <c r="U1336" t="s">
        <v>2479</v>
      </c>
    </row>
    <row r="1337" spans="1:21" x14ac:dyDescent="0.25">
      <c r="H1337">
        <v>801</v>
      </c>
    </row>
    <row r="1338" spans="1:21" x14ac:dyDescent="0.25">
      <c r="A1338">
        <v>666</v>
      </c>
      <c r="B1338">
        <v>4142</v>
      </c>
      <c r="C1338" t="s">
        <v>2480</v>
      </c>
      <c r="D1338" t="s">
        <v>781</v>
      </c>
      <c r="E1338" t="s">
        <v>27</v>
      </c>
      <c r="F1338" t="s">
        <v>2481</v>
      </c>
      <c r="G1338" t="str">
        <f>"00069392"</f>
        <v>00069392</v>
      </c>
      <c r="H1338" t="s">
        <v>2479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6</v>
      </c>
      <c r="S1338">
        <v>804</v>
      </c>
      <c r="T1338">
        <v>2</v>
      </c>
      <c r="U1338" t="s">
        <v>2479</v>
      </c>
    </row>
    <row r="1339" spans="1:21" x14ac:dyDescent="0.25">
      <c r="H1339" t="s">
        <v>507</v>
      </c>
    </row>
    <row r="1340" spans="1:21" x14ac:dyDescent="0.25">
      <c r="A1340">
        <v>667</v>
      </c>
      <c r="B1340">
        <v>2563</v>
      </c>
      <c r="C1340" t="s">
        <v>2482</v>
      </c>
      <c r="D1340" t="s">
        <v>2483</v>
      </c>
      <c r="E1340" t="s">
        <v>27</v>
      </c>
      <c r="F1340" t="s">
        <v>2484</v>
      </c>
      <c r="G1340" t="str">
        <f>"201511033629"</f>
        <v>201511033629</v>
      </c>
      <c r="H1340" t="s">
        <v>2479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T1340">
        <v>0</v>
      </c>
      <c r="U1340" t="s">
        <v>2479</v>
      </c>
    </row>
    <row r="1341" spans="1:21" x14ac:dyDescent="0.25">
      <c r="H1341" t="s">
        <v>2485</v>
      </c>
    </row>
    <row r="1342" spans="1:21" x14ac:dyDescent="0.25">
      <c r="A1342">
        <v>668</v>
      </c>
      <c r="B1342">
        <v>3460</v>
      </c>
      <c r="C1342" t="s">
        <v>365</v>
      </c>
      <c r="D1342" t="s">
        <v>2486</v>
      </c>
      <c r="E1342" t="s">
        <v>122</v>
      </c>
      <c r="F1342" t="s">
        <v>2487</v>
      </c>
      <c r="G1342" t="str">
        <f>"00083786"</f>
        <v>00083786</v>
      </c>
      <c r="H1342" t="s">
        <v>2479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T1342">
        <v>2</v>
      </c>
      <c r="U1342" t="s">
        <v>2479</v>
      </c>
    </row>
    <row r="1343" spans="1:21" x14ac:dyDescent="0.25">
      <c r="H1343" t="s">
        <v>2488</v>
      </c>
    </row>
    <row r="1344" spans="1:21" x14ac:dyDescent="0.25">
      <c r="A1344">
        <v>669</v>
      </c>
      <c r="B1344">
        <v>9273</v>
      </c>
      <c r="C1344" t="s">
        <v>2489</v>
      </c>
      <c r="D1344" t="s">
        <v>313</v>
      </c>
      <c r="E1344" t="s">
        <v>112</v>
      </c>
      <c r="F1344" t="s">
        <v>2490</v>
      </c>
      <c r="G1344" t="str">
        <f>"201410000327"</f>
        <v>201410000327</v>
      </c>
      <c r="H1344" t="s">
        <v>2479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T1344">
        <v>2</v>
      </c>
      <c r="U1344" t="s">
        <v>2479</v>
      </c>
    </row>
    <row r="1345" spans="1:21" x14ac:dyDescent="0.25">
      <c r="H1345" t="s">
        <v>1465</v>
      </c>
    </row>
    <row r="1346" spans="1:21" x14ac:dyDescent="0.25">
      <c r="A1346">
        <v>670</v>
      </c>
      <c r="B1346">
        <v>5559</v>
      </c>
      <c r="C1346" t="s">
        <v>2491</v>
      </c>
      <c r="D1346" t="s">
        <v>122</v>
      </c>
      <c r="E1346" t="s">
        <v>155</v>
      </c>
      <c r="F1346" t="s">
        <v>2492</v>
      </c>
      <c r="G1346" t="str">
        <f>"00016290"</f>
        <v>00016290</v>
      </c>
      <c r="H1346" t="s">
        <v>2479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T1346">
        <v>0</v>
      </c>
      <c r="U1346" t="s">
        <v>2479</v>
      </c>
    </row>
    <row r="1347" spans="1:21" x14ac:dyDescent="0.25">
      <c r="H1347" t="s">
        <v>2493</v>
      </c>
    </row>
    <row r="1348" spans="1:21" x14ac:dyDescent="0.25">
      <c r="A1348">
        <v>671</v>
      </c>
      <c r="B1348">
        <v>452</v>
      </c>
      <c r="C1348" t="s">
        <v>2494</v>
      </c>
      <c r="D1348" t="s">
        <v>1725</v>
      </c>
      <c r="E1348" t="s">
        <v>2495</v>
      </c>
      <c r="F1348" t="s">
        <v>2496</v>
      </c>
      <c r="G1348" t="str">
        <f>"201511020264"</f>
        <v>201511020264</v>
      </c>
      <c r="H1348" t="s">
        <v>2479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T1348">
        <v>0</v>
      </c>
      <c r="U1348" t="s">
        <v>2479</v>
      </c>
    </row>
    <row r="1349" spans="1:21" x14ac:dyDescent="0.25">
      <c r="H1349" t="s">
        <v>2497</v>
      </c>
    </row>
    <row r="1350" spans="1:21" x14ac:dyDescent="0.25">
      <c r="A1350">
        <v>672</v>
      </c>
      <c r="B1350">
        <v>9129</v>
      </c>
      <c r="C1350" t="s">
        <v>2498</v>
      </c>
      <c r="D1350" t="s">
        <v>36</v>
      </c>
      <c r="E1350" t="s">
        <v>135</v>
      </c>
      <c r="F1350" t="s">
        <v>2499</v>
      </c>
      <c r="G1350" t="str">
        <f>"201512001454"</f>
        <v>201512001454</v>
      </c>
      <c r="H1350" t="s">
        <v>2500</v>
      </c>
      <c r="I1350">
        <v>150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T1350">
        <v>0</v>
      </c>
      <c r="U1350" t="s">
        <v>2501</v>
      </c>
    </row>
    <row r="1351" spans="1:21" x14ac:dyDescent="0.25">
      <c r="H1351" t="s">
        <v>2280</v>
      </c>
    </row>
    <row r="1352" spans="1:21" x14ac:dyDescent="0.25">
      <c r="A1352">
        <v>673</v>
      </c>
      <c r="B1352">
        <v>2340</v>
      </c>
      <c r="C1352" t="s">
        <v>2502</v>
      </c>
      <c r="D1352" t="s">
        <v>78</v>
      </c>
      <c r="E1352" t="s">
        <v>2503</v>
      </c>
      <c r="F1352" t="s">
        <v>2504</v>
      </c>
      <c r="G1352" t="str">
        <f>"201511032609"</f>
        <v>201511032609</v>
      </c>
      <c r="H1352" t="s">
        <v>498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T1352">
        <v>0</v>
      </c>
      <c r="U1352" t="s">
        <v>498</v>
      </c>
    </row>
    <row r="1353" spans="1:21" x14ac:dyDescent="0.25">
      <c r="H1353" t="s">
        <v>2505</v>
      </c>
    </row>
    <row r="1354" spans="1:21" x14ac:dyDescent="0.25">
      <c r="A1354">
        <v>674</v>
      </c>
      <c r="B1354">
        <v>9752</v>
      </c>
      <c r="C1354" t="s">
        <v>755</v>
      </c>
      <c r="D1354" t="s">
        <v>26</v>
      </c>
      <c r="E1354" t="s">
        <v>36</v>
      </c>
      <c r="F1354" t="s">
        <v>2506</v>
      </c>
      <c r="G1354" t="str">
        <f>"200801000892"</f>
        <v>200801000892</v>
      </c>
      <c r="H1354" t="s">
        <v>498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T1354">
        <v>0</v>
      </c>
      <c r="U1354" t="s">
        <v>498</v>
      </c>
    </row>
    <row r="1355" spans="1:21" x14ac:dyDescent="0.25">
      <c r="H1355" t="s">
        <v>2507</v>
      </c>
    </row>
    <row r="1356" spans="1:21" x14ac:dyDescent="0.25">
      <c r="A1356">
        <v>675</v>
      </c>
      <c r="B1356">
        <v>6948</v>
      </c>
      <c r="C1356" t="s">
        <v>2508</v>
      </c>
      <c r="D1356" t="s">
        <v>116</v>
      </c>
      <c r="E1356" t="s">
        <v>614</v>
      </c>
      <c r="F1356" t="s">
        <v>2509</v>
      </c>
      <c r="G1356" t="str">
        <f>"00087925"</f>
        <v>00087925</v>
      </c>
      <c r="H1356" t="s">
        <v>498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T1356">
        <v>0</v>
      </c>
      <c r="U1356" t="s">
        <v>498</v>
      </c>
    </row>
    <row r="1357" spans="1:21" x14ac:dyDescent="0.25">
      <c r="H1357" t="s">
        <v>2510</v>
      </c>
    </row>
    <row r="1358" spans="1:21" x14ac:dyDescent="0.25">
      <c r="A1358">
        <v>676</v>
      </c>
      <c r="B1358">
        <v>10492</v>
      </c>
      <c r="C1358" t="s">
        <v>2511</v>
      </c>
      <c r="D1358" t="s">
        <v>111</v>
      </c>
      <c r="E1358" t="s">
        <v>449</v>
      </c>
      <c r="F1358" t="s">
        <v>2512</v>
      </c>
      <c r="G1358" t="str">
        <f>"201102000410"</f>
        <v>201102000410</v>
      </c>
      <c r="H1358" t="s">
        <v>2513</v>
      </c>
      <c r="I1358">
        <v>150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T1358">
        <v>0</v>
      </c>
      <c r="U1358" t="s">
        <v>2514</v>
      </c>
    </row>
    <row r="1359" spans="1:21" x14ac:dyDescent="0.25">
      <c r="H1359" t="s">
        <v>2515</v>
      </c>
    </row>
    <row r="1360" spans="1:21" x14ac:dyDescent="0.25">
      <c r="A1360">
        <v>677</v>
      </c>
      <c r="B1360">
        <v>9174</v>
      </c>
      <c r="C1360" t="s">
        <v>2516</v>
      </c>
      <c r="D1360" t="s">
        <v>781</v>
      </c>
      <c r="E1360" t="s">
        <v>263</v>
      </c>
      <c r="F1360" t="s">
        <v>2517</v>
      </c>
      <c r="G1360" t="str">
        <f>"00090914"</f>
        <v>00090914</v>
      </c>
      <c r="H1360" t="s">
        <v>1735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T1360">
        <v>0</v>
      </c>
      <c r="U1360" t="s">
        <v>1735</v>
      </c>
    </row>
    <row r="1361" spans="1:21" x14ac:dyDescent="0.25">
      <c r="H1361" t="s">
        <v>2518</v>
      </c>
    </row>
    <row r="1362" spans="1:21" x14ac:dyDescent="0.25">
      <c r="A1362">
        <v>678</v>
      </c>
      <c r="B1362">
        <v>1011</v>
      </c>
      <c r="C1362" t="s">
        <v>2519</v>
      </c>
      <c r="D1362" t="s">
        <v>95</v>
      </c>
      <c r="E1362" t="s">
        <v>36</v>
      </c>
      <c r="F1362" t="s">
        <v>2520</v>
      </c>
      <c r="G1362" t="str">
        <f>"201507001617"</f>
        <v>201507001617</v>
      </c>
      <c r="H1362" t="s">
        <v>1735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T1362">
        <v>0</v>
      </c>
      <c r="U1362" t="s">
        <v>1735</v>
      </c>
    </row>
    <row r="1363" spans="1:21" x14ac:dyDescent="0.25">
      <c r="H1363" t="s">
        <v>2521</v>
      </c>
    </row>
    <row r="1364" spans="1:21" x14ac:dyDescent="0.25">
      <c r="A1364">
        <v>679</v>
      </c>
      <c r="B1364">
        <v>1011</v>
      </c>
      <c r="C1364" t="s">
        <v>2519</v>
      </c>
      <c r="D1364" t="s">
        <v>95</v>
      </c>
      <c r="E1364" t="s">
        <v>36</v>
      </c>
      <c r="F1364" t="s">
        <v>2520</v>
      </c>
      <c r="G1364" t="str">
        <f>"201507001617"</f>
        <v>201507001617</v>
      </c>
      <c r="H1364" t="s">
        <v>1735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6</v>
      </c>
      <c r="S1364" t="s">
        <v>2522</v>
      </c>
      <c r="T1364">
        <v>0</v>
      </c>
      <c r="U1364" t="s">
        <v>1735</v>
      </c>
    </row>
    <row r="1365" spans="1:21" x14ac:dyDescent="0.25">
      <c r="H1365" t="s">
        <v>2521</v>
      </c>
    </row>
    <row r="1366" spans="1:21" x14ac:dyDescent="0.25">
      <c r="A1366">
        <v>680</v>
      </c>
      <c r="B1366">
        <v>5792</v>
      </c>
      <c r="C1366" t="s">
        <v>2523</v>
      </c>
      <c r="D1366" t="s">
        <v>289</v>
      </c>
      <c r="E1366" t="s">
        <v>533</v>
      </c>
      <c r="F1366" t="s">
        <v>2524</v>
      </c>
      <c r="G1366" t="str">
        <f>"00090189"</f>
        <v>00090189</v>
      </c>
      <c r="H1366" t="s">
        <v>1735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T1366">
        <v>1</v>
      </c>
      <c r="U1366" t="s">
        <v>1735</v>
      </c>
    </row>
    <row r="1367" spans="1:21" x14ac:dyDescent="0.25">
      <c r="H1367" t="s">
        <v>2525</v>
      </c>
    </row>
    <row r="1368" spans="1:21" x14ac:dyDescent="0.25">
      <c r="A1368">
        <v>681</v>
      </c>
      <c r="B1368">
        <v>1146</v>
      </c>
      <c r="C1368" t="s">
        <v>2526</v>
      </c>
      <c r="D1368" t="s">
        <v>74</v>
      </c>
      <c r="E1368" t="s">
        <v>474</v>
      </c>
      <c r="F1368" t="s">
        <v>2527</v>
      </c>
      <c r="G1368" t="str">
        <f>"00027479"</f>
        <v>00027479</v>
      </c>
      <c r="H1368" t="s">
        <v>792</v>
      </c>
      <c r="I1368">
        <v>0</v>
      </c>
      <c r="J1368">
        <v>30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T1368">
        <v>0</v>
      </c>
      <c r="U1368" t="s">
        <v>2528</v>
      </c>
    </row>
    <row r="1369" spans="1:21" x14ac:dyDescent="0.25">
      <c r="H1369" t="s">
        <v>2529</v>
      </c>
    </row>
    <row r="1370" spans="1:21" x14ac:dyDescent="0.25">
      <c r="A1370">
        <v>682</v>
      </c>
      <c r="B1370">
        <v>9989</v>
      </c>
      <c r="C1370" t="s">
        <v>2530</v>
      </c>
      <c r="D1370" t="s">
        <v>2531</v>
      </c>
      <c r="E1370" t="s">
        <v>449</v>
      </c>
      <c r="F1370" t="s">
        <v>2532</v>
      </c>
      <c r="G1370" t="str">
        <f>"00088852"</f>
        <v>00088852</v>
      </c>
      <c r="H1370" t="s">
        <v>792</v>
      </c>
      <c r="I1370">
        <v>0</v>
      </c>
      <c r="J1370">
        <v>30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T1370">
        <v>0</v>
      </c>
      <c r="U1370" t="s">
        <v>2528</v>
      </c>
    </row>
    <row r="1371" spans="1:21" x14ac:dyDescent="0.25">
      <c r="H1371" t="s">
        <v>2533</v>
      </c>
    </row>
    <row r="1372" spans="1:21" x14ac:dyDescent="0.25">
      <c r="A1372">
        <v>683</v>
      </c>
      <c r="B1372">
        <v>2045</v>
      </c>
      <c r="C1372" t="s">
        <v>2534</v>
      </c>
      <c r="D1372" t="s">
        <v>185</v>
      </c>
      <c r="E1372" t="s">
        <v>281</v>
      </c>
      <c r="F1372" t="s">
        <v>2535</v>
      </c>
      <c r="G1372" t="str">
        <f>"00020770"</f>
        <v>00020770</v>
      </c>
      <c r="H1372" t="s">
        <v>792</v>
      </c>
      <c r="I1372">
        <v>0</v>
      </c>
      <c r="J1372">
        <v>30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T1372">
        <v>0</v>
      </c>
      <c r="U1372" t="s">
        <v>2528</v>
      </c>
    </row>
    <row r="1373" spans="1:21" x14ac:dyDescent="0.25">
      <c r="H1373" t="s">
        <v>2536</v>
      </c>
    </row>
    <row r="1374" spans="1:21" x14ac:dyDescent="0.25">
      <c r="A1374">
        <v>684</v>
      </c>
      <c r="B1374">
        <v>897</v>
      </c>
      <c r="C1374" t="s">
        <v>163</v>
      </c>
      <c r="D1374" t="s">
        <v>164</v>
      </c>
      <c r="E1374" t="s">
        <v>37</v>
      </c>
      <c r="F1374" t="s">
        <v>2537</v>
      </c>
      <c r="G1374" t="str">
        <f>"00021364"</f>
        <v>00021364</v>
      </c>
      <c r="H1374" t="s">
        <v>2538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6</v>
      </c>
      <c r="S1374">
        <v>809</v>
      </c>
      <c r="T1374">
        <v>2</v>
      </c>
      <c r="U1374" t="s">
        <v>2538</v>
      </c>
    </row>
    <row r="1375" spans="1:21" x14ac:dyDescent="0.25">
      <c r="H1375">
        <v>809</v>
      </c>
    </row>
    <row r="1376" spans="1:21" x14ac:dyDescent="0.25">
      <c r="A1376">
        <v>685</v>
      </c>
      <c r="B1376">
        <v>9993</v>
      </c>
      <c r="C1376" t="s">
        <v>2539</v>
      </c>
      <c r="D1376" t="s">
        <v>647</v>
      </c>
      <c r="E1376" t="s">
        <v>259</v>
      </c>
      <c r="F1376" t="s">
        <v>2540</v>
      </c>
      <c r="G1376" t="str">
        <f>"00102021"</f>
        <v>00102021</v>
      </c>
      <c r="H1376">
        <v>891</v>
      </c>
      <c r="I1376">
        <v>0</v>
      </c>
      <c r="J1376">
        <v>70</v>
      </c>
      <c r="K1376">
        <v>0</v>
      </c>
      <c r="L1376">
        <v>30</v>
      </c>
      <c r="M1376">
        <v>0</v>
      </c>
      <c r="N1376">
        <v>0</v>
      </c>
      <c r="O1376">
        <v>0</v>
      </c>
      <c r="P1376">
        <v>0</v>
      </c>
      <c r="Q1376">
        <v>0</v>
      </c>
      <c r="T1376">
        <v>0</v>
      </c>
      <c r="U1376">
        <v>991</v>
      </c>
    </row>
    <row r="1377" spans="1:21" x14ac:dyDescent="0.25">
      <c r="H1377" t="s">
        <v>2541</v>
      </c>
    </row>
    <row r="1378" spans="1:21" x14ac:dyDescent="0.25">
      <c r="A1378">
        <v>686</v>
      </c>
      <c r="B1378">
        <v>4043</v>
      </c>
      <c r="C1378" t="s">
        <v>2542</v>
      </c>
      <c r="D1378" t="s">
        <v>2543</v>
      </c>
      <c r="E1378" t="s">
        <v>350</v>
      </c>
      <c r="F1378" t="s">
        <v>2544</v>
      </c>
      <c r="G1378" t="str">
        <f>"201512004961"</f>
        <v>201512004961</v>
      </c>
      <c r="H1378" t="s">
        <v>702</v>
      </c>
      <c r="I1378">
        <v>0</v>
      </c>
      <c r="J1378">
        <v>50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T1378">
        <v>0</v>
      </c>
      <c r="U1378" t="s">
        <v>2545</v>
      </c>
    </row>
    <row r="1379" spans="1:21" x14ac:dyDescent="0.25">
      <c r="H1379">
        <v>764</v>
      </c>
    </row>
    <row r="1380" spans="1:21" x14ac:dyDescent="0.25">
      <c r="A1380">
        <v>687</v>
      </c>
      <c r="B1380">
        <v>7343</v>
      </c>
      <c r="C1380" t="s">
        <v>2546</v>
      </c>
      <c r="D1380" t="s">
        <v>116</v>
      </c>
      <c r="E1380" t="s">
        <v>37</v>
      </c>
      <c r="F1380" t="s">
        <v>2547</v>
      </c>
      <c r="G1380" t="str">
        <f>"00091837"</f>
        <v>00091837</v>
      </c>
      <c r="H1380" t="s">
        <v>2548</v>
      </c>
      <c r="I1380">
        <v>0</v>
      </c>
      <c r="J1380">
        <v>30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T1380">
        <v>2</v>
      </c>
      <c r="U1380" t="s">
        <v>2549</v>
      </c>
    </row>
    <row r="1381" spans="1:21" x14ac:dyDescent="0.25">
      <c r="H1381" t="s">
        <v>2550</v>
      </c>
    </row>
    <row r="1382" spans="1:21" x14ac:dyDescent="0.25">
      <c r="A1382">
        <v>688</v>
      </c>
      <c r="B1382">
        <v>10275</v>
      </c>
      <c r="C1382" t="s">
        <v>2551</v>
      </c>
      <c r="D1382" t="s">
        <v>1948</v>
      </c>
      <c r="E1382" t="s">
        <v>952</v>
      </c>
      <c r="F1382" t="s">
        <v>2552</v>
      </c>
      <c r="G1382" t="str">
        <f>"00030241"</f>
        <v>00030241</v>
      </c>
      <c r="H1382">
        <v>990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T1382">
        <v>0</v>
      </c>
      <c r="U1382">
        <v>990</v>
      </c>
    </row>
    <row r="1383" spans="1:21" x14ac:dyDescent="0.25">
      <c r="H1383" t="s">
        <v>2553</v>
      </c>
    </row>
    <row r="1384" spans="1:21" x14ac:dyDescent="0.25">
      <c r="A1384">
        <v>689</v>
      </c>
      <c r="B1384">
        <v>3827</v>
      </c>
      <c r="C1384" t="s">
        <v>2554</v>
      </c>
      <c r="D1384" t="s">
        <v>134</v>
      </c>
      <c r="E1384" t="s">
        <v>135</v>
      </c>
      <c r="F1384" t="s">
        <v>2555</v>
      </c>
      <c r="G1384" t="str">
        <f>"00017444"</f>
        <v>00017444</v>
      </c>
      <c r="H1384">
        <v>990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T1384">
        <v>0</v>
      </c>
      <c r="U1384">
        <v>990</v>
      </c>
    </row>
    <row r="1385" spans="1:21" x14ac:dyDescent="0.25">
      <c r="H1385">
        <v>764</v>
      </c>
    </row>
    <row r="1386" spans="1:21" x14ac:dyDescent="0.25">
      <c r="A1386">
        <v>690</v>
      </c>
      <c r="B1386">
        <v>9315</v>
      </c>
      <c r="C1386" t="s">
        <v>2556</v>
      </c>
      <c r="D1386" t="s">
        <v>502</v>
      </c>
      <c r="E1386" t="s">
        <v>769</v>
      </c>
      <c r="F1386" t="s">
        <v>2557</v>
      </c>
      <c r="G1386" t="str">
        <f>"00032127"</f>
        <v>00032127</v>
      </c>
      <c r="H1386">
        <v>990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6</v>
      </c>
      <c r="S1386">
        <v>809</v>
      </c>
      <c r="T1386">
        <v>0</v>
      </c>
      <c r="U1386">
        <v>990</v>
      </c>
    </row>
    <row r="1387" spans="1:21" x14ac:dyDescent="0.25">
      <c r="H1387" t="s">
        <v>1375</v>
      </c>
    </row>
    <row r="1388" spans="1:21" x14ac:dyDescent="0.25">
      <c r="A1388">
        <v>691</v>
      </c>
      <c r="B1388">
        <v>7523</v>
      </c>
      <c r="C1388" t="s">
        <v>2296</v>
      </c>
      <c r="D1388" t="s">
        <v>2558</v>
      </c>
      <c r="E1388" t="s">
        <v>122</v>
      </c>
      <c r="F1388" t="s">
        <v>2559</v>
      </c>
      <c r="G1388" t="str">
        <f>"00079242"</f>
        <v>00079242</v>
      </c>
      <c r="H1388">
        <v>990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T1388">
        <v>0</v>
      </c>
      <c r="U1388">
        <v>990</v>
      </c>
    </row>
    <row r="1389" spans="1:21" x14ac:dyDescent="0.25">
      <c r="H1389" t="s">
        <v>491</v>
      </c>
    </row>
    <row r="1390" spans="1:21" x14ac:dyDescent="0.25">
      <c r="A1390">
        <v>692</v>
      </c>
      <c r="B1390">
        <v>2430</v>
      </c>
      <c r="C1390" t="s">
        <v>2560</v>
      </c>
      <c r="D1390" t="s">
        <v>64</v>
      </c>
      <c r="E1390" t="s">
        <v>42</v>
      </c>
      <c r="F1390" t="s">
        <v>2561</v>
      </c>
      <c r="G1390" t="str">
        <f>"201511042213"</f>
        <v>201511042213</v>
      </c>
      <c r="H1390">
        <v>990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T1390">
        <v>0</v>
      </c>
      <c r="U1390">
        <v>990</v>
      </c>
    </row>
    <row r="1391" spans="1:21" x14ac:dyDescent="0.25">
      <c r="H1391" t="s">
        <v>2562</v>
      </c>
    </row>
    <row r="1392" spans="1:21" x14ac:dyDescent="0.25">
      <c r="A1392">
        <v>693</v>
      </c>
      <c r="B1392">
        <v>7658</v>
      </c>
      <c r="C1392" t="s">
        <v>2563</v>
      </c>
      <c r="D1392" t="s">
        <v>1254</v>
      </c>
      <c r="E1392" t="s">
        <v>449</v>
      </c>
      <c r="F1392" t="s">
        <v>2564</v>
      </c>
      <c r="G1392" t="str">
        <f>"201511015511"</f>
        <v>201511015511</v>
      </c>
      <c r="H1392">
        <v>990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T1392">
        <v>1</v>
      </c>
      <c r="U1392">
        <v>990</v>
      </c>
    </row>
    <row r="1393" spans="1:21" x14ac:dyDescent="0.25">
      <c r="H1393" t="s">
        <v>2565</v>
      </c>
    </row>
    <row r="1394" spans="1:21" x14ac:dyDescent="0.25">
      <c r="A1394">
        <v>694</v>
      </c>
      <c r="B1394">
        <v>10400</v>
      </c>
      <c r="C1394" t="s">
        <v>2566</v>
      </c>
      <c r="D1394" t="s">
        <v>134</v>
      </c>
      <c r="E1394" t="s">
        <v>27</v>
      </c>
      <c r="F1394" t="s">
        <v>2567</v>
      </c>
      <c r="G1394" t="str">
        <f>"201511035371"</f>
        <v>201511035371</v>
      </c>
      <c r="H1394">
        <v>990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T1394">
        <v>0</v>
      </c>
      <c r="U1394">
        <v>990</v>
      </c>
    </row>
    <row r="1395" spans="1:21" x14ac:dyDescent="0.25">
      <c r="H1395" t="s">
        <v>2568</v>
      </c>
    </row>
    <row r="1396" spans="1:21" x14ac:dyDescent="0.25">
      <c r="A1396">
        <v>695</v>
      </c>
      <c r="B1396">
        <v>3741</v>
      </c>
      <c r="C1396" t="s">
        <v>2569</v>
      </c>
      <c r="D1396" t="s">
        <v>128</v>
      </c>
      <c r="E1396" t="s">
        <v>36</v>
      </c>
      <c r="F1396" t="s">
        <v>2570</v>
      </c>
      <c r="G1396" t="str">
        <f>"00022908"</f>
        <v>00022908</v>
      </c>
      <c r="H1396">
        <v>990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T1396">
        <v>0</v>
      </c>
      <c r="U1396">
        <v>990</v>
      </c>
    </row>
    <row r="1397" spans="1:21" x14ac:dyDescent="0.25">
      <c r="H1397" t="s">
        <v>2571</v>
      </c>
    </row>
    <row r="1398" spans="1:21" x14ac:dyDescent="0.25">
      <c r="A1398">
        <v>696</v>
      </c>
      <c r="B1398">
        <v>5085</v>
      </c>
      <c r="C1398" t="s">
        <v>2572</v>
      </c>
      <c r="D1398" t="s">
        <v>101</v>
      </c>
      <c r="E1398" t="s">
        <v>1136</v>
      </c>
      <c r="F1398" t="s">
        <v>2573</v>
      </c>
      <c r="G1398" t="str">
        <f>"201511028207"</f>
        <v>201511028207</v>
      </c>
      <c r="H1398">
        <v>990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6</v>
      </c>
      <c r="S1398">
        <v>807</v>
      </c>
      <c r="T1398">
        <v>0</v>
      </c>
      <c r="U1398">
        <v>990</v>
      </c>
    </row>
    <row r="1399" spans="1:21" x14ac:dyDescent="0.25">
      <c r="H1399" t="s">
        <v>2574</v>
      </c>
    </row>
    <row r="1400" spans="1:21" x14ac:dyDescent="0.25">
      <c r="A1400">
        <v>697</v>
      </c>
      <c r="B1400">
        <v>5085</v>
      </c>
      <c r="C1400" t="s">
        <v>2572</v>
      </c>
      <c r="D1400" t="s">
        <v>101</v>
      </c>
      <c r="E1400" t="s">
        <v>1136</v>
      </c>
      <c r="F1400" t="s">
        <v>2573</v>
      </c>
      <c r="G1400" t="str">
        <f>"201511028207"</f>
        <v>201511028207</v>
      </c>
      <c r="H1400">
        <v>990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T1400">
        <v>0</v>
      </c>
      <c r="U1400">
        <v>990</v>
      </c>
    </row>
    <row r="1401" spans="1:21" x14ac:dyDescent="0.25">
      <c r="H1401" t="s">
        <v>2574</v>
      </c>
    </row>
    <row r="1402" spans="1:21" x14ac:dyDescent="0.25">
      <c r="A1402">
        <v>698</v>
      </c>
      <c r="B1402">
        <v>4435</v>
      </c>
      <c r="C1402" t="s">
        <v>2575</v>
      </c>
      <c r="D1402" t="s">
        <v>36</v>
      </c>
      <c r="E1402" t="s">
        <v>1477</v>
      </c>
      <c r="F1402" t="s">
        <v>2576</v>
      </c>
      <c r="G1402" t="str">
        <f>"00038960"</f>
        <v>00038960</v>
      </c>
      <c r="H1402">
        <v>990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T1402">
        <v>0</v>
      </c>
      <c r="U1402">
        <v>990</v>
      </c>
    </row>
    <row r="1403" spans="1:21" x14ac:dyDescent="0.25">
      <c r="H1403" t="s">
        <v>2577</v>
      </c>
    </row>
    <row r="1404" spans="1:21" x14ac:dyDescent="0.25">
      <c r="A1404">
        <v>699</v>
      </c>
      <c r="B1404">
        <v>4925</v>
      </c>
      <c r="C1404" t="s">
        <v>2578</v>
      </c>
      <c r="D1404" t="s">
        <v>372</v>
      </c>
      <c r="E1404" t="s">
        <v>191</v>
      </c>
      <c r="F1404" t="s">
        <v>2579</v>
      </c>
      <c r="G1404" t="str">
        <f>"00031575"</f>
        <v>00031575</v>
      </c>
      <c r="H1404">
        <v>990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T1404">
        <v>0</v>
      </c>
      <c r="U1404">
        <v>990</v>
      </c>
    </row>
    <row r="1405" spans="1:21" x14ac:dyDescent="0.25">
      <c r="H1405" t="s">
        <v>2580</v>
      </c>
    </row>
    <row r="1406" spans="1:21" x14ac:dyDescent="0.25">
      <c r="A1406">
        <v>700</v>
      </c>
      <c r="B1406">
        <v>10352</v>
      </c>
      <c r="C1406" t="s">
        <v>1341</v>
      </c>
      <c r="D1406" t="s">
        <v>646</v>
      </c>
      <c r="E1406" t="s">
        <v>70</v>
      </c>
      <c r="F1406" t="s">
        <v>2581</v>
      </c>
      <c r="G1406" t="str">
        <f>"201511036720"</f>
        <v>201511036720</v>
      </c>
      <c r="H1406">
        <v>990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T1406">
        <v>0</v>
      </c>
      <c r="U1406">
        <v>990</v>
      </c>
    </row>
    <row r="1407" spans="1:21" x14ac:dyDescent="0.25">
      <c r="H1407" t="s">
        <v>2582</v>
      </c>
    </row>
    <row r="1408" spans="1:21" x14ac:dyDescent="0.25">
      <c r="A1408">
        <v>701</v>
      </c>
      <c r="B1408">
        <v>4189</v>
      </c>
      <c r="C1408" t="s">
        <v>2583</v>
      </c>
      <c r="D1408" t="s">
        <v>164</v>
      </c>
      <c r="E1408" t="s">
        <v>2584</v>
      </c>
      <c r="F1408" t="s">
        <v>2585</v>
      </c>
      <c r="G1408" t="str">
        <f>"00095438"</f>
        <v>00095438</v>
      </c>
      <c r="H1408">
        <v>990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T1408">
        <v>1</v>
      </c>
      <c r="U1408">
        <v>990</v>
      </c>
    </row>
    <row r="1409" spans="1:21" x14ac:dyDescent="0.25">
      <c r="H1409" t="s">
        <v>2586</v>
      </c>
    </row>
    <row r="1410" spans="1:21" x14ac:dyDescent="0.25">
      <c r="A1410">
        <v>702</v>
      </c>
      <c r="B1410">
        <v>8964</v>
      </c>
      <c r="C1410" t="s">
        <v>531</v>
      </c>
      <c r="D1410" t="s">
        <v>532</v>
      </c>
      <c r="E1410" t="s">
        <v>533</v>
      </c>
      <c r="F1410" t="s">
        <v>534</v>
      </c>
      <c r="G1410" t="str">
        <f>"201512000388"</f>
        <v>201512000388</v>
      </c>
      <c r="H1410">
        <v>990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T1410">
        <v>2</v>
      </c>
      <c r="U1410">
        <v>990</v>
      </c>
    </row>
    <row r="1411" spans="1:21" x14ac:dyDescent="0.25">
      <c r="H1411" t="s">
        <v>535</v>
      </c>
    </row>
    <row r="1412" spans="1:21" x14ac:dyDescent="0.25">
      <c r="A1412">
        <v>703</v>
      </c>
      <c r="B1412">
        <v>8150</v>
      </c>
      <c r="C1412" t="s">
        <v>2587</v>
      </c>
      <c r="D1412" t="s">
        <v>121</v>
      </c>
      <c r="E1412" t="s">
        <v>36</v>
      </c>
      <c r="F1412" t="s">
        <v>2588</v>
      </c>
      <c r="G1412" t="str">
        <f>"00080202"</f>
        <v>00080202</v>
      </c>
      <c r="H1412">
        <v>990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T1412">
        <v>2</v>
      </c>
      <c r="U1412">
        <v>990</v>
      </c>
    </row>
    <row r="1413" spans="1:21" x14ac:dyDescent="0.25">
      <c r="H1413" t="s">
        <v>2589</v>
      </c>
    </row>
    <row r="1414" spans="1:21" x14ac:dyDescent="0.25">
      <c r="A1414">
        <v>704</v>
      </c>
      <c r="B1414">
        <v>8883</v>
      </c>
      <c r="C1414" t="s">
        <v>2590</v>
      </c>
      <c r="D1414" t="s">
        <v>2591</v>
      </c>
      <c r="E1414" t="s">
        <v>42</v>
      </c>
      <c r="F1414" t="s">
        <v>2592</v>
      </c>
      <c r="G1414" t="str">
        <f>"201511032598"</f>
        <v>201511032598</v>
      </c>
      <c r="H1414">
        <v>990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T1414">
        <v>0</v>
      </c>
      <c r="U1414">
        <v>990</v>
      </c>
    </row>
    <row r="1415" spans="1:21" x14ac:dyDescent="0.25">
      <c r="H1415" t="s">
        <v>2593</v>
      </c>
    </row>
    <row r="1416" spans="1:21" x14ac:dyDescent="0.25">
      <c r="A1416">
        <v>705</v>
      </c>
      <c r="B1416">
        <v>3803</v>
      </c>
      <c r="C1416" t="s">
        <v>2594</v>
      </c>
      <c r="D1416" t="s">
        <v>134</v>
      </c>
      <c r="E1416" t="s">
        <v>259</v>
      </c>
      <c r="F1416" t="s">
        <v>2595</v>
      </c>
      <c r="G1416" t="str">
        <f>"201410007923"</f>
        <v>201410007923</v>
      </c>
      <c r="H1416">
        <v>990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T1416">
        <v>0</v>
      </c>
      <c r="U1416">
        <v>990</v>
      </c>
    </row>
    <row r="1417" spans="1:21" x14ac:dyDescent="0.25">
      <c r="H1417" t="s">
        <v>2596</v>
      </c>
    </row>
    <row r="1418" spans="1:21" x14ac:dyDescent="0.25">
      <c r="A1418">
        <v>706</v>
      </c>
      <c r="B1418">
        <v>3161</v>
      </c>
      <c r="C1418" t="s">
        <v>2597</v>
      </c>
      <c r="D1418" t="s">
        <v>85</v>
      </c>
      <c r="E1418" t="s">
        <v>37</v>
      </c>
      <c r="F1418" t="s">
        <v>2598</v>
      </c>
      <c r="G1418" t="str">
        <f>"200902000220"</f>
        <v>200902000220</v>
      </c>
      <c r="H1418">
        <v>770</v>
      </c>
      <c r="I1418">
        <v>150</v>
      </c>
      <c r="J1418">
        <v>70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T1418">
        <v>0</v>
      </c>
      <c r="U1418">
        <v>990</v>
      </c>
    </row>
    <row r="1419" spans="1:21" x14ac:dyDescent="0.25">
      <c r="H1419" t="s">
        <v>2599</v>
      </c>
    </row>
    <row r="1420" spans="1:21" x14ac:dyDescent="0.25">
      <c r="A1420">
        <v>707</v>
      </c>
      <c r="B1420">
        <v>2166</v>
      </c>
      <c r="C1420" t="s">
        <v>2336</v>
      </c>
      <c r="D1420" t="s">
        <v>64</v>
      </c>
      <c r="E1420" t="s">
        <v>27</v>
      </c>
      <c r="F1420" t="s">
        <v>2600</v>
      </c>
      <c r="G1420" t="str">
        <f>"201511029219"</f>
        <v>201511029219</v>
      </c>
      <c r="H1420" t="s">
        <v>2601</v>
      </c>
      <c r="I1420">
        <v>150</v>
      </c>
      <c r="J1420">
        <v>30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T1420">
        <v>0</v>
      </c>
      <c r="U1420" t="s">
        <v>2602</v>
      </c>
    </row>
    <row r="1421" spans="1:21" x14ac:dyDescent="0.25">
      <c r="H1421" t="s">
        <v>2603</v>
      </c>
    </row>
    <row r="1422" spans="1:21" x14ac:dyDescent="0.25">
      <c r="A1422">
        <v>708</v>
      </c>
      <c r="B1422">
        <v>5837</v>
      </c>
      <c r="C1422" t="s">
        <v>2604</v>
      </c>
      <c r="D1422" t="s">
        <v>212</v>
      </c>
      <c r="E1422" t="s">
        <v>366</v>
      </c>
      <c r="F1422" t="s">
        <v>2605</v>
      </c>
      <c r="G1422" t="str">
        <f>"00030654"</f>
        <v>00030654</v>
      </c>
      <c r="H1422" t="s">
        <v>2606</v>
      </c>
      <c r="I1422">
        <v>150</v>
      </c>
      <c r="J1422">
        <v>30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T1422">
        <v>2</v>
      </c>
      <c r="U1422" t="s">
        <v>2607</v>
      </c>
    </row>
    <row r="1423" spans="1:21" x14ac:dyDescent="0.25">
      <c r="H1423" t="s">
        <v>2608</v>
      </c>
    </row>
    <row r="1424" spans="1:21" x14ac:dyDescent="0.25">
      <c r="A1424">
        <v>709</v>
      </c>
      <c r="B1424">
        <v>6277</v>
      </c>
      <c r="C1424" t="s">
        <v>2609</v>
      </c>
      <c r="D1424" t="s">
        <v>95</v>
      </c>
      <c r="E1424" t="s">
        <v>135</v>
      </c>
      <c r="F1424" t="s">
        <v>2610</v>
      </c>
      <c r="G1424" t="str">
        <f>"201511033785"</f>
        <v>201511033785</v>
      </c>
      <c r="H1424" t="s">
        <v>2606</v>
      </c>
      <c r="I1424">
        <v>150</v>
      </c>
      <c r="J1424">
        <v>30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T1424">
        <v>0</v>
      </c>
      <c r="U1424" t="s">
        <v>2607</v>
      </c>
    </row>
    <row r="1425" spans="1:21" x14ac:dyDescent="0.25">
      <c r="H1425" t="s">
        <v>2611</v>
      </c>
    </row>
    <row r="1426" spans="1:21" x14ac:dyDescent="0.25">
      <c r="A1426">
        <v>710</v>
      </c>
      <c r="B1426">
        <v>8778</v>
      </c>
      <c r="C1426" t="s">
        <v>1392</v>
      </c>
      <c r="D1426" t="s">
        <v>2612</v>
      </c>
      <c r="E1426" t="s">
        <v>366</v>
      </c>
      <c r="F1426" t="s">
        <v>2613</v>
      </c>
      <c r="G1426" t="str">
        <f>"201412006143"</f>
        <v>201412006143</v>
      </c>
      <c r="H1426">
        <v>957</v>
      </c>
      <c r="I1426">
        <v>0</v>
      </c>
      <c r="J1426">
        <v>30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T1426">
        <v>1</v>
      </c>
      <c r="U1426">
        <v>987</v>
      </c>
    </row>
    <row r="1427" spans="1:21" x14ac:dyDescent="0.25">
      <c r="H1427" t="s">
        <v>2614</v>
      </c>
    </row>
    <row r="1428" spans="1:21" x14ac:dyDescent="0.25">
      <c r="A1428">
        <v>711</v>
      </c>
      <c r="B1428">
        <v>3844</v>
      </c>
      <c r="C1428" t="s">
        <v>2615</v>
      </c>
      <c r="D1428" t="s">
        <v>95</v>
      </c>
      <c r="E1428" t="s">
        <v>42</v>
      </c>
      <c r="F1428" t="s">
        <v>2616</v>
      </c>
      <c r="G1428" t="str">
        <f>"00027641"</f>
        <v>00027641</v>
      </c>
      <c r="H1428" t="s">
        <v>2617</v>
      </c>
      <c r="I1428">
        <v>150</v>
      </c>
      <c r="J1428">
        <v>50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T1428">
        <v>0</v>
      </c>
      <c r="U1428" t="s">
        <v>2618</v>
      </c>
    </row>
    <row r="1429" spans="1:21" x14ac:dyDescent="0.25">
      <c r="H1429" t="s">
        <v>2619</v>
      </c>
    </row>
    <row r="1430" spans="1:21" x14ac:dyDescent="0.25">
      <c r="A1430">
        <v>712</v>
      </c>
      <c r="B1430">
        <v>5461</v>
      </c>
      <c r="C1430" t="s">
        <v>2620</v>
      </c>
      <c r="D1430" t="s">
        <v>759</v>
      </c>
      <c r="E1430" t="s">
        <v>1232</v>
      </c>
      <c r="F1430" t="s">
        <v>2621</v>
      </c>
      <c r="G1430" t="str">
        <f>"201102000910"</f>
        <v>201102000910</v>
      </c>
      <c r="H1430">
        <v>836</v>
      </c>
      <c r="I1430">
        <v>150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T1430">
        <v>0</v>
      </c>
      <c r="U1430">
        <v>986</v>
      </c>
    </row>
    <row r="1431" spans="1:21" x14ac:dyDescent="0.25">
      <c r="H1431" t="s">
        <v>2622</v>
      </c>
    </row>
    <row r="1432" spans="1:21" x14ac:dyDescent="0.25">
      <c r="A1432">
        <v>713</v>
      </c>
      <c r="B1432">
        <v>3363</v>
      </c>
      <c r="C1432" t="s">
        <v>163</v>
      </c>
      <c r="D1432" t="s">
        <v>95</v>
      </c>
      <c r="E1432" t="s">
        <v>27</v>
      </c>
      <c r="F1432" t="s">
        <v>2623</v>
      </c>
      <c r="G1432" t="str">
        <f>"00031615"</f>
        <v>00031615</v>
      </c>
      <c r="H1432" t="s">
        <v>553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T1432">
        <v>0</v>
      </c>
      <c r="U1432" t="s">
        <v>553</v>
      </c>
    </row>
    <row r="1433" spans="1:21" x14ac:dyDescent="0.25">
      <c r="H1433" t="s">
        <v>1465</v>
      </c>
    </row>
    <row r="1434" spans="1:21" x14ac:dyDescent="0.25">
      <c r="A1434">
        <v>714</v>
      </c>
      <c r="B1434">
        <v>777</v>
      </c>
      <c r="C1434" t="s">
        <v>2624</v>
      </c>
      <c r="D1434" t="s">
        <v>1348</v>
      </c>
      <c r="E1434" t="s">
        <v>37</v>
      </c>
      <c r="F1434" t="s">
        <v>2625</v>
      </c>
      <c r="G1434" t="str">
        <f>"201102001072"</f>
        <v>201102001072</v>
      </c>
      <c r="H1434" t="s">
        <v>553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T1434">
        <v>0</v>
      </c>
      <c r="U1434" t="s">
        <v>553</v>
      </c>
    </row>
    <row r="1435" spans="1:21" x14ac:dyDescent="0.25">
      <c r="H1435" t="s">
        <v>2626</v>
      </c>
    </row>
    <row r="1436" spans="1:21" x14ac:dyDescent="0.25">
      <c r="A1436">
        <v>715</v>
      </c>
      <c r="B1436">
        <v>5186</v>
      </c>
      <c r="C1436" t="s">
        <v>185</v>
      </c>
      <c r="D1436" t="s">
        <v>2627</v>
      </c>
      <c r="E1436" t="s">
        <v>2628</v>
      </c>
      <c r="F1436" t="s">
        <v>2629</v>
      </c>
      <c r="G1436" t="str">
        <f>"00090489"</f>
        <v>00090489</v>
      </c>
      <c r="H1436" t="s">
        <v>553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T1436">
        <v>2</v>
      </c>
      <c r="U1436" t="s">
        <v>553</v>
      </c>
    </row>
    <row r="1437" spans="1:21" x14ac:dyDescent="0.25">
      <c r="H1437" t="s">
        <v>2630</v>
      </c>
    </row>
    <row r="1438" spans="1:21" x14ac:dyDescent="0.25">
      <c r="A1438">
        <v>716</v>
      </c>
      <c r="B1438">
        <v>290</v>
      </c>
      <c r="C1438" t="s">
        <v>2631</v>
      </c>
      <c r="D1438" t="s">
        <v>85</v>
      </c>
      <c r="E1438" t="s">
        <v>764</v>
      </c>
      <c r="F1438" t="s">
        <v>2632</v>
      </c>
      <c r="G1438" t="str">
        <f>"201103000302"</f>
        <v>201103000302</v>
      </c>
      <c r="H1438" t="s">
        <v>2633</v>
      </c>
      <c r="I1438">
        <v>150</v>
      </c>
      <c r="J1438">
        <v>50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T1438">
        <v>0</v>
      </c>
      <c r="U1438" t="s">
        <v>2634</v>
      </c>
    </row>
    <row r="1439" spans="1:21" x14ac:dyDescent="0.25">
      <c r="H1439" t="s">
        <v>2635</v>
      </c>
    </row>
    <row r="1440" spans="1:21" x14ac:dyDescent="0.25">
      <c r="A1440">
        <v>717</v>
      </c>
      <c r="B1440">
        <v>6822</v>
      </c>
      <c r="C1440" t="s">
        <v>2636</v>
      </c>
      <c r="D1440" t="s">
        <v>285</v>
      </c>
      <c r="E1440" t="s">
        <v>135</v>
      </c>
      <c r="F1440" t="s">
        <v>2637</v>
      </c>
      <c r="G1440" t="str">
        <f>"201511030791"</f>
        <v>201511030791</v>
      </c>
      <c r="H1440" t="s">
        <v>2638</v>
      </c>
      <c r="I1440">
        <v>0</v>
      </c>
      <c r="J1440">
        <v>70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T1440">
        <v>0</v>
      </c>
      <c r="U1440" t="s">
        <v>2639</v>
      </c>
    </row>
    <row r="1441" spans="1:21" x14ac:dyDescent="0.25">
      <c r="H1441" t="s">
        <v>2640</v>
      </c>
    </row>
    <row r="1442" spans="1:21" x14ac:dyDescent="0.25">
      <c r="A1442">
        <v>718</v>
      </c>
      <c r="B1442">
        <v>8084</v>
      </c>
      <c r="C1442" t="s">
        <v>2641</v>
      </c>
      <c r="D1442" t="s">
        <v>781</v>
      </c>
      <c r="E1442" t="s">
        <v>2642</v>
      </c>
      <c r="F1442" t="s">
        <v>2643</v>
      </c>
      <c r="G1442" t="str">
        <f>"00018369"</f>
        <v>00018369</v>
      </c>
      <c r="H1442">
        <v>935</v>
      </c>
      <c r="I1442">
        <v>0</v>
      </c>
      <c r="J1442">
        <v>50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T1442">
        <v>0</v>
      </c>
      <c r="U1442">
        <v>985</v>
      </c>
    </row>
    <row r="1443" spans="1:21" x14ac:dyDescent="0.25">
      <c r="H1443" t="s">
        <v>2644</v>
      </c>
    </row>
    <row r="1444" spans="1:21" x14ac:dyDescent="0.25">
      <c r="A1444">
        <v>719</v>
      </c>
      <c r="B1444">
        <v>8424</v>
      </c>
      <c r="C1444" t="s">
        <v>2645</v>
      </c>
      <c r="D1444" t="s">
        <v>285</v>
      </c>
      <c r="E1444" t="s">
        <v>647</v>
      </c>
      <c r="F1444" t="s">
        <v>2646</v>
      </c>
      <c r="G1444" t="str">
        <f>"201512000795"</f>
        <v>201512000795</v>
      </c>
      <c r="H1444" t="s">
        <v>563</v>
      </c>
      <c r="I1444">
        <v>0</v>
      </c>
      <c r="J1444">
        <v>30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T1444">
        <v>1</v>
      </c>
      <c r="U1444" t="s">
        <v>2647</v>
      </c>
    </row>
    <row r="1445" spans="1:21" x14ac:dyDescent="0.25">
      <c r="H1445" t="s">
        <v>2648</v>
      </c>
    </row>
    <row r="1446" spans="1:21" x14ac:dyDescent="0.25">
      <c r="A1446">
        <v>720</v>
      </c>
      <c r="B1446">
        <v>1070</v>
      </c>
      <c r="C1446" t="s">
        <v>2649</v>
      </c>
      <c r="D1446" t="s">
        <v>95</v>
      </c>
      <c r="E1446" t="s">
        <v>37</v>
      </c>
      <c r="F1446" t="s">
        <v>2650</v>
      </c>
      <c r="G1446" t="str">
        <f>"201512000584"</f>
        <v>201512000584</v>
      </c>
      <c r="H1446" t="s">
        <v>396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T1446">
        <v>0</v>
      </c>
      <c r="U1446" t="s">
        <v>396</v>
      </c>
    </row>
    <row r="1447" spans="1:21" x14ac:dyDescent="0.25">
      <c r="H1447" t="s">
        <v>2651</v>
      </c>
    </row>
    <row r="1448" spans="1:21" x14ac:dyDescent="0.25">
      <c r="A1448">
        <v>721</v>
      </c>
      <c r="B1448">
        <v>10207</v>
      </c>
      <c r="C1448" t="s">
        <v>2652</v>
      </c>
      <c r="D1448" t="s">
        <v>585</v>
      </c>
      <c r="E1448" t="s">
        <v>2653</v>
      </c>
      <c r="F1448" t="s">
        <v>2654</v>
      </c>
      <c r="G1448" t="str">
        <f>"201006000048"</f>
        <v>201006000048</v>
      </c>
      <c r="H1448" t="s">
        <v>396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T1448">
        <v>2</v>
      </c>
      <c r="U1448" t="s">
        <v>396</v>
      </c>
    </row>
    <row r="1449" spans="1:21" x14ac:dyDescent="0.25">
      <c r="H1449" t="s">
        <v>2655</v>
      </c>
    </row>
    <row r="1450" spans="1:21" x14ac:dyDescent="0.25">
      <c r="A1450">
        <v>722</v>
      </c>
      <c r="B1450">
        <v>9991</v>
      </c>
      <c r="C1450" t="s">
        <v>2656</v>
      </c>
      <c r="D1450" t="s">
        <v>641</v>
      </c>
      <c r="E1450" t="s">
        <v>135</v>
      </c>
      <c r="F1450" t="s">
        <v>2657</v>
      </c>
      <c r="G1450" t="str">
        <f>"201103000174"</f>
        <v>201103000174</v>
      </c>
      <c r="H1450" t="s">
        <v>396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T1450">
        <v>0</v>
      </c>
      <c r="U1450" t="s">
        <v>396</v>
      </c>
    </row>
    <row r="1451" spans="1:21" x14ac:dyDescent="0.25">
      <c r="H1451" t="s">
        <v>2658</v>
      </c>
    </row>
    <row r="1452" spans="1:21" x14ac:dyDescent="0.25">
      <c r="A1452">
        <v>723</v>
      </c>
      <c r="B1452">
        <v>9171</v>
      </c>
      <c r="C1452" t="s">
        <v>2659</v>
      </c>
      <c r="D1452" t="s">
        <v>121</v>
      </c>
      <c r="E1452" t="s">
        <v>2660</v>
      </c>
      <c r="F1452" t="s">
        <v>2661</v>
      </c>
      <c r="G1452" t="str">
        <f>"00084513"</f>
        <v>00084513</v>
      </c>
      <c r="H1452" t="s">
        <v>2662</v>
      </c>
      <c r="I1452">
        <v>150</v>
      </c>
      <c r="J1452">
        <v>30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T1452">
        <v>0</v>
      </c>
      <c r="U1452" t="s">
        <v>2663</v>
      </c>
    </row>
    <row r="1453" spans="1:21" x14ac:dyDescent="0.25">
      <c r="H1453" t="s">
        <v>2664</v>
      </c>
    </row>
    <row r="1454" spans="1:21" x14ac:dyDescent="0.25">
      <c r="A1454">
        <v>724</v>
      </c>
      <c r="B1454">
        <v>3892</v>
      </c>
      <c r="C1454" t="s">
        <v>1773</v>
      </c>
      <c r="D1454" t="s">
        <v>2665</v>
      </c>
      <c r="E1454" t="s">
        <v>36</v>
      </c>
      <c r="F1454" t="s">
        <v>2666</v>
      </c>
      <c r="G1454" t="str">
        <f>"00087138"</f>
        <v>00087138</v>
      </c>
      <c r="H1454" t="s">
        <v>2667</v>
      </c>
      <c r="I1454">
        <v>150</v>
      </c>
      <c r="J1454">
        <v>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T1454">
        <v>0</v>
      </c>
      <c r="U1454" t="s">
        <v>2668</v>
      </c>
    </row>
    <row r="1455" spans="1:21" x14ac:dyDescent="0.25">
      <c r="H1455" t="s">
        <v>2669</v>
      </c>
    </row>
    <row r="1456" spans="1:21" x14ac:dyDescent="0.25">
      <c r="A1456">
        <v>725</v>
      </c>
      <c r="B1456">
        <v>3793</v>
      </c>
      <c r="C1456" t="s">
        <v>2670</v>
      </c>
      <c r="D1456" t="s">
        <v>121</v>
      </c>
      <c r="E1456" t="s">
        <v>27</v>
      </c>
      <c r="F1456" t="s">
        <v>2671</v>
      </c>
      <c r="G1456" t="str">
        <f>"00058876"</f>
        <v>00058876</v>
      </c>
      <c r="H1456" t="s">
        <v>2672</v>
      </c>
      <c r="I1456">
        <v>150</v>
      </c>
      <c r="J1456">
        <v>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  <c r="Q1456">
        <v>0</v>
      </c>
      <c r="T1456">
        <v>0</v>
      </c>
      <c r="U1456" t="s">
        <v>2673</v>
      </c>
    </row>
    <row r="1457" spans="1:21" x14ac:dyDescent="0.25">
      <c r="H1457" t="s">
        <v>2674</v>
      </c>
    </row>
    <row r="1458" spans="1:21" x14ac:dyDescent="0.25">
      <c r="A1458">
        <v>726</v>
      </c>
      <c r="B1458">
        <v>4668</v>
      </c>
      <c r="C1458" t="s">
        <v>2675</v>
      </c>
      <c r="D1458" t="s">
        <v>502</v>
      </c>
      <c r="E1458" t="s">
        <v>135</v>
      </c>
      <c r="F1458" t="s">
        <v>2676</v>
      </c>
      <c r="G1458" t="str">
        <f>"201511034311"</f>
        <v>201511034311</v>
      </c>
      <c r="H1458" t="s">
        <v>2677</v>
      </c>
      <c r="I1458">
        <v>0</v>
      </c>
      <c r="J1458">
        <v>30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T1458">
        <v>0</v>
      </c>
      <c r="U1458" t="s">
        <v>2678</v>
      </c>
    </row>
    <row r="1459" spans="1:21" x14ac:dyDescent="0.25">
      <c r="H1459" t="s">
        <v>2679</v>
      </c>
    </row>
    <row r="1460" spans="1:21" x14ac:dyDescent="0.25">
      <c r="A1460">
        <v>727</v>
      </c>
      <c r="B1460">
        <v>7746</v>
      </c>
      <c r="C1460" t="s">
        <v>2680</v>
      </c>
      <c r="D1460" t="s">
        <v>1841</v>
      </c>
      <c r="E1460" t="s">
        <v>42</v>
      </c>
      <c r="F1460" t="s">
        <v>2681</v>
      </c>
      <c r="G1460" t="str">
        <f>"00082083"</f>
        <v>00082083</v>
      </c>
      <c r="H1460" t="s">
        <v>408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T1460">
        <v>0</v>
      </c>
      <c r="U1460" t="s">
        <v>408</v>
      </c>
    </row>
    <row r="1461" spans="1:21" x14ac:dyDescent="0.25">
      <c r="H1461">
        <v>768</v>
      </c>
    </row>
    <row r="1462" spans="1:21" x14ac:dyDescent="0.25">
      <c r="A1462">
        <v>728</v>
      </c>
      <c r="B1462">
        <v>6397</v>
      </c>
      <c r="C1462" t="s">
        <v>2682</v>
      </c>
      <c r="D1462" t="s">
        <v>95</v>
      </c>
      <c r="E1462" t="s">
        <v>37</v>
      </c>
      <c r="F1462" t="s">
        <v>2683</v>
      </c>
      <c r="G1462" t="str">
        <f>"201511040204"</f>
        <v>201511040204</v>
      </c>
      <c r="H1462" t="s">
        <v>408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0</v>
      </c>
      <c r="Q1462">
        <v>0</v>
      </c>
      <c r="T1462">
        <v>0</v>
      </c>
      <c r="U1462" t="s">
        <v>408</v>
      </c>
    </row>
    <row r="1463" spans="1:21" x14ac:dyDescent="0.25">
      <c r="H1463" t="s">
        <v>2684</v>
      </c>
    </row>
    <row r="1464" spans="1:21" x14ac:dyDescent="0.25">
      <c r="A1464">
        <v>729</v>
      </c>
      <c r="B1464">
        <v>5772</v>
      </c>
      <c r="C1464" t="s">
        <v>2685</v>
      </c>
      <c r="D1464" t="s">
        <v>185</v>
      </c>
      <c r="E1464" t="s">
        <v>70</v>
      </c>
      <c r="F1464" t="s">
        <v>2686</v>
      </c>
      <c r="G1464" t="str">
        <f>"00075446"</f>
        <v>00075446</v>
      </c>
      <c r="H1464" t="s">
        <v>408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T1464">
        <v>2</v>
      </c>
      <c r="U1464" t="s">
        <v>408</v>
      </c>
    </row>
    <row r="1465" spans="1:21" x14ac:dyDescent="0.25">
      <c r="H1465" t="s">
        <v>2687</v>
      </c>
    </row>
    <row r="1466" spans="1:21" x14ac:dyDescent="0.25">
      <c r="A1466">
        <v>730</v>
      </c>
      <c r="B1466">
        <v>708</v>
      </c>
      <c r="C1466" t="s">
        <v>2688</v>
      </c>
      <c r="D1466" t="s">
        <v>2689</v>
      </c>
      <c r="E1466" t="s">
        <v>122</v>
      </c>
      <c r="F1466" t="s">
        <v>2690</v>
      </c>
      <c r="G1466" t="str">
        <f>"201409001405"</f>
        <v>201409001405</v>
      </c>
      <c r="H1466" t="s">
        <v>893</v>
      </c>
      <c r="I1466">
        <v>0</v>
      </c>
      <c r="J1466">
        <v>30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T1466">
        <v>0</v>
      </c>
      <c r="U1466" t="s">
        <v>2691</v>
      </c>
    </row>
    <row r="1467" spans="1:21" x14ac:dyDescent="0.25">
      <c r="H1467" t="s">
        <v>2692</v>
      </c>
    </row>
    <row r="1468" spans="1:21" x14ac:dyDescent="0.25">
      <c r="A1468">
        <v>731</v>
      </c>
      <c r="B1468">
        <v>9310</v>
      </c>
      <c r="C1468" t="s">
        <v>2693</v>
      </c>
      <c r="D1468" t="s">
        <v>134</v>
      </c>
      <c r="E1468" t="s">
        <v>36</v>
      </c>
      <c r="F1468" t="s">
        <v>2694</v>
      </c>
      <c r="G1468" t="str">
        <f>"201511021984"</f>
        <v>201511021984</v>
      </c>
      <c r="H1468" t="s">
        <v>893</v>
      </c>
      <c r="I1468">
        <v>0</v>
      </c>
      <c r="J1468">
        <v>30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0</v>
      </c>
      <c r="T1468">
        <v>0</v>
      </c>
      <c r="U1468" t="s">
        <v>2691</v>
      </c>
    </row>
    <row r="1469" spans="1:21" x14ac:dyDescent="0.25">
      <c r="H1469" t="s">
        <v>2695</v>
      </c>
    </row>
    <row r="1470" spans="1:21" x14ac:dyDescent="0.25">
      <c r="A1470">
        <v>732</v>
      </c>
      <c r="B1470">
        <v>9909</v>
      </c>
      <c r="C1470" t="s">
        <v>2696</v>
      </c>
      <c r="D1470" t="s">
        <v>122</v>
      </c>
      <c r="E1470" t="s">
        <v>36</v>
      </c>
      <c r="F1470" t="s">
        <v>2697</v>
      </c>
      <c r="G1470" t="str">
        <f>"201412004475"</f>
        <v>201412004475</v>
      </c>
      <c r="H1470" t="s">
        <v>2222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T1470">
        <v>0</v>
      </c>
      <c r="U1470" t="s">
        <v>2222</v>
      </c>
    </row>
    <row r="1471" spans="1:21" x14ac:dyDescent="0.25">
      <c r="H1471" t="s">
        <v>2698</v>
      </c>
    </row>
    <row r="1472" spans="1:21" x14ac:dyDescent="0.25">
      <c r="A1472">
        <v>733</v>
      </c>
      <c r="B1472">
        <v>10472</v>
      </c>
      <c r="C1472" t="s">
        <v>2699</v>
      </c>
      <c r="D1472" t="s">
        <v>121</v>
      </c>
      <c r="E1472" t="s">
        <v>696</v>
      </c>
      <c r="F1472" t="s">
        <v>2700</v>
      </c>
      <c r="G1472" t="str">
        <f>"201511028521"</f>
        <v>201511028521</v>
      </c>
      <c r="H1472" t="s">
        <v>2222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T1472">
        <v>1</v>
      </c>
      <c r="U1472" t="s">
        <v>2222</v>
      </c>
    </row>
    <row r="1473" spans="1:21" x14ac:dyDescent="0.25">
      <c r="H1473" t="s">
        <v>1902</v>
      </c>
    </row>
    <row r="1474" spans="1:21" x14ac:dyDescent="0.25">
      <c r="A1474">
        <v>734</v>
      </c>
      <c r="B1474">
        <v>3781</v>
      </c>
      <c r="C1474" t="s">
        <v>1245</v>
      </c>
      <c r="D1474" t="s">
        <v>532</v>
      </c>
      <c r="E1474" t="s">
        <v>27</v>
      </c>
      <c r="F1474" t="s">
        <v>2701</v>
      </c>
      <c r="G1474" t="str">
        <f>"201511027544"</f>
        <v>201511027544</v>
      </c>
      <c r="H1474" t="s">
        <v>2702</v>
      </c>
      <c r="I1474">
        <v>150</v>
      </c>
      <c r="J1474">
        <v>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T1474">
        <v>0</v>
      </c>
      <c r="U1474" t="s">
        <v>2703</v>
      </c>
    </row>
    <row r="1475" spans="1:21" x14ac:dyDescent="0.25">
      <c r="H1475" t="s">
        <v>2704</v>
      </c>
    </row>
    <row r="1476" spans="1:21" x14ac:dyDescent="0.25">
      <c r="A1476">
        <v>735</v>
      </c>
      <c r="B1476">
        <v>5452</v>
      </c>
      <c r="C1476" t="s">
        <v>2705</v>
      </c>
      <c r="D1476" t="s">
        <v>185</v>
      </c>
      <c r="E1476" t="s">
        <v>37</v>
      </c>
      <c r="F1476" t="s">
        <v>2706</v>
      </c>
      <c r="G1476" t="str">
        <f>"00096185"</f>
        <v>00096185</v>
      </c>
      <c r="H1476" t="s">
        <v>2707</v>
      </c>
      <c r="I1476">
        <v>150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6</v>
      </c>
      <c r="S1476">
        <v>804</v>
      </c>
      <c r="T1476">
        <v>2</v>
      </c>
      <c r="U1476" t="s">
        <v>2708</v>
      </c>
    </row>
    <row r="1477" spans="1:21" x14ac:dyDescent="0.25">
      <c r="H1477" t="s">
        <v>2709</v>
      </c>
    </row>
    <row r="1478" spans="1:21" x14ac:dyDescent="0.25">
      <c r="A1478">
        <v>736</v>
      </c>
      <c r="B1478">
        <v>5452</v>
      </c>
      <c r="C1478" t="s">
        <v>2705</v>
      </c>
      <c r="D1478" t="s">
        <v>185</v>
      </c>
      <c r="E1478" t="s">
        <v>37</v>
      </c>
      <c r="F1478" t="s">
        <v>2706</v>
      </c>
      <c r="G1478" t="str">
        <f>"00096185"</f>
        <v>00096185</v>
      </c>
      <c r="H1478" t="s">
        <v>2707</v>
      </c>
      <c r="I1478">
        <v>150</v>
      </c>
      <c r="J1478">
        <v>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T1478">
        <v>2</v>
      </c>
      <c r="U1478" t="s">
        <v>2708</v>
      </c>
    </row>
    <row r="1479" spans="1:21" x14ac:dyDescent="0.25">
      <c r="H1479" t="s">
        <v>2709</v>
      </c>
    </row>
    <row r="1480" spans="1:21" x14ac:dyDescent="0.25">
      <c r="A1480">
        <v>737</v>
      </c>
      <c r="B1480">
        <v>5931</v>
      </c>
      <c r="C1480" t="s">
        <v>2710</v>
      </c>
      <c r="D1480" t="s">
        <v>69</v>
      </c>
      <c r="E1480" t="s">
        <v>155</v>
      </c>
      <c r="F1480" t="s">
        <v>2711</v>
      </c>
      <c r="G1480" t="str">
        <f>"201301000083"</f>
        <v>201301000083</v>
      </c>
      <c r="H1480" t="s">
        <v>2712</v>
      </c>
      <c r="I1480">
        <v>0</v>
      </c>
      <c r="J1480">
        <v>30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T1480">
        <v>0</v>
      </c>
      <c r="U1480" t="s">
        <v>2713</v>
      </c>
    </row>
    <row r="1481" spans="1:21" x14ac:dyDescent="0.25">
      <c r="H1481" t="s">
        <v>2714</v>
      </c>
    </row>
    <row r="1482" spans="1:21" x14ac:dyDescent="0.25">
      <c r="A1482">
        <v>738</v>
      </c>
      <c r="B1482">
        <v>3645</v>
      </c>
      <c r="C1482" t="s">
        <v>2715</v>
      </c>
      <c r="D1482" t="s">
        <v>2716</v>
      </c>
      <c r="E1482" t="s">
        <v>773</v>
      </c>
      <c r="F1482" t="s">
        <v>2717</v>
      </c>
      <c r="G1482" t="str">
        <f>"201511013719"</f>
        <v>201511013719</v>
      </c>
      <c r="H1482">
        <v>979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T1482">
        <v>0</v>
      </c>
      <c r="U1482">
        <v>979</v>
      </c>
    </row>
    <row r="1483" spans="1:21" x14ac:dyDescent="0.25">
      <c r="H1483" t="s">
        <v>2718</v>
      </c>
    </row>
    <row r="1484" spans="1:21" x14ac:dyDescent="0.25">
      <c r="A1484">
        <v>739</v>
      </c>
      <c r="B1484">
        <v>5064</v>
      </c>
      <c r="C1484" t="s">
        <v>2719</v>
      </c>
      <c r="D1484" t="s">
        <v>95</v>
      </c>
      <c r="E1484" t="s">
        <v>366</v>
      </c>
      <c r="F1484" t="s">
        <v>2720</v>
      </c>
      <c r="G1484" t="str">
        <f>"201511030285"</f>
        <v>201511030285</v>
      </c>
      <c r="H1484" t="s">
        <v>2721</v>
      </c>
      <c r="I1484">
        <v>150</v>
      </c>
      <c r="J1484">
        <v>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T1484">
        <v>0</v>
      </c>
      <c r="U1484" t="s">
        <v>2722</v>
      </c>
    </row>
    <row r="1485" spans="1:21" x14ac:dyDescent="0.25">
      <c r="H1485" t="s">
        <v>2723</v>
      </c>
    </row>
    <row r="1486" spans="1:21" x14ac:dyDescent="0.25">
      <c r="A1486">
        <v>740</v>
      </c>
      <c r="B1486">
        <v>8799</v>
      </c>
      <c r="C1486" t="s">
        <v>2724</v>
      </c>
      <c r="D1486" t="s">
        <v>42</v>
      </c>
      <c r="E1486" t="s">
        <v>366</v>
      </c>
      <c r="F1486" t="s">
        <v>2725</v>
      </c>
      <c r="G1486" t="str">
        <f>"00047027"</f>
        <v>00047027</v>
      </c>
      <c r="H1486" t="s">
        <v>2721</v>
      </c>
      <c r="I1486">
        <v>150</v>
      </c>
      <c r="J1486">
        <v>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T1486">
        <v>0</v>
      </c>
      <c r="U1486" t="s">
        <v>2722</v>
      </c>
    </row>
    <row r="1487" spans="1:21" x14ac:dyDescent="0.25">
      <c r="H1487" t="s">
        <v>2726</v>
      </c>
    </row>
    <row r="1488" spans="1:21" x14ac:dyDescent="0.25">
      <c r="A1488">
        <v>741</v>
      </c>
      <c r="B1488">
        <v>3945</v>
      </c>
      <c r="C1488" t="s">
        <v>2727</v>
      </c>
      <c r="D1488" t="s">
        <v>135</v>
      </c>
      <c r="E1488" t="s">
        <v>614</v>
      </c>
      <c r="F1488" t="s">
        <v>2728</v>
      </c>
      <c r="G1488" t="str">
        <f>"201412003190"</f>
        <v>201412003190</v>
      </c>
      <c r="H1488" t="s">
        <v>2729</v>
      </c>
      <c r="I1488">
        <v>0</v>
      </c>
      <c r="J1488">
        <v>30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T1488">
        <v>0</v>
      </c>
      <c r="U1488" t="s">
        <v>2730</v>
      </c>
    </row>
    <row r="1489" spans="1:21" x14ac:dyDescent="0.25">
      <c r="H1489" t="s">
        <v>2731</v>
      </c>
    </row>
    <row r="1490" spans="1:21" x14ac:dyDescent="0.25">
      <c r="A1490">
        <v>742</v>
      </c>
      <c r="B1490">
        <v>9861</v>
      </c>
      <c r="C1490" t="s">
        <v>2732</v>
      </c>
      <c r="D1490" t="s">
        <v>78</v>
      </c>
      <c r="E1490" t="s">
        <v>773</v>
      </c>
      <c r="F1490" t="s">
        <v>2733</v>
      </c>
      <c r="G1490" t="str">
        <f>"201511016043"</f>
        <v>201511016043</v>
      </c>
      <c r="H1490" t="s">
        <v>2286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T1490">
        <v>0</v>
      </c>
      <c r="U1490" t="s">
        <v>2286</v>
      </c>
    </row>
    <row r="1491" spans="1:21" x14ac:dyDescent="0.25">
      <c r="H1491" t="s">
        <v>2734</v>
      </c>
    </row>
    <row r="1492" spans="1:21" x14ac:dyDescent="0.25">
      <c r="A1492">
        <v>743</v>
      </c>
      <c r="B1492">
        <v>10527</v>
      </c>
      <c r="C1492" t="s">
        <v>2735</v>
      </c>
      <c r="D1492" t="s">
        <v>164</v>
      </c>
      <c r="E1492" t="s">
        <v>36</v>
      </c>
      <c r="F1492" t="s">
        <v>2736</v>
      </c>
      <c r="G1492" t="str">
        <f>"201511012420"</f>
        <v>201511012420</v>
      </c>
      <c r="H1492" t="s">
        <v>2737</v>
      </c>
      <c r="I1492">
        <v>150</v>
      </c>
      <c r="J1492">
        <v>30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T1492">
        <v>0</v>
      </c>
      <c r="U1492" t="s">
        <v>2738</v>
      </c>
    </row>
    <row r="1493" spans="1:21" x14ac:dyDescent="0.25">
      <c r="H1493" t="s">
        <v>2739</v>
      </c>
    </row>
    <row r="1494" spans="1:21" x14ac:dyDescent="0.25">
      <c r="A1494">
        <v>744</v>
      </c>
      <c r="B1494">
        <v>3404</v>
      </c>
      <c r="C1494" t="s">
        <v>2740</v>
      </c>
      <c r="D1494" t="s">
        <v>46</v>
      </c>
      <c r="E1494" t="s">
        <v>449</v>
      </c>
      <c r="F1494" t="s">
        <v>2741</v>
      </c>
      <c r="G1494" t="str">
        <f>"201405002170"</f>
        <v>201405002170</v>
      </c>
      <c r="H1494" t="s">
        <v>2742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T1494">
        <v>0</v>
      </c>
      <c r="U1494" t="s">
        <v>2742</v>
      </c>
    </row>
    <row r="1495" spans="1:21" x14ac:dyDescent="0.25">
      <c r="H1495" t="s">
        <v>2743</v>
      </c>
    </row>
    <row r="1496" spans="1:21" x14ac:dyDescent="0.25">
      <c r="A1496">
        <v>745</v>
      </c>
      <c r="B1496">
        <v>2587</v>
      </c>
      <c r="C1496" t="s">
        <v>2744</v>
      </c>
      <c r="D1496" t="s">
        <v>69</v>
      </c>
      <c r="E1496" t="s">
        <v>42</v>
      </c>
      <c r="F1496" t="s">
        <v>2745</v>
      </c>
      <c r="G1496" t="str">
        <f>"201512002972"</f>
        <v>201512002972</v>
      </c>
      <c r="H1496">
        <v>946</v>
      </c>
      <c r="I1496">
        <v>0</v>
      </c>
      <c r="J1496">
        <v>30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T1496">
        <v>2</v>
      </c>
      <c r="U1496">
        <v>976</v>
      </c>
    </row>
    <row r="1497" spans="1:21" x14ac:dyDescent="0.25">
      <c r="H1497" t="s">
        <v>2746</v>
      </c>
    </row>
    <row r="1498" spans="1:21" x14ac:dyDescent="0.25">
      <c r="A1498">
        <v>746</v>
      </c>
      <c r="B1498">
        <v>6336</v>
      </c>
      <c r="C1498" t="s">
        <v>2747</v>
      </c>
      <c r="D1498" t="s">
        <v>64</v>
      </c>
      <c r="E1498" t="s">
        <v>2748</v>
      </c>
      <c r="F1498" t="s">
        <v>2749</v>
      </c>
      <c r="G1498" t="str">
        <f>"200802001114"</f>
        <v>200802001114</v>
      </c>
      <c r="H1498" t="s">
        <v>1963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T1498">
        <v>0</v>
      </c>
      <c r="U1498" t="s">
        <v>1963</v>
      </c>
    </row>
    <row r="1499" spans="1:21" x14ac:dyDescent="0.25">
      <c r="H1499" t="s">
        <v>2750</v>
      </c>
    </row>
    <row r="1500" spans="1:21" x14ac:dyDescent="0.25">
      <c r="A1500">
        <v>747</v>
      </c>
      <c r="B1500">
        <v>131</v>
      </c>
      <c r="C1500" t="s">
        <v>2751</v>
      </c>
      <c r="D1500" t="s">
        <v>64</v>
      </c>
      <c r="E1500" t="s">
        <v>259</v>
      </c>
      <c r="F1500" t="s">
        <v>2752</v>
      </c>
      <c r="G1500" t="str">
        <f>"00023170"</f>
        <v>00023170</v>
      </c>
      <c r="H1500" t="s">
        <v>1963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0</v>
      </c>
      <c r="T1500">
        <v>0</v>
      </c>
      <c r="U1500" t="s">
        <v>1963</v>
      </c>
    </row>
    <row r="1501" spans="1:21" x14ac:dyDescent="0.25">
      <c r="H1501" t="s">
        <v>2753</v>
      </c>
    </row>
    <row r="1502" spans="1:21" x14ac:dyDescent="0.25">
      <c r="A1502">
        <v>748</v>
      </c>
      <c r="B1502">
        <v>1654</v>
      </c>
      <c r="C1502" t="s">
        <v>2754</v>
      </c>
      <c r="D1502" t="s">
        <v>179</v>
      </c>
      <c r="E1502" t="s">
        <v>2755</v>
      </c>
      <c r="F1502" t="s">
        <v>2756</v>
      </c>
      <c r="G1502" t="str">
        <f>"00022764"</f>
        <v>00022764</v>
      </c>
      <c r="H1502" t="s">
        <v>1963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0</v>
      </c>
      <c r="O1502">
        <v>0</v>
      </c>
      <c r="P1502">
        <v>0</v>
      </c>
      <c r="Q1502">
        <v>0</v>
      </c>
      <c r="T1502">
        <v>3</v>
      </c>
      <c r="U1502" t="s">
        <v>1963</v>
      </c>
    </row>
    <row r="1503" spans="1:21" x14ac:dyDescent="0.25">
      <c r="H1503" t="s">
        <v>2757</v>
      </c>
    </row>
    <row r="1504" spans="1:21" x14ac:dyDescent="0.25">
      <c r="A1504">
        <v>749</v>
      </c>
      <c r="B1504">
        <v>138</v>
      </c>
      <c r="C1504" t="s">
        <v>2758</v>
      </c>
      <c r="D1504" t="s">
        <v>759</v>
      </c>
      <c r="E1504" t="s">
        <v>582</v>
      </c>
      <c r="F1504" t="s">
        <v>2759</v>
      </c>
      <c r="G1504" t="str">
        <f>"201511034132"</f>
        <v>201511034132</v>
      </c>
      <c r="H1504" t="s">
        <v>1963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0</v>
      </c>
      <c r="O1504">
        <v>0</v>
      </c>
      <c r="P1504">
        <v>0</v>
      </c>
      <c r="Q1504">
        <v>0</v>
      </c>
      <c r="T1504">
        <v>1</v>
      </c>
      <c r="U1504" t="s">
        <v>1963</v>
      </c>
    </row>
    <row r="1505" spans="1:21" x14ac:dyDescent="0.25">
      <c r="H1505" t="s">
        <v>2760</v>
      </c>
    </row>
    <row r="1506" spans="1:21" x14ac:dyDescent="0.25">
      <c r="A1506">
        <v>750</v>
      </c>
      <c r="B1506">
        <v>5046</v>
      </c>
      <c r="C1506" t="s">
        <v>2761</v>
      </c>
      <c r="D1506" t="s">
        <v>532</v>
      </c>
      <c r="E1506" t="s">
        <v>42</v>
      </c>
      <c r="F1506" t="s">
        <v>2762</v>
      </c>
      <c r="G1506" t="str">
        <f>"00089023"</f>
        <v>00089023</v>
      </c>
      <c r="H1506" t="s">
        <v>1963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0</v>
      </c>
      <c r="O1506">
        <v>0</v>
      </c>
      <c r="P1506">
        <v>0</v>
      </c>
      <c r="Q1506">
        <v>0</v>
      </c>
      <c r="T1506">
        <v>0</v>
      </c>
      <c r="U1506" t="s">
        <v>1963</v>
      </c>
    </row>
    <row r="1507" spans="1:21" x14ac:dyDescent="0.25">
      <c r="H1507" t="s">
        <v>2763</v>
      </c>
    </row>
    <row r="1508" spans="1:21" x14ac:dyDescent="0.25">
      <c r="A1508">
        <v>751</v>
      </c>
      <c r="B1508">
        <v>10518</v>
      </c>
      <c r="C1508" t="s">
        <v>2764</v>
      </c>
      <c r="D1508" t="s">
        <v>372</v>
      </c>
      <c r="E1508" t="s">
        <v>231</v>
      </c>
      <c r="F1508" t="s">
        <v>2765</v>
      </c>
      <c r="G1508" t="str">
        <f>"00026449"</f>
        <v>00026449</v>
      </c>
      <c r="H1508">
        <v>825</v>
      </c>
      <c r="I1508">
        <v>150</v>
      </c>
      <c r="J1508">
        <v>0</v>
      </c>
      <c r="K1508">
        <v>0</v>
      </c>
      <c r="L1508">
        <v>0</v>
      </c>
      <c r="M1508">
        <v>0</v>
      </c>
      <c r="N1508">
        <v>0</v>
      </c>
      <c r="O1508">
        <v>0</v>
      </c>
      <c r="P1508">
        <v>0</v>
      </c>
      <c r="Q1508">
        <v>0</v>
      </c>
      <c r="T1508">
        <v>0</v>
      </c>
      <c r="U1508">
        <v>975</v>
      </c>
    </row>
    <row r="1509" spans="1:21" x14ac:dyDescent="0.25">
      <c r="H1509" t="s">
        <v>2766</v>
      </c>
    </row>
    <row r="1510" spans="1:21" x14ac:dyDescent="0.25">
      <c r="A1510">
        <v>752</v>
      </c>
      <c r="B1510">
        <v>1618</v>
      </c>
      <c r="C1510" t="s">
        <v>2767</v>
      </c>
      <c r="D1510" t="s">
        <v>975</v>
      </c>
      <c r="E1510" t="s">
        <v>122</v>
      </c>
      <c r="F1510" t="s">
        <v>2768</v>
      </c>
      <c r="G1510" t="str">
        <f>"00027934"</f>
        <v>00027934</v>
      </c>
      <c r="H1510">
        <v>825</v>
      </c>
      <c r="I1510">
        <v>150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T1510">
        <v>0</v>
      </c>
      <c r="U1510">
        <v>975</v>
      </c>
    </row>
    <row r="1511" spans="1:21" x14ac:dyDescent="0.25">
      <c r="H1511" t="s">
        <v>2769</v>
      </c>
    </row>
    <row r="1512" spans="1:21" x14ac:dyDescent="0.25">
      <c r="A1512">
        <v>753</v>
      </c>
      <c r="B1512">
        <v>8977</v>
      </c>
      <c r="C1512" t="s">
        <v>2770</v>
      </c>
      <c r="D1512" t="s">
        <v>2771</v>
      </c>
      <c r="E1512" t="s">
        <v>688</v>
      </c>
      <c r="F1512" t="s">
        <v>2772</v>
      </c>
      <c r="G1512" t="str">
        <f>"00083877"</f>
        <v>00083877</v>
      </c>
      <c r="H1512">
        <v>825</v>
      </c>
      <c r="I1512">
        <v>150</v>
      </c>
      <c r="J1512">
        <v>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0</v>
      </c>
      <c r="T1512">
        <v>0</v>
      </c>
      <c r="U1512">
        <v>975</v>
      </c>
    </row>
    <row r="1513" spans="1:21" x14ac:dyDescent="0.25">
      <c r="H1513" t="s">
        <v>2773</v>
      </c>
    </row>
    <row r="1514" spans="1:21" x14ac:dyDescent="0.25">
      <c r="A1514">
        <v>754</v>
      </c>
      <c r="B1514">
        <v>3585</v>
      </c>
      <c r="C1514" t="s">
        <v>2774</v>
      </c>
      <c r="D1514" t="s">
        <v>36</v>
      </c>
      <c r="E1514" t="s">
        <v>2775</v>
      </c>
      <c r="F1514" t="s">
        <v>2776</v>
      </c>
      <c r="G1514" t="str">
        <f>"00002927"</f>
        <v>00002927</v>
      </c>
      <c r="H1514">
        <v>825</v>
      </c>
      <c r="I1514">
        <v>150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T1514">
        <v>0</v>
      </c>
      <c r="U1514">
        <v>975</v>
      </c>
    </row>
    <row r="1515" spans="1:21" x14ac:dyDescent="0.25">
      <c r="H1515" t="s">
        <v>1035</v>
      </c>
    </row>
    <row r="1516" spans="1:21" x14ac:dyDescent="0.25">
      <c r="A1516">
        <v>755</v>
      </c>
      <c r="B1516">
        <v>4174</v>
      </c>
      <c r="C1516" t="s">
        <v>2777</v>
      </c>
      <c r="D1516" t="s">
        <v>207</v>
      </c>
      <c r="E1516" t="s">
        <v>36</v>
      </c>
      <c r="F1516" t="s">
        <v>2778</v>
      </c>
      <c r="G1516" t="str">
        <f>"201511039370"</f>
        <v>201511039370</v>
      </c>
      <c r="H1516" t="s">
        <v>2196</v>
      </c>
      <c r="I1516">
        <v>0</v>
      </c>
      <c r="J1516">
        <v>30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T1516">
        <v>0</v>
      </c>
      <c r="U1516" t="s">
        <v>2779</v>
      </c>
    </row>
    <row r="1517" spans="1:21" x14ac:dyDescent="0.25">
      <c r="H1517" t="s">
        <v>2780</v>
      </c>
    </row>
    <row r="1518" spans="1:21" x14ac:dyDescent="0.25">
      <c r="A1518">
        <v>756</v>
      </c>
      <c r="B1518">
        <v>8588</v>
      </c>
      <c r="C1518" t="s">
        <v>2781</v>
      </c>
      <c r="D1518" t="s">
        <v>473</v>
      </c>
      <c r="E1518" t="s">
        <v>42</v>
      </c>
      <c r="F1518" t="s">
        <v>2782</v>
      </c>
      <c r="G1518" t="str">
        <f>"201511018982"</f>
        <v>201511018982</v>
      </c>
      <c r="H1518" t="s">
        <v>1862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0</v>
      </c>
      <c r="P1518">
        <v>0</v>
      </c>
      <c r="Q1518">
        <v>0</v>
      </c>
      <c r="T1518">
        <v>2</v>
      </c>
      <c r="U1518" t="s">
        <v>1862</v>
      </c>
    </row>
    <row r="1519" spans="1:21" x14ac:dyDescent="0.25">
      <c r="H1519" t="s">
        <v>2783</v>
      </c>
    </row>
    <row r="1520" spans="1:21" x14ac:dyDescent="0.25">
      <c r="A1520">
        <v>757</v>
      </c>
      <c r="B1520">
        <v>8691</v>
      </c>
      <c r="C1520" t="s">
        <v>2784</v>
      </c>
      <c r="D1520" t="s">
        <v>2785</v>
      </c>
      <c r="E1520" t="s">
        <v>2786</v>
      </c>
      <c r="F1520" t="s">
        <v>2787</v>
      </c>
      <c r="G1520" t="str">
        <f>"201404000135"</f>
        <v>201404000135</v>
      </c>
      <c r="H1520" t="s">
        <v>1862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</v>
      </c>
      <c r="Q1520">
        <v>0</v>
      </c>
      <c r="T1520">
        <v>2</v>
      </c>
      <c r="U1520" t="s">
        <v>1862</v>
      </c>
    </row>
    <row r="1521" spans="1:21" x14ac:dyDescent="0.25">
      <c r="H1521" t="s">
        <v>2788</v>
      </c>
    </row>
    <row r="1522" spans="1:21" x14ac:dyDescent="0.25">
      <c r="A1522">
        <v>758</v>
      </c>
      <c r="B1522">
        <v>5421</v>
      </c>
      <c r="C1522" t="s">
        <v>2789</v>
      </c>
      <c r="D1522" t="s">
        <v>57</v>
      </c>
      <c r="E1522" t="s">
        <v>191</v>
      </c>
      <c r="F1522" t="s">
        <v>2790</v>
      </c>
      <c r="G1522" t="str">
        <f>"201410006858"</f>
        <v>201410006858</v>
      </c>
      <c r="H1522" t="s">
        <v>2033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0</v>
      </c>
      <c r="P1522">
        <v>0</v>
      </c>
      <c r="Q1522">
        <v>0</v>
      </c>
      <c r="T1522">
        <v>0</v>
      </c>
      <c r="U1522" t="s">
        <v>2033</v>
      </c>
    </row>
    <row r="1523" spans="1:21" x14ac:dyDescent="0.25">
      <c r="H1523" t="s">
        <v>2791</v>
      </c>
    </row>
    <row r="1524" spans="1:21" x14ac:dyDescent="0.25">
      <c r="A1524">
        <v>759</v>
      </c>
      <c r="B1524">
        <v>10257</v>
      </c>
      <c r="C1524" t="s">
        <v>2792</v>
      </c>
      <c r="D1524" t="s">
        <v>2793</v>
      </c>
      <c r="E1524" t="s">
        <v>42</v>
      </c>
      <c r="F1524" t="s">
        <v>2794</v>
      </c>
      <c r="G1524" t="str">
        <f>"00088269"</f>
        <v>00088269</v>
      </c>
      <c r="H1524" t="s">
        <v>2386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0</v>
      </c>
      <c r="T1524">
        <v>2</v>
      </c>
      <c r="U1524" t="s">
        <v>2386</v>
      </c>
    </row>
    <row r="1525" spans="1:21" x14ac:dyDescent="0.25">
      <c r="H1525" t="s">
        <v>2795</v>
      </c>
    </row>
    <row r="1526" spans="1:21" x14ac:dyDescent="0.25">
      <c r="A1526">
        <v>760</v>
      </c>
      <c r="B1526">
        <v>75</v>
      </c>
      <c r="C1526" t="s">
        <v>2796</v>
      </c>
      <c r="D1526" t="s">
        <v>36</v>
      </c>
      <c r="E1526" t="s">
        <v>1820</v>
      </c>
      <c r="F1526" t="s">
        <v>2797</v>
      </c>
      <c r="G1526" t="str">
        <f>"201406005995"</f>
        <v>201406005995</v>
      </c>
      <c r="H1526">
        <v>891</v>
      </c>
      <c r="I1526">
        <v>0</v>
      </c>
      <c r="J1526">
        <v>30</v>
      </c>
      <c r="K1526">
        <v>0</v>
      </c>
      <c r="L1526">
        <v>50</v>
      </c>
      <c r="M1526">
        <v>0</v>
      </c>
      <c r="N1526">
        <v>0</v>
      </c>
      <c r="O1526">
        <v>0</v>
      </c>
      <c r="P1526">
        <v>0</v>
      </c>
      <c r="Q1526">
        <v>0</v>
      </c>
      <c r="T1526">
        <v>0</v>
      </c>
      <c r="U1526">
        <v>971</v>
      </c>
    </row>
    <row r="1527" spans="1:21" x14ac:dyDescent="0.25">
      <c r="H1527">
        <v>801</v>
      </c>
    </row>
    <row r="1528" spans="1:21" x14ac:dyDescent="0.25">
      <c r="A1528">
        <v>761</v>
      </c>
      <c r="B1528">
        <v>2102</v>
      </c>
      <c r="C1528" t="s">
        <v>2798</v>
      </c>
      <c r="D1528" t="s">
        <v>1254</v>
      </c>
      <c r="E1528" t="s">
        <v>42</v>
      </c>
      <c r="F1528" t="s">
        <v>2799</v>
      </c>
      <c r="G1528" t="str">
        <f>"201603000287"</f>
        <v>201603000287</v>
      </c>
      <c r="H1528" t="s">
        <v>702</v>
      </c>
      <c r="I1528">
        <v>0</v>
      </c>
      <c r="J1528">
        <v>30</v>
      </c>
      <c r="K1528">
        <v>0</v>
      </c>
      <c r="L1528">
        <v>0</v>
      </c>
      <c r="M1528">
        <v>0</v>
      </c>
      <c r="N1528">
        <v>0</v>
      </c>
      <c r="O1528">
        <v>0</v>
      </c>
      <c r="P1528">
        <v>0</v>
      </c>
      <c r="Q1528">
        <v>0</v>
      </c>
      <c r="T1528">
        <v>0</v>
      </c>
      <c r="U1528" t="s">
        <v>2800</v>
      </c>
    </row>
    <row r="1529" spans="1:21" x14ac:dyDescent="0.25">
      <c r="H1529" t="s">
        <v>2801</v>
      </c>
    </row>
    <row r="1530" spans="1:21" x14ac:dyDescent="0.25">
      <c r="A1530">
        <v>762</v>
      </c>
      <c r="B1530">
        <v>6100</v>
      </c>
      <c r="C1530" t="s">
        <v>2802</v>
      </c>
      <c r="D1530" t="s">
        <v>64</v>
      </c>
      <c r="E1530" t="s">
        <v>2803</v>
      </c>
      <c r="F1530" t="s">
        <v>2804</v>
      </c>
      <c r="G1530" t="str">
        <f>"201512001582"</f>
        <v>201512001582</v>
      </c>
      <c r="H1530" t="s">
        <v>2414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Q1530">
        <v>0</v>
      </c>
      <c r="T1530">
        <v>0</v>
      </c>
      <c r="U1530" t="s">
        <v>2414</v>
      </c>
    </row>
    <row r="1531" spans="1:21" x14ac:dyDescent="0.25">
      <c r="H1531" t="s">
        <v>2805</v>
      </c>
    </row>
    <row r="1532" spans="1:21" x14ac:dyDescent="0.25">
      <c r="A1532">
        <v>763</v>
      </c>
      <c r="B1532">
        <v>180</v>
      </c>
      <c r="C1532" t="s">
        <v>2806</v>
      </c>
      <c r="D1532" t="s">
        <v>116</v>
      </c>
      <c r="E1532" t="s">
        <v>773</v>
      </c>
      <c r="F1532" t="s">
        <v>2807</v>
      </c>
      <c r="G1532" t="str">
        <f>"00025351"</f>
        <v>00025351</v>
      </c>
      <c r="H1532" t="s">
        <v>2414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T1532">
        <v>0</v>
      </c>
      <c r="U1532" t="s">
        <v>2414</v>
      </c>
    </row>
    <row r="1533" spans="1:21" x14ac:dyDescent="0.25">
      <c r="H1533" t="s">
        <v>2808</v>
      </c>
    </row>
    <row r="1534" spans="1:21" x14ac:dyDescent="0.25">
      <c r="A1534">
        <v>764</v>
      </c>
      <c r="B1534">
        <v>7486</v>
      </c>
      <c r="C1534" t="s">
        <v>2097</v>
      </c>
      <c r="D1534" t="s">
        <v>759</v>
      </c>
      <c r="E1534" t="s">
        <v>36</v>
      </c>
      <c r="F1534" t="s">
        <v>2809</v>
      </c>
      <c r="G1534" t="str">
        <f>"201511043596"</f>
        <v>201511043596</v>
      </c>
      <c r="H1534" t="s">
        <v>2414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T1534">
        <v>3</v>
      </c>
      <c r="U1534" t="s">
        <v>2414</v>
      </c>
    </row>
    <row r="1535" spans="1:21" x14ac:dyDescent="0.25">
      <c r="H1535" t="s">
        <v>2810</v>
      </c>
    </row>
    <row r="1536" spans="1:21" x14ac:dyDescent="0.25">
      <c r="A1536">
        <v>765</v>
      </c>
      <c r="B1536">
        <v>2495</v>
      </c>
      <c r="C1536" t="s">
        <v>2811</v>
      </c>
      <c r="D1536" t="s">
        <v>185</v>
      </c>
      <c r="E1536" t="s">
        <v>135</v>
      </c>
      <c r="F1536" t="s">
        <v>2812</v>
      </c>
      <c r="G1536" t="str">
        <f>"201511012504"</f>
        <v>201511012504</v>
      </c>
      <c r="H1536" t="s">
        <v>2414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0</v>
      </c>
      <c r="P1536">
        <v>0</v>
      </c>
      <c r="Q1536">
        <v>0</v>
      </c>
      <c r="T1536">
        <v>2</v>
      </c>
      <c r="U1536" t="s">
        <v>2414</v>
      </c>
    </row>
    <row r="1537" spans="1:21" x14ac:dyDescent="0.25">
      <c r="H1537" t="s">
        <v>2813</v>
      </c>
    </row>
    <row r="1538" spans="1:21" x14ac:dyDescent="0.25">
      <c r="A1538">
        <v>766</v>
      </c>
      <c r="B1538">
        <v>4764</v>
      </c>
      <c r="C1538" t="s">
        <v>2814</v>
      </c>
      <c r="D1538" t="s">
        <v>2815</v>
      </c>
      <c r="E1538" t="s">
        <v>366</v>
      </c>
      <c r="F1538" t="s">
        <v>2816</v>
      </c>
      <c r="G1538" t="str">
        <f>"201511043095"</f>
        <v>201511043095</v>
      </c>
      <c r="H1538" t="s">
        <v>1084</v>
      </c>
      <c r="I1538">
        <v>0</v>
      </c>
      <c r="J1538">
        <v>30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0</v>
      </c>
      <c r="Q1538">
        <v>0</v>
      </c>
      <c r="T1538">
        <v>0</v>
      </c>
      <c r="U1538" t="s">
        <v>2817</v>
      </c>
    </row>
    <row r="1539" spans="1:21" x14ac:dyDescent="0.25">
      <c r="H1539" t="s">
        <v>2818</v>
      </c>
    </row>
    <row r="1540" spans="1:21" x14ac:dyDescent="0.25">
      <c r="A1540">
        <v>767</v>
      </c>
      <c r="B1540">
        <v>9560</v>
      </c>
      <c r="C1540" t="s">
        <v>2819</v>
      </c>
      <c r="D1540" t="s">
        <v>533</v>
      </c>
      <c r="E1540" t="s">
        <v>582</v>
      </c>
      <c r="F1540" t="s">
        <v>2820</v>
      </c>
      <c r="G1540" t="str">
        <f>"201511041123"</f>
        <v>201511041123</v>
      </c>
      <c r="H1540" t="s">
        <v>1084</v>
      </c>
      <c r="I1540">
        <v>0</v>
      </c>
      <c r="J1540">
        <v>30</v>
      </c>
      <c r="K1540">
        <v>0</v>
      </c>
      <c r="L1540">
        <v>0</v>
      </c>
      <c r="M1540">
        <v>0</v>
      </c>
      <c r="N1540">
        <v>0</v>
      </c>
      <c r="O1540">
        <v>0</v>
      </c>
      <c r="P1540">
        <v>0</v>
      </c>
      <c r="Q1540">
        <v>0</v>
      </c>
      <c r="T1540">
        <v>0</v>
      </c>
      <c r="U1540" t="s">
        <v>2817</v>
      </c>
    </row>
    <row r="1541" spans="1:21" x14ac:dyDescent="0.25">
      <c r="H1541" t="s">
        <v>2821</v>
      </c>
    </row>
    <row r="1542" spans="1:21" x14ac:dyDescent="0.25">
      <c r="A1542">
        <v>768</v>
      </c>
      <c r="B1542">
        <v>9611</v>
      </c>
      <c r="C1542" t="s">
        <v>2822</v>
      </c>
      <c r="D1542" t="s">
        <v>95</v>
      </c>
      <c r="E1542" t="s">
        <v>1789</v>
      </c>
      <c r="F1542" t="s">
        <v>2823</v>
      </c>
      <c r="G1542" t="str">
        <f>"201511017028"</f>
        <v>201511017028</v>
      </c>
      <c r="H1542" t="s">
        <v>1084</v>
      </c>
      <c r="I1542">
        <v>0</v>
      </c>
      <c r="J1542">
        <v>30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T1542">
        <v>0</v>
      </c>
      <c r="U1542" t="s">
        <v>2817</v>
      </c>
    </row>
    <row r="1543" spans="1:21" x14ac:dyDescent="0.25">
      <c r="H1543" t="s">
        <v>2824</v>
      </c>
    </row>
    <row r="1544" spans="1:21" x14ac:dyDescent="0.25">
      <c r="A1544">
        <v>769</v>
      </c>
      <c r="B1544">
        <v>1760</v>
      </c>
      <c r="C1544" t="s">
        <v>163</v>
      </c>
      <c r="D1544" t="s">
        <v>121</v>
      </c>
      <c r="E1544" t="s">
        <v>37</v>
      </c>
      <c r="F1544" t="s">
        <v>2825</v>
      </c>
      <c r="G1544" t="str">
        <f>"201511015476"</f>
        <v>201511015476</v>
      </c>
      <c r="H1544">
        <v>968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0</v>
      </c>
      <c r="P1544">
        <v>0</v>
      </c>
      <c r="Q1544">
        <v>0</v>
      </c>
      <c r="T1544">
        <v>0</v>
      </c>
      <c r="U1544">
        <v>968</v>
      </c>
    </row>
    <row r="1545" spans="1:21" x14ac:dyDescent="0.25">
      <c r="H1545" t="s">
        <v>1763</v>
      </c>
    </row>
    <row r="1546" spans="1:21" x14ac:dyDescent="0.25">
      <c r="A1546">
        <v>770</v>
      </c>
      <c r="B1546">
        <v>8043</v>
      </c>
      <c r="C1546" t="s">
        <v>2826</v>
      </c>
      <c r="D1546" t="s">
        <v>453</v>
      </c>
      <c r="E1546" t="s">
        <v>1136</v>
      </c>
      <c r="F1546" t="s">
        <v>2827</v>
      </c>
      <c r="G1546" t="str">
        <f>"00003440"</f>
        <v>00003440</v>
      </c>
      <c r="H1546">
        <v>968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  <c r="Q1546">
        <v>0</v>
      </c>
      <c r="T1546">
        <v>2</v>
      </c>
      <c r="U1546">
        <v>968</v>
      </c>
    </row>
    <row r="1547" spans="1:21" x14ac:dyDescent="0.25">
      <c r="H1547" t="s">
        <v>2828</v>
      </c>
    </row>
    <row r="1548" spans="1:21" x14ac:dyDescent="0.25">
      <c r="A1548">
        <v>771</v>
      </c>
      <c r="B1548">
        <v>1206</v>
      </c>
      <c r="C1548" t="s">
        <v>2829</v>
      </c>
      <c r="D1548" t="s">
        <v>572</v>
      </c>
      <c r="E1548" t="s">
        <v>2830</v>
      </c>
      <c r="F1548" t="s">
        <v>2831</v>
      </c>
      <c r="G1548" t="str">
        <f>"00035031"</f>
        <v>00035031</v>
      </c>
      <c r="H1548">
        <v>968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T1548">
        <v>0</v>
      </c>
      <c r="U1548">
        <v>968</v>
      </c>
    </row>
    <row r="1549" spans="1:21" x14ac:dyDescent="0.25">
      <c r="H1549" t="s">
        <v>2832</v>
      </c>
    </row>
    <row r="1550" spans="1:21" x14ac:dyDescent="0.25">
      <c r="A1550">
        <v>772</v>
      </c>
      <c r="B1550">
        <v>468</v>
      </c>
      <c r="C1550" t="s">
        <v>2833</v>
      </c>
      <c r="D1550" t="s">
        <v>2834</v>
      </c>
      <c r="E1550" t="s">
        <v>2835</v>
      </c>
      <c r="F1550" t="s">
        <v>2836</v>
      </c>
      <c r="G1550" t="str">
        <f>"00003208"</f>
        <v>00003208</v>
      </c>
      <c r="H1550">
        <v>968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0</v>
      </c>
      <c r="O1550">
        <v>0</v>
      </c>
      <c r="P1550">
        <v>0</v>
      </c>
      <c r="Q1550">
        <v>0</v>
      </c>
      <c r="T1550">
        <v>0</v>
      </c>
      <c r="U1550">
        <v>968</v>
      </c>
    </row>
    <row r="1551" spans="1:21" x14ac:dyDescent="0.25">
      <c r="H1551" t="s">
        <v>2837</v>
      </c>
    </row>
    <row r="1552" spans="1:21" x14ac:dyDescent="0.25">
      <c r="A1552">
        <v>773</v>
      </c>
      <c r="B1552">
        <v>7975</v>
      </c>
      <c r="C1552" t="s">
        <v>2838</v>
      </c>
      <c r="D1552" t="s">
        <v>78</v>
      </c>
      <c r="E1552" t="s">
        <v>975</v>
      </c>
      <c r="F1552" t="s">
        <v>2839</v>
      </c>
      <c r="G1552" t="str">
        <f>"00022258"</f>
        <v>00022258</v>
      </c>
      <c r="H1552">
        <v>968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0</v>
      </c>
      <c r="Q1552">
        <v>0</v>
      </c>
      <c r="T1552">
        <v>0</v>
      </c>
      <c r="U1552">
        <v>968</v>
      </c>
    </row>
    <row r="1553" spans="1:21" x14ac:dyDescent="0.25">
      <c r="H1553" t="s">
        <v>2840</v>
      </c>
    </row>
    <row r="1554" spans="1:21" x14ac:dyDescent="0.25">
      <c r="A1554">
        <v>774</v>
      </c>
      <c r="B1554">
        <v>7256</v>
      </c>
      <c r="C1554" t="s">
        <v>2841</v>
      </c>
      <c r="D1554" t="s">
        <v>173</v>
      </c>
      <c r="E1554" t="s">
        <v>36</v>
      </c>
      <c r="F1554" t="s">
        <v>2842</v>
      </c>
      <c r="G1554" t="str">
        <f>"00022149"</f>
        <v>00022149</v>
      </c>
      <c r="H1554">
        <v>968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T1554">
        <v>0</v>
      </c>
      <c r="U1554">
        <v>968</v>
      </c>
    </row>
    <row r="1555" spans="1:21" x14ac:dyDescent="0.25">
      <c r="H1555" t="s">
        <v>2843</v>
      </c>
    </row>
    <row r="1556" spans="1:21" x14ac:dyDescent="0.25">
      <c r="A1556">
        <v>775</v>
      </c>
      <c r="B1556">
        <v>9698</v>
      </c>
      <c r="C1556" t="s">
        <v>2844</v>
      </c>
      <c r="D1556" t="s">
        <v>646</v>
      </c>
      <c r="E1556" t="s">
        <v>231</v>
      </c>
      <c r="F1556" t="s">
        <v>2845</v>
      </c>
      <c r="G1556" t="str">
        <f>"201511031612"</f>
        <v>201511031612</v>
      </c>
      <c r="H1556">
        <v>968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0</v>
      </c>
      <c r="T1556">
        <v>1</v>
      </c>
      <c r="U1556">
        <v>968</v>
      </c>
    </row>
    <row r="1557" spans="1:21" x14ac:dyDescent="0.25">
      <c r="H1557" t="s">
        <v>2846</v>
      </c>
    </row>
    <row r="1558" spans="1:21" x14ac:dyDescent="0.25">
      <c r="A1558">
        <v>776</v>
      </c>
      <c r="B1558">
        <v>7737</v>
      </c>
      <c r="C1558" t="s">
        <v>2847</v>
      </c>
      <c r="D1558" t="s">
        <v>78</v>
      </c>
      <c r="E1558" t="s">
        <v>231</v>
      </c>
      <c r="F1558" t="s">
        <v>2848</v>
      </c>
      <c r="G1558" t="str">
        <f>"00017279"</f>
        <v>00017279</v>
      </c>
      <c r="H1558" t="s">
        <v>2849</v>
      </c>
      <c r="I1558">
        <v>0</v>
      </c>
      <c r="J1558">
        <v>30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T1558">
        <v>3</v>
      </c>
      <c r="U1558" t="s">
        <v>2850</v>
      </c>
    </row>
    <row r="1559" spans="1:21" x14ac:dyDescent="0.25">
      <c r="H1559" t="s">
        <v>2851</v>
      </c>
    </row>
    <row r="1560" spans="1:21" x14ac:dyDescent="0.25">
      <c r="A1560">
        <v>777</v>
      </c>
      <c r="B1560">
        <v>8736</v>
      </c>
      <c r="C1560" t="s">
        <v>2680</v>
      </c>
      <c r="D1560" t="s">
        <v>2852</v>
      </c>
      <c r="E1560" t="s">
        <v>2853</v>
      </c>
      <c r="F1560" t="s">
        <v>2854</v>
      </c>
      <c r="G1560" t="str">
        <f>"201408000166"</f>
        <v>201408000166</v>
      </c>
      <c r="H1560" t="s">
        <v>2448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0</v>
      </c>
      <c r="T1560">
        <v>1</v>
      </c>
      <c r="U1560" t="s">
        <v>2448</v>
      </c>
    </row>
    <row r="1561" spans="1:21" x14ac:dyDescent="0.25">
      <c r="H1561" t="s">
        <v>2855</v>
      </c>
    </row>
    <row r="1562" spans="1:21" x14ac:dyDescent="0.25">
      <c r="A1562">
        <v>778</v>
      </c>
      <c r="B1562">
        <v>1097</v>
      </c>
      <c r="C1562" t="s">
        <v>2856</v>
      </c>
      <c r="D1562" t="s">
        <v>57</v>
      </c>
      <c r="E1562" t="s">
        <v>1698</v>
      </c>
      <c r="F1562" t="s">
        <v>2857</v>
      </c>
      <c r="G1562" t="str">
        <f>"201511016284"</f>
        <v>201511016284</v>
      </c>
      <c r="H1562" t="s">
        <v>2448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0</v>
      </c>
      <c r="P1562">
        <v>0</v>
      </c>
      <c r="Q1562">
        <v>0</v>
      </c>
      <c r="T1562">
        <v>0</v>
      </c>
      <c r="U1562" t="s">
        <v>2448</v>
      </c>
    </row>
    <row r="1563" spans="1:21" x14ac:dyDescent="0.25">
      <c r="H1563" t="s">
        <v>2858</v>
      </c>
    </row>
    <row r="1564" spans="1:21" x14ac:dyDescent="0.25">
      <c r="A1564">
        <v>779</v>
      </c>
      <c r="B1564">
        <v>5733</v>
      </c>
      <c r="C1564" t="s">
        <v>2859</v>
      </c>
      <c r="D1564" t="s">
        <v>572</v>
      </c>
      <c r="E1564" t="s">
        <v>122</v>
      </c>
      <c r="F1564" t="s">
        <v>2860</v>
      </c>
      <c r="G1564" t="str">
        <f>"00026163"</f>
        <v>00026163</v>
      </c>
      <c r="H1564" t="s">
        <v>2448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0</v>
      </c>
      <c r="Q1564">
        <v>0</v>
      </c>
      <c r="R1564">
        <v>6</v>
      </c>
      <c r="S1564">
        <v>809</v>
      </c>
      <c r="T1564">
        <v>3</v>
      </c>
      <c r="U1564" t="s">
        <v>2448</v>
      </c>
    </row>
    <row r="1565" spans="1:21" x14ac:dyDescent="0.25">
      <c r="H1565" t="s">
        <v>2861</v>
      </c>
    </row>
    <row r="1566" spans="1:21" x14ac:dyDescent="0.25">
      <c r="A1566">
        <v>780</v>
      </c>
      <c r="B1566">
        <v>5733</v>
      </c>
      <c r="C1566" t="s">
        <v>2859</v>
      </c>
      <c r="D1566" t="s">
        <v>572</v>
      </c>
      <c r="E1566" t="s">
        <v>122</v>
      </c>
      <c r="F1566" t="s">
        <v>2860</v>
      </c>
      <c r="G1566" t="str">
        <f>"00026163"</f>
        <v>00026163</v>
      </c>
      <c r="H1566" t="s">
        <v>2448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0</v>
      </c>
      <c r="P1566">
        <v>0</v>
      </c>
      <c r="Q1566">
        <v>0</v>
      </c>
      <c r="T1566">
        <v>3</v>
      </c>
      <c r="U1566" t="s">
        <v>2448</v>
      </c>
    </row>
    <row r="1567" spans="1:21" x14ac:dyDescent="0.25">
      <c r="H1567" t="s">
        <v>2861</v>
      </c>
    </row>
    <row r="1568" spans="1:21" x14ac:dyDescent="0.25">
      <c r="A1568">
        <v>781</v>
      </c>
      <c r="B1568">
        <v>9724</v>
      </c>
      <c r="C1568" t="s">
        <v>2862</v>
      </c>
      <c r="D1568" t="s">
        <v>759</v>
      </c>
      <c r="E1568" t="s">
        <v>533</v>
      </c>
      <c r="F1568" t="s">
        <v>2863</v>
      </c>
      <c r="G1568" t="str">
        <f>"00040787"</f>
        <v>00040787</v>
      </c>
      <c r="H1568" t="s">
        <v>2864</v>
      </c>
      <c r="I1568">
        <v>0</v>
      </c>
      <c r="J1568">
        <v>0</v>
      </c>
      <c r="K1568">
        <v>0</v>
      </c>
      <c r="L1568">
        <v>50</v>
      </c>
      <c r="M1568">
        <v>0</v>
      </c>
      <c r="N1568">
        <v>0</v>
      </c>
      <c r="O1568">
        <v>0</v>
      </c>
      <c r="P1568">
        <v>0</v>
      </c>
      <c r="Q1568">
        <v>0</v>
      </c>
      <c r="T1568">
        <v>2</v>
      </c>
      <c r="U1568" t="s">
        <v>2865</v>
      </c>
    </row>
    <row r="1569" spans="1:21" x14ac:dyDescent="0.25">
      <c r="H1569" t="s">
        <v>2866</v>
      </c>
    </row>
    <row r="1570" spans="1:21" x14ac:dyDescent="0.25">
      <c r="A1570">
        <v>782</v>
      </c>
      <c r="B1570">
        <v>176</v>
      </c>
      <c r="C1570" t="s">
        <v>2867</v>
      </c>
      <c r="D1570" t="s">
        <v>2868</v>
      </c>
      <c r="E1570" t="s">
        <v>366</v>
      </c>
      <c r="F1570" t="s">
        <v>2869</v>
      </c>
      <c r="G1570" t="str">
        <f>"00024181"</f>
        <v>00024181</v>
      </c>
      <c r="H1570" t="s">
        <v>2870</v>
      </c>
      <c r="I1570">
        <v>150</v>
      </c>
      <c r="J1570">
        <v>0</v>
      </c>
      <c r="K1570">
        <v>0</v>
      </c>
      <c r="L1570">
        <v>0</v>
      </c>
      <c r="M1570">
        <v>0</v>
      </c>
      <c r="N1570">
        <v>0</v>
      </c>
      <c r="O1570">
        <v>0</v>
      </c>
      <c r="P1570">
        <v>0</v>
      </c>
      <c r="Q1570">
        <v>0</v>
      </c>
      <c r="T1570">
        <v>0</v>
      </c>
      <c r="U1570" t="s">
        <v>2871</v>
      </c>
    </row>
    <row r="1571" spans="1:21" x14ac:dyDescent="0.25">
      <c r="H1571" t="s">
        <v>2872</v>
      </c>
    </row>
    <row r="1572" spans="1:21" x14ac:dyDescent="0.25">
      <c r="A1572">
        <v>783</v>
      </c>
      <c r="B1572">
        <v>4497</v>
      </c>
      <c r="C1572" t="s">
        <v>2873</v>
      </c>
      <c r="D1572" t="s">
        <v>64</v>
      </c>
      <c r="E1572" t="s">
        <v>112</v>
      </c>
      <c r="F1572" t="s">
        <v>2874</v>
      </c>
      <c r="G1572" t="str">
        <f>"201002000427"</f>
        <v>201002000427</v>
      </c>
      <c r="H1572" t="s">
        <v>2870</v>
      </c>
      <c r="I1572">
        <v>150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T1572">
        <v>0</v>
      </c>
      <c r="U1572" t="s">
        <v>2871</v>
      </c>
    </row>
    <row r="1573" spans="1:21" x14ac:dyDescent="0.25">
      <c r="H1573" t="s">
        <v>2875</v>
      </c>
    </row>
    <row r="1574" spans="1:21" x14ac:dyDescent="0.25">
      <c r="A1574">
        <v>784</v>
      </c>
      <c r="B1574">
        <v>1621</v>
      </c>
      <c r="C1574" t="s">
        <v>2876</v>
      </c>
      <c r="D1574" t="s">
        <v>285</v>
      </c>
      <c r="E1574" t="s">
        <v>614</v>
      </c>
      <c r="F1574" t="s">
        <v>2877</v>
      </c>
      <c r="G1574" t="str">
        <f>"201511033757"</f>
        <v>201511033757</v>
      </c>
      <c r="H1574" t="s">
        <v>2870</v>
      </c>
      <c r="I1574">
        <v>150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T1574">
        <v>0</v>
      </c>
      <c r="U1574" t="s">
        <v>2871</v>
      </c>
    </row>
    <row r="1575" spans="1:21" x14ac:dyDescent="0.25">
      <c r="H1575" t="s">
        <v>2878</v>
      </c>
    </row>
    <row r="1576" spans="1:21" x14ac:dyDescent="0.25">
      <c r="A1576">
        <v>785</v>
      </c>
      <c r="B1576">
        <v>3318</v>
      </c>
      <c r="C1576" t="s">
        <v>2879</v>
      </c>
      <c r="D1576" t="s">
        <v>95</v>
      </c>
      <c r="E1576" t="s">
        <v>191</v>
      </c>
      <c r="F1576" t="s">
        <v>2880</v>
      </c>
      <c r="G1576" t="str">
        <f>"201001000472"</f>
        <v>201001000472</v>
      </c>
      <c r="H1576">
        <v>935</v>
      </c>
      <c r="I1576">
        <v>0</v>
      </c>
      <c r="J1576">
        <v>30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0</v>
      </c>
      <c r="Q1576">
        <v>0</v>
      </c>
      <c r="T1576">
        <v>0</v>
      </c>
      <c r="U1576">
        <v>965</v>
      </c>
    </row>
    <row r="1577" spans="1:21" x14ac:dyDescent="0.25">
      <c r="H1577" t="s">
        <v>2881</v>
      </c>
    </row>
    <row r="1578" spans="1:21" x14ac:dyDescent="0.25">
      <c r="A1578">
        <v>786</v>
      </c>
      <c r="B1578">
        <v>6931</v>
      </c>
      <c r="C1578" t="s">
        <v>2882</v>
      </c>
      <c r="D1578" t="s">
        <v>85</v>
      </c>
      <c r="E1578" t="s">
        <v>773</v>
      </c>
      <c r="F1578" t="s">
        <v>2883</v>
      </c>
      <c r="G1578" t="str">
        <f>"201511033172"</f>
        <v>201511033172</v>
      </c>
      <c r="H1578">
        <v>935</v>
      </c>
      <c r="I1578">
        <v>0</v>
      </c>
      <c r="J1578">
        <v>30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T1578">
        <v>2</v>
      </c>
      <c r="U1578">
        <v>965</v>
      </c>
    </row>
    <row r="1579" spans="1:21" x14ac:dyDescent="0.25">
      <c r="H1579" t="s">
        <v>2884</v>
      </c>
    </row>
    <row r="1580" spans="1:21" x14ac:dyDescent="0.25">
      <c r="A1580">
        <v>787</v>
      </c>
      <c r="B1580">
        <v>4422</v>
      </c>
      <c r="C1580" t="s">
        <v>2885</v>
      </c>
      <c r="D1580" t="s">
        <v>145</v>
      </c>
      <c r="E1580" t="s">
        <v>2886</v>
      </c>
      <c r="F1580" t="s">
        <v>2887</v>
      </c>
      <c r="G1580" t="str">
        <f>"201511031496"</f>
        <v>201511031496</v>
      </c>
      <c r="H1580">
        <v>935</v>
      </c>
      <c r="I1580">
        <v>0</v>
      </c>
      <c r="J1580">
        <v>30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T1580">
        <v>0</v>
      </c>
      <c r="U1580">
        <v>965</v>
      </c>
    </row>
    <row r="1581" spans="1:21" x14ac:dyDescent="0.25">
      <c r="H1581" t="s">
        <v>2888</v>
      </c>
    </row>
    <row r="1582" spans="1:21" x14ac:dyDescent="0.25">
      <c r="A1582">
        <v>788</v>
      </c>
      <c r="B1582">
        <v>7135</v>
      </c>
      <c r="C1582" t="s">
        <v>2889</v>
      </c>
      <c r="D1582" t="s">
        <v>2890</v>
      </c>
      <c r="E1582" t="s">
        <v>852</v>
      </c>
      <c r="F1582" t="s">
        <v>2891</v>
      </c>
      <c r="G1582" t="str">
        <f>"00077336"</f>
        <v>00077336</v>
      </c>
      <c r="H1582">
        <v>935</v>
      </c>
      <c r="I1582">
        <v>0</v>
      </c>
      <c r="J1582">
        <v>30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T1582">
        <v>0</v>
      </c>
      <c r="U1582">
        <v>965</v>
      </c>
    </row>
    <row r="1583" spans="1:21" x14ac:dyDescent="0.25">
      <c r="H1583" t="s">
        <v>2892</v>
      </c>
    </row>
    <row r="1584" spans="1:21" x14ac:dyDescent="0.25">
      <c r="A1584">
        <v>789</v>
      </c>
      <c r="B1584">
        <v>889</v>
      </c>
      <c r="C1584" t="s">
        <v>2893</v>
      </c>
      <c r="D1584" t="s">
        <v>145</v>
      </c>
      <c r="E1584" t="s">
        <v>37</v>
      </c>
      <c r="F1584" t="s">
        <v>2894</v>
      </c>
      <c r="G1584" t="str">
        <f>"201511021566"</f>
        <v>201511021566</v>
      </c>
      <c r="H1584">
        <v>935</v>
      </c>
      <c r="I1584">
        <v>0</v>
      </c>
      <c r="J1584">
        <v>30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T1584">
        <v>0</v>
      </c>
      <c r="U1584">
        <v>965</v>
      </c>
    </row>
    <row r="1585" spans="1:21" x14ac:dyDescent="0.25">
      <c r="H1585" t="s">
        <v>2895</v>
      </c>
    </row>
    <row r="1586" spans="1:21" x14ac:dyDescent="0.25">
      <c r="A1586">
        <v>790</v>
      </c>
      <c r="B1586">
        <v>7425</v>
      </c>
      <c r="C1586" t="s">
        <v>2896</v>
      </c>
      <c r="D1586" t="s">
        <v>453</v>
      </c>
      <c r="E1586" t="s">
        <v>112</v>
      </c>
      <c r="F1586" t="s">
        <v>2897</v>
      </c>
      <c r="G1586" t="str">
        <f>"201511028706"</f>
        <v>201511028706</v>
      </c>
      <c r="H1586">
        <v>935</v>
      </c>
      <c r="I1586">
        <v>0</v>
      </c>
      <c r="J1586">
        <v>30</v>
      </c>
      <c r="K1586">
        <v>0</v>
      </c>
      <c r="L1586">
        <v>0</v>
      </c>
      <c r="M1586">
        <v>0</v>
      </c>
      <c r="N1586">
        <v>0</v>
      </c>
      <c r="O1586">
        <v>0</v>
      </c>
      <c r="P1586">
        <v>0</v>
      </c>
      <c r="Q1586">
        <v>0</v>
      </c>
      <c r="T1586">
        <v>0</v>
      </c>
      <c r="U1586">
        <v>965</v>
      </c>
    </row>
    <row r="1587" spans="1:21" x14ac:dyDescent="0.25">
      <c r="H1587" t="s">
        <v>2898</v>
      </c>
    </row>
    <row r="1588" spans="1:21" x14ac:dyDescent="0.25">
      <c r="A1588">
        <v>791</v>
      </c>
      <c r="B1588">
        <v>4993</v>
      </c>
      <c r="C1588" t="s">
        <v>2899</v>
      </c>
      <c r="D1588" t="s">
        <v>154</v>
      </c>
      <c r="E1588" t="s">
        <v>36</v>
      </c>
      <c r="F1588" t="s">
        <v>2900</v>
      </c>
      <c r="G1588" t="str">
        <f>"201511040927"</f>
        <v>201511040927</v>
      </c>
      <c r="H1588">
        <v>935</v>
      </c>
      <c r="I1588">
        <v>0</v>
      </c>
      <c r="J1588">
        <v>30</v>
      </c>
      <c r="K1588">
        <v>0</v>
      </c>
      <c r="L1588">
        <v>0</v>
      </c>
      <c r="M1588">
        <v>0</v>
      </c>
      <c r="N1588">
        <v>0</v>
      </c>
      <c r="O1588">
        <v>0</v>
      </c>
      <c r="P1588">
        <v>0</v>
      </c>
      <c r="Q1588">
        <v>0</v>
      </c>
      <c r="T1588">
        <v>2</v>
      </c>
      <c r="U1588">
        <v>965</v>
      </c>
    </row>
    <row r="1589" spans="1:21" x14ac:dyDescent="0.25">
      <c r="H1589" t="s">
        <v>2901</v>
      </c>
    </row>
    <row r="1590" spans="1:21" x14ac:dyDescent="0.25">
      <c r="A1590">
        <v>792</v>
      </c>
      <c r="B1590">
        <v>9317</v>
      </c>
      <c r="C1590" t="s">
        <v>2902</v>
      </c>
      <c r="D1590" t="s">
        <v>37</v>
      </c>
      <c r="E1590" t="s">
        <v>975</v>
      </c>
      <c r="F1590" t="s">
        <v>2903</v>
      </c>
      <c r="G1590" t="str">
        <f>"201511027959"</f>
        <v>201511027959</v>
      </c>
      <c r="H1590">
        <v>935</v>
      </c>
      <c r="I1590">
        <v>0</v>
      </c>
      <c r="J1590">
        <v>30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T1590">
        <v>0</v>
      </c>
      <c r="U1590">
        <v>965</v>
      </c>
    </row>
    <row r="1591" spans="1:21" x14ac:dyDescent="0.25">
      <c r="H1591" t="s">
        <v>2904</v>
      </c>
    </row>
    <row r="1592" spans="1:21" x14ac:dyDescent="0.25">
      <c r="A1592">
        <v>793</v>
      </c>
      <c r="B1592">
        <v>5096</v>
      </c>
      <c r="C1592" t="s">
        <v>2905</v>
      </c>
      <c r="D1592" t="s">
        <v>64</v>
      </c>
      <c r="E1592" t="s">
        <v>122</v>
      </c>
      <c r="F1592" t="s">
        <v>2906</v>
      </c>
      <c r="G1592" t="str">
        <f>"201511031139"</f>
        <v>201511031139</v>
      </c>
      <c r="H1592">
        <v>935</v>
      </c>
      <c r="I1592">
        <v>0</v>
      </c>
      <c r="J1592">
        <v>30</v>
      </c>
      <c r="K1592">
        <v>0</v>
      </c>
      <c r="L1592">
        <v>0</v>
      </c>
      <c r="M1592">
        <v>0</v>
      </c>
      <c r="N1592">
        <v>0</v>
      </c>
      <c r="O1592">
        <v>0</v>
      </c>
      <c r="P1592">
        <v>0</v>
      </c>
      <c r="Q1592">
        <v>0</v>
      </c>
      <c r="T1592">
        <v>0</v>
      </c>
      <c r="U1592">
        <v>965</v>
      </c>
    </row>
    <row r="1593" spans="1:21" x14ac:dyDescent="0.25">
      <c r="H1593" t="s">
        <v>2907</v>
      </c>
    </row>
    <row r="1594" spans="1:21" x14ac:dyDescent="0.25">
      <c r="A1594">
        <v>794</v>
      </c>
      <c r="B1594">
        <v>3802</v>
      </c>
      <c r="C1594" t="s">
        <v>2908</v>
      </c>
      <c r="D1594" t="s">
        <v>2909</v>
      </c>
      <c r="E1594" t="s">
        <v>122</v>
      </c>
      <c r="F1594" t="s">
        <v>2910</v>
      </c>
      <c r="G1594" t="str">
        <f>"00024817"</f>
        <v>00024817</v>
      </c>
      <c r="H1594">
        <v>935</v>
      </c>
      <c r="I1594">
        <v>0</v>
      </c>
      <c r="J1594">
        <v>0</v>
      </c>
      <c r="K1594">
        <v>0</v>
      </c>
      <c r="L1594">
        <v>30</v>
      </c>
      <c r="M1594">
        <v>0</v>
      </c>
      <c r="N1594">
        <v>0</v>
      </c>
      <c r="O1594">
        <v>0</v>
      </c>
      <c r="P1594">
        <v>0</v>
      </c>
      <c r="Q1594">
        <v>0</v>
      </c>
      <c r="T1594">
        <v>1</v>
      </c>
      <c r="U1594">
        <v>965</v>
      </c>
    </row>
    <row r="1595" spans="1:21" x14ac:dyDescent="0.25">
      <c r="H1595" t="s">
        <v>2911</v>
      </c>
    </row>
    <row r="1596" spans="1:21" x14ac:dyDescent="0.25">
      <c r="A1596">
        <v>795</v>
      </c>
      <c r="B1596">
        <v>8381</v>
      </c>
      <c r="C1596" t="s">
        <v>2912</v>
      </c>
      <c r="D1596" t="s">
        <v>2913</v>
      </c>
      <c r="E1596" t="s">
        <v>122</v>
      </c>
      <c r="F1596" t="s">
        <v>2914</v>
      </c>
      <c r="G1596" t="str">
        <f>"00082901"</f>
        <v>00082901</v>
      </c>
      <c r="H1596">
        <v>935</v>
      </c>
      <c r="I1596">
        <v>0</v>
      </c>
      <c r="J1596">
        <v>30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T1596">
        <v>0</v>
      </c>
      <c r="U1596">
        <v>965</v>
      </c>
    </row>
    <row r="1597" spans="1:21" x14ac:dyDescent="0.25">
      <c r="H1597" t="s">
        <v>2915</v>
      </c>
    </row>
    <row r="1598" spans="1:21" x14ac:dyDescent="0.25">
      <c r="A1598">
        <v>796</v>
      </c>
      <c r="B1598">
        <v>9017</v>
      </c>
      <c r="C1598" t="s">
        <v>927</v>
      </c>
      <c r="D1598" t="s">
        <v>304</v>
      </c>
      <c r="E1598" t="s">
        <v>112</v>
      </c>
      <c r="F1598" t="s">
        <v>2916</v>
      </c>
      <c r="G1598" t="str">
        <f>"00069763"</f>
        <v>00069763</v>
      </c>
      <c r="H1598">
        <v>935</v>
      </c>
      <c r="I1598">
        <v>0</v>
      </c>
      <c r="J1598">
        <v>30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T1598">
        <v>0</v>
      </c>
      <c r="U1598">
        <v>965</v>
      </c>
    </row>
    <row r="1599" spans="1:21" x14ac:dyDescent="0.25">
      <c r="H1599" t="s">
        <v>2917</v>
      </c>
    </row>
    <row r="1600" spans="1:21" x14ac:dyDescent="0.25">
      <c r="A1600">
        <v>797</v>
      </c>
      <c r="B1600">
        <v>3828</v>
      </c>
      <c r="C1600" t="s">
        <v>2844</v>
      </c>
      <c r="D1600" t="s">
        <v>78</v>
      </c>
      <c r="E1600" t="s">
        <v>225</v>
      </c>
      <c r="F1600" t="s">
        <v>2918</v>
      </c>
      <c r="G1600" t="str">
        <f>"201511039773"</f>
        <v>201511039773</v>
      </c>
      <c r="H1600">
        <v>935</v>
      </c>
      <c r="I1600">
        <v>0</v>
      </c>
      <c r="J1600">
        <v>30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T1600">
        <v>0</v>
      </c>
      <c r="U1600">
        <v>965</v>
      </c>
    </row>
    <row r="1601" spans="1:21" x14ac:dyDescent="0.25">
      <c r="H1601" t="s">
        <v>2919</v>
      </c>
    </row>
    <row r="1602" spans="1:21" x14ac:dyDescent="0.25">
      <c r="A1602">
        <v>798</v>
      </c>
      <c r="B1602">
        <v>9535</v>
      </c>
      <c r="C1602" t="s">
        <v>2781</v>
      </c>
      <c r="D1602" t="s">
        <v>1093</v>
      </c>
      <c r="E1602" t="s">
        <v>122</v>
      </c>
      <c r="F1602" t="s">
        <v>2920</v>
      </c>
      <c r="G1602" t="str">
        <f>"201511026330"</f>
        <v>201511026330</v>
      </c>
      <c r="H1602" t="s">
        <v>2921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0</v>
      </c>
      <c r="Q1602">
        <v>0</v>
      </c>
      <c r="T1602">
        <v>0</v>
      </c>
      <c r="U1602" t="s">
        <v>2921</v>
      </c>
    </row>
    <row r="1603" spans="1:21" x14ac:dyDescent="0.25">
      <c r="H1603" t="s">
        <v>2922</v>
      </c>
    </row>
    <row r="1604" spans="1:21" x14ac:dyDescent="0.25">
      <c r="A1604">
        <v>799</v>
      </c>
      <c r="B1604">
        <v>10204</v>
      </c>
      <c r="C1604" t="s">
        <v>2923</v>
      </c>
      <c r="D1604" t="s">
        <v>2924</v>
      </c>
      <c r="E1604" t="s">
        <v>975</v>
      </c>
      <c r="F1604" t="s">
        <v>2925</v>
      </c>
      <c r="G1604" t="str">
        <f>"201510001433"</f>
        <v>201510001433</v>
      </c>
      <c r="H1604" t="s">
        <v>309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0</v>
      </c>
      <c r="T1604">
        <v>2</v>
      </c>
      <c r="U1604" t="s">
        <v>309</v>
      </c>
    </row>
    <row r="1605" spans="1:21" x14ac:dyDescent="0.25">
      <c r="H1605" t="s">
        <v>2926</v>
      </c>
    </row>
    <row r="1606" spans="1:21" x14ac:dyDescent="0.25">
      <c r="A1606">
        <v>800</v>
      </c>
      <c r="B1606">
        <v>9178</v>
      </c>
      <c r="C1606" t="s">
        <v>2927</v>
      </c>
      <c r="D1606" t="s">
        <v>78</v>
      </c>
      <c r="E1606" t="s">
        <v>449</v>
      </c>
      <c r="F1606" t="s">
        <v>2928</v>
      </c>
      <c r="G1606" t="str">
        <f>"201511029569"</f>
        <v>201511029569</v>
      </c>
      <c r="H1606" t="s">
        <v>309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0</v>
      </c>
      <c r="P1606">
        <v>0</v>
      </c>
      <c r="Q1606">
        <v>0</v>
      </c>
      <c r="T1606">
        <v>0</v>
      </c>
      <c r="U1606" t="s">
        <v>309</v>
      </c>
    </row>
    <row r="1607" spans="1:21" x14ac:dyDescent="0.25">
      <c r="H1607" t="s">
        <v>2929</v>
      </c>
    </row>
    <row r="1608" spans="1:21" x14ac:dyDescent="0.25">
      <c r="A1608">
        <v>801</v>
      </c>
      <c r="B1608">
        <v>2865</v>
      </c>
      <c r="C1608" t="s">
        <v>163</v>
      </c>
      <c r="D1608" t="s">
        <v>2930</v>
      </c>
      <c r="E1608" t="s">
        <v>2931</v>
      </c>
      <c r="F1608" t="s">
        <v>2932</v>
      </c>
      <c r="G1608" t="str">
        <f>"00026009"</f>
        <v>00026009</v>
      </c>
      <c r="H1608" t="s">
        <v>309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T1608">
        <v>0</v>
      </c>
      <c r="U1608" t="s">
        <v>309</v>
      </c>
    </row>
    <row r="1609" spans="1:21" x14ac:dyDescent="0.25">
      <c r="H1609" t="s">
        <v>870</v>
      </c>
    </row>
    <row r="1610" spans="1:21" x14ac:dyDescent="0.25">
      <c r="A1610">
        <v>802</v>
      </c>
      <c r="B1610">
        <v>4327</v>
      </c>
      <c r="C1610" t="s">
        <v>1487</v>
      </c>
      <c r="D1610" t="s">
        <v>2933</v>
      </c>
      <c r="E1610" t="s">
        <v>112</v>
      </c>
      <c r="F1610" t="s">
        <v>2934</v>
      </c>
      <c r="G1610" t="str">
        <f>"00079911"</f>
        <v>00079911</v>
      </c>
      <c r="H1610" t="s">
        <v>2935</v>
      </c>
      <c r="I1610">
        <v>0</v>
      </c>
      <c r="J1610">
        <v>70</v>
      </c>
      <c r="K1610">
        <v>0</v>
      </c>
      <c r="L1610">
        <v>0</v>
      </c>
      <c r="M1610">
        <v>0</v>
      </c>
      <c r="N1610">
        <v>0</v>
      </c>
      <c r="O1610">
        <v>0</v>
      </c>
      <c r="P1610">
        <v>0</v>
      </c>
      <c r="Q1610">
        <v>0</v>
      </c>
      <c r="T1610">
        <v>1</v>
      </c>
      <c r="U1610" t="s">
        <v>2936</v>
      </c>
    </row>
    <row r="1611" spans="1:21" x14ac:dyDescent="0.25">
      <c r="H1611" t="s">
        <v>2937</v>
      </c>
    </row>
    <row r="1612" spans="1:21" x14ac:dyDescent="0.25">
      <c r="A1612">
        <v>803</v>
      </c>
      <c r="B1612">
        <v>998</v>
      </c>
      <c r="C1612" t="s">
        <v>2938</v>
      </c>
      <c r="D1612" t="s">
        <v>572</v>
      </c>
      <c r="E1612" t="s">
        <v>65</v>
      </c>
      <c r="F1612" t="s">
        <v>2939</v>
      </c>
      <c r="G1612" t="str">
        <f>"00036748"</f>
        <v>00036748</v>
      </c>
      <c r="H1612" t="s">
        <v>792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0</v>
      </c>
      <c r="Q1612">
        <v>0</v>
      </c>
      <c r="T1612">
        <v>0</v>
      </c>
      <c r="U1612" t="s">
        <v>792</v>
      </c>
    </row>
    <row r="1613" spans="1:21" x14ac:dyDescent="0.25">
      <c r="H1613" t="s">
        <v>1465</v>
      </c>
    </row>
    <row r="1614" spans="1:21" x14ac:dyDescent="0.25">
      <c r="A1614">
        <v>804</v>
      </c>
      <c r="B1614">
        <v>3099</v>
      </c>
      <c r="C1614" t="s">
        <v>2940</v>
      </c>
      <c r="D1614" t="s">
        <v>85</v>
      </c>
      <c r="E1614" t="s">
        <v>1436</v>
      </c>
      <c r="F1614" t="s">
        <v>2941</v>
      </c>
      <c r="G1614" t="str">
        <f>"201511037395"</f>
        <v>201511037395</v>
      </c>
      <c r="H1614" t="s">
        <v>792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  <c r="Q1614">
        <v>0</v>
      </c>
      <c r="T1614">
        <v>0</v>
      </c>
      <c r="U1614" t="s">
        <v>792</v>
      </c>
    </row>
    <row r="1615" spans="1:21" x14ac:dyDescent="0.25">
      <c r="H1615" t="s">
        <v>2942</v>
      </c>
    </row>
    <row r="1616" spans="1:21" x14ac:dyDescent="0.25">
      <c r="A1616">
        <v>805</v>
      </c>
      <c r="B1616">
        <v>460</v>
      </c>
      <c r="C1616" t="s">
        <v>2943</v>
      </c>
      <c r="D1616" t="s">
        <v>64</v>
      </c>
      <c r="E1616" t="s">
        <v>2944</v>
      </c>
      <c r="F1616" t="s">
        <v>2945</v>
      </c>
      <c r="G1616" t="str">
        <f>"201511012810"</f>
        <v>201511012810</v>
      </c>
      <c r="H1616" t="s">
        <v>792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0</v>
      </c>
      <c r="R1616">
        <v>6</v>
      </c>
      <c r="S1616">
        <v>804</v>
      </c>
      <c r="T1616">
        <v>0</v>
      </c>
      <c r="U1616" t="s">
        <v>792</v>
      </c>
    </row>
    <row r="1617" spans="1:21" x14ac:dyDescent="0.25">
      <c r="H1617">
        <v>804</v>
      </c>
    </row>
    <row r="1618" spans="1:21" x14ac:dyDescent="0.25">
      <c r="A1618">
        <v>806</v>
      </c>
      <c r="B1618">
        <v>2994</v>
      </c>
      <c r="C1618" t="s">
        <v>2946</v>
      </c>
      <c r="D1618" t="s">
        <v>975</v>
      </c>
      <c r="E1618" t="s">
        <v>764</v>
      </c>
      <c r="F1618" t="s">
        <v>2947</v>
      </c>
      <c r="G1618" t="str">
        <f>"201412002371"</f>
        <v>201412002371</v>
      </c>
      <c r="H1618" t="s">
        <v>792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0</v>
      </c>
      <c r="P1618">
        <v>0</v>
      </c>
      <c r="Q1618">
        <v>0</v>
      </c>
      <c r="T1618">
        <v>0</v>
      </c>
      <c r="U1618" t="s">
        <v>792</v>
      </c>
    </row>
    <row r="1619" spans="1:21" x14ac:dyDescent="0.25">
      <c r="H1619" t="s">
        <v>2280</v>
      </c>
    </row>
    <row r="1620" spans="1:21" x14ac:dyDescent="0.25">
      <c r="A1620">
        <v>807</v>
      </c>
      <c r="B1620">
        <v>3405</v>
      </c>
      <c r="C1620" t="s">
        <v>2948</v>
      </c>
      <c r="D1620" t="s">
        <v>57</v>
      </c>
      <c r="E1620" t="s">
        <v>36</v>
      </c>
      <c r="F1620" t="s">
        <v>2949</v>
      </c>
      <c r="G1620" t="str">
        <f>"201404000179"</f>
        <v>201404000179</v>
      </c>
      <c r="H1620" t="s">
        <v>792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T1620">
        <v>0</v>
      </c>
      <c r="U1620" t="s">
        <v>792</v>
      </c>
    </row>
    <row r="1621" spans="1:21" x14ac:dyDescent="0.25">
      <c r="H1621">
        <v>801</v>
      </c>
    </row>
    <row r="1622" spans="1:21" x14ac:dyDescent="0.25">
      <c r="A1622">
        <v>808</v>
      </c>
      <c r="B1622">
        <v>9498</v>
      </c>
      <c r="C1622" t="s">
        <v>2950</v>
      </c>
      <c r="D1622" t="s">
        <v>1024</v>
      </c>
      <c r="E1622" t="s">
        <v>696</v>
      </c>
      <c r="F1622" t="s">
        <v>2951</v>
      </c>
      <c r="G1622" t="str">
        <f>"00016562"</f>
        <v>00016562</v>
      </c>
      <c r="H1622" t="s">
        <v>2952</v>
      </c>
      <c r="I1622">
        <v>150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0</v>
      </c>
      <c r="P1622">
        <v>0</v>
      </c>
      <c r="Q1622">
        <v>0</v>
      </c>
      <c r="T1622">
        <v>0</v>
      </c>
      <c r="U1622" t="s">
        <v>2953</v>
      </c>
    </row>
    <row r="1623" spans="1:21" x14ac:dyDescent="0.25">
      <c r="H1623" t="s">
        <v>2954</v>
      </c>
    </row>
    <row r="1624" spans="1:21" x14ac:dyDescent="0.25">
      <c r="A1624">
        <v>809</v>
      </c>
      <c r="B1624">
        <v>8616</v>
      </c>
      <c r="C1624" t="s">
        <v>2955</v>
      </c>
      <c r="D1624" t="s">
        <v>78</v>
      </c>
      <c r="E1624" t="s">
        <v>2956</v>
      </c>
      <c r="F1624" t="s">
        <v>2957</v>
      </c>
      <c r="G1624" t="str">
        <f>"00086836"</f>
        <v>00086836</v>
      </c>
      <c r="H1624" t="s">
        <v>2548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  <c r="Q1624">
        <v>0</v>
      </c>
      <c r="T1624">
        <v>2</v>
      </c>
      <c r="U1624" t="s">
        <v>2548</v>
      </c>
    </row>
    <row r="1625" spans="1:21" x14ac:dyDescent="0.25">
      <c r="H1625" t="s">
        <v>2958</v>
      </c>
    </row>
    <row r="1626" spans="1:21" x14ac:dyDescent="0.25">
      <c r="A1626">
        <v>810</v>
      </c>
      <c r="B1626">
        <v>9202</v>
      </c>
      <c r="C1626" t="s">
        <v>2959</v>
      </c>
      <c r="D1626" t="s">
        <v>285</v>
      </c>
      <c r="E1626" t="s">
        <v>27</v>
      </c>
      <c r="F1626" t="s">
        <v>2960</v>
      </c>
      <c r="G1626" t="str">
        <f>"00028099"</f>
        <v>00028099</v>
      </c>
      <c r="H1626" t="s">
        <v>2548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  <c r="Q1626">
        <v>0</v>
      </c>
      <c r="T1626">
        <v>0</v>
      </c>
      <c r="U1626" t="s">
        <v>2548</v>
      </c>
    </row>
    <row r="1627" spans="1:21" x14ac:dyDescent="0.25">
      <c r="H1627" t="s">
        <v>2961</v>
      </c>
    </row>
    <row r="1628" spans="1:21" x14ac:dyDescent="0.25">
      <c r="A1628">
        <v>811</v>
      </c>
      <c r="B1628">
        <v>1359</v>
      </c>
      <c r="C1628" t="s">
        <v>2962</v>
      </c>
      <c r="D1628" t="s">
        <v>313</v>
      </c>
      <c r="E1628" t="s">
        <v>36</v>
      </c>
      <c r="F1628" t="s">
        <v>2963</v>
      </c>
      <c r="G1628" t="str">
        <f>"201507005240"</f>
        <v>201507005240</v>
      </c>
      <c r="H1628" t="s">
        <v>2964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0</v>
      </c>
      <c r="P1628">
        <v>0</v>
      </c>
      <c r="Q1628">
        <v>0</v>
      </c>
      <c r="T1628">
        <v>0</v>
      </c>
      <c r="U1628" t="s">
        <v>2964</v>
      </c>
    </row>
    <row r="1629" spans="1:21" x14ac:dyDescent="0.25">
      <c r="H1629" t="s">
        <v>2965</v>
      </c>
    </row>
    <row r="1630" spans="1:21" x14ac:dyDescent="0.25">
      <c r="A1630">
        <v>812</v>
      </c>
      <c r="B1630">
        <v>6841</v>
      </c>
      <c r="C1630" t="s">
        <v>2966</v>
      </c>
      <c r="D1630" t="s">
        <v>78</v>
      </c>
      <c r="E1630" t="s">
        <v>36</v>
      </c>
      <c r="F1630" t="s">
        <v>2967</v>
      </c>
      <c r="G1630" t="str">
        <f>"201511035938"</f>
        <v>201511035938</v>
      </c>
      <c r="H1630" t="s">
        <v>2968</v>
      </c>
      <c r="I1630">
        <v>0</v>
      </c>
      <c r="J1630">
        <v>0</v>
      </c>
      <c r="K1630">
        <v>0</v>
      </c>
      <c r="L1630">
        <v>0</v>
      </c>
      <c r="M1630">
        <v>30</v>
      </c>
      <c r="N1630">
        <v>0</v>
      </c>
      <c r="O1630">
        <v>0</v>
      </c>
      <c r="P1630">
        <v>0</v>
      </c>
      <c r="Q1630">
        <v>0</v>
      </c>
      <c r="T1630">
        <v>3</v>
      </c>
      <c r="U1630" t="s">
        <v>2969</v>
      </c>
    </row>
    <row r="1631" spans="1:21" x14ac:dyDescent="0.25">
      <c r="H1631" t="s">
        <v>2970</v>
      </c>
    </row>
    <row r="1632" spans="1:21" x14ac:dyDescent="0.25">
      <c r="A1632">
        <v>813</v>
      </c>
      <c r="B1632">
        <v>5586</v>
      </c>
      <c r="C1632" t="s">
        <v>2971</v>
      </c>
      <c r="D1632" t="s">
        <v>2972</v>
      </c>
      <c r="E1632" t="s">
        <v>37</v>
      </c>
      <c r="F1632" t="s">
        <v>2973</v>
      </c>
      <c r="G1632" t="str">
        <f>"00029323"</f>
        <v>00029323</v>
      </c>
      <c r="H1632">
        <v>957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0</v>
      </c>
      <c r="P1632">
        <v>0</v>
      </c>
      <c r="Q1632">
        <v>0</v>
      </c>
      <c r="T1632">
        <v>0</v>
      </c>
      <c r="U1632">
        <v>957</v>
      </c>
    </row>
    <row r="1633" spans="1:21" x14ac:dyDescent="0.25">
      <c r="H1633" t="s">
        <v>2974</v>
      </c>
    </row>
    <row r="1634" spans="1:21" x14ac:dyDescent="0.25">
      <c r="A1634">
        <v>814</v>
      </c>
      <c r="B1634">
        <v>1233</v>
      </c>
      <c r="C1634" t="s">
        <v>2975</v>
      </c>
      <c r="D1634" t="s">
        <v>57</v>
      </c>
      <c r="E1634" t="s">
        <v>37</v>
      </c>
      <c r="F1634" t="s">
        <v>2976</v>
      </c>
      <c r="G1634" t="str">
        <f>"201511019253"</f>
        <v>201511019253</v>
      </c>
      <c r="H1634">
        <v>957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0</v>
      </c>
      <c r="P1634">
        <v>0</v>
      </c>
      <c r="Q1634">
        <v>0</v>
      </c>
      <c r="T1634">
        <v>0</v>
      </c>
      <c r="U1634">
        <v>957</v>
      </c>
    </row>
    <row r="1635" spans="1:21" x14ac:dyDescent="0.25">
      <c r="H1635" t="s">
        <v>2977</v>
      </c>
    </row>
    <row r="1636" spans="1:21" x14ac:dyDescent="0.25">
      <c r="A1636">
        <v>815</v>
      </c>
      <c r="B1636">
        <v>10376</v>
      </c>
      <c r="C1636" t="s">
        <v>2978</v>
      </c>
      <c r="D1636" t="s">
        <v>122</v>
      </c>
      <c r="E1636" t="s">
        <v>36</v>
      </c>
      <c r="F1636" t="s">
        <v>2979</v>
      </c>
      <c r="G1636" t="str">
        <f>"201512001388"</f>
        <v>201512001388</v>
      </c>
      <c r="H1636">
        <v>957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0</v>
      </c>
      <c r="P1636">
        <v>0</v>
      </c>
      <c r="Q1636">
        <v>0</v>
      </c>
      <c r="T1636">
        <v>0</v>
      </c>
      <c r="U1636">
        <v>957</v>
      </c>
    </row>
    <row r="1637" spans="1:21" x14ac:dyDescent="0.25">
      <c r="H1637" t="s">
        <v>2980</v>
      </c>
    </row>
    <row r="1638" spans="1:21" x14ac:dyDescent="0.25">
      <c r="A1638">
        <v>816</v>
      </c>
      <c r="B1638">
        <v>244</v>
      </c>
      <c r="C1638" t="s">
        <v>2981</v>
      </c>
      <c r="D1638" t="s">
        <v>64</v>
      </c>
      <c r="E1638" t="s">
        <v>155</v>
      </c>
      <c r="F1638" t="s">
        <v>2982</v>
      </c>
      <c r="G1638" t="str">
        <f>"00022925"</f>
        <v>00022925</v>
      </c>
      <c r="H1638">
        <v>957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0</v>
      </c>
      <c r="O1638">
        <v>0</v>
      </c>
      <c r="P1638">
        <v>0</v>
      </c>
      <c r="Q1638">
        <v>0</v>
      </c>
      <c r="T1638">
        <v>1</v>
      </c>
      <c r="U1638">
        <v>957</v>
      </c>
    </row>
    <row r="1639" spans="1:21" x14ac:dyDescent="0.25">
      <c r="H1639" t="s">
        <v>929</v>
      </c>
    </row>
    <row r="1640" spans="1:21" x14ac:dyDescent="0.25">
      <c r="A1640">
        <v>817</v>
      </c>
      <c r="B1640">
        <v>3777</v>
      </c>
      <c r="C1640" t="s">
        <v>1797</v>
      </c>
      <c r="D1640" t="s">
        <v>121</v>
      </c>
      <c r="E1640" t="s">
        <v>122</v>
      </c>
      <c r="F1640" t="s">
        <v>2983</v>
      </c>
      <c r="G1640" t="str">
        <f>"00075083"</f>
        <v>00075083</v>
      </c>
      <c r="H1640" t="s">
        <v>845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0</v>
      </c>
      <c r="P1640">
        <v>0</v>
      </c>
      <c r="Q1640">
        <v>0</v>
      </c>
      <c r="T1640">
        <v>2</v>
      </c>
      <c r="U1640" t="s">
        <v>845</v>
      </c>
    </row>
    <row r="1641" spans="1:21" x14ac:dyDescent="0.25">
      <c r="H1641" t="s">
        <v>2984</v>
      </c>
    </row>
    <row r="1642" spans="1:21" x14ac:dyDescent="0.25">
      <c r="A1642">
        <v>818</v>
      </c>
      <c r="B1642">
        <v>8227</v>
      </c>
      <c r="C1642" t="s">
        <v>2985</v>
      </c>
      <c r="D1642" t="s">
        <v>572</v>
      </c>
      <c r="E1642" t="s">
        <v>2803</v>
      </c>
      <c r="F1642" t="s">
        <v>2986</v>
      </c>
      <c r="G1642" t="str">
        <f>"00095980"</f>
        <v>00095980</v>
      </c>
      <c r="H1642" t="s">
        <v>845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0</v>
      </c>
      <c r="P1642">
        <v>0</v>
      </c>
      <c r="Q1642">
        <v>0</v>
      </c>
      <c r="T1642">
        <v>0</v>
      </c>
      <c r="U1642" t="s">
        <v>845</v>
      </c>
    </row>
    <row r="1643" spans="1:21" x14ac:dyDescent="0.25">
      <c r="H1643" t="s">
        <v>2987</v>
      </c>
    </row>
    <row r="1644" spans="1:21" x14ac:dyDescent="0.25">
      <c r="A1644">
        <v>819</v>
      </c>
      <c r="B1644">
        <v>1630</v>
      </c>
      <c r="C1644" t="s">
        <v>2988</v>
      </c>
      <c r="D1644" t="s">
        <v>116</v>
      </c>
      <c r="E1644" t="s">
        <v>2989</v>
      </c>
      <c r="F1644" t="s">
        <v>2990</v>
      </c>
      <c r="G1644" t="str">
        <f>"00023029"</f>
        <v>00023029</v>
      </c>
      <c r="H1644" t="s">
        <v>1838</v>
      </c>
      <c r="I1644">
        <v>0</v>
      </c>
      <c r="J1644">
        <v>70</v>
      </c>
      <c r="K1644">
        <v>0</v>
      </c>
      <c r="L1644">
        <v>0</v>
      </c>
      <c r="M1644">
        <v>0</v>
      </c>
      <c r="N1644">
        <v>0</v>
      </c>
      <c r="O1644">
        <v>0</v>
      </c>
      <c r="P1644">
        <v>0</v>
      </c>
      <c r="Q1644">
        <v>0</v>
      </c>
      <c r="T1644">
        <v>2</v>
      </c>
      <c r="U1644" t="s">
        <v>2991</v>
      </c>
    </row>
    <row r="1645" spans="1:21" x14ac:dyDescent="0.25">
      <c r="H1645" t="s">
        <v>2992</v>
      </c>
    </row>
    <row r="1646" spans="1:21" x14ac:dyDescent="0.25">
      <c r="A1646">
        <v>820</v>
      </c>
      <c r="B1646">
        <v>8643</v>
      </c>
      <c r="C1646" t="s">
        <v>2993</v>
      </c>
      <c r="D1646" t="s">
        <v>121</v>
      </c>
      <c r="E1646" t="s">
        <v>373</v>
      </c>
      <c r="F1646" t="s">
        <v>2994</v>
      </c>
      <c r="G1646" t="str">
        <f>"00089104"</f>
        <v>00089104</v>
      </c>
      <c r="H1646" t="s">
        <v>563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0</v>
      </c>
      <c r="P1646">
        <v>0</v>
      </c>
      <c r="Q1646">
        <v>0</v>
      </c>
      <c r="T1646">
        <v>0</v>
      </c>
      <c r="U1646" t="s">
        <v>563</v>
      </c>
    </row>
    <row r="1647" spans="1:21" x14ac:dyDescent="0.25">
      <c r="H1647" t="s">
        <v>2995</v>
      </c>
    </row>
    <row r="1648" spans="1:21" x14ac:dyDescent="0.25">
      <c r="A1648">
        <v>821</v>
      </c>
      <c r="B1648">
        <v>1947</v>
      </c>
      <c r="C1648" t="s">
        <v>2996</v>
      </c>
      <c r="D1648" t="s">
        <v>101</v>
      </c>
      <c r="E1648" t="s">
        <v>37</v>
      </c>
      <c r="F1648" t="s">
        <v>2997</v>
      </c>
      <c r="G1648" t="str">
        <f>"00021943"</f>
        <v>00021943</v>
      </c>
      <c r="H1648" t="s">
        <v>563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T1648">
        <v>0</v>
      </c>
      <c r="U1648" t="s">
        <v>563</v>
      </c>
    </row>
    <row r="1649" spans="1:21" x14ac:dyDescent="0.25">
      <c r="H1649" t="s">
        <v>2998</v>
      </c>
    </row>
    <row r="1650" spans="1:21" x14ac:dyDescent="0.25">
      <c r="A1650">
        <v>822</v>
      </c>
      <c r="B1650">
        <v>7498</v>
      </c>
      <c r="C1650" t="s">
        <v>741</v>
      </c>
      <c r="D1650" t="s">
        <v>646</v>
      </c>
      <c r="E1650" t="s">
        <v>36</v>
      </c>
      <c r="F1650" t="s">
        <v>2999</v>
      </c>
      <c r="G1650" t="str">
        <f>"201009000048"</f>
        <v>201009000048</v>
      </c>
      <c r="H1650" t="s">
        <v>563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0</v>
      </c>
      <c r="P1650">
        <v>0</v>
      </c>
      <c r="Q1650">
        <v>0</v>
      </c>
      <c r="T1650">
        <v>0</v>
      </c>
      <c r="U1650" t="s">
        <v>563</v>
      </c>
    </row>
    <row r="1651" spans="1:21" x14ac:dyDescent="0.25">
      <c r="H1651" t="s">
        <v>3000</v>
      </c>
    </row>
    <row r="1652" spans="1:21" x14ac:dyDescent="0.25">
      <c r="A1652">
        <v>823</v>
      </c>
      <c r="B1652">
        <v>5624</v>
      </c>
      <c r="C1652" t="s">
        <v>3001</v>
      </c>
      <c r="D1652" t="s">
        <v>1348</v>
      </c>
      <c r="E1652" t="s">
        <v>36</v>
      </c>
      <c r="F1652" t="s">
        <v>3002</v>
      </c>
      <c r="G1652" t="str">
        <f>"00082115"</f>
        <v>00082115</v>
      </c>
      <c r="H1652" t="s">
        <v>2677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0</v>
      </c>
      <c r="P1652">
        <v>0</v>
      </c>
      <c r="Q1652">
        <v>0</v>
      </c>
      <c r="T1652">
        <v>2</v>
      </c>
      <c r="U1652" t="s">
        <v>2677</v>
      </c>
    </row>
    <row r="1653" spans="1:21" x14ac:dyDescent="0.25">
      <c r="H1653" t="s">
        <v>2818</v>
      </c>
    </row>
    <row r="1654" spans="1:21" x14ac:dyDescent="0.25">
      <c r="A1654">
        <v>824</v>
      </c>
      <c r="B1654">
        <v>5627</v>
      </c>
      <c r="C1654" t="s">
        <v>3003</v>
      </c>
      <c r="D1654" t="s">
        <v>3004</v>
      </c>
      <c r="E1654" t="s">
        <v>231</v>
      </c>
      <c r="F1654" t="s">
        <v>3005</v>
      </c>
      <c r="G1654" t="str">
        <f>"201511037648"</f>
        <v>201511037648</v>
      </c>
      <c r="H1654" t="s">
        <v>2677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0</v>
      </c>
      <c r="P1654">
        <v>0</v>
      </c>
      <c r="Q1654">
        <v>0</v>
      </c>
      <c r="T1654">
        <v>0</v>
      </c>
      <c r="U1654" t="s">
        <v>2677</v>
      </c>
    </row>
    <row r="1655" spans="1:21" x14ac:dyDescent="0.25">
      <c r="H1655" t="s">
        <v>3006</v>
      </c>
    </row>
    <row r="1656" spans="1:21" x14ac:dyDescent="0.25">
      <c r="A1656">
        <v>825</v>
      </c>
      <c r="B1656">
        <v>4246</v>
      </c>
      <c r="C1656" t="s">
        <v>3007</v>
      </c>
      <c r="D1656" t="s">
        <v>2025</v>
      </c>
      <c r="E1656" t="s">
        <v>350</v>
      </c>
      <c r="F1656" t="s">
        <v>3008</v>
      </c>
      <c r="G1656" t="str">
        <f>"00045802"</f>
        <v>00045802</v>
      </c>
      <c r="H1656" t="s">
        <v>2677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0</v>
      </c>
      <c r="P1656">
        <v>0</v>
      </c>
      <c r="Q1656">
        <v>0</v>
      </c>
      <c r="R1656">
        <v>6</v>
      </c>
      <c r="S1656">
        <v>763</v>
      </c>
      <c r="T1656">
        <v>0</v>
      </c>
      <c r="U1656" t="s">
        <v>2677</v>
      </c>
    </row>
    <row r="1657" spans="1:21" x14ac:dyDescent="0.25">
      <c r="H1657" t="s">
        <v>1469</v>
      </c>
    </row>
    <row r="1658" spans="1:21" x14ac:dyDescent="0.25">
      <c r="A1658">
        <v>826</v>
      </c>
      <c r="B1658">
        <v>5973</v>
      </c>
      <c r="C1658" t="s">
        <v>3009</v>
      </c>
      <c r="D1658" t="s">
        <v>285</v>
      </c>
      <c r="E1658" t="s">
        <v>42</v>
      </c>
      <c r="F1658" t="s">
        <v>3010</v>
      </c>
      <c r="G1658" t="str">
        <f>"201511037563"</f>
        <v>201511037563</v>
      </c>
      <c r="H1658" t="s">
        <v>3011</v>
      </c>
      <c r="I1658">
        <v>150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0</v>
      </c>
      <c r="P1658">
        <v>0</v>
      </c>
      <c r="Q1658">
        <v>0</v>
      </c>
      <c r="T1658">
        <v>1</v>
      </c>
      <c r="U1658" t="s">
        <v>3012</v>
      </c>
    </row>
    <row r="1659" spans="1:21" x14ac:dyDescent="0.25">
      <c r="H1659" t="s">
        <v>3013</v>
      </c>
    </row>
    <row r="1660" spans="1:21" x14ac:dyDescent="0.25">
      <c r="A1660">
        <v>827</v>
      </c>
      <c r="B1660">
        <v>7489</v>
      </c>
      <c r="C1660" t="s">
        <v>3014</v>
      </c>
      <c r="D1660" t="s">
        <v>1127</v>
      </c>
      <c r="E1660" t="s">
        <v>764</v>
      </c>
      <c r="F1660" t="s">
        <v>3015</v>
      </c>
      <c r="G1660" t="str">
        <f>"00019597"</f>
        <v>00019597</v>
      </c>
      <c r="H1660" t="s">
        <v>893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0</v>
      </c>
      <c r="P1660">
        <v>0</v>
      </c>
      <c r="Q1660">
        <v>0</v>
      </c>
      <c r="T1660">
        <v>0</v>
      </c>
      <c r="U1660" t="s">
        <v>893</v>
      </c>
    </row>
    <row r="1661" spans="1:21" x14ac:dyDescent="0.25">
      <c r="H1661" t="s">
        <v>3016</v>
      </c>
    </row>
    <row r="1662" spans="1:21" x14ac:dyDescent="0.25">
      <c r="A1662">
        <v>828</v>
      </c>
      <c r="B1662">
        <v>600</v>
      </c>
      <c r="C1662" t="s">
        <v>3017</v>
      </c>
      <c r="D1662" t="s">
        <v>95</v>
      </c>
      <c r="E1662" t="s">
        <v>135</v>
      </c>
      <c r="F1662" t="s">
        <v>3018</v>
      </c>
      <c r="G1662" t="str">
        <f>"00022932"</f>
        <v>00022932</v>
      </c>
      <c r="H1662" t="s">
        <v>893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T1662">
        <v>0</v>
      </c>
      <c r="U1662" t="s">
        <v>893</v>
      </c>
    </row>
    <row r="1663" spans="1:21" x14ac:dyDescent="0.25">
      <c r="H1663" t="s">
        <v>3019</v>
      </c>
    </row>
    <row r="1664" spans="1:21" x14ac:dyDescent="0.25">
      <c r="A1664">
        <v>829</v>
      </c>
      <c r="B1664">
        <v>4219</v>
      </c>
      <c r="C1664" t="s">
        <v>3020</v>
      </c>
      <c r="D1664" t="s">
        <v>1558</v>
      </c>
      <c r="E1664" t="s">
        <v>112</v>
      </c>
      <c r="F1664" t="s">
        <v>3021</v>
      </c>
      <c r="G1664" t="str">
        <f>"00094455"</f>
        <v>00094455</v>
      </c>
      <c r="H1664" t="s">
        <v>893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T1664">
        <v>0</v>
      </c>
      <c r="U1664" t="s">
        <v>893</v>
      </c>
    </row>
    <row r="1665" spans="1:21" x14ac:dyDescent="0.25">
      <c r="H1665" t="s">
        <v>3022</v>
      </c>
    </row>
    <row r="1666" spans="1:21" x14ac:dyDescent="0.25">
      <c r="A1666">
        <v>830</v>
      </c>
      <c r="B1666">
        <v>703</v>
      </c>
      <c r="C1666" t="s">
        <v>3023</v>
      </c>
      <c r="D1666" t="s">
        <v>85</v>
      </c>
      <c r="E1666" t="s">
        <v>36</v>
      </c>
      <c r="F1666" t="s">
        <v>3024</v>
      </c>
      <c r="G1666" t="str">
        <f>"00019527"</f>
        <v>00019527</v>
      </c>
      <c r="H1666" t="s">
        <v>893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0</v>
      </c>
      <c r="P1666">
        <v>0</v>
      </c>
      <c r="Q1666">
        <v>0</v>
      </c>
      <c r="T1666">
        <v>0</v>
      </c>
      <c r="U1666" t="s">
        <v>893</v>
      </c>
    </row>
    <row r="1667" spans="1:21" x14ac:dyDescent="0.25">
      <c r="H1667" t="s">
        <v>3025</v>
      </c>
    </row>
    <row r="1668" spans="1:21" x14ac:dyDescent="0.25">
      <c r="A1668">
        <v>831</v>
      </c>
      <c r="B1668">
        <v>9213</v>
      </c>
      <c r="C1668" t="s">
        <v>3026</v>
      </c>
      <c r="D1668" t="s">
        <v>128</v>
      </c>
      <c r="E1668" t="s">
        <v>135</v>
      </c>
      <c r="F1668" t="s">
        <v>3027</v>
      </c>
      <c r="G1668" t="str">
        <f>"201511007820"</f>
        <v>201511007820</v>
      </c>
      <c r="H1668" t="s">
        <v>893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T1668">
        <v>2</v>
      </c>
      <c r="U1668" t="s">
        <v>893</v>
      </c>
    </row>
    <row r="1669" spans="1:21" x14ac:dyDescent="0.25">
      <c r="H1669" t="s">
        <v>3028</v>
      </c>
    </row>
    <row r="1670" spans="1:21" x14ac:dyDescent="0.25">
      <c r="A1670">
        <v>832</v>
      </c>
      <c r="B1670">
        <v>9213</v>
      </c>
      <c r="C1670" t="s">
        <v>3026</v>
      </c>
      <c r="D1670" t="s">
        <v>128</v>
      </c>
      <c r="E1670" t="s">
        <v>135</v>
      </c>
      <c r="F1670" t="s">
        <v>3027</v>
      </c>
      <c r="G1670" t="str">
        <f>"201511007820"</f>
        <v>201511007820</v>
      </c>
      <c r="H1670" t="s">
        <v>893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0</v>
      </c>
      <c r="P1670">
        <v>0</v>
      </c>
      <c r="Q1670">
        <v>0</v>
      </c>
      <c r="R1670">
        <v>6</v>
      </c>
      <c r="S1670">
        <v>763</v>
      </c>
      <c r="T1670">
        <v>2</v>
      </c>
      <c r="U1670" t="s">
        <v>893</v>
      </c>
    </row>
    <row r="1671" spans="1:21" x14ac:dyDescent="0.25">
      <c r="H1671" t="s">
        <v>3028</v>
      </c>
    </row>
    <row r="1672" spans="1:21" x14ac:dyDescent="0.25">
      <c r="A1672">
        <v>833</v>
      </c>
      <c r="B1672">
        <v>2907</v>
      </c>
      <c r="C1672" t="s">
        <v>3029</v>
      </c>
      <c r="D1672" t="s">
        <v>3030</v>
      </c>
      <c r="E1672" t="s">
        <v>3031</v>
      </c>
      <c r="F1672" t="s">
        <v>3032</v>
      </c>
      <c r="G1672" t="str">
        <f>"201407000139"</f>
        <v>201407000139</v>
      </c>
      <c r="H1672" t="s">
        <v>893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0</v>
      </c>
      <c r="P1672">
        <v>0</v>
      </c>
      <c r="Q1672">
        <v>0</v>
      </c>
      <c r="R1672">
        <v>6</v>
      </c>
      <c r="S1672">
        <v>809</v>
      </c>
      <c r="T1672">
        <v>0</v>
      </c>
      <c r="U1672" t="s">
        <v>893</v>
      </c>
    </row>
    <row r="1673" spans="1:21" x14ac:dyDescent="0.25">
      <c r="H1673">
        <v>809</v>
      </c>
    </row>
    <row r="1674" spans="1:21" x14ac:dyDescent="0.25">
      <c r="A1674">
        <v>834</v>
      </c>
      <c r="B1674">
        <v>471</v>
      </c>
      <c r="C1674" t="s">
        <v>3033</v>
      </c>
      <c r="D1674" t="s">
        <v>1972</v>
      </c>
      <c r="E1674" t="s">
        <v>42</v>
      </c>
      <c r="F1674" t="s">
        <v>3034</v>
      </c>
      <c r="G1674" t="str">
        <f>"201511034477"</f>
        <v>201511034477</v>
      </c>
      <c r="H1674" t="s">
        <v>3035</v>
      </c>
      <c r="I1674">
        <v>150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0</v>
      </c>
      <c r="Q1674">
        <v>0</v>
      </c>
      <c r="T1674">
        <v>0</v>
      </c>
      <c r="U1674" t="s">
        <v>3036</v>
      </c>
    </row>
    <row r="1675" spans="1:21" x14ac:dyDescent="0.25">
      <c r="H1675" t="s">
        <v>3037</v>
      </c>
    </row>
    <row r="1676" spans="1:21" x14ac:dyDescent="0.25">
      <c r="A1676">
        <v>835</v>
      </c>
      <c r="B1676">
        <v>9390</v>
      </c>
      <c r="C1676" t="s">
        <v>1248</v>
      </c>
      <c r="D1676" t="s">
        <v>207</v>
      </c>
      <c r="E1676" t="s">
        <v>135</v>
      </c>
      <c r="F1676" t="s">
        <v>3038</v>
      </c>
      <c r="G1676" t="str">
        <f>"201511041895"</f>
        <v>201511041895</v>
      </c>
      <c r="H1676" t="s">
        <v>3039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0</v>
      </c>
      <c r="T1676">
        <v>0</v>
      </c>
      <c r="U1676" t="s">
        <v>3039</v>
      </c>
    </row>
    <row r="1677" spans="1:21" x14ac:dyDescent="0.25">
      <c r="H1677" t="s">
        <v>3040</v>
      </c>
    </row>
    <row r="1678" spans="1:21" x14ac:dyDescent="0.25">
      <c r="A1678">
        <v>836</v>
      </c>
      <c r="B1678">
        <v>6590</v>
      </c>
      <c r="C1678" t="s">
        <v>3041</v>
      </c>
      <c r="D1678" t="s">
        <v>304</v>
      </c>
      <c r="E1678" t="s">
        <v>259</v>
      </c>
      <c r="F1678" t="s">
        <v>3042</v>
      </c>
      <c r="G1678" t="str">
        <f>"00026168"</f>
        <v>00026168</v>
      </c>
      <c r="H1678">
        <v>880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70</v>
      </c>
      <c r="P1678">
        <v>0</v>
      </c>
      <c r="Q1678">
        <v>0</v>
      </c>
      <c r="T1678">
        <v>0</v>
      </c>
      <c r="U1678">
        <v>950</v>
      </c>
    </row>
    <row r="1679" spans="1:21" x14ac:dyDescent="0.25">
      <c r="H1679" t="s">
        <v>3043</v>
      </c>
    </row>
    <row r="1680" spans="1:21" x14ac:dyDescent="0.25">
      <c r="A1680">
        <v>837</v>
      </c>
      <c r="B1680">
        <v>4514</v>
      </c>
      <c r="C1680" t="s">
        <v>2121</v>
      </c>
      <c r="D1680" t="s">
        <v>26</v>
      </c>
      <c r="E1680" t="s">
        <v>27</v>
      </c>
      <c r="F1680" t="s">
        <v>3044</v>
      </c>
      <c r="G1680" t="str">
        <f>"201511041383"</f>
        <v>201511041383</v>
      </c>
      <c r="H1680">
        <v>880</v>
      </c>
      <c r="I1680">
        <v>0</v>
      </c>
      <c r="J1680">
        <v>70</v>
      </c>
      <c r="K1680">
        <v>0</v>
      </c>
      <c r="L1680">
        <v>0</v>
      </c>
      <c r="M1680">
        <v>0</v>
      </c>
      <c r="N1680">
        <v>0</v>
      </c>
      <c r="O1680">
        <v>0</v>
      </c>
      <c r="P1680">
        <v>0</v>
      </c>
      <c r="Q1680">
        <v>0</v>
      </c>
      <c r="T1680">
        <v>2</v>
      </c>
      <c r="U1680">
        <v>950</v>
      </c>
    </row>
    <row r="1681" spans="1:21" x14ac:dyDescent="0.25">
      <c r="H1681" t="s">
        <v>3045</v>
      </c>
    </row>
    <row r="1682" spans="1:21" x14ac:dyDescent="0.25">
      <c r="A1682">
        <v>838</v>
      </c>
      <c r="B1682">
        <v>9484</v>
      </c>
      <c r="C1682" t="s">
        <v>1466</v>
      </c>
      <c r="D1682" t="s">
        <v>116</v>
      </c>
      <c r="E1682" t="s">
        <v>42</v>
      </c>
      <c r="F1682" t="s">
        <v>3046</v>
      </c>
      <c r="G1682" t="str">
        <f>"201511038548"</f>
        <v>201511038548</v>
      </c>
      <c r="H1682">
        <v>770</v>
      </c>
      <c r="I1682">
        <v>150</v>
      </c>
      <c r="J1682">
        <v>30</v>
      </c>
      <c r="K1682">
        <v>0</v>
      </c>
      <c r="L1682">
        <v>0</v>
      </c>
      <c r="M1682">
        <v>0</v>
      </c>
      <c r="N1682">
        <v>0</v>
      </c>
      <c r="O1682">
        <v>0</v>
      </c>
      <c r="P1682">
        <v>0</v>
      </c>
      <c r="Q1682">
        <v>0</v>
      </c>
      <c r="T1682">
        <v>0</v>
      </c>
      <c r="U1682">
        <v>950</v>
      </c>
    </row>
    <row r="1683" spans="1:21" x14ac:dyDescent="0.25">
      <c r="H1683" t="s">
        <v>3047</v>
      </c>
    </row>
    <row r="1684" spans="1:21" x14ac:dyDescent="0.25">
      <c r="A1684">
        <v>839</v>
      </c>
      <c r="B1684">
        <v>1876</v>
      </c>
      <c r="C1684" t="s">
        <v>3048</v>
      </c>
      <c r="D1684" t="s">
        <v>3049</v>
      </c>
      <c r="E1684" t="s">
        <v>373</v>
      </c>
      <c r="F1684" t="s">
        <v>3050</v>
      </c>
      <c r="G1684" t="str">
        <f>"00024902"</f>
        <v>00024902</v>
      </c>
      <c r="H1684" t="s">
        <v>2712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0</v>
      </c>
      <c r="P1684">
        <v>0</v>
      </c>
      <c r="Q1684">
        <v>0</v>
      </c>
      <c r="T1684">
        <v>0</v>
      </c>
      <c r="U1684" t="s">
        <v>2712</v>
      </c>
    </row>
    <row r="1685" spans="1:21" x14ac:dyDescent="0.25">
      <c r="H1685" t="s">
        <v>3051</v>
      </c>
    </row>
    <row r="1686" spans="1:21" x14ac:dyDescent="0.25">
      <c r="A1686">
        <v>840</v>
      </c>
      <c r="B1686">
        <v>1778</v>
      </c>
      <c r="C1686" t="s">
        <v>3052</v>
      </c>
      <c r="D1686" t="s">
        <v>2107</v>
      </c>
      <c r="E1686" t="s">
        <v>3053</v>
      </c>
      <c r="F1686" t="s">
        <v>3054</v>
      </c>
      <c r="G1686" t="str">
        <f>"00016194"</f>
        <v>00016194</v>
      </c>
      <c r="H1686" t="s">
        <v>3055</v>
      </c>
      <c r="I1686">
        <v>0</v>
      </c>
      <c r="J1686">
        <v>50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0</v>
      </c>
      <c r="Q1686">
        <v>0</v>
      </c>
      <c r="T1686">
        <v>0</v>
      </c>
      <c r="U1686" t="s">
        <v>3056</v>
      </c>
    </row>
    <row r="1687" spans="1:21" x14ac:dyDescent="0.25">
      <c r="H1687" t="s">
        <v>3057</v>
      </c>
    </row>
    <row r="1688" spans="1:21" x14ac:dyDescent="0.25">
      <c r="A1688">
        <v>841</v>
      </c>
      <c r="B1688">
        <v>2814</v>
      </c>
      <c r="C1688" t="s">
        <v>3058</v>
      </c>
      <c r="D1688" t="s">
        <v>145</v>
      </c>
      <c r="E1688" t="s">
        <v>647</v>
      </c>
      <c r="F1688" t="s">
        <v>3059</v>
      </c>
      <c r="G1688" t="str">
        <f>"00026147"</f>
        <v>00026147</v>
      </c>
      <c r="H1688" t="s">
        <v>958</v>
      </c>
      <c r="I1688">
        <v>0</v>
      </c>
      <c r="J1688">
        <v>30</v>
      </c>
      <c r="K1688">
        <v>0</v>
      </c>
      <c r="L1688">
        <v>0</v>
      </c>
      <c r="M1688">
        <v>0</v>
      </c>
      <c r="N1688">
        <v>0</v>
      </c>
      <c r="O1688">
        <v>0</v>
      </c>
      <c r="P1688">
        <v>0</v>
      </c>
      <c r="Q1688">
        <v>0</v>
      </c>
      <c r="T1688">
        <v>0</v>
      </c>
      <c r="U1688" t="s">
        <v>3060</v>
      </c>
    </row>
    <row r="1689" spans="1:21" x14ac:dyDescent="0.25">
      <c r="H1689" t="s">
        <v>3061</v>
      </c>
    </row>
    <row r="1690" spans="1:21" x14ac:dyDescent="0.25">
      <c r="A1690">
        <v>842</v>
      </c>
      <c r="B1690">
        <v>4552</v>
      </c>
      <c r="C1690" t="s">
        <v>3062</v>
      </c>
      <c r="D1690" t="s">
        <v>3063</v>
      </c>
      <c r="E1690" t="s">
        <v>332</v>
      </c>
      <c r="F1690" t="s">
        <v>3064</v>
      </c>
      <c r="G1690" t="str">
        <f>"201511039116"</f>
        <v>201511039116</v>
      </c>
      <c r="H1690" t="s">
        <v>958</v>
      </c>
      <c r="I1690">
        <v>0</v>
      </c>
      <c r="J1690">
        <v>30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0</v>
      </c>
      <c r="T1690">
        <v>0</v>
      </c>
      <c r="U1690" t="s">
        <v>3060</v>
      </c>
    </row>
    <row r="1691" spans="1:21" x14ac:dyDescent="0.25">
      <c r="H1691" t="s">
        <v>3065</v>
      </c>
    </row>
    <row r="1692" spans="1:21" x14ac:dyDescent="0.25">
      <c r="A1692">
        <v>843</v>
      </c>
      <c r="B1692">
        <v>750</v>
      </c>
      <c r="C1692" t="s">
        <v>3066</v>
      </c>
      <c r="D1692" t="s">
        <v>57</v>
      </c>
      <c r="E1692" t="s">
        <v>135</v>
      </c>
      <c r="F1692" t="s">
        <v>3067</v>
      </c>
      <c r="G1692" t="str">
        <f>"201511025634"</f>
        <v>201511025634</v>
      </c>
      <c r="H1692" t="s">
        <v>2729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0</v>
      </c>
      <c r="P1692">
        <v>0</v>
      </c>
      <c r="Q1692">
        <v>0</v>
      </c>
      <c r="T1692">
        <v>0</v>
      </c>
      <c r="U1692" t="s">
        <v>2729</v>
      </c>
    </row>
    <row r="1693" spans="1:21" x14ac:dyDescent="0.25">
      <c r="H1693" t="s">
        <v>3068</v>
      </c>
    </row>
    <row r="1694" spans="1:21" x14ac:dyDescent="0.25">
      <c r="A1694">
        <v>844</v>
      </c>
      <c r="B1694">
        <v>2776</v>
      </c>
      <c r="C1694" t="s">
        <v>3069</v>
      </c>
      <c r="D1694" t="s">
        <v>145</v>
      </c>
      <c r="E1694" t="s">
        <v>135</v>
      </c>
      <c r="F1694" t="s">
        <v>3070</v>
      </c>
      <c r="G1694" t="str">
        <f>"00089266"</f>
        <v>00089266</v>
      </c>
      <c r="H1694" t="s">
        <v>2729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0</v>
      </c>
      <c r="P1694">
        <v>0</v>
      </c>
      <c r="Q1694">
        <v>0</v>
      </c>
      <c r="T1694">
        <v>2</v>
      </c>
      <c r="U1694" t="s">
        <v>2729</v>
      </c>
    </row>
    <row r="1695" spans="1:21" x14ac:dyDescent="0.25">
      <c r="H1695" t="s">
        <v>3071</v>
      </c>
    </row>
    <row r="1696" spans="1:21" x14ac:dyDescent="0.25">
      <c r="A1696">
        <v>845</v>
      </c>
      <c r="B1696">
        <v>5679</v>
      </c>
      <c r="C1696" t="s">
        <v>3072</v>
      </c>
      <c r="D1696" t="s">
        <v>280</v>
      </c>
      <c r="E1696" t="s">
        <v>135</v>
      </c>
      <c r="F1696" t="s">
        <v>3073</v>
      </c>
      <c r="G1696" t="str">
        <f>"00024766"</f>
        <v>00024766</v>
      </c>
      <c r="H1696" t="s">
        <v>2737</v>
      </c>
      <c r="I1696">
        <v>150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T1696">
        <v>0</v>
      </c>
      <c r="U1696" t="s">
        <v>3074</v>
      </c>
    </row>
    <row r="1697" spans="1:21" x14ac:dyDescent="0.25">
      <c r="H1697" t="s">
        <v>3075</v>
      </c>
    </row>
    <row r="1698" spans="1:21" x14ac:dyDescent="0.25">
      <c r="A1698">
        <v>846</v>
      </c>
      <c r="B1698">
        <v>6000</v>
      </c>
      <c r="C1698" t="s">
        <v>1248</v>
      </c>
      <c r="D1698" t="s">
        <v>2483</v>
      </c>
      <c r="E1698" t="s">
        <v>135</v>
      </c>
      <c r="F1698" t="s">
        <v>3076</v>
      </c>
      <c r="G1698" t="str">
        <f>"00043219"</f>
        <v>00043219</v>
      </c>
      <c r="H1698" t="s">
        <v>3077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  <c r="Q1698">
        <v>0</v>
      </c>
      <c r="T1698">
        <v>0</v>
      </c>
      <c r="U1698" t="s">
        <v>3077</v>
      </c>
    </row>
    <row r="1699" spans="1:21" x14ac:dyDescent="0.25">
      <c r="H1699" t="s">
        <v>629</v>
      </c>
    </row>
    <row r="1700" spans="1:21" x14ac:dyDescent="0.25">
      <c r="A1700">
        <v>847</v>
      </c>
      <c r="B1700">
        <v>1481</v>
      </c>
      <c r="C1700" t="s">
        <v>3078</v>
      </c>
      <c r="D1700" t="s">
        <v>121</v>
      </c>
      <c r="E1700" t="s">
        <v>27</v>
      </c>
      <c r="F1700" t="s">
        <v>3079</v>
      </c>
      <c r="G1700" t="str">
        <f>"00058585"</f>
        <v>00058585</v>
      </c>
      <c r="H1700" t="s">
        <v>3077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0</v>
      </c>
      <c r="Q1700">
        <v>0</v>
      </c>
      <c r="T1700">
        <v>0</v>
      </c>
      <c r="U1700" t="s">
        <v>3077</v>
      </c>
    </row>
    <row r="1701" spans="1:21" x14ac:dyDescent="0.25">
      <c r="H1701" t="s">
        <v>3080</v>
      </c>
    </row>
    <row r="1702" spans="1:21" x14ac:dyDescent="0.25">
      <c r="A1702">
        <v>848</v>
      </c>
      <c r="B1702">
        <v>94</v>
      </c>
      <c r="C1702" t="s">
        <v>3081</v>
      </c>
      <c r="D1702" t="s">
        <v>145</v>
      </c>
      <c r="E1702" t="s">
        <v>449</v>
      </c>
      <c r="F1702" t="s">
        <v>3082</v>
      </c>
      <c r="G1702" t="str">
        <f>"00024675"</f>
        <v>00024675</v>
      </c>
      <c r="H1702">
        <v>946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0</v>
      </c>
      <c r="T1702">
        <v>2</v>
      </c>
      <c r="U1702">
        <v>946</v>
      </c>
    </row>
    <row r="1703" spans="1:21" x14ac:dyDescent="0.25">
      <c r="H1703" t="s">
        <v>3083</v>
      </c>
    </row>
    <row r="1704" spans="1:21" x14ac:dyDescent="0.25">
      <c r="A1704">
        <v>849</v>
      </c>
      <c r="B1704">
        <v>8044</v>
      </c>
      <c r="C1704" t="s">
        <v>3084</v>
      </c>
      <c r="D1704" t="s">
        <v>36</v>
      </c>
      <c r="E1704" t="s">
        <v>122</v>
      </c>
      <c r="F1704" t="s">
        <v>3085</v>
      </c>
      <c r="G1704" t="str">
        <f>"00034994"</f>
        <v>00034994</v>
      </c>
      <c r="H1704">
        <v>946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  <c r="Q1704">
        <v>0</v>
      </c>
      <c r="T1704">
        <v>0</v>
      </c>
      <c r="U1704">
        <v>946</v>
      </c>
    </row>
    <row r="1705" spans="1:21" x14ac:dyDescent="0.25">
      <c r="H1705" t="s">
        <v>3086</v>
      </c>
    </row>
    <row r="1706" spans="1:21" x14ac:dyDescent="0.25">
      <c r="A1706">
        <v>850</v>
      </c>
      <c r="B1706">
        <v>1576</v>
      </c>
      <c r="C1706" t="s">
        <v>57</v>
      </c>
      <c r="D1706" t="s">
        <v>3087</v>
      </c>
      <c r="E1706" t="s">
        <v>225</v>
      </c>
      <c r="F1706" t="s">
        <v>3088</v>
      </c>
      <c r="G1706" t="str">
        <f>"00032414"</f>
        <v>00032414</v>
      </c>
      <c r="H1706">
        <v>946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0</v>
      </c>
      <c r="P1706">
        <v>0</v>
      </c>
      <c r="Q1706">
        <v>0</v>
      </c>
      <c r="T1706">
        <v>1</v>
      </c>
      <c r="U1706">
        <v>946</v>
      </c>
    </row>
    <row r="1707" spans="1:21" x14ac:dyDescent="0.25">
      <c r="H1707" t="s">
        <v>3089</v>
      </c>
    </row>
    <row r="1708" spans="1:21" x14ac:dyDescent="0.25">
      <c r="A1708">
        <v>851</v>
      </c>
      <c r="B1708">
        <v>1007</v>
      </c>
      <c r="C1708" t="s">
        <v>3090</v>
      </c>
      <c r="D1708" t="s">
        <v>173</v>
      </c>
      <c r="E1708" t="s">
        <v>122</v>
      </c>
      <c r="F1708" t="s">
        <v>3091</v>
      </c>
      <c r="G1708" t="str">
        <f>"201511038136"</f>
        <v>201511038136</v>
      </c>
      <c r="H1708" t="s">
        <v>995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0</v>
      </c>
      <c r="P1708">
        <v>0</v>
      </c>
      <c r="Q1708">
        <v>0</v>
      </c>
      <c r="T1708">
        <v>0</v>
      </c>
      <c r="U1708" t="s">
        <v>995</v>
      </c>
    </row>
    <row r="1709" spans="1:21" x14ac:dyDescent="0.25">
      <c r="H1709" t="s">
        <v>3092</v>
      </c>
    </row>
    <row r="1710" spans="1:21" x14ac:dyDescent="0.25">
      <c r="A1710">
        <v>852</v>
      </c>
      <c r="B1710">
        <v>1293</v>
      </c>
      <c r="C1710" t="s">
        <v>3093</v>
      </c>
      <c r="D1710" t="s">
        <v>3094</v>
      </c>
      <c r="E1710" t="s">
        <v>3095</v>
      </c>
      <c r="F1710" t="s">
        <v>3096</v>
      </c>
      <c r="G1710" t="str">
        <f>"00035848"</f>
        <v>00035848</v>
      </c>
      <c r="H1710" t="s">
        <v>3097</v>
      </c>
      <c r="I1710">
        <v>150</v>
      </c>
      <c r="J1710">
        <v>30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T1710">
        <v>0</v>
      </c>
      <c r="U1710" t="s">
        <v>3098</v>
      </c>
    </row>
    <row r="1711" spans="1:21" x14ac:dyDescent="0.25">
      <c r="H1711" t="s">
        <v>3099</v>
      </c>
    </row>
    <row r="1712" spans="1:21" x14ac:dyDescent="0.25">
      <c r="A1712">
        <v>853</v>
      </c>
      <c r="B1712">
        <v>1297</v>
      </c>
      <c r="C1712" t="s">
        <v>3100</v>
      </c>
      <c r="D1712" t="s">
        <v>3101</v>
      </c>
      <c r="E1712" t="s">
        <v>42</v>
      </c>
      <c r="F1712" t="s">
        <v>3102</v>
      </c>
      <c r="G1712" t="str">
        <f>"201511010788"</f>
        <v>201511010788</v>
      </c>
      <c r="H1712" t="s">
        <v>3103</v>
      </c>
      <c r="I1712">
        <v>150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T1712">
        <v>0</v>
      </c>
      <c r="U1712" t="s">
        <v>3104</v>
      </c>
    </row>
    <row r="1713" spans="1:21" x14ac:dyDescent="0.25">
      <c r="H1713" t="s">
        <v>3105</v>
      </c>
    </row>
    <row r="1714" spans="1:21" x14ac:dyDescent="0.25">
      <c r="A1714">
        <v>854</v>
      </c>
      <c r="B1714">
        <v>5466</v>
      </c>
      <c r="C1714" t="s">
        <v>3106</v>
      </c>
      <c r="D1714" t="s">
        <v>78</v>
      </c>
      <c r="E1714" t="s">
        <v>27</v>
      </c>
      <c r="F1714" t="s">
        <v>3107</v>
      </c>
      <c r="G1714" t="str">
        <f>"201511011798"</f>
        <v>201511011798</v>
      </c>
      <c r="H1714" t="s">
        <v>2196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  <c r="Q1714">
        <v>0</v>
      </c>
      <c r="T1714">
        <v>1</v>
      </c>
      <c r="U1714" t="s">
        <v>2196</v>
      </c>
    </row>
    <row r="1715" spans="1:21" x14ac:dyDescent="0.25">
      <c r="H1715" t="s">
        <v>3108</v>
      </c>
    </row>
    <row r="1716" spans="1:21" x14ac:dyDescent="0.25">
      <c r="A1716">
        <v>855</v>
      </c>
      <c r="B1716">
        <v>8409</v>
      </c>
      <c r="C1716" t="s">
        <v>3109</v>
      </c>
      <c r="D1716" t="s">
        <v>3110</v>
      </c>
      <c r="E1716" t="s">
        <v>1698</v>
      </c>
      <c r="F1716" t="s">
        <v>3111</v>
      </c>
      <c r="G1716" t="str">
        <f>"00019340"</f>
        <v>00019340</v>
      </c>
      <c r="H1716">
        <v>913</v>
      </c>
      <c r="I1716">
        <v>0</v>
      </c>
      <c r="J1716">
        <v>30</v>
      </c>
      <c r="K1716">
        <v>0</v>
      </c>
      <c r="L1716">
        <v>0</v>
      </c>
      <c r="M1716">
        <v>0</v>
      </c>
      <c r="N1716">
        <v>0</v>
      </c>
      <c r="O1716">
        <v>0</v>
      </c>
      <c r="P1716">
        <v>0</v>
      </c>
      <c r="Q1716">
        <v>0</v>
      </c>
      <c r="T1716">
        <v>1</v>
      </c>
      <c r="U1716">
        <v>943</v>
      </c>
    </row>
    <row r="1717" spans="1:21" x14ac:dyDescent="0.25">
      <c r="H1717" t="s">
        <v>2081</v>
      </c>
    </row>
    <row r="1718" spans="1:21" x14ac:dyDescent="0.25">
      <c r="A1718">
        <v>856</v>
      </c>
      <c r="B1718">
        <v>3633</v>
      </c>
      <c r="C1718" t="s">
        <v>3112</v>
      </c>
      <c r="D1718" t="s">
        <v>240</v>
      </c>
      <c r="E1718" t="s">
        <v>65</v>
      </c>
      <c r="F1718" t="s">
        <v>3113</v>
      </c>
      <c r="G1718" t="str">
        <f>"00076290"</f>
        <v>00076290</v>
      </c>
      <c r="H1718" t="s">
        <v>1030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0</v>
      </c>
      <c r="P1718">
        <v>0</v>
      </c>
      <c r="Q1718">
        <v>0</v>
      </c>
      <c r="T1718">
        <v>0</v>
      </c>
      <c r="U1718" t="s">
        <v>1030</v>
      </c>
    </row>
    <row r="1719" spans="1:21" x14ac:dyDescent="0.25">
      <c r="H1719" t="s">
        <v>3114</v>
      </c>
    </row>
    <row r="1720" spans="1:21" x14ac:dyDescent="0.25">
      <c r="A1720">
        <v>857</v>
      </c>
      <c r="B1720">
        <v>10034</v>
      </c>
      <c r="C1720" t="s">
        <v>1319</v>
      </c>
      <c r="D1720" t="s">
        <v>3115</v>
      </c>
      <c r="E1720" t="s">
        <v>36</v>
      </c>
      <c r="F1720" t="s">
        <v>3116</v>
      </c>
      <c r="G1720" t="str">
        <f>"00070053"</f>
        <v>00070053</v>
      </c>
      <c r="H1720" t="s">
        <v>1030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0</v>
      </c>
      <c r="P1720">
        <v>0</v>
      </c>
      <c r="Q1720">
        <v>0</v>
      </c>
      <c r="T1720">
        <v>0</v>
      </c>
      <c r="U1720" t="s">
        <v>1030</v>
      </c>
    </row>
    <row r="1721" spans="1:21" x14ac:dyDescent="0.25">
      <c r="H1721" t="s">
        <v>3117</v>
      </c>
    </row>
    <row r="1722" spans="1:21" x14ac:dyDescent="0.25">
      <c r="A1722">
        <v>858</v>
      </c>
      <c r="B1722">
        <v>5893</v>
      </c>
      <c r="C1722" t="s">
        <v>3118</v>
      </c>
      <c r="D1722" t="s">
        <v>1569</v>
      </c>
      <c r="E1722" t="s">
        <v>36</v>
      </c>
      <c r="F1722" t="s">
        <v>3119</v>
      </c>
      <c r="G1722" t="str">
        <f>"00018549"</f>
        <v>00018549</v>
      </c>
      <c r="H1722" t="s">
        <v>1030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0</v>
      </c>
      <c r="T1722">
        <v>0</v>
      </c>
      <c r="U1722" t="s">
        <v>1030</v>
      </c>
    </row>
    <row r="1723" spans="1:21" x14ac:dyDescent="0.25">
      <c r="H1723" t="s">
        <v>3120</v>
      </c>
    </row>
    <row r="1724" spans="1:21" x14ac:dyDescent="0.25">
      <c r="A1724">
        <v>859</v>
      </c>
      <c r="B1724">
        <v>5893</v>
      </c>
      <c r="C1724" t="s">
        <v>3118</v>
      </c>
      <c r="D1724" t="s">
        <v>1569</v>
      </c>
      <c r="E1724" t="s">
        <v>36</v>
      </c>
      <c r="F1724" t="s">
        <v>3119</v>
      </c>
      <c r="G1724" t="str">
        <f>"00018549"</f>
        <v>00018549</v>
      </c>
      <c r="H1724" t="s">
        <v>1030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0</v>
      </c>
      <c r="P1724">
        <v>0</v>
      </c>
      <c r="Q1724">
        <v>0</v>
      </c>
      <c r="R1724">
        <v>6</v>
      </c>
      <c r="S1724">
        <v>763</v>
      </c>
      <c r="T1724">
        <v>0</v>
      </c>
      <c r="U1724" t="s">
        <v>1030</v>
      </c>
    </row>
    <row r="1725" spans="1:21" x14ac:dyDescent="0.25">
      <c r="H1725" t="s">
        <v>3120</v>
      </c>
    </row>
    <row r="1726" spans="1:21" x14ac:dyDescent="0.25">
      <c r="A1726">
        <v>860</v>
      </c>
      <c r="B1726">
        <v>1290</v>
      </c>
      <c r="C1726" t="s">
        <v>3121</v>
      </c>
      <c r="D1726" t="s">
        <v>85</v>
      </c>
      <c r="E1726" t="s">
        <v>614</v>
      </c>
      <c r="F1726" t="s">
        <v>3122</v>
      </c>
      <c r="G1726" t="str">
        <f>"201208000024"</f>
        <v>201208000024</v>
      </c>
      <c r="H1726" t="s">
        <v>1030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0</v>
      </c>
      <c r="P1726">
        <v>0</v>
      </c>
      <c r="Q1726">
        <v>0</v>
      </c>
      <c r="T1726">
        <v>1</v>
      </c>
      <c r="U1726" t="s">
        <v>1030</v>
      </c>
    </row>
    <row r="1727" spans="1:21" x14ac:dyDescent="0.25">
      <c r="H1727" t="s">
        <v>3123</v>
      </c>
    </row>
    <row r="1728" spans="1:21" x14ac:dyDescent="0.25">
      <c r="A1728">
        <v>861</v>
      </c>
      <c r="B1728">
        <v>3157</v>
      </c>
      <c r="C1728" t="s">
        <v>3124</v>
      </c>
      <c r="D1728" t="s">
        <v>95</v>
      </c>
      <c r="E1728" t="s">
        <v>773</v>
      </c>
      <c r="F1728" t="s">
        <v>3125</v>
      </c>
      <c r="G1728" t="str">
        <f>"201004000119"</f>
        <v>201004000119</v>
      </c>
      <c r="H1728" t="s">
        <v>1030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0</v>
      </c>
      <c r="P1728">
        <v>0</v>
      </c>
      <c r="Q1728">
        <v>0</v>
      </c>
      <c r="T1728">
        <v>0</v>
      </c>
      <c r="U1728" t="s">
        <v>1030</v>
      </c>
    </row>
    <row r="1729" spans="1:21" x14ac:dyDescent="0.25">
      <c r="H1729">
        <v>768</v>
      </c>
    </row>
    <row r="1730" spans="1:21" x14ac:dyDescent="0.25">
      <c r="A1730">
        <v>862</v>
      </c>
      <c r="B1730">
        <v>1448</v>
      </c>
      <c r="C1730" t="s">
        <v>3126</v>
      </c>
      <c r="D1730" t="s">
        <v>3127</v>
      </c>
      <c r="E1730" t="s">
        <v>3128</v>
      </c>
      <c r="F1730" t="s">
        <v>3129</v>
      </c>
      <c r="G1730" t="str">
        <f>"00019926"</f>
        <v>00019926</v>
      </c>
      <c r="H1730">
        <v>792</v>
      </c>
      <c r="I1730">
        <v>150</v>
      </c>
      <c r="J1730">
        <v>0</v>
      </c>
      <c r="K1730">
        <v>0</v>
      </c>
      <c r="L1730">
        <v>0</v>
      </c>
      <c r="M1730">
        <v>0</v>
      </c>
      <c r="N1730">
        <v>0</v>
      </c>
      <c r="O1730">
        <v>0</v>
      </c>
      <c r="P1730">
        <v>0</v>
      </c>
      <c r="Q1730">
        <v>0</v>
      </c>
      <c r="R1730">
        <v>6</v>
      </c>
      <c r="S1730">
        <v>807</v>
      </c>
      <c r="T1730">
        <v>0</v>
      </c>
      <c r="U1730">
        <v>942</v>
      </c>
    </row>
    <row r="1731" spans="1:21" x14ac:dyDescent="0.25">
      <c r="H1731" t="s">
        <v>3130</v>
      </c>
    </row>
    <row r="1732" spans="1:21" x14ac:dyDescent="0.25">
      <c r="A1732">
        <v>863</v>
      </c>
      <c r="B1732">
        <v>1250</v>
      </c>
      <c r="C1732" t="s">
        <v>3131</v>
      </c>
      <c r="D1732" t="s">
        <v>366</v>
      </c>
      <c r="E1732" t="s">
        <v>3132</v>
      </c>
      <c r="F1732" t="s">
        <v>3133</v>
      </c>
      <c r="G1732" t="str">
        <f>"201511027299"</f>
        <v>201511027299</v>
      </c>
      <c r="H1732" t="s">
        <v>3134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0</v>
      </c>
      <c r="Q1732">
        <v>0</v>
      </c>
      <c r="T1732">
        <v>0</v>
      </c>
      <c r="U1732" t="s">
        <v>3134</v>
      </c>
    </row>
    <row r="1733" spans="1:21" x14ac:dyDescent="0.25">
      <c r="H1733" t="s">
        <v>3135</v>
      </c>
    </row>
    <row r="1734" spans="1:21" x14ac:dyDescent="0.25">
      <c r="A1734">
        <v>864</v>
      </c>
      <c r="B1734">
        <v>7591</v>
      </c>
      <c r="C1734" t="s">
        <v>3136</v>
      </c>
      <c r="D1734" t="s">
        <v>646</v>
      </c>
      <c r="E1734" t="s">
        <v>65</v>
      </c>
      <c r="F1734" t="s">
        <v>3137</v>
      </c>
      <c r="G1734" t="str">
        <f>"201511013999"</f>
        <v>201511013999</v>
      </c>
      <c r="H1734" t="s">
        <v>3134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T1734">
        <v>0</v>
      </c>
      <c r="U1734" t="s">
        <v>3134</v>
      </c>
    </row>
    <row r="1735" spans="1:21" x14ac:dyDescent="0.25">
      <c r="H1735" t="s">
        <v>3138</v>
      </c>
    </row>
    <row r="1736" spans="1:21" x14ac:dyDescent="0.25">
      <c r="A1736">
        <v>865</v>
      </c>
      <c r="B1736">
        <v>1023</v>
      </c>
      <c r="C1736" t="s">
        <v>3139</v>
      </c>
      <c r="D1736" t="s">
        <v>1463</v>
      </c>
      <c r="E1736" t="s">
        <v>366</v>
      </c>
      <c r="F1736" t="s">
        <v>3140</v>
      </c>
      <c r="G1736" t="str">
        <f>"201511036918"</f>
        <v>201511036918</v>
      </c>
      <c r="H1736" t="s">
        <v>3134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0</v>
      </c>
      <c r="P1736">
        <v>0</v>
      </c>
      <c r="Q1736">
        <v>0</v>
      </c>
      <c r="T1736">
        <v>0</v>
      </c>
      <c r="U1736" t="s">
        <v>3134</v>
      </c>
    </row>
    <row r="1737" spans="1:21" x14ac:dyDescent="0.25">
      <c r="H1737" t="s">
        <v>3141</v>
      </c>
    </row>
    <row r="1738" spans="1:21" x14ac:dyDescent="0.25">
      <c r="A1738">
        <v>866</v>
      </c>
      <c r="B1738">
        <v>7093</v>
      </c>
      <c r="C1738" t="s">
        <v>3142</v>
      </c>
      <c r="D1738" t="s">
        <v>473</v>
      </c>
      <c r="E1738" t="s">
        <v>27</v>
      </c>
      <c r="F1738" t="s">
        <v>3143</v>
      </c>
      <c r="G1738" t="str">
        <f>"201511037712"</f>
        <v>201511037712</v>
      </c>
      <c r="H1738" t="s">
        <v>3144</v>
      </c>
      <c r="I1738">
        <v>150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0</v>
      </c>
      <c r="Q1738">
        <v>0</v>
      </c>
      <c r="T1738">
        <v>0</v>
      </c>
      <c r="U1738" t="s">
        <v>3145</v>
      </c>
    </row>
    <row r="1739" spans="1:21" x14ac:dyDescent="0.25">
      <c r="H1739" t="s">
        <v>3146</v>
      </c>
    </row>
    <row r="1740" spans="1:21" x14ac:dyDescent="0.25">
      <c r="A1740">
        <v>867</v>
      </c>
      <c r="B1740">
        <v>448</v>
      </c>
      <c r="C1740" t="s">
        <v>3147</v>
      </c>
      <c r="D1740" t="s">
        <v>372</v>
      </c>
      <c r="E1740" t="s">
        <v>122</v>
      </c>
      <c r="F1740" t="s">
        <v>3148</v>
      </c>
      <c r="G1740" t="str">
        <f>"201512002923"</f>
        <v>201512002923</v>
      </c>
      <c r="H1740" t="s">
        <v>702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0</v>
      </c>
      <c r="P1740">
        <v>0</v>
      </c>
      <c r="Q1740">
        <v>0</v>
      </c>
      <c r="T1740">
        <v>0</v>
      </c>
      <c r="U1740" t="s">
        <v>702</v>
      </c>
    </row>
    <row r="1741" spans="1:21" x14ac:dyDescent="0.25">
      <c r="H1741" t="s">
        <v>1763</v>
      </c>
    </row>
    <row r="1742" spans="1:21" x14ac:dyDescent="0.25">
      <c r="A1742">
        <v>868</v>
      </c>
      <c r="B1742">
        <v>8275</v>
      </c>
      <c r="C1742" t="s">
        <v>3149</v>
      </c>
      <c r="D1742" t="s">
        <v>3150</v>
      </c>
      <c r="E1742" t="s">
        <v>1082</v>
      </c>
      <c r="F1742" t="s">
        <v>3151</v>
      </c>
      <c r="G1742" t="str">
        <f>"00074851"</f>
        <v>00074851</v>
      </c>
      <c r="H1742" t="s">
        <v>702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0</v>
      </c>
      <c r="P1742">
        <v>0</v>
      </c>
      <c r="Q1742">
        <v>0</v>
      </c>
      <c r="T1742">
        <v>1</v>
      </c>
      <c r="U1742" t="s">
        <v>702</v>
      </c>
    </row>
    <row r="1743" spans="1:21" x14ac:dyDescent="0.25">
      <c r="H1743" t="s">
        <v>3152</v>
      </c>
    </row>
    <row r="1744" spans="1:21" x14ac:dyDescent="0.25">
      <c r="A1744">
        <v>869</v>
      </c>
      <c r="B1744">
        <v>8673</v>
      </c>
      <c r="C1744" t="s">
        <v>3153</v>
      </c>
      <c r="D1744" t="s">
        <v>78</v>
      </c>
      <c r="E1744" t="s">
        <v>3154</v>
      </c>
      <c r="F1744" t="s">
        <v>3155</v>
      </c>
      <c r="G1744" t="str">
        <f>"00045040"</f>
        <v>00045040</v>
      </c>
      <c r="H1744" t="s">
        <v>702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0</v>
      </c>
      <c r="O1744">
        <v>0</v>
      </c>
      <c r="P1744">
        <v>0</v>
      </c>
      <c r="Q1744">
        <v>0</v>
      </c>
      <c r="T1744">
        <v>1</v>
      </c>
      <c r="U1744" t="s">
        <v>702</v>
      </c>
    </row>
    <row r="1745" spans="1:21" x14ac:dyDescent="0.25">
      <c r="H1745" t="s">
        <v>3156</v>
      </c>
    </row>
    <row r="1746" spans="1:21" x14ac:dyDescent="0.25">
      <c r="A1746">
        <v>870</v>
      </c>
      <c r="B1746">
        <v>9679</v>
      </c>
      <c r="C1746" t="s">
        <v>3157</v>
      </c>
      <c r="D1746" t="s">
        <v>46</v>
      </c>
      <c r="E1746" t="s">
        <v>51</v>
      </c>
      <c r="F1746" t="s">
        <v>3158</v>
      </c>
      <c r="G1746" t="str">
        <f>"201512002831"</f>
        <v>201512002831</v>
      </c>
      <c r="H1746" t="s">
        <v>702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0</v>
      </c>
      <c r="P1746">
        <v>0</v>
      </c>
      <c r="Q1746">
        <v>0</v>
      </c>
      <c r="T1746">
        <v>0</v>
      </c>
      <c r="U1746" t="s">
        <v>702</v>
      </c>
    </row>
    <row r="1747" spans="1:21" x14ac:dyDescent="0.25">
      <c r="H1747" t="s">
        <v>491</v>
      </c>
    </row>
    <row r="1748" spans="1:21" x14ac:dyDescent="0.25">
      <c r="A1748">
        <v>871</v>
      </c>
      <c r="B1748">
        <v>8215</v>
      </c>
      <c r="C1748" t="s">
        <v>3159</v>
      </c>
      <c r="D1748" t="s">
        <v>3160</v>
      </c>
      <c r="E1748" t="s">
        <v>366</v>
      </c>
      <c r="F1748" t="s">
        <v>3161</v>
      </c>
      <c r="G1748" t="str">
        <f>"201511034981"</f>
        <v>201511034981</v>
      </c>
      <c r="H1748" t="s">
        <v>3162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0</v>
      </c>
      <c r="T1748">
        <v>0</v>
      </c>
      <c r="U1748" t="s">
        <v>3162</v>
      </c>
    </row>
    <row r="1749" spans="1:21" x14ac:dyDescent="0.25">
      <c r="H1749" t="s">
        <v>3163</v>
      </c>
    </row>
    <row r="1750" spans="1:21" x14ac:dyDescent="0.25">
      <c r="A1750">
        <v>872</v>
      </c>
      <c r="B1750">
        <v>8215</v>
      </c>
      <c r="C1750" t="s">
        <v>3159</v>
      </c>
      <c r="D1750" t="s">
        <v>3160</v>
      </c>
      <c r="E1750" t="s">
        <v>366</v>
      </c>
      <c r="F1750" t="s">
        <v>3161</v>
      </c>
      <c r="G1750" t="str">
        <f>"201511034981"</f>
        <v>201511034981</v>
      </c>
      <c r="H1750" t="s">
        <v>3162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6</v>
      </c>
      <c r="S1750">
        <v>809</v>
      </c>
      <c r="T1750">
        <v>0</v>
      </c>
      <c r="U1750" t="s">
        <v>3162</v>
      </c>
    </row>
    <row r="1751" spans="1:21" x14ac:dyDescent="0.25">
      <c r="H1751" t="s">
        <v>3163</v>
      </c>
    </row>
    <row r="1752" spans="1:21" x14ac:dyDescent="0.25">
      <c r="A1752">
        <v>873</v>
      </c>
      <c r="B1752">
        <v>7439</v>
      </c>
      <c r="C1752" t="s">
        <v>3164</v>
      </c>
      <c r="D1752" t="s">
        <v>78</v>
      </c>
      <c r="E1752" t="s">
        <v>1636</v>
      </c>
      <c r="F1752" t="s">
        <v>3165</v>
      </c>
      <c r="G1752" t="str">
        <f>"201512000960"</f>
        <v>201512000960</v>
      </c>
      <c r="H1752" t="s">
        <v>3162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0</v>
      </c>
      <c r="Q1752">
        <v>0</v>
      </c>
      <c r="R1752">
        <v>6</v>
      </c>
      <c r="S1752" t="s">
        <v>3166</v>
      </c>
      <c r="T1752">
        <v>0</v>
      </c>
      <c r="U1752" t="s">
        <v>3162</v>
      </c>
    </row>
    <row r="1753" spans="1:21" x14ac:dyDescent="0.25">
      <c r="H1753" t="s">
        <v>3167</v>
      </c>
    </row>
    <row r="1754" spans="1:21" x14ac:dyDescent="0.25">
      <c r="A1754">
        <v>874</v>
      </c>
      <c r="B1754">
        <v>7439</v>
      </c>
      <c r="C1754" t="s">
        <v>3164</v>
      </c>
      <c r="D1754" t="s">
        <v>78</v>
      </c>
      <c r="E1754" t="s">
        <v>1636</v>
      </c>
      <c r="F1754" t="s">
        <v>3165</v>
      </c>
      <c r="G1754" t="str">
        <f>"201512000960"</f>
        <v>201512000960</v>
      </c>
      <c r="H1754" t="s">
        <v>3162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T1754">
        <v>0</v>
      </c>
      <c r="U1754" t="s">
        <v>3162</v>
      </c>
    </row>
    <row r="1755" spans="1:21" x14ac:dyDescent="0.25">
      <c r="H1755" t="s">
        <v>3167</v>
      </c>
    </row>
    <row r="1756" spans="1:21" x14ac:dyDescent="0.25">
      <c r="A1756">
        <v>875</v>
      </c>
      <c r="B1756">
        <v>10256</v>
      </c>
      <c r="C1756" t="s">
        <v>3168</v>
      </c>
      <c r="D1756" t="s">
        <v>64</v>
      </c>
      <c r="E1756" t="s">
        <v>2591</v>
      </c>
      <c r="F1756" t="s">
        <v>3169</v>
      </c>
      <c r="G1756" t="str">
        <f>"00046469"</f>
        <v>00046469</v>
      </c>
      <c r="H1756" t="s">
        <v>1084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T1756">
        <v>1</v>
      </c>
      <c r="U1756" t="s">
        <v>1084</v>
      </c>
    </row>
    <row r="1757" spans="1:21" x14ac:dyDescent="0.25">
      <c r="H1757" t="s">
        <v>3170</v>
      </c>
    </row>
    <row r="1758" spans="1:21" x14ac:dyDescent="0.25">
      <c r="A1758">
        <v>876</v>
      </c>
      <c r="B1758">
        <v>6605</v>
      </c>
      <c r="C1758" t="s">
        <v>3171</v>
      </c>
      <c r="D1758" t="s">
        <v>3172</v>
      </c>
      <c r="E1758" t="s">
        <v>36</v>
      </c>
      <c r="F1758" t="s">
        <v>3173</v>
      </c>
      <c r="G1758" t="str">
        <f>"00074701"</f>
        <v>00074701</v>
      </c>
      <c r="H1758" t="s">
        <v>1084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0</v>
      </c>
      <c r="T1758">
        <v>0</v>
      </c>
      <c r="U1758" t="s">
        <v>1084</v>
      </c>
    </row>
    <row r="1759" spans="1:21" x14ac:dyDescent="0.25">
      <c r="H1759" t="s">
        <v>3174</v>
      </c>
    </row>
    <row r="1760" spans="1:21" x14ac:dyDescent="0.25">
      <c r="A1760">
        <v>877</v>
      </c>
      <c r="B1760">
        <v>5187</v>
      </c>
      <c r="C1760" t="s">
        <v>803</v>
      </c>
      <c r="D1760" t="s">
        <v>231</v>
      </c>
      <c r="E1760" t="s">
        <v>449</v>
      </c>
      <c r="F1760" t="s">
        <v>3175</v>
      </c>
      <c r="G1760" t="str">
        <f>"201511025261"</f>
        <v>201511025261</v>
      </c>
      <c r="H1760" t="s">
        <v>1084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0</v>
      </c>
      <c r="P1760">
        <v>0</v>
      </c>
      <c r="Q1760">
        <v>0</v>
      </c>
      <c r="T1760">
        <v>0</v>
      </c>
      <c r="U1760" t="s">
        <v>1084</v>
      </c>
    </row>
    <row r="1761" spans="1:21" x14ac:dyDescent="0.25">
      <c r="H1761" t="s">
        <v>3176</v>
      </c>
    </row>
    <row r="1762" spans="1:21" x14ac:dyDescent="0.25">
      <c r="A1762">
        <v>878</v>
      </c>
      <c r="B1762">
        <v>6281</v>
      </c>
      <c r="C1762" t="s">
        <v>376</v>
      </c>
      <c r="D1762" t="s">
        <v>3177</v>
      </c>
      <c r="E1762" t="s">
        <v>3178</v>
      </c>
      <c r="F1762" t="s">
        <v>3179</v>
      </c>
      <c r="G1762" t="str">
        <f>"00049335"</f>
        <v>00049335</v>
      </c>
      <c r="H1762" t="s">
        <v>1084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T1762">
        <v>0</v>
      </c>
      <c r="U1762" t="s">
        <v>1084</v>
      </c>
    </row>
    <row r="1763" spans="1:21" x14ac:dyDescent="0.25">
      <c r="H1763" t="s">
        <v>1958</v>
      </c>
    </row>
    <row r="1764" spans="1:21" x14ac:dyDescent="0.25">
      <c r="A1764">
        <v>879</v>
      </c>
      <c r="B1764">
        <v>10413</v>
      </c>
      <c r="C1764" t="s">
        <v>3180</v>
      </c>
      <c r="D1764" t="s">
        <v>173</v>
      </c>
      <c r="E1764" t="s">
        <v>65</v>
      </c>
      <c r="F1764" t="s">
        <v>3181</v>
      </c>
      <c r="G1764" t="str">
        <f>"201511023349"</f>
        <v>201511023349</v>
      </c>
      <c r="H1764" t="s">
        <v>1084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0</v>
      </c>
      <c r="T1764">
        <v>0</v>
      </c>
      <c r="U1764" t="s">
        <v>1084</v>
      </c>
    </row>
    <row r="1765" spans="1:21" x14ac:dyDescent="0.25">
      <c r="H1765" t="s">
        <v>3182</v>
      </c>
    </row>
    <row r="1766" spans="1:21" x14ac:dyDescent="0.25">
      <c r="A1766">
        <v>880</v>
      </c>
      <c r="B1766">
        <v>2427</v>
      </c>
      <c r="C1766" t="s">
        <v>3183</v>
      </c>
      <c r="D1766" t="s">
        <v>528</v>
      </c>
      <c r="E1766" t="s">
        <v>2956</v>
      </c>
      <c r="F1766" t="s">
        <v>3184</v>
      </c>
      <c r="G1766" t="str">
        <f>"00016008"</f>
        <v>00016008</v>
      </c>
      <c r="H1766" t="s">
        <v>1084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0</v>
      </c>
      <c r="P1766">
        <v>0</v>
      </c>
      <c r="Q1766">
        <v>0</v>
      </c>
      <c r="T1766">
        <v>0</v>
      </c>
      <c r="U1766" t="s">
        <v>1084</v>
      </c>
    </row>
    <row r="1767" spans="1:21" x14ac:dyDescent="0.25">
      <c r="H1767" t="s">
        <v>3185</v>
      </c>
    </row>
    <row r="1768" spans="1:21" x14ac:dyDescent="0.25">
      <c r="A1768">
        <v>881</v>
      </c>
      <c r="B1768">
        <v>1313</v>
      </c>
      <c r="C1768" t="s">
        <v>1080</v>
      </c>
      <c r="D1768" t="s">
        <v>1081</v>
      </c>
      <c r="E1768" t="s">
        <v>1082</v>
      </c>
      <c r="F1768" t="s">
        <v>1083</v>
      </c>
      <c r="G1768" t="str">
        <f>"00030519"</f>
        <v>00030519</v>
      </c>
      <c r="H1768" t="s">
        <v>1084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0</v>
      </c>
      <c r="P1768">
        <v>0</v>
      </c>
      <c r="Q1768">
        <v>0</v>
      </c>
      <c r="T1768">
        <v>0</v>
      </c>
      <c r="U1768" t="s">
        <v>1084</v>
      </c>
    </row>
    <row r="1769" spans="1:21" x14ac:dyDescent="0.25">
      <c r="H1769" t="s">
        <v>1086</v>
      </c>
    </row>
    <row r="1770" spans="1:21" x14ac:dyDescent="0.25">
      <c r="A1770">
        <v>882</v>
      </c>
      <c r="B1770">
        <v>9073</v>
      </c>
      <c r="C1770" t="s">
        <v>3186</v>
      </c>
      <c r="D1770" t="s">
        <v>285</v>
      </c>
      <c r="E1770" t="s">
        <v>561</v>
      </c>
      <c r="F1770" t="s">
        <v>3187</v>
      </c>
      <c r="G1770" t="str">
        <f>"00017037"</f>
        <v>00017037</v>
      </c>
      <c r="H1770" t="s">
        <v>1105</v>
      </c>
      <c r="I1770">
        <v>0</v>
      </c>
      <c r="J1770">
        <v>30</v>
      </c>
      <c r="K1770">
        <v>0</v>
      </c>
      <c r="L1770">
        <v>0</v>
      </c>
      <c r="M1770">
        <v>0</v>
      </c>
      <c r="N1770">
        <v>0</v>
      </c>
      <c r="O1770">
        <v>0</v>
      </c>
      <c r="P1770">
        <v>0</v>
      </c>
      <c r="Q1770">
        <v>0</v>
      </c>
      <c r="T1770">
        <v>0</v>
      </c>
      <c r="U1770" t="s">
        <v>3188</v>
      </c>
    </row>
    <row r="1771" spans="1:21" x14ac:dyDescent="0.25">
      <c r="H1771" t="s">
        <v>3189</v>
      </c>
    </row>
    <row r="1772" spans="1:21" x14ac:dyDescent="0.25">
      <c r="A1772">
        <v>883</v>
      </c>
      <c r="B1772">
        <v>1907</v>
      </c>
      <c r="C1772" t="s">
        <v>3190</v>
      </c>
      <c r="D1772" t="s">
        <v>85</v>
      </c>
      <c r="E1772" t="s">
        <v>1820</v>
      </c>
      <c r="F1772" t="s">
        <v>3191</v>
      </c>
      <c r="G1772" t="str">
        <f>"00082851"</f>
        <v>00082851</v>
      </c>
      <c r="H1772" t="s">
        <v>1105</v>
      </c>
      <c r="I1772">
        <v>0</v>
      </c>
      <c r="J1772">
        <v>30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6</v>
      </c>
      <c r="S1772">
        <v>809</v>
      </c>
      <c r="T1772">
        <v>0</v>
      </c>
      <c r="U1772" t="s">
        <v>3188</v>
      </c>
    </row>
    <row r="1773" spans="1:21" x14ac:dyDescent="0.25">
      <c r="H1773">
        <v>809</v>
      </c>
    </row>
    <row r="1774" spans="1:21" x14ac:dyDescent="0.25">
      <c r="A1774">
        <v>884</v>
      </c>
      <c r="B1774">
        <v>2280</v>
      </c>
      <c r="C1774" t="s">
        <v>1434</v>
      </c>
      <c r="D1774" t="s">
        <v>3192</v>
      </c>
      <c r="E1774" t="s">
        <v>1436</v>
      </c>
      <c r="F1774" t="s">
        <v>3193</v>
      </c>
      <c r="G1774" t="str">
        <f>"00024318"</f>
        <v>00024318</v>
      </c>
      <c r="H1774">
        <v>836</v>
      </c>
      <c r="I1774">
        <v>0</v>
      </c>
      <c r="J1774">
        <v>30</v>
      </c>
      <c r="K1774">
        <v>0</v>
      </c>
      <c r="L1774">
        <v>0</v>
      </c>
      <c r="M1774">
        <v>70</v>
      </c>
      <c r="N1774">
        <v>0</v>
      </c>
      <c r="O1774">
        <v>0</v>
      </c>
      <c r="P1774">
        <v>0</v>
      </c>
      <c r="Q1774">
        <v>0</v>
      </c>
      <c r="T1774">
        <v>0</v>
      </c>
      <c r="U1774">
        <v>936</v>
      </c>
    </row>
    <row r="1775" spans="1:21" x14ac:dyDescent="0.25">
      <c r="H1775" t="s">
        <v>3194</v>
      </c>
    </row>
    <row r="1776" spans="1:21" x14ac:dyDescent="0.25">
      <c r="A1776">
        <v>885</v>
      </c>
      <c r="B1776">
        <v>7771</v>
      </c>
      <c r="C1776" t="s">
        <v>3195</v>
      </c>
      <c r="D1776" t="s">
        <v>78</v>
      </c>
      <c r="E1776" t="s">
        <v>647</v>
      </c>
      <c r="F1776" t="s">
        <v>3196</v>
      </c>
      <c r="G1776" t="str">
        <f>"201402009971"</f>
        <v>201402009971</v>
      </c>
      <c r="H1776" t="s">
        <v>1553</v>
      </c>
      <c r="I1776">
        <v>0</v>
      </c>
      <c r="J1776">
        <v>30</v>
      </c>
      <c r="K1776">
        <v>0</v>
      </c>
      <c r="L1776">
        <v>0</v>
      </c>
      <c r="M1776">
        <v>0</v>
      </c>
      <c r="N1776">
        <v>0</v>
      </c>
      <c r="O1776">
        <v>0</v>
      </c>
      <c r="P1776">
        <v>0</v>
      </c>
      <c r="Q1776">
        <v>0</v>
      </c>
      <c r="T1776">
        <v>2</v>
      </c>
      <c r="U1776" t="s">
        <v>3197</v>
      </c>
    </row>
    <row r="1777" spans="1:21" x14ac:dyDescent="0.25">
      <c r="H1777" t="s">
        <v>3198</v>
      </c>
    </row>
    <row r="1778" spans="1:21" x14ac:dyDescent="0.25">
      <c r="A1778">
        <v>886</v>
      </c>
      <c r="B1778">
        <v>4845</v>
      </c>
      <c r="C1778" t="s">
        <v>3199</v>
      </c>
      <c r="D1778" t="s">
        <v>551</v>
      </c>
      <c r="E1778" t="s">
        <v>696</v>
      </c>
      <c r="F1778" t="s">
        <v>3200</v>
      </c>
      <c r="G1778" t="str">
        <f>"00040179"</f>
        <v>00040179</v>
      </c>
      <c r="H1778" t="s">
        <v>1553</v>
      </c>
      <c r="I1778">
        <v>0</v>
      </c>
      <c r="J1778">
        <v>30</v>
      </c>
      <c r="K1778">
        <v>0</v>
      </c>
      <c r="L1778">
        <v>0</v>
      </c>
      <c r="M1778">
        <v>0</v>
      </c>
      <c r="N1778">
        <v>0</v>
      </c>
      <c r="O1778">
        <v>0</v>
      </c>
      <c r="P1778">
        <v>0</v>
      </c>
      <c r="Q1778">
        <v>0</v>
      </c>
      <c r="T1778">
        <v>0</v>
      </c>
      <c r="U1778" t="s">
        <v>3197</v>
      </c>
    </row>
    <row r="1779" spans="1:21" x14ac:dyDescent="0.25">
      <c r="H1779" t="s">
        <v>3201</v>
      </c>
    </row>
    <row r="1780" spans="1:21" x14ac:dyDescent="0.25">
      <c r="A1780">
        <v>887</v>
      </c>
      <c r="B1780">
        <v>3699</v>
      </c>
      <c r="C1780" t="s">
        <v>3202</v>
      </c>
      <c r="D1780" t="s">
        <v>85</v>
      </c>
      <c r="E1780" t="s">
        <v>3203</v>
      </c>
      <c r="F1780" t="s">
        <v>3204</v>
      </c>
      <c r="G1780" t="str">
        <f>"00020841"</f>
        <v>00020841</v>
      </c>
      <c r="H1780">
        <v>935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0</v>
      </c>
      <c r="P1780">
        <v>0</v>
      </c>
      <c r="Q1780">
        <v>0</v>
      </c>
      <c r="T1780">
        <v>0</v>
      </c>
      <c r="U1780">
        <v>935</v>
      </c>
    </row>
    <row r="1781" spans="1:21" x14ac:dyDescent="0.25">
      <c r="H1781" t="s">
        <v>3205</v>
      </c>
    </row>
    <row r="1782" spans="1:21" x14ac:dyDescent="0.25">
      <c r="A1782">
        <v>888</v>
      </c>
      <c r="B1782">
        <v>1494</v>
      </c>
      <c r="C1782" t="s">
        <v>3206</v>
      </c>
      <c r="D1782" t="s">
        <v>78</v>
      </c>
      <c r="E1782" t="s">
        <v>696</v>
      </c>
      <c r="F1782" t="s">
        <v>3207</v>
      </c>
      <c r="G1782" t="str">
        <f>"00035821"</f>
        <v>00035821</v>
      </c>
      <c r="H1782">
        <v>935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  <c r="Q1782">
        <v>0</v>
      </c>
      <c r="T1782">
        <v>0</v>
      </c>
      <c r="U1782">
        <v>935</v>
      </c>
    </row>
    <row r="1783" spans="1:21" x14ac:dyDescent="0.25">
      <c r="H1783" t="s">
        <v>3208</v>
      </c>
    </row>
    <row r="1784" spans="1:21" x14ac:dyDescent="0.25">
      <c r="A1784">
        <v>889</v>
      </c>
      <c r="B1784">
        <v>8447</v>
      </c>
      <c r="C1784" t="s">
        <v>3209</v>
      </c>
      <c r="D1784" t="s">
        <v>57</v>
      </c>
      <c r="E1784" t="s">
        <v>1501</v>
      </c>
      <c r="F1784" t="s">
        <v>3210</v>
      </c>
      <c r="G1784" t="str">
        <f>"00007515"</f>
        <v>00007515</v>
      </c>
      <c r="H1784">
        <v>935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0</v>
      </c>
      <c r="P1784">
        <v>0</v>
      </c>
      <c r="Q1784">
        <v>0</v>
      </c>
      <c r="T1784">
        <v>0</v>
      </c>
      <c r="U1784">
        <v>935</v>
      </c>
    </row>
    <row r="1785" spans="1:21" x14ac:dyDescent="0.25">
      <c r="H1785" t="s">
        <v>3211</v>
      </c>
    </row>
    <row r="1786" spans="1:21" x14ac:dyDescent="0.25">
      <c r="A1786">
        <v>890</v>
      </c>
      <c r="B1786">
        <v>6371</v>
      </c>
      <c r="C1786" t="s">
        <v>3212</v>
      </c>
      <c r="D1786" t="s">
        <v>85</v>
      </c>
      <c r="E1786" t="s">
        <v>3213</v>
      </c>
      <c r="F1786" t="s">
        <v>3214</v>
      </c>
      <c r="G1786" t="str">
        <f>"201510000367"</f>
        <v>201510000367</v>
      </c>
      <c r="H1786">
        <v>935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0</v>
      </c>
      <c r="P1786">
        <v>0</v>
      </c>
      <c r="Q1786">
        <v>0</v>
      </c>
      <c r="T1786">
        <v>0</v>
      </c>
      <c r="U1786">
        <v>935</v>
      </c>
    </row>
    <row r="1787" spans="1:21" x14ac:dyDescent="0.25">
      <c r="H1787" t="s">
        <v>3215</v>
      </c>
    </row>
    <row r="1788" spans="1:21" x14ac:dyDescent="0.25">
      <c r="A1788">
        <v>891</v>
      </c>
      <c r="B1788">
        <v>5953</v>
      </c>
      <c r="C1788" t="s">
        <v>3216</v>
      </c>
      <c r="D1788" t="s">
        <v>1463</v>
      </c>
      <c r="E1788" t="s">
        <v>27</v>
      </c>
      <c r="F1788" t="s">
        <v>3217</v>
      </c>
      <c r="G1788" t="str">
        <f>"00037442"</f>
        <v>00037442</v>
      </c>
      <c r="H1788">
        <v>935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T1788">
        <v>0</v>
      </c>
      <c r="U1788">
        <v>935</v>
      </c>
    </row>
    <row r="1789" spans="1:21" x14ac:dyDescent="0.25">
      <c r="H1789" t="s">
        <v>3218</v>
      </c>
    </row>
    <row r="1790" spans="1:21" x14ac:dyDescent="0.25">
      <c r="A1790">
        <v>892</v>
      </c>
      <c r="B1790">
        <v>8541</v>
      </c>
      <c r="C1790" t="s">
        <v>867</v>
      </c>
      <c r="D1790" t="s">
        <v>78</v>
      </c>
      <c r="E1790" t="s">
        <v>65</v>
      </c>
      <c r="F1790" t="s">
        <v>3219</v>
      </c>
      <c r="G1790" t="str">
        <f>"00091498"</f>
        <v>00091498</v>
      </c>
      <c r="H1790">
        <v>935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0</v>
      </c>
      <c r="P1790">
        <v>0</v>
      </c>
      <c r="Q1790">
        <v>0</v>
      </c>
      <c r="T1790">
        <v>0</v>
      </c>
      <c r="U1790">
        <v>935</v>
      </c>
    </row>
    <row r="1791" spans="1:21" x14ac:dyDescent="0.25">
      <c r="H1791" t="s">
        <v>2081</v>
      </c>
    </row>
    <row r="1792" spans="1:21" x14ac:dyDescent="0.25">
      <c r="A1792">
        <v>893</v>
      </c>
      <c r="B1792">
        <v>9323</v>
      </c>
      <c r="C1792" t="s">
        <v>3220</v>
      </c>
      <c r="D1792" t="s">
        <v>154</v>
      </c>
      <c r="E1792" t="s">
        <v>27</v>
      </c>
      <c r="F1792" t="s">
        <v>3221</v>
      </c>
      <c r="G1792" t="str">
        <f>"201511018669"</f>
        <v>201511018669</v>
      </c>
      <c r="H1792">
        <v>935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0</v>
      </c>
      <c r="P1792">
        <v>0</v>
      </c>
      <c r="Q1792">
        <v>0</v>
      </c>
      <c r="T1792">
        <v>0</v>
      </c>
      <c r="U1792">
        <v>935</v>
      </c>
    </row>
    <row r="1793" spans="1:21" x14ac:dyDescent="0.25">
      <c r="H1793" t="s">
        <v>3222</v>
      </c>
    </row>
    <row r="1794" spans="1:21" x14ac:dyDescent="0.25">
      <c r="A1794">
        <v>894</v>
      </c>
      <c r="B1794">
        <v>8143</v>
      </c>
      <c r="C1794" t="s">
        <v>3223</v>
      </c>
      <c r="D1794" t="s">
        <v>3224</v>
      </c>
      <c r="E1794" t="s">
        <v>36</v>
      </c>
      <c r="F1794" t="s">
        <v>3225</v>
      </c>
      <c r="G1794" t="str">
        <f>"00044396"</f>
        <v>00044396</v>
      </c>
      <c r="H1794">
        <v>935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T1794">
        <v>0</v>
      </c>
      <c r="U1794">
        <v>935</v>
      </c>
    </row>
    <row r="1795" spans="1:21" x14ac:dyDescent="0.25">
      <c r="H1795" t="s">
        <v>1465</v>
      </c>
    </row>
    <row r="1796" spans="1:21" x14ac:dyDescent="0.25">
      <c r="A1796">
        <v>895</v>
      </c>
      <c r="B1796">
        <v>9760</v>
      </c>
      <c r="C1796" t="s">
        <v>603</v>
      </c>
      <c r="D1796" t="s">
        <v>173</v>
      </c>
      <c r="E1796" t="s">
        <v>533</v>
      </c>
      <c r="F1796" t="s">
        <v>3226</v>
      </c>
      <c r="G1796" t="str">
        <f>"00029327"</f>
        <v>00029327</v>
      </c>
      <c r="H1796">
        <v>935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0</v>
      </c>
      <c r="Q1796">
        <v>0</v>
      </c>
      <c r="R1796">
        <v>6</v>
      </c>
      <c r="S1796">
        <v>763</v>
      </c>
      <c r="T1796">
        <v>1</v>
      </c>
      <c r="U1796">
        <v>935</v>
      </c>
    </row>
    <row r="1797" spans="1:21" x14ac:dyDescent="0.25">
      <c r="H1797" t="s">
        <v>3227</v>
      </c>
    </row>
    <row r="1798" spans="1:21" x14ac:dyDescent="0.25">
      <c r="A1798">
        <v>896</v>
      </c>
      <c r="B1798">
        <v>9760</v>
      </c>
      <c r="C1798" t="s">
        <v>603</v>
      </c>
      <c r="D1798" t="s">
        <v>173</v>
      </c>
      <c r="E1798" t="s">
        <v>533</v>
      </c>
      <c r="F1798" t="s">
        <v>3226</v>
      </c>
      <c r="G1798" t="str">
        <f>"00029327"</f>
        <v>00029327</v>
      </c>
      <c r="H1798">
        <v>935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0</v>
      </c>
      <c r="P1798">
        <v>0</v>
      </c>
      <c r="Q1798">
        <v>0</v>
      </c>
      <c r="T1798">
        <v>1</v>
      </c>
      <c r="U1798">
        <v>935</v>
      </c>
    </row>
    <row r="1799" spans="1:21" x14ac:dyDescent="0.25">
      <c r="H1799" t="s">
        <v>3227</v>
      </c>
    </row>
    <row r="1800" spans="1:21" x14ac:dyDescent="0.25">
      <c r="A1800">
        <v>897</v>
      </c>
      <c r="B1800">
        <v>2915</v>
      </c>
      <c r="C1800" t="s">
        <v>3228</v>
      </c>
      <c r="D1800" t="s">
        <v>3229</v>
      </c>
      <c r="E1800" t="s">
        <v>3230</v>
      </c>
      <c r="F1800" t="s">
        <v>3231</v>
      </c>
      <c r="G1800" t="str">
        <f>"00023431"</f>
        <v>00023431</v>
      </c>
      <c r="H1800">
        <v>935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0</v>
      </c>
      <c r="P1800">
        <v>0</v>
      </c>
      <c r="Q1800">
        <v>0</v>
      </c>
      <c r="T1800">
        <v>0</v>
      </c>
      <c r="U1800">
        <v>935</v>
      </c>
    </row>
    <row r="1801" spans="1:21" x14ac:dyDescent="0.25">
      <c r="H1801" t="s">
        <v>1763</v>
      </c>
    </row>
    <row r="1802" spans="1:21" x14ac:dyDescent="0.25">
      <c r="A1802">
        <v>898</v>
      </c>
      <c r="B1802">
        <v>10126</v>
      </c>
      <c r="C1802" t="s">
        <v>3232</v>
      </c>
      <c r="D1802" t="s">
        <v>906</v>
      </c>
      <c r="E1802" t="s">
        <v>449</v>
      </c>
      <c r="F1802" t="s">
        <v>3233</v>
      </c>
      <c r="G1802" t="str">
        <f>"201511019446"</f>
        <v>201511019446</v>
      </c>
      <c r="H1802">
        <v>935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0</v>
      </c>
      <c r="P1802">
        <v>0</v>
      </c>
      <c r="Q1802">
        <v>0</v>
      </c>
      <c r="T1802">
        <v>0</v>
      </c>
      <c r="U1802">
        <v>935</v>
      </c>
    </row>
    <row r="1803" spans="1:21" x14ac:dyDescent="0.25">
      <c r="H1803" t="s">
        <v>3234</v>
      </c>
    </row>
    <row r="1804" spans="1:21" x14ac:dyDescent="0.25">
      <c r="A1804">
        <v>899</v>
      </c>
      <c r="B1804">
        <v>5404</v>
      </c>
      <c r="C1804" t="s">
        <v>3235</v>
      </c>
      <c r="D1804" t="s">
        <v>36</v>
      </c>
      <c r="E1804" t="s">
        <v>37</v>
      </c>
      <c r="F1804" t="s">
        <v>3236</v>
      </c>
      <c r="G1804" t="str">
        <f>"00084055"</f>
        <v>00084055</v>
      </c>
      <c r="H1804">
        <v>935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0</v>
      </c>
      <c r="O1804">
        <v>0</v>
      </c>
      <c r="P1804">
        <v>0</v>
      </c>
      <c r="Q1804">
        <v>0</v>
      </c>
      <c r="T1804">
        <v>0</v>
      </c>
      <c r="U1804">
        <v>935</v>
      </c>
    </row>
    <row r="1805" spans="1:21" x14ac:dyDescent="0.25">
      <c r="H1805" t="s">
        <v>3237</v>
      </c>
    </row>
    <row r="1806" spans="1:21" x14ac:dyDescent="0.25">
      <c r="A1806">
        <v>900</v>
      </c>
      <c r="B1806">
        <v>5358</v>
      </c>
      <c r="C1806" t="s">
        <v>3238</v>
      </c>
      <c r="D1806" t="s">
        <v>164</v>
      </c>
      <c r="E1806" t="s">
        <v>2083</v>
      </c>
      <c r="F1806" t="s">
        <v>3239</v>
      </c>
      <c r="G1806" t="str">
        <f>"00044631"</f>
        <v>00044631</v>
      </c>
      <c r="H1806">
        <v>935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0</v>
      </c>
      <c r="P1806">
        <v>0</v>
      </c>
      <c r="Q1806">
        <v>0</v>
      </c>
      <c r="T1806">
        <v>2</v>
      </c>
      <c r="U1806">
        <v>935</v>
      </c>
    </row>
    <row r="1807" spans="1:21" x14ac:dyDescent="0.25">
      <c r="H1807" t="s">
        <v>3240</v>
      </c>
    </row>
    <row r="1808" spans="1:21" x14ac:dyDescent="0.25">
      <c r="A1808">
        <v>901</v>
      </c>
      <c r="B1808">
        <v>4384</v>
      </c>
      <c r="C1808" t="s">
        <v>3241</v>
      </c>
      <c r="D1808" t="s">
        <v>1012</v>
      </c>
      <c r="E1808" t="s">
        <v>122</v>
      </c>
      <c r="F1808" t="s">
        <v>3242</v>
      </c>
      <c r="G1808" t="str">
        <f>"201511026720"</f>
        <v>201511026720</v>
      </c>
      <c r="H1808">
        <v>935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0</v>
      </c>
      <c r="O1808">
        <v>0</v>
      </c>
      <c r="P1808">
        <v>0</v>
      </c>
      <c r="Q1808">
        <v>0</v>
      </c>
      <c r="T1808">
        <v>0</v>
      </c>
      <c r="U1808">
        <v>935</v>
      </c>
    </row>
    <row r="1809" spans="1:21" x14ac:dyDescent="0.25">
      <c r="H1809" t="s">
        <v>1138</v>
      </c>
    </row>
    <row r="1810" spans="1:21" x14ac:dyDescent="0.25">
      <c r="A1810">
        <v>902</v>
      </c>
      <c r="B1810">
        <v>7996</v>
      </c>
      <c r="C1810" t="s">
        <v>3243</v>
      </c>
      <c r="D1810" t="s">
        <v>285</v>
      </c>
      <c r="E1810" t="s">
        <v>42</v>
      </c>
      <c r="F1810" t="s">
        <v>3244</v>
      </c>
      <c r="G1810" t="str">
        <f>"201511041114"</f>
        <v>201511041114</v>
      </c>
      <c r="H1810" t="s">
        <v>3245</v>
      </c>
      <c r="I1810">
        <v>150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0</v>
      </c>
      <c r="P1810">
        <v>0</v>
      </c>
      <c r="Q1810">
        <v>0</v>
      </c>
      <c r="T1810">
        <v>2</v>
      </c>
      <c r="U1810" t="s">
        <v>3246</v>
      </c>
    </row>
    <row r="1811" spans="1:21" x14ac:dyDescent="0.25">
      <c r="H1811" t="s">
        <v>3247</v>
      </c>
    </row>
    <row r="1812" spans="1:21" x14ac:dyDescent="0.25">
      <c r="A1812">
        <v>903</v>
      </c>
      <c r="B1812">
        <v>1150</v>
      </c>
      <c r="C1812" t="s">
        <v>3248</v>
      </c>
      <c r="D1812" t="s">
        <v>3249</v>
      </c>
      <c r="E1812" t="s">
        <v>122</v>
      </c>
      <c r="F1812" t="s">
        <v>3250</v>
      </c>
      <c r="G1812" t="str">
        <f>"201001000030"</f>
        <v>201001000030</v>
      </c>
      <c r="H1812" t="s">
        <v>3251</v>
      </c>
      <c r="I1812">
        <v>0</v>
      </c>
      <c r="J1812">
        <v>30</v>
      </c>
      <c r="K1812">
        <v>0</v>
      </c>
      <c r="L1812">
        <v>0</v>
      </c>
      <c r="M1812">
        <v>50</v>
      </c>
      <c r="N1812">
        <v>0</v>
      </c>
      <c r="O1812">
        <v>0</v>
      </c>
      <c r="P1812">
        <v>0</v>
      </c>
      <c r="Q1812">
        <v>0</v>
      </c>
      <c r="T1812">
        <v>0</v>
      </c>
      <c r="U1812" t="s">
        <v>3252</v>
      </c>
    </row>
    <row r="1813" spans="1:21" x14ac:dyDescent="0.25">
      <c r="H1813" t="s">
        <v>3253</v>
      </c>
    </row>
    <row r="1814" spans="1:21" x14ac:dyDescent="0.25">
      <c r="A1814">
        <v>904</v>
      </c>
      <c r="B1814">
        <v>7085</v>
      </c>
      <c r="C1814" t="s">
        <v>3254</v>
      </c>
      <c r="D1814" t="s">
        <v>1232</v>
      </c>
      <c r="E1814" t="s">
        <v>27</v>
      </c>
      <c r="F1814" t="s">
        <v>3255</v>
      </c>
      <c r="G1814" t="str">
        <f>"200712004249"</f>
        <v>200712004249</v>
      </c>
      <c r="H1814">
        <v>902</v>
      </c>
      <c r="I1814">
        <v>0</v>
      </c>
      <c r="J1814">
        <v>30</v>
      </c>
      <c r="K1814">
        <v>0</v>
      </c>
      <c r="L1814">
        <v>0</v>
      </c>
      <c r="M1814">
        <v>0</v>
      </c>
      <c r="N1814">
        <v>0</v>
      </c>
      <c r="O1814">
        <v>0</v>
      </c>
      <c r="P1814">
        <v>0</v>
      </c>
      <c r="Q1814">
        <v>0</v>
      </c>
      <c r="T1814">
        <v>0</v>
      </c>
      <c r="U1814">
        <v>932</v>
      </c>
    </row>
    <row r="1815" spans="1:21" x14ac:dyDescent="0.25">
      <c r="H1815" t="s">
        <v>3256</v>
      </c>
    </row>
    <row r="1816" spans="1:21" x14ac:dyDescent="0.25">
      <c r="A1816">
        <v>905</v>
      </c>
      <c r="B1816">
        <v>7085</v>
      </c>
      <c r="C1816" t="s">
        <v>3254</v>
      </c>
      <c r="D1816" t="s">
        <v>1232</v>
      </c>
      <c r="E1816" t="s">
        <v>27</v>
      </c>
      <c r="F1816" t="s">
        <v>3255</v>
      </c>
      <c r="G1816" t="str">
        <f>"200712004249"</f>
        <v>200712004249</v>
      </c>
      <c r="H1816">
        <v>902</v>
      </c>
      <c r="I1816">
        <v>0</v>
      </c>
      <c r="J1816">
        <v>30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  <c r="Q1816">
        <v>0</v>
      </c>
      <c r="R1816">
        <v>6</v>
      </c>
      <c r="S1816">
        <v>807</v>
      </c>
      <c r="T1816">
        <v>0</v>
      </c>
      <c r="U1816">
        <v>932</v>
      </c>
    </row>
    <row r="1817" spans="1:21" x14ac:dyDescent="0.25">
      <c r="H1817" t="s">
        <v>3256</v>
      </c>
    </row>
    <row r="1818" spans="1:21" x14ac:dyDescent="0.25">
      <c r="A1818">
        <v>906</v>
      </c>
      <c r="B1818">
        <v>1782</v>
      </c>
      <c r="C1818" t="s">
        <v>3257</v>
      </c>
      <c r="D1818" t="s">
        <v>313</v>
      </c>
      <c r="E1818" t="s">
        <v>614</v>
      </c>
      <c r="F1818" t="s">
        <v>3258</v>
      </c>
      <c r="G1818" t="str">
        <f>"00039793"</f>
        <v>00039793</v>
      </c>
      <c r="H1818" t="s">
        <v>3259</v>
      </c>
      <c r="I1818">
        <v>0</v>
      </c>
      <c r="J1818">
        <v>30</v>
      </c>
      <c r="K1818">
        <v>0</v>
      </c>
      <c r="L1818">
        <v>0</v>
      </c>
      <c r="M1818">
        <v>0</v>
      </c>
      <c r="N1818">
        <v>0</v>
      </c>
      <c r="O1818">
        <v>0</v>
      </c>
      <c r="P1818">
        <v>0</v>
      </c>
      <c r="Q1818">
        <v>0</v>
      </c>
      <c r="T1818">
        <v>0</v>
      </c>
      <c r="U1818" t="s">
        <v>3260</v>
      </c>
    </row>
    <row r="1819" spans="1:21" x14ac:dyDescent="0.25">
      <c r="H1819" t="s">
        <v>3261</v>
      </c>
    </row>
    <row r="1820" spans="1:21" x14ac:dyDescent="0.25">
      <c r="A1820">
        <v>907</v>
      </c>
      <c r="B1820">
        <v>1782</v>
      </c>
      <c r="C1820" t="s">
        <v>3257</v>
      </c>
      <c r="D1820" t="s">
        <v>313</v>
      </c>
      <c r="E1820" t="s">
        <v>614</v>
      </c>
      <c r="F1820" t="s">
        <v>3258</v>
      </c>
      <c r="G1820" t="str">
        <f>"00039793"</f>
        <v>00039793</v>
      </c>
      <c r="H1820" t="s">
        <v>3259</v>
      </c>
      <c r="I1820">
        <v>0</v>
      </c>
      <c r="J1820">
        <v>30</v>
      </c>
      <c r="K1820">
        <v>0</v>
      </c>
      <c r="L1820">
        <v>0</v>
      </c>
      <c r="M1820">
        <v>0</v>
      </c>
      <c r="N1820">
        <v>0</v>
      </c>
      <c r="O1820">
        <v>0</v>
      </c>
      <c r="P1820">
        <v>0</v>
      </c>
      <c r="Q1820">
        <v>0</v>
      </c>
      <c r="R1820">
        <v>6</v>
      </c>
      <c r="S1820">
        <v>804</v>
      </c>
      <c r="T1820">
        <v>0</v>
      </c>
      <c r="U1820" t="s">
        <v>3260</v>
      </c>
    </row>
    <row r="1821" spans="1:21" x14ac:dyDescent="0.25">
      <c r="H1821" t="s">
        <v>3261</v>
      </c>
    </row>
    <row r="1822" spans="1:21" x14ac:dyDescent="0.25">
      <c r="A1822">
        <v>908</v>
      </c>
      <c r="B1822">
        <v>7080</v>
      </c>
      <c r="C1822" t="s">
        <v>1589</v>
      </c>
      <c r="D1822" t="s">
        <v>95</v>
      </c>
      <c r="E1822" t="s">
        <v>37</v>
      </c>
      <c r="F1822" t="s">
        <v>3262</v>
      </c>
      <c r="G1822" t="str">
        <f>"200901000619"</f>
        <v>200901000619</v>
      </c>
      <c r="H1822" t="s">
        <v>808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0</v>
      </c>
      <c r="O1822">
        <v>0</v>
      </c>
      <c r="P1822">
        <v>0</v>
      </c>
      <c r="Q1822">
        <v>0</v>
      </c>
      <c r="T1822">
        <v>0</v>
      </c>
      <c r="U1822" t="s">
        <v>808</v>
      </c>
    </row>
    <row r="1823" spans="1:21" x14ac:dyDescent="0.25">
      <c r="H1823" t="s">
        <v>3263</v>
      </c>
    </row>
    <row r="1824" spans="1:21" x14ac:dyDescent="0.25">
      <c r="A1824">
        <v>909</v>
      </c>
      <c r="B1824">
        <v>1890</v>
      </c>
      <c r="C1824" t="s">
        <v>3264</v>
      </c>
      <c r="D1824" t="s">
        <v>439</v>
      </c>
      <c r="E1824" t="s">
        <v>27</v>
      </c>
      <c r="F1824" t="s">
        <v>3265</v>
      </c>
      <c r="G1824" t="str">
        <f>"201511035769"</f>
        <v>201511035769</v>
      </c>
      <c r="H1824" t="s">
        <v>808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0</v>
      </c>
      <c r="O1824">
        <v>0</v>
      </c>
      <c r="P1824">
        <v>0</v>
      </c>
      <c r="Q1824">
        <v>0</v>
      </c>
      <c r="T1824">
        <v>2</v>
      </c>
      <c r="U1824" t="s">
        <v>808</v>
      </c>
    </row>
    <row r="1825" spans="1:21" x14ac:dyDescent="0.25">
      <c r="H1825" t="s">
        <v>3266</v>
      </c>
    </row>
    <row r="1826" spans="1:21" x14ac:dyDescent="0.25">
      <c r="A1826">
        <v>910</v>
      </c>
      <c r="B1826">
        <v>4235</v>
      </c>
      <c r="C1826" t="s">
        <v>3267</v>
      </c>
      <c r="D1826" t="s">
        <v>164</v>
      </c>
      <c r="E1826" t="s">
        <v>582</v>
      </c>
      <c r="F1826" t="s">
        <v>3268</v>
      </c>
      <c r="G1826" t="str">
        <f>"201202000093"</f>
        <v>201202000093</v>
      </c>
      <c r="H1826" t="s">
        <v>808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0</v>
      </c>
      <c r="P1826">
        <v>0</v>
      </c>
      <c r="Q1826">
        <v>0</v>
      </c>
      <c r="T1826">
        <v>1</v>
      </c>
      <c r="U1826" t="s">
        <v>808</v>
      </c>
    </row>
    <row r="1827" spans="1:21" x14ac:dyDescent="0.25">
      <c r="H1827" t="s">
        <v>3269</v>
      </c>
    </row>
    <row r="1828" spans="1:21" x14ac:dyDescent="0.25">
      <c r="A1828">
        <v>911</v>
      </c>
      <c r="B1828">
        <v>5144</v>
      </c>
      <c r="C1828" t="s">
        <v>3270</v>
      </c>
      <c r="D1828" t="s">
        <v>384</v>
      </c>
      <c r="E1828" t="s">
        <v>135</v>
      </c>
      <c r="F1828" t="s">
        <v>3271</v>
      </c>
      <c r="G1828" t="str">
        <f>"00090409"</f>
        <v>00090409</v>
      </c>
      <c r="H1828" t="s">
        <v>808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0</v>
      </c>
      <c r="O1828">
        <v>0</v>
      </c>
      <c r="P1828">
        <v>0</v>
      </c>
      <c r="Q1828">
        <v>0</v>
      </c>
      <c r="T1828">
        <v>3</v>
      </c>
      <c r="U1828" t="s">
        <v>808</v>
      </c>
    </row>
    <row r="1829" spans="1:21" x14ac:dyDescent="0.25">
      <c r="H1829" t="s">
        <v>3272</v>
      </c>
    </row>
    <row r="1830" spans="1:21" x14ac:dyDescent="0.25">
      <c r="A1830">
        <v>912</v>
      </c>
      <c r="B1830">
        <v>892</v>
      </c>
      <c r="C1830" t="s">
        <v>3273</v>
      </c>
      <c r="D1830" t="s">
        <v>3274</v>
      </c>
      <c r="E1830" t="s">
        <v>122</v>
      </c>
      <c r="F1830" t="s">
        <v>3275</v>
      </c>
      <c r="G1830" t="str">
        <f>"201511043649"</f>
        <v>201511043649</v>
      </c>
      <c r="H1830">
        <v>880</v>
      </c>
      <c r="I1830">
        <v>0</v>
      </c>
      <c r="J1830">
        <v>50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  <c r="Q1830">
        <v>0</v>
      </c>
      <c r="T1830">
        <v>0</v>
      </c>
      <c r="U1830">
        <v>930</v>
      </c>
    </row>
    <row r="1831" spans="1:21" x14ac:dyDescent="0.25">
      <c r="H1831" t="s">
        <v>3276</v>
      </c>
    </row>
    <row r="1832" spans="1:21" x14ac:dyDescent="0.25">
      <c r="A1832">
        <v>913</v>
      </c>
      <c r="B1832">
        <v>6955</v>
      </c>
      <c r="C1832" t="s">
        <v>3277</v>
      </c>
      <c r="D1832" t="s">
        <v>3278</v>
      </c>
      <c r="E1832" t="s">
        <v>135</v>
      </c>
      <c r="F1832" t="s">
        <v>3279</v>
      </c>
      <c r="G1832" t="str">
        <f>"00049230"</f>
        <v>00049230</v>
      </c>
      <c r="H1832">
        <v>880</v>
      </c>
      <c r="I1832">
        <v>0</v>
      </c>
      <c r="J1832">
        <v>50</v>
      </c>
      <c r="K1832">
        <v>0</v>
      </c>
      <c r="L1832">
        <v>0</v>
      </c>
      <c r="M1832">
        <v>0</v>
      </c>
      <c r="N1832">
        <v>0</v>
      </c>
      <c r="O1832">
        <v>0</v>
      </c>
      <c r="P1832">
        <v>0</v>
      </c>
      <c r="Q1832">
        <v>0</v>
      </c>
      <c r="T1832">
        <v>0</v>
      </c>
      <c r="U1832">
        <v>930</v>
      </c>
    </row>
    <row r="1833" spans="1:21" x14ac:dyDescent="0.25">
      <c r="H1833" t="s">
        <v>3280</v>
      </c>
    </row>
    <row r="1834" spans="1:21" x14ac:dyDescent="0.25">
      <c r="A1834">
        <v>914</v>
      </c>
      <c r="B1834">
        <v>2345</v>
      </c>
      <c r="C1834" t="s">
        <v>3281</v>
      </c>
      <c r="D1834" t="s">
        <v>285</v>
      </c>
      <c r="E1834" t="s">
        <v>614</v>
      </c>
      <c r="F1834" t="s">
        <v>3282</v>
      </c>
      <c r="G1834" t="str">
        <f>"00056326"</f>
        <v>00056326</v>
      </c>
      <c r="H1834">
        <v>880</v>
      </c>
      <c r="I1834">
        <v>0</v>
      </c>
      <c r="J1834">
        <v>50</v>
      </c>
      <c r="K1834">
        <v>0</v>
      </c>
      <c r="L1834">
        <v>0</v>
      </c>
      <c r="M1834">
        <v>0</v>
      </c>
      <c r="N1834">
        <v>0</v>
      </c>
      <c r="O1834">
        <v>0</v>
      </c>
      <c r="P1834">
        <v>0</v>
      </c>
      <c r="Q1834">
        <v>0</v>
      </c>
      <c r="T1834">
        <v>0</v>
      </c>
      <c r="U1834">
        <v>930</v>
      </c>
    </row>
    <row r="1835" spans="1:21" x14ac:dyDescent="0.25">
      <c r="H1835" t="s">
        <v>3283</v>
      </c>
    </row>
    <row r="1836" spans="1:21" x14ac:dyDescent="0.25">
      <c r="A1836">
        <v>915</v>
      </c>
      <c r="B1836">
        <v>6816</v>
      </c>
      <c r="C1836" t="s">
        <v>3284</v>
      </c>
      <c r="D1836" t="s">
        <v>524</v>
      </c>
      <c r="E1836" t="s">
        <v>155</v>
      </c>
      <c r="F1836" t="s">
        <v>3285</v>
      </c>
      <c r="G1836" t="str">
        <f>"201511024510"</f>
        <v>201511024510</v>
      </c>
      <c r="H1836" t="s">
        <v>814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0</v>
      </c>
      <c r="P1836">
        <v>0</v>
      </c>
      <c r="Q1836">
        <v>0</v>
      </c>
      <c r="T1836">
        <v>0</v>
      </c>
      <c r="U1836" t="s">
        <v>814</v>
      </c>
    </row>
    <row r="1837" spans="1:21" x14ac:dyDescent="0.25">
      <c r="H1837" t="s">
        <v>3286</v>
      </c>
    </row>
    <row r="1838" spans="1:21" x14ac:dyDescent="0.25">
      <c r="A1838">
        <v>916</v>
      </c>
      <c r="B1838">
        <v>5410</v>
      </c>
      <c r="C1838" t="s">
        <v>3287</v>
      </c>
      <c r="D1838" t="s">
        <v>173</v>
      </c>
      <c r="E1838" t="s">
        <v>27</v>
      </c>
      <c r="F1838" t="s">
        <v>3288</v>
      </c>
      <c r="G1838" t="str">
        <f>"201511030083"</f>
        <v>201511030083</v>
      </c>
      <c r="H1838" t="s">
        <v>3289</v>
      </c>
      <c r="I1838">
        <v>150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0</v>
      </c>
      <c r="P1838">
        <v>0</v>
      </c>
      <c r="Q1838">
        <v>0</v>
      </c>
      <c r="T1838">
        <v>0</v>
      </c>
      <c r="U1838" t="s">
        <v>3290</v>
      </c>
    </row>
    <row r="1839" spans="1:21" x14ac:dyDescent="0.25">
      <c r="H1839" t="s">
        <v>3291</v>
      </c>
    </row>
    <row r="1840" spans="1:21" x14ac:dyDescent="0.25">
      <c r="A1840">
        <v>917</v>
      </c>
      <c r="B1840">
        <v>5410</v>
      </c>
      <c r="C1840" t="s">
        <v>3287</v>
      </c>
      <c r="D1840" t="s">
        <v>173</v>
      </c>
      <c r="E1840" t="s">
        <v>27</v>
      </c>
      <c r="F1840" t="s">
        <v>3288</v>
      </c>
      <c r="G1840" t="str">
        <f>"201511030083"</f>
        <v>201511030083</v>
      </c>
      <c r="H1840" t="s">
        <v>3289</v>
      </c>
      <c r="I1840">
        <v>150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0</v>
      </c>
      <c r="P1840">
        <v>0</v>
      </c>
      <c r="Q1840">
        <v>0</v>
      </c>
      <c r="R1840">
        <v>6</v>
      </c>
      <c r="S1840">
        <v>763</v>
      </c>
      <c r="T1840">
        <v>0</v>
      </c>
      <c r="U1840" t="s">
        <v>3290</v>
      </c>
    </row>
    <row r="1841" spans="1:21" x14ac:dyDescent="0.25">
      <c r="H1841" t="s">
        <v>3291</v>
      </c>
    </row>
    <row r="1842" spans="1:21" x14ac:dyDescent="0.25">
      <c r="A1842">
        <v>918</v>
      </c>
      <c r="B1842">
        <v>9759</v>
      </c>
      <c r="C1842" t="s">
        <v>3292</v>
      </c>
      <c r="D1842" t="s">
        <v>313</v>
      </c>
      <c r="E1842" t="s">
        <v>255</v>
      </c>
      <c r="F1842" t="s">
        <v>3293</v>
      </c>
      <c r="G1842" t="str">
        <f>"201511015731"</f>
        <v>201511015731</v>
      </c>
      <c r="H1842" t="s">
        <v>2968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0</v>
      </c>
      <c r="P1842">
        <v>0</v>
      </c>
      <c r="Q1842">
        <v>0</v>
      </c>
      <c r="T1842">
        <v>0</v>
      </c>
      <c r="U1842" t="s">
        <v>2968</v>
      </c>
    </row>
    <row r="1843" spans="1:21" x14ac:dyDescent="0.25">
      <c r="H1843" t="s">
        <v>3294</v>
      </c>
    </row>
    <row r="1844" spans="1:21" x14ac:dyDescent="0.25">
      <c r="A1844">
        <v>919</v>
      </c>
      <c r="B1844">
        <v>7831</v>
      </c>
      <c r="C1844" t="s">
        <v>3295</v>
      </c>
      <c r="D1844" t="s">
        <v>173</v>
      </c>
      <c r="E1844" t="s">
        <v>42</v>
      </c>
      <c r="F1844" t="s">
        <v>3296</v>
      </c>
      <c r="G1844" t="str">
        <f>"00094741"</f>
        <v>00094741</v>
      </c>
      <c r="H1844" t="s">
        <v>2968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0</v>
      </c>
      <c r="O1844">
        <v>0</v>
      </c>
      <c r="P1844">
        <v>0</v>
      </c>
      <c r="Q1844">
        <v>0</v>
      </c>
      <c r="T1844">
        <v>0</v>
      </c>
      <c r="U1844" t="s">
        <v>2968</v>
      </c>
    </row>
    <row r="1845" spans="1:21" x14ac:dyDescent="0.25">
      <c r="H1845" t="s">
        <v>1046</v>
      </c>
    </row>
    <row r="1846" spans="1:21" x14ac:dyDescent="0.25">
      <c r="A1846">
        <v>920</v>
      </c>
      <c r="B1846">
        <v>2007</v>
      </c>
      <c r="C1846" t="s">
        <v>3297</v>
      </c>
      <c r="D1846" t="s">
        <v>50</v>
      </c>
      <c r="E1846" t="s">
        <v>122</v>
      </c>
      <c r="F1846" t="s">
        <v>3298</v>
      </c>
      <c r="G1846" t="str">
        <f>"00044869"</f>
        <v>00044869</v>
      </c>
      <c r="H1846" t="s">
        <v>1655</v>
      </c>
      <c r="I1846">
        <v>0</v>
      </c>
      <c r="J1846">
        <v>30</v>
      </c>
      <c r="K1846">
        <v>0</v>
      </c>
      <c r="L1846">
        <v>0</v>
      </c>
      <c r="M1846">
        <v>0</v>
      </c>
      <c r="N1846">
        <v>0</v>
      </c>
      <c r="O1846">
        <v>0</v>
      </c>
      <c r="P1846">
        <v>0</v>
      </c>
      <c r="Q1846">
        <v>0</v>
      </c>
      <c r="T1846">
        <v>0</v>
      </c>
      <c r="U1846" t="s">
        <v>3299</v>
      </c>
    </row>
    <row r="1847" spans="1:21" x14ac:dyDescent="0.25">
      <c r="H1847" t="s">
        <v>3300</v>
      </c>
    </row>
    <row r="1848" spans="1:21" x14ac:dyDescent="0.25">
      <c r="A1848">
        <v>921</v>
      </c>
      <c r="B1848">
        <v>6398</v>
      </c>
      <c r="C1848" t="s">
        <v>3301</v>
      </c>
      <c r="D1848" t="s">
        <v>95</v>
      </c>
      <c r="E1848" t="s">
        <v>27</v>
      </c>
      <c r="F1848" t="s">
        <v>3302</v>
      </c>
      <c r="G1848" t="str">
        <f>"00073420"</f>
        <v>00073420</v>
      </c>
      <c r="H1848" t="s">
        <v>1655</v>
      </c>
      <c r="I1848">
        <v>0</v>
      </c>
      <c r="J1848">
        <v>30</v>
      </c>
      <c r="K1848">
        <v>0</v>
      </c>
      <c r="L1848">
        <v>0</v>
      </c>
      <c r="M1848">
        <v>0</v>
      </c>
      <c r="N1848">
        <v>0</v>
      </c>
      <c r="O1848">
        <v>0</v>
      </c>
      <c r="P1848">
        <v>0</v>
      </c>
      <c r="Q1848">
        <v>0</v>
      </c>
      <c r="T1848">
        <v>0</v>
      </c>
      <c r="U1848" t="s">
        <v>3299</v>
      </c>
    </row>
    <row r="1849" spans="1:21" x14ac:dyDescent="0.25">
      <c r="H1849" t="s">
        <v>3303</v>
      </c>
    </row>
    <row r="1850" spans="1:21" x14ac:dyDescent="0.25">
      <c r="A1850">
        <v>922</v>
      </c>
      <c r="B1850">
        <v>716</v>
      </c>
      <c r="C1850" t="s">
        <v>416</v>
      </c>
      <c r="D1850" t="s">
        <v>64</v>
      </c>
      <c r="E1850" t="s">
        <v>122</v>
      </c>
      <c r="F1850" t="s">
        <v>3304</v>
      </c>
      <c r="G1850" t="str">
        <f>"201511039034"</f>
        <v>201511039034</v>
      </c>
      <c r="H1850" t="s">
        <v>3305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0</v>
      </c>
      <c r="O1850">
        <v>0</v>
      </c>
      <c r="P1850">
        <v>0</v>
      </c>
      <c r="Q1850">
        <v>0</v>
      </c>
      <c r="T1850">
        <v>0</v>
      </c>
      <c r="U1850" t="s">
        <v>3305</v>
      </c>
    </row>
    <row r="1851" spans="1:21" x14ac:dyDescent="0.25">
      <c r="H1851" t="s">
        <v>3306</v>
      </c>
    </row>
    <row r="1852" spans="1:21" x14ac:dyDescent="0.25">
      <c r="A1852">
        <v>923</v>
      </c>
      <c r="B1852">
        <v>6950</v>
      </c>
      <c r="C1852" t="s">
        <v>3307</v>
      </c>
      <c r="D1852" t="s">
        <v>532</v>
      </c>
      <c r="E1852" t="s">
        <v>36</v>
      </c>
      <c r="F1852" t="s">
        <v>3308</v>
      </c>
      <c r="G1852" t="str">
        <f>"00019590"</f>
        <v>00019590</v>
      </c>
      <c r="H1852" t="s">
        <v>3305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0</v>
      </c>
      <c r="P1852">
        <v>0</v>
      </c>
      <c r="Q1852">
        <v>0</v>
      </c>
      <c r="T1852">
        <v>0</v>
      </c>
      <c r="U1852" t="s">
        <v>3305</v>
      </c>
    </row>
    <row r="1853" spans="1:21" x14ac:dyDescent="0.25">
      <c r="H1853" t="s">
        <v>3309</v>
      </c>
    </row>
    <row r="1854" spans="1:21" x14ac:dyDescent="0.25">
      <c r="A1854">
        <v>924</v>
      </c>
      <c r="B1854">
        <v>2305</v>
      </c>
      <c r="C1854" t="s">
        <v>3310</v>
      </c>
      <c r="D1854" t="s">
        <v>453</v>
      </c>
      <c r="E1854" t="s">
        <v>70</v>
      </c>
      <c r="F1854" t="s">
        <v>3311</v>
      </c>
      <c r="G1854" t="str">
        <f>"00018287"</f>
        <v>00018287</v>
      </c>
      <c r="H1854" t="s">
        <v>3305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0</v>
      </c>
      <c r="P1854">
        <v>0</v>
      </c>
      <c r="Q1854">
        <v>0</v>
      </c>
      <c r="T1854">
        <v>2</v>
      </c>
      <c r="U1854" t="s">
        <v>3305</v>
      </c>
    </row>
    <row r="1855" spans="1:21" x14ac:dyDescent="0.25">
      <c r="H1855" t="s">
        <v>3312</v>
      </c>
    </row>
    <row r="1856" spans="1:21" x14ac:dyDescent="0.25">
      <c r="A1856">
        <v>925</v>
      </c>
      <c r="B1856">
        <v>9124</v>
      </c>
      <c r="C1856" t="s">
        <v>3313</v>
      </c>
      <c r="D1856" t="s">
        <v>3314</v>
      </c>
      <c r="E1856" t="s">
        <v>155</v>
      </c>
      <c r="F1856" t="s">
        <v>3315</v>
      </c>
      <c r="G1856" t="str">
        <f>"201511041646"</f>
        <v>201511041646</v>
      </c>
      <c r="H1856" t="s">
        <v>3305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0</v>
      </c>
      <c r="O1856">
        <v>0</v>
      </c>
      <c r="P1856">
        <v>0</v>
      </c>
      <c r="Q1856">
        <v>0</v>
      </c>
      <c r="T1856">
        <v>0</v>
      </c>
      <c r="U1856" t="s">
        <v>3305</v>
      </c>
    </row>
    <row r="1857" spans="1:21" x14ac:dyDescent="0.25">
      <c r="H1857" t="s">
        <v>3316</v>
      </c>
    </row>
    <row r="1858" spans="1:21" x14ac:dyDescent="0.25">
      <c r="A1858">
        <v>926</v>
      </c>
      <c r="B1858">
        <v>1179</v>
      </c>
      <c r="C1858" t="s">
        <v>3317</v>
      </c>
      <c r="D1858" t="s">
        <v>64</v>
      </c>
      <c r="E1858" t="s">
        <v>3318</v>
      </c>
      <c r="F1858" t="s">
        <v>3319</v>
      </c>
      <c r="G1858" t="str">
        <f>"00028714"</f>
        <v>00028714</v>
      </c>
      <c r="H1858" t="s">
        <v>3305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0</v>
      </c>
      <c r="O1858">
        <v>0</v>
      </c>
      <c r="P1858">
        <v>0</v>
      </c>
      <c r="Q1858">
        <v>0</v>
      </c>
      <c r="T1858">
        <v>0</v>
      </c>
      <c r="U1858" t="s">
        <v>3305</v>
      </c>
    </row>
    <row r="1859" spans="1:21" x14ac:dyDescent="0.25">
      <c r="H1859" t="s">
        <v>3320</v>
      </c>
    </row>
    <row r="1860" spans="1:21" x14ac:dyDescent="0.25">
      <c r="A1860">
        <v>927</v>
      </c>
      <c r="B1860">
        <v>8760</v>
      </c>
      <c r="C1860" t="s">
        <v>3321</v>
      </c>
      <c r="D1860" t="s">
        <v>1232</v>
      </c>
      <c r="E1860" t="s">
        <v>225</v>
      </c>
      <c r="F1860" t="s">
        <v>3322</v>
      </c>
      <c r="G1860" t="str">
        <f>"201402012496"</f>
        <v>201402012496</v>
      </c>
      <c r="H1860" t="s">
        <v>3323</v>
      </c>
      <c r="I1860">
        <v>150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0</v>
      </c>
      <c r="P1860">
        <v>0</v>
      </c>
      <c r="Q1860">
        <v>0</v>
      </c>
      <c r="T1860">
        <v>0</v>
      </c>
      <c r="U1860" t="s">
        <v>3324</v>
      </c>
    </row>
    <row r="1861" spans="1:21" x14ac:dyDescent="0.25">
      <c r="H1861" t="s">
        <v>3325</v>
      </c>
    </row>
    <row r="1862" spans="1:21" x14ac:dyDescent="0.25">
      <c r="A1862">
        <v>928</v>
      </c>
      <c r="B1862">
        <v>9591</v>
      </c>
      <c r="C1862" t="s">
        <v>3326</v>
      </c>
      <c r="D1862" t="s">
        <v>64</v>
      </c>
      <c r="E1862" t="s">
        <v>37</v>
      </c>
      <c r="F1862" t="s">
        <v>3327</v>
      </c>
      <c r="G1862" t="str">
        <f>"200901000675"</f>
        <v>200901000675</v>
      </c>
      <c r="H1862" t="s">
        <v>3323</v>
      </c>
      <c r="I1862">
        <v>150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0</v>
      </c>
      <c r="P1862">
        <v>0</v>
      </c>
      <c r="Q1862">
        <v>0</v>
      </c>
      <c r="T1862">
        <v>0</v>
      </c>
      <c r="U1862" t="s">
        <v>3324</v>
      </c>
    </row>
    <row r="1863" spans="1:21" x14ac:dyDescent="0.25">
      <c r="H1863" t="s">
        <v>3328</v>
      </c>
    </row>
    <row r="1864" spans="1:21" x14ac:dyDescent="0.25">
      <c r="A1864">
        <v>929</v>
      </c>
      <c r="B1864">
        <v>1729</v>
      </c>
      <c r="C1864" t="s">
        <v>3329</v>
      </c>
      <c r="D1864" t="s">
        <v>36</v>
      </c>
      <c r="E1864" t="s">
        <v>65</v>
      </c>
      <c r="F1864" t="s">
        <v>3330</v>
      </c>
      <c r="G1864" t="str">
        <f>"00050133"</f>
        <v>00050133</v>
      </c>
      <c r="H1864" t="s">
        <v>864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0</v>
      </c>
      <c r="P1864">
        <v>0</v>
      </c>
      <c r="Q1864">
        <v>0</v>
      </c>
      <c r="T1864">
        <v>0</v>
      </c>
      <c r="U1864" t="s">
        <v>864</v>
      </c>
    </row>
    <row r="1865" spans="1:21" x14ac:dyDescent="0.25">
      <c r="H1865" t="s">
        <v>3331</v>
      </c>
    </row>
    <row r="1866" spans="1:21" x14ac:dyDescent="0.25">
      <c r="A1866">
        <v>930</v>
      </c>
      <c r="B1866">
        <v>9024</v>
      </c>
      <c r="C1866" t="s">
        <v>3332</v>
      </c>
      <c r="D1866" t="s">
        <v>3333</v>
      </c>
      <c r="E1866" t="s">
        <v>3334</v>
      </c>
      <c r="F1866" t="s">
        <v>3335</v>
      </c>
      <c r="G1866" t="str">
        <f>"201511023759"</f>
        <v>201511023759</v>
      </c>
      <c r="H1866" t="s">
        <v>3336</v>
      </c>
      <c r="I1866">
        <v>150</v>
      </c>
      <c r="J1866">
        <v>30</v>
      </c>
      <c r="K1866">
        <v>0</v>
      </c>
      <c r="L1866">
        <v>0</v>
      </c>
      <c r="M1866">
        <v>0</v>
      </c>
      <c r="N1866">
        <v>0</v>
      </c>
      <c r="O1866">
        <v>0</v>
      </c>
      <c r="P1866">
        <v>0</v>
      </c>
      <c r="Q1866">
        <v>0</v>
      </c>
      <c r="T1866">
        <v>0</v>
      </c>
      <c r="U1866" t="s">
        <v>3337</v>
      </c>
    </row>
    <row r="1867" spans="1:21" x14ac:dyDescent="0.25">
      <c r="H1867" t="s">
        <v>3338</v>
      </c>
    </row>
    <row r="1868" spans="1:21" x14ac:dyDescent="0.25">
      <c r="A1868">
        <v>931</v>
      </c>
      <c r="B1868">
        <v>134</v>
      </c>
      <c r="C1868" t="s">
        <v>3339</v>
      </c>
      <c r="D1868" t="s">
        <v>26</v>
      </c>
      <c r="E1868" t="s">
        <v>3340</v>
      </c>
      <c r="F1868" t="s">
        <v>3341</v>
      </c>
      <c r="G1868" t="str">
        <f>"201105000054"</f>
        <v>201105000054</v>
      </c>
      <c r="H1868" t="s">
        <v>3342</v>
      </c>
      <c r="I1868">
        <v>0</v>
      </c>
      <c r="J1868">
        <v>30</v>
      </c>
      <c r="K1868">
        <v>0</v>
      </c>
      <c r="L1868">
        <v>0</v>
      </c>
      <c r="M1868">
        <v>0</v>
      </c>
      <c r="N1868">
        <v>0</v>
      </c>
      <c r="O1868">
        <v>0</v>
      </c>
      <c r="P1868">
        <v>0</v>
      </c>
      <c r="Q1868">
        <v>0</v>
      </c>
      <c r="T1868">
        <v>0</v>
      </c>
      <c r="U1868" t="s">
        <v>3343</v>
      </c>
    </row>
    <row r="1869" spans="1:21" x14ac:dyDescent="0.25">
      <c r="H1869" t="s">
        <v>3344</v>
      </c>
    </row>
    <row r="1870" spans="1:21" x14ac:dyDescent="0.25">
      <c r="A1870">
        <v>932</v>
      </c>
      <c r="B1870">
        <v>9081</v>
      </c>
      <c r="C1870" t="s">
        <v>3345</v>
      </c>
      <c r="D1870" t="s">
        <v>3346</v>
      </c>
      <c r="E1870" t="s">
        <v>952</v>
      </c>
      <c r="F1870" t="s">
        <v>3347</v>
      </c>
      <c r="G1870" t="str">
        <f>"201406017592"</f>
        <v>201406017592</v>
      </c>
      <c r="H1870">
        <v>924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0</v>
      </c>
      <c r="P1870">
        <v>0</v>
      </c>
      <c r="Q1870">
        <v>0</v>
      </c>
      <c r="T1870">
        <v>0</v>
      </c>
      <c r="U1870">
        <v>924</v>
      </c>
    </row>
    <row r="1871" spans="1:21" x14ac:dyDescent="0.25">
      <c r="H1871" t="s">
        <v>3325</v>
      </c>
    </row>
    <row r="1872" spans="1:21" x14ac:dyDescent="0.25">
      <c r="A1872">
        <v>933</v>
      </c>
      <c r="B1872">
        <v>5876</v>
      </c>
      <c r="C1872" t="s">
        <v>3348</v>
      </c>
      <c r="D1872" t="s">
        <v>128</v>
      </c>
      <c r="E1872" t="s">
        <v>449</v>
      </c>
      <c r="F1872" t="s">
        <v>3349</v>
      </c>
      <c r="G1872" t="str">
        <f>"201512000766"</f>
        <v>201512000766</v>
      </c>
      <c r="H1872">
        <v>924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0</v>
      </c>
      <c r="P1872">
        <v>0</v>
      </c>
      <c r="Q1872">
        <v>0</v>
      </c>
      <c r="T1872">
        <v>0</v>
      </c>
      <c r="U1872">
        <v>924</v>
      </c>
    </row>
    <row r="1873" spans="1:21" x14ac:dyDescent="0.25">
      <c r="H1873" t="s">
        <v>3350</v>
      </c>
    </row>
    <row r="1874" spans="1:21" x14ac:dyDescent="0.25">
      <c r="A1874">
        <v>934</v>
      </c>
      <c r="B1874">
        <v>8483</v>
      </c>
      <c r="C1874" t="s">
        <v>3351</v>
      </c>
      <c r="D1874" t="s">
        <v>768</v>
      </c>
      <c r="E1874" t="s">
        <v>366</v>
      </c>
      <c r="F1874" t="s">
        <v>3352</v>
      </c>
      <c r="G1874" t="str">
        <f>"00058143"</f>
        <v>00058143</v>
      </c>
      <c r="H1874">
        <v>924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0</v>
      </c>
      <c r="P1874">
        <v>0</v>
      </c>
      <c r="Q1874">
        <v>0</v>
      </c>
      <c r="T1874">
        <v>1</v>
      </c>
      <c r="U1874">
        <v>924</v>
      </c>
    </row>
    <row r="1875" spans="1:21" x14ac:dyDescent="0.25">
      <c r="H1875" t="s">
        <v>3353</v>
      </c>
    </row>
    <row r="1876" spans="1:21" x14ac:dyDescent="0.25">
      <c r="A1876">
        <v>935</v>
      </c>
      <c r="B1876">
        <v>132</v>
      </c>
      <c r="C1876" t="s">
        <v>3354</v>
      </c>
      <c r="D1876" t="s">
        <v>2234</v>
      </c>
      <c r="E1876" t="s">
        <v>42</v>
      </c>
      <c r="F1876" t="s">
        <v>3355</v>
      </c>
      <c r="G1876" t="str">
        <f>"201212000061"</f>
        <v>201212000061</v>
      </c>
      <c r="H1876">
        <v>924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0</v>
      </c>
      <c r="P1876">
        <v>0</v>
      </c>
      <c r="Q1876">
        <v>0</v>
      </c>
      <c r="T1876">
        <v>0</v>
      </c>
      <c r="U1876">
        <v>924</v>
      </c>
    </row>
    <row r="1877" spans="1:21" x14ac:dyDescent="0.25">
      <c r="H1877" t="s">
        <v>3356</v>
      </c>
    </row>
    <row r="1878" spans="1:21" x14ac:dyDescent="0.25">
      <c r="A1878">
        <v>936</v>
      </c>
      <c r="B1878">
        <v>9402</v>
      </c>
      <c r="C1878" t="s">
        <v>1466</v>
      </c>
      <c r="D1878" t="s">
        <v>101</v>
      </c>
      <c r="E1878" t="s">
        <v>36</v>
      </c>
      <c r="F1878" t="s">
        <v>3357</v>
      </c>
      <c r="G1878" t="str">
        <f>"201511019876"</f>
        <v>201511019876</v>
      </c>
      <c r="H1878">
        <v>924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0</v>
      </c>
      <c r="P1878">
        <v>0</v>
      </c>
      <c r="Q1878">
        <v>0</v>
      </c>
      <c r="T1878">
        <v>0</v>
      </c>
      <c r="U1878">
        <v>924</v>
      </c>
    </row>
    <row r="1879" spans="1:21" x14ac:dyDescent="0.25">
      <c r="H1879" t="s">
        <v>3358</v>
      </c>
    </row>
    <row r="1880" spans="1:21" x14ac:dyDescent="0.25">
      <c r="A1880">
        <v>937</v>
      </c>
      <c r="B1880">
        <v>1035</v>
      </c>
      <c r="C1880" t="s">
        <v>3359</v>
      </c>
      <c r="D1880" t="s">
        <v>36</v>
      </c>
      <c r="E1880" t="s">
        <v>3360</v>
      </c>
      <c r="F1880" t="s">
        <v>3361</v>
      </c>
      <c r="G1880" t="str">
        <f>"201511034102"</f>
        <v>201511034102</v>
      </c>
      <c r="H1880" t="s">
        <v>1749</v>
      </c>
      <c r="I1880">
        <v>0</v>
      </c>
      <c r="J1880">
        <v>30</v>
      </c>
      <c r="K1880">
        <v>0</v>
      </c>
      <c r="L1880">
        <v>0</v>
      </c>
      <c r="M1880">
        <v>0</v>
      </c>
      <c r="N1880">
        <v>0</v>
      </c>
      <c r="O1880">
        <v>0</v>
      </c>
      <c r="P1880">
        <v>0</v>
      </c>
      <c r="Q1880">
        <v>0</v>
      </c>
      <c r="T1880">
        <v>0</v>
      </c>
      <c r="U1880" t="s">
        <v>3362</v>
      </c>
    </row>
    <row r="1881" spans="1:21" x14ac:dyDescent="0.25">
      <c r="H1881" t="s">
        <v>3363</v>
      </c>
    </row>
    <row r="1882" spans="1:21" x14ac:dyDescent="0.25">
      <c r="A1882">
        <v>938</v>
      </c>
      <c r="B1882">
        <v>1479</v>
      </c>
      <c r="C1882" t="s">
        <v>3364</v>
      </c>
      <c r="D1882" t="s">
        <v>31</v>
      </c>
      <c r="E1882" t="s">
        <v>533</v>
      </c>
      <c r="F1882" t="s">
        <v>3365</v>
      </c>
      <c r="G1882" t="str">
        <f>"00019761"</f>
        <v>00019761</v>
      </c>
      <c r="H1882" t="s">
        <v>670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0</v>
      </c>
      <c r="P1882">
        <v>0</v>
      </c>
      <c r="Q1882">
        <v>0</v>
      </c>
      <c r="T1882">
        <v>1</v>
      </c>
      <c r="U1882" t="s">
        <v>670</v>
      </c>
    </row>
    <row r="1883" spans="1:21" x14ac:dyDescent="0.25">
      <c r="H1883" t="s">
        <v>1035</v>
      </c>
    </row>
    <row r="1884" spans="1:21" x14ac:dyDescent="0.25">
      <c r="A1884">
        <v>939</v>
      </c>
      <c r="B1884">
        <v>2647</v>
      </c>
      <c r="C1884" t="s">
        <v>3366</v>
      </c>
      <c r="D1884" t="s">
        <v>64</v>
      </c>
      <c r="E1884" t="s">
        <v>231</v>
      </c>
      <c r="F1884" t="s">
        <v>3367</v>
      </c>
      <c r="G1884" t="str">
        <f>"00027986"</f>
        <v>00027986</v>
      </c>
      <c r="H1884" t="s">
        <v>670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0</v>
      </c>
      <c r="P1884">
        <v>0</v>
      </c>
      <c r="Q1884">
        <v>0</v>
      </c>
      <c r="T1884">
        <v>0</v>
      </c>
      <c r="U1884" t="s">
        <v>670</v>
      </c>
    </row>
    <row r="1885" spans="1:21" x14ac:dyDescent="0.25">
      <c r="H1885" t="s">
        <v>3368</v>
      </c>
    </row>
    <row r="1886" spans="1:21" x14ac:dyDescent="0.25">
      <c r="A1886">
        <v>940</v>
      </c>
      <c r="B1886">
        <v>9028</v>
      </c>
      <c r="C1886" t="s">
        <v>2134</v>
      </c>
      <c r="D1886" t="s">
        <v>3369</v>
      </c>
      <c r="E1886" t="s">
        <v>907</v>
      </c>
      <c r="F1886" t="s">
        <v>3370</v>
      </c>
      <c r="G1886" t="str">
        <f>"00077933"</f>
        <v>00077933</v>
      </c>
      <c r="H1886" t="s">
        <v>670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0</v>
      </c>
      <c r="O1886">
        <v>0</v>
      </c>
      <c r="P1886">
        <v>0</v>
      </c>
      <c r="Q1886">
        <v>0</v>
      </c>
      <c r="T1886">
        <v>1</v>
      </c>
      <c r="U1886" t="s">
        <v>670</v>
      </c>
    </row>
    <row r="1887" spans="1:21" x14ac:dyDescent="0.25">
      <c r="H1887" t="s">
        <v>3371</v>
      </c>
    </row>
    <row r="1888" spans="1:21" x14ac:dyDescent="0.25">
      <c r="A1888">
        <v>941</v>
      </c>
      <c r="B1888">
        <v>757</v>
      </c>
      <c r="C1888" t="s">
        <v>3372</v>
      </c>
      <c r="D1888" t="s">
        <v>781</v>
      </c>
      <c r="E1888" t="s">
        <v>155</v>
      </c>
      <c r="F1888" t="s">
        <v>3373</v>
      </c>
      <c r="G1888" t="str">
        <f>"00020655"</f>
        <v>00020655</v>
      </c>
      <c r="H1888" t="s">
        <v>670</v>
      </c>
      <c r="I1888">
        <v>0</v>
      </c>
      <c r="J1888">
        <v>0</v>
      </c>
      <c r="K1888">
        <v>0</v>
      </c>
      <c r="L1888">
        <v>0</v>
      </c>
      <c r="M1888">
        <v>0</v>
      </c>
      <c r="N1888">
        <v>0</v>
      </c>
      <c r="O1888">
        <v>0</v>
      </c>
      <c r="P1888">
        <v>0</v>
      </c>
      <c r="Q1888">
        <v>0</v>
      </c>
      <c r="T1888">
        <v>2</v>
      </c>
      <c r="U1888" t="s">
        <v>670</v>
      </c>
    </row>
    <row r="1889" spans="1:21" x14ac:dyDescent="0.25">
      <c r="H1889" t="s">
        <v>3374</v>
      </c>
    </row>
    <row r="1890" spans="1:21" x14ac:dyDescent="0.25">
      <c r="A1890">
        <v>942</v>
      </c>
      <c r="B1890">
        <v>4000</v>
      </c>
      <c r="C1890" t="s">
        <v>3375</v>
      </c>
      <c r="D1890" t="s">
        <v>173</v>
      </c>
      <c r="E1890" t="s">
        <v>42</v>
      </c>
      <c r="F1890" t="s">
        <v>3376</v>
      </c>
      <c r="G1890" t="str">
        <f>"201511014271"</f>
        <v>201511014271</v>
      </c>
      <c r="H1890" t="s">
        <v>670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0</v>
      </c>
      <c r="P1890">
        <v>0</v>
      </c>
      <c r="Q1890">
        <v>0</v>
      </c>
      <c r="T1890">
        <v>1</v>
      </c>
      <c r="U1890" t="s">
        <v>670</v>
      </c>
    </row>
    <row r="1891" spans="1:21" x14ac:dyDescent="0.25">
      <c r="H1891" t="s">
        <v>3377</v>
      </c>
    </row>
    <row r="1892" spans="1:21" x14ac:dyDescent="0.25">
      <c r="A1892">
        <v>943</v>
      </c>
      <c r="B1892">
        <v>7277</v>
      </c>
      <c r="C1892" t="s">
        <v>3378</v>
      </c>
      <c r="D1892" t="s">
        <v>3379</v>
      </c>
      <c r="E1892" t="s">
        <v>3380</v>
      </c>
      <c r="F1892" t="s">
        <v>3381</v>
      </c>
      <c r="G1892" t="str">
        <f>"00050497"</f>
        <v>00050497</v>
      </c>
      <c r="H1892" t="s">
        <v>3382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0</v>
      </c>
      <c r="O1892">
        <v>0</v>
      </c>
      <c r="P1892">
        <v>0</v>
      </c>
      <c r="Q1892">
        <v>0</v>
      </c>
      <c r="T1892">
        <v>0</v>
      </c>
      <c r="U1892" t="s">
        <v>3382</v>
      </c>
    </row>
    <row r="1893" spans="1:21" x14ac:dyDescent="0.25">
      <c r="H1893" t="s">
        <v>1046</v>
      </c>
    </row>
    <row r="1894" spans="1:21" x14ac:dyDescent="0.25">
      <c r="A1894">
        <v>944</v>
      </c>
      <c r="B1894">
        <v>6450</v>
      </c>
      <c r="C1894" t="s">
        <v>3383</v>
      </c>
      <c r="D1894" t="s">
        <v>185</v>
      </c>
      <c r="E1894" t="s">
        <v>36</v>
      </c>
      <c r="F1894" t="s">
        <v>3384</v>
      </c>
      <c r="G1894" t="str">
        <f>"201510000358"</f>
        <v>201510000358</v>
      </c>
      <c r="H1894" t="s">
        <v>3382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0</v>
      </c>
      <c r="P1894">
        <v>0</v>
      </c>
      <c r="Q1894">
        <v>0</v>
      </c>
      <c r="T1894">
        <v>0</v>
      </c>
      <c r="U1894" t="s">
        <v>3382</v>
      </c>
    </row>
    <row r="1895" spans="1:21" x14ac:dyDescent="0.25">
      <c r="H1895" t="s">
        <v>3385</v>
      </c>
    </row>
    <row r="1896" spans="1:21" x14ac:dyDescent="0.25">
      <c r="A1896">
        <v>945</v>
      </c>
      <c r="B1896">
        <v>4499</v>
      </c>
      <c r="C1896" t="s">
        <v>3386</v>
      </c>
      <c r="D1896" t="s">
        <v>528</v>
      </c>
      <c r="E1896" t="s">
        <v>533</v>
      </c>
      <c r="F1896" t="s">
        <v>3387</v>
      </c>
      <c r="G1896" t="str">
        <f>"00024798"</f>
        <v>00024798</v>
      </c>
      <c r="H1896" t="s">
        <v>3382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0</v>
      </c>
      <c r="P1896">
        <v>0</v>
      </c>
      <c r="Q1896">
        <v>0</v>
      </c>
      <c r="T1896">
        <v>0</v>
      </c>
      <c r="U1896" t="s">
        <v>3382</v>
      </c>
    </row>
    <row r="1897" spans="1:21" x14ac:dyDescent="0.25">
      <c r="H1897" t="s">
        <v>2136</v>
      </c>
    </row>
    <row r="1898" spans="1:21" x14ac:dyDescent="0.25">
      <c r="A1898">
        <v>946</v>
      </c>
      <c r="B1898">
        <v>7928</v>
      </c>
      <c r="C1898" t="s">
        <v>3388</v>
      </c>
      <c r="D1898" t="s">
        <v>121</v>
      </c>
      <c r="E1898" t="s">
        <v>122</v>
      </c>
      <c r="F1898" t="s">
        <v>3389</v>
      </c>
      <c r="G1898" t="str">
        <f>"200712001906"</f>
        <v>200712001906</v>
      </c>
      <c r="H1898" t="s">
        <v>3382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0</v>
      </c>
      <c r="P1898">
        <v>0</v>
      </c>
      <c r="Q1898">
        <v>0</v>
      </c>
      <c r="T1898">
        <v>0</v>
      </c>
      <c r="U1898" t="s">
        <v>3382</v>
      </c>
    </row>
    <row r="1899" spans="1:21" x14ac:dyDescent="0.25">
      <c r="H1899" t="s">
        <v>3390</v>
      </c>
    </row>
    <row r="1900" spans="1:21" x14ac:dyDescent="0.25">
      <c r="A1900">
        <v>947</v>
      </c>
      <c r="B1900">
        <v>566</v>
      </c>
      <c r="C1900" t="s">
        <v>3391</v>
      </c>
      <c r="D1900" t="s">
        <v>3392</v>
      </c>
      <c r="E1900" t="s">
        <v>533</v>
      </c>
      <c r="F1900" t="s">
        <v>3393</v>
      </c>
      <c r="G1900" t="str">
        <f>"00021549"</f>
        <v>00021549</v>
      </c>
      <c r="H1900" t="s">
        <v>3382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0</v>
      </c>
      <c r="P1900">
        <v>0</v>
      </c>
      <c r="Q1900">
        <v>0</v>
      </c>
      <c r="T1900">
        <v>0</v>
      </c>
      <c r="U1900" t="s">
        <v>3382</v>
      </c>
    </row>
    <row r="1901" spans="1:21" x14ac:dyDescent="0.25">
      <c r="H1901" t="s">
        <v>3394</v>
      </c>
    </row>
    <row r="1902" spans="1:21" x14ac:dyDescent="0.25">
      <c r="A1902">
        <v>948</v>
      </c>
      <c r="B1902">
        <v>1599</v>
      </c>
      <c r="C1902" t="s">
        <v>3395</v>
      </c>
      <c r="D1902" t="s">
        <v>57</v>
      </c>
      <c r="E1902" t="s">
        <v>122</v>
      </c>
      <c r="F1902" t="s">
        <v>3396</v>
      </c>
      <c r="G1902" t="str">
        <f>"201511033280"</f>
        <v>201511033280</v>
      </c>
      <c r="H1902">
        <v>770</v>
      </c>
      <c r="I1902">
        <v>150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0</v>
      </c>
      <c r="P1902">
        <v>0</v>
      </c>
      <c r="Q1902">
        <v>0</v>
      </c>
      <c r="T1902">
        <v>0</v>
      </c>
      <c r="U1902">
        <v>920</v>
      </c>
    </row>
    <row r="1903" spans="1:21" x14ac:dyDescent="0.25">
      <c r="H1903" t="s">
        <v>3397</v>
      </c>
    </row>
    <row r="1904" spans="1:21" x14ac:dyDescent="0.25">
      <c r="A1904">
        <v>949</v>
      </c>
      <c r="B1904">
        <v>702</v>
      </c>
      <c r="C1904" t="s">
        <v>2962</v>
      </c>
      <c r="D1904" t="s">
        <v>3398</v>
      </c>
      <c r="E1904" t="s">
        <v>27</v>
      </c>
      <c r="F1904" t="s">
        <v>3399</v>
      </c>
      <c r="G1904" t="str">
        <f>"201510003471"</f>
        <v>201510003471</v>
      </c>
      <c r="H1904">
        <v>770</v>
      </c>
      <c r="I1904">
        <v>150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0</v>
      </c>
      <c r="P1904">
        <v>0</v>
      </c>
      <c r="Q1904">
        <v>0</v>
      </c>
      <c r="T1904">
        <v>0</v>
      </c>
      <c r="U1904">
        <v>920</v>
      </c>
    </row>
    <row r="1905" spans="1:21" x14ac:dyDescent="0.25">
      <c r="H1905" t="s">
        <v>3400</v>
      </c>
    </row>
    <row r="1906" spans="1:21" x14ac:dyDescent="0.25">
      <c r="A1906">
        <v>950</v>
      </c>
      <c r="B1906">
        <v>5802</v>
      </c>
      <c r="C1906" t="s">
        <v>3401</v>
      </c>
      <c r="D1906" t="s">
        <v>185</v>
      </c>
      <c r="E1906" t="s">
        <v>36</v>
      </c>
      <c r="F1906" t="s">
        <v>3402</v>
      </c>
      <c r="G1906" t="str">
        <f>"00091636"</f>
        <v>00091636</v>
      </c>
      <c r="H1906">
        <v>770</v>
      </c>
      <c r="I1906">
        <v>150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0</v>
      </c>
      <c r="P1906">
        <v>0</v>
      </c>
      <c r="Q1906">
        <v>0</v>
      </c>
      <c r="T1906">
        <v>0</v>
      </c>
      <c r="U1906">
        <v>920</v>
      </c>
    </row>
    <row r="1907" spans="1:21" x14ac:dyDescent="0.25">
      <c r="H1907" t="s">
        <v>3403</v>
      </c>
    </row>
    <row r="1908" spans="1:21" x14ac:dyDescent="0.25">
      <c r="A1908">
        <v>951</v>
      </c>
      <c r="B1908">
        <v>10318</v>
      </c>
      <c r="C1908" t="s">
        <v>3404</v>
      </c>
      <c r="D1908" t="s">
        <v>3405</v>
      </c>
      <c r="E1908" t="s">
        <v>122</v>
      </c>
      <c r="F1908" t="s">
        <v>3406</v>
      </c>
      <c r="G1908" t="str">
        <f>"201511024216"</f>
        <v>201511024216</v>
      </c>
      <c r="H1908" t="s">
        <v>1368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0</v>
      </c>
      <c r="P1908">
        <v>0</v>
      </c>
      <c r="Q1908">
        <v>0</v>
      </c>
      <c r="T1908">
        <v>0</v>
      </c>
      <c r="U1908" t="s">
        <v>1368</v>
      </c>
    </row>
    <row r="1909" spans="1:21" x14ac:dyDescent="0.25">
      <c r="H1909" t="s">
        <v>3407</v>
      </c>
    </row>
    <row r="1910" spans="1:21" x14ac:dyDescent="0.25">
      <c r="A1910">
        <v>952</v>
      </c>
      <c r="B1910">
        <v>9970</v>
      </c>
      <c r="C1910" t="s">
        <v>3408</v>
      </c>
      <c r="D1910" t="s">
        <v>1558</v>
      </c>
      <c r="E1910" t="s">
        <v>42</v>
      </c>
      <c r="F1910" t="s">
        <v>3409</v>
      </c>
      <c r="G1910" t="str">
        <f>"00096290"</f>
        <v>00096290</v>
      </c>
      <c r="H1910" t="s">
        <v>1368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0</v>
      </c>
      <c r="O1910">
        <v>0</v>
      </c>
      <c r="P1910">
        <v>0</v>
      </c>
      <c r="Q1910">
        <v>0</v>
      </c>
      <c r="T1910">
        <v>0</v>
      </c>
      <c r="U1910" t="s">
        <v>1368</v>
      </c>
    </row>
    <row r="1911" spans="1:21" x14ac:dyDescent="0.25">
      <c r="H1911" t="s">
        <v>3410</v>
      </c>
    </row>
    <row r="1912" spans="1:21" x14ac:dyDescent="0.25">
      <c r="A1912">
        <v>953</v>
      </c>
      <c r="B1912">
        <v>6139</v>
      </c>
      <c r="C1912" t="s">
        <v>3411</v>
      </c>
      <c r="D1912" t="s">
        <v>85</v>
      </c>
      <c r="E1912" t="s">
        <v>36</v>
      </c>
      <c r="F1912" t="s">
        <v>3412</v>
      </c>
      <c r="G1912" t="str">
        <f>"00096181"</f>
        <v>00096181</v>
      </c>
      <c r="H1912" t="s">
        <v>1368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0</v>
      </c>
      <c r="O1912">
        <v>0</v>
      </c>
      <c r="P1912">
        <v>0</v>
      </c>
      <c r="Q1912">
        <v>0</v>
      </c>
      <c r="T1912">
        <v>0</v>
      </c>
      <c r="U1912" t="s">
        <v>1368</v>
      </c>
    </row>
    <row r="1913" spans="1:21" x14ac:dyDescent="0.25">
      <c r="H1913" t="s">
        <v>3413</v>
      </c>
    </row>
    <row r="1914" spans="1:21" x14ac:dyDescent="0.25">
      <c r="A1914">
        <v>954</v>
      </c>
      <c r="B1914">
        <v>6021</v>
      </c>
      <c r="C1914" t="s">
        <v>3414</v>
      </c>
      <c r="D1914" t="s">
        <v>768</v>
      </c>
      <c r="E1914" t="s">
        <v>769</v>
      </c>
      <c r="F1914" t="s">
        <v>3415</v>
      </c>
      <c r="G1914" t="str">
        <f>"201511042720"</f>
        <v>201511042720</v>
      </c>
      <c r="H1914" t="s">
        <v>1368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0</v>
      </c>
      <c r="P1914">
        <v>0</v>
      </c>
      <c r="Q1914">
        <v>0</v>
      </c>
      <c r="T1914">
        <v>2</v>
      </c>
      <c r="U1914" t="s">
        <v>1368</v>
      </c>
    </row>
    <row r="1915" spans="1:21" x14ac:dyDescent="0.25">
      <c r="H1915" t="s">
        <v>382</v>
      </c>
    </row>
    <row r="1916" spans="1:21" x14ac:dyDescent="0.25">
      <c r="A1916">
        <v>955</v>
      </c>
      <c r="B1916">
        <v>2736</v>
      </c>
      <c r="C1916" t="s">
        <v>3416</v>
      </c>
      <c r="D1916" t="s">
        <v>95</v>
      </c>
      <c r="E1916" t="s">
        <v>36</v>
      </c>
      <c r="F1916" t="s">
        <v>3417</v>
      </c>
      <c r="G1916" t="str">
        <f>"201510004851"</f>
        <v>201510004851</v>
      </c>
      <c r="H1916" t="s">
        <v>1373</v>
      </c>
      <c r="I1916">
        <v>0</v>
      </c>
      <c r="J1916">
        <v>30</v>
      </c>
      <c r="K1916">
        <v>0</v>
      </c>
      <c r="L1916">
        <v>0</v>
      </c>
      <c r="M1916">
        <v>0</v>
      </c>
      <c r="N1916">
        <v>0</v>
      </c>
      <c r="O1916">
        <v>0</v>
      </c>
      <c r="P1916">
        <v>0</v>
      </c>
      <c r="Q1916">
        <v>0</v>
      </c>
      <c r="T1916">
        <v>1</v>
      </c>
      <c r="U1916" t="s">
        <v>3418</v>
      </c>
    </row>
    <row r="1917" spans="1:21" x14ac:dyDescent="0.25">
      <c r="H1917" t="s">
        <v>3419</v>
      </c>
    </row>
    <row r="1918" spans="1:21" x14ac:dyDescent="0.25">
      <c r="A1918">
        <v>956</v>
      </c>
      <c r="B1918">
        <v>1605</v>
      </c>
      <c r="C1918" t="s">
        <v>3257</v>
      </c>
      <c r="D1918" t="s">
        <v>3420</v>
      </c>
      <c r="E1918" t="s">
        <v>696</v>
      </c>
      <c r="F1918" t="s">
        <v>3421</v>
      </c>
      <c r="G1918" t="str">
        <f>"00078262"</f>
        <v>00078262</v>
      </c>
      <c r="H1918" t="s">
        <v>958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0</v>
      </c>
      <c r="P1918">
        <v>0</v>
      </c>
      <c r="Q1918">
        <v>0</v>
      </c>
      <c r="T1918">
        <v>0</v>
      </c>
      <c r="U1918" t="s">
        <v>958</v>
      </c>
    </row>
    <row r="1919" spans="1:21" x14ac:dyDescent="0.25">
      <c r="H1919" t="s">
        <v>3422</v>
      </c>
    </row>
    <row r="1920" spans="1:21" x14ac:dyDescent="0.25">
      <c r="A1920">
        <v>957</v>
      </c>
      <c r="B1920">
        <v>6247</v>
      </c>
      <c r="C1920" t="s">
        <v>3423</v>
      </c>
      <c r="D1920" t="s">
        <v>64</v>
      </c>
      <c r="E1920" t="s">
        <v>37</v>
      </c>
      <c r="F1920" t="s">
        <v>3424</v>
      </c>
      <c r="G1920" t="str">
        <f>"201511029629"</f>
        <v>201511029629</v>
      </c>
      <c r="H1920" t="s">
        <v>3425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0</v>
      </c>
      <c r="P1920">
        <v>0</v>
      </c>
      <c r="Q1920">
        <v>0</v>
      </c>
      <c r="T1920">
        <v>1</v>
      </c>
      <c r="U1920" t="s">
        <v>3425</v>
      </c>
    </row>
    <row r="1921" spans="1:21" x14ac:dyDescent="0.25">
      <c r="H1921" t="s">
        <v>3426</v>
      </c>
    </row>
    <row r="1922" spans="1:21" x14ac:dyDescent="0.25">
      <c r="A1922">
        <v>958</v>
      </c>
      <c r="B1922">
        <v>6425</v>
      </c>
      <c r="C1922" t="s">
        <v>3427</v>
      </c>
      <c r="D1922" t="s">
        <v>185</v>
      </c>
      <c r="E1922" t="s">
        <v>36</v>
      </c>
      <c r="F1922" t="s">
        <v>3428</v>
      </c>
      <c r="G1922" t="str">
        <f>"00080419"</f>
        <v>00080419</v>
      </c>
      <c r="H1922" t="s">
        <v>2864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0</v>
      </c>
      <c r="P1922">
        <v>0</v>
      </c>
      <c r="Q1922">
        <v>0</v>
      </c>
      <c r="T1922">
        <v>1</v>
      </c>
      <c r="U1922" t="s">
        <v>2864</v>
      </c>
    </row>
    <row r="1923" spans="1:21" x14ac:dyDescent="0.25">
      <c r="H1923" t="s">
        <v>3429</v>
      </c>
    </row>
    <row r="1924" spans="1:21" x14ac:dyDescent="0.25">
      <c r="A1924">
        <v>959</v>
      </c>
      <c r="B1924">
        <v>6317</v>
      </c>
      <c r="C1924" t="s">
        <v>3430</v>
      </c>
      <c r="D1924" t="s">
        <v>128</v>
      </c>
      <c r="E1924" t="s">
        <v>263</v>
      </c>
      <c r="F1924" t="s">
        <v>3431</v>
      </c>
      <c r="G1924" t="str">
        <f>"00029060"</f>
        <v>00029060</v>
      </c>
      <c r="H1924" t="s">
        <v>2864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0</v>
      </c>
      <c r="P1924">
        <v>0</v>
      </c>
      <c r="Q1924">
        <v>0</v>
      </c>
      <c r="R1924">
        <v>6</v>
      </c>
      <c r="S1924">
        <v>804</v>
      </c>
      <c r="T1924">
        <v>0</v>
      </c>
      <c r="U1924" t="s">
        <v>2864</v>
      </c>
    </row>
    <row r="1925" spans="1:21" x14ac:dyDescent="0.25">
      <c r="H1925">
        <v>804</v>
      </c>
    </row>
    <row r="1926" spans="1:21" x14ac:dyDescent="0.25">
      <c r="A1926">
        <v>960</v>
      </c>
      <c r="B1926">
        <v>5591</v>
      </c>
      <c r="C1926" t="s">
        <v>3432</v>
      </c>
      <c r="D1926" t="s">
        <v>64</v>
      </c>
      <c r="E1926" t="s">
        <v>51</v>
      </c>
      <c r="F1926" t="s">
        <v>3433</v>
      </c>
      <c r="G1926" t="str">
        <f>"201510001704"</f>
        <v>201510001704</v>
      </c>
      <c r="H1926" t="s">
        <v>2864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0</v>
      </c>
      <c r="P1926">
        <v>0</v>
      </c>
      <c r="Q1926">
        <v>0</v>
      </c>
      <c r="T1926">
        <v>0</v>
      </c>
      <c r="U1926" t="s">
        <v>2864</v>
      </c>
    </row>
    <row r="1927" spans="1:21" x14ac:dyDescent="0.25">
      <c r="H1927" t="s">
        <v>3434</v>
      </c>
    </row>
    <row r="1928" spans="1:21" x14ac:dyDescent="0.25">
      <c r="A1928">
        <v>961</v>
      </c>
      <c r="B1928">
        <v>5591</v>
      </c>
      <c r="C1928" t="s">
        <v>3432</v>
      </c>
      <c r="D1928" t="s">
        <v>64</v>
      </c>
      <c r="E1928" t="s">
        <v>51</v>
      </c>
      <c r="F1928" t="s">
        <v>3433</v>
      </c>
      <c r="G1928" t="str">
        <f>"201510001704"</f>
        <v>201510001704</v>
      </c>
      <c r="H1928" t="s">
        <v>2864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0</v>
      </c>
      <c r="O1928">
        <v>0</v>
      </c>
      <c r="P1928">
        <v>0</v>
      </c>
      <c r="Q1928">
        <v>0</v>
      </c>
      <c r="R1928">
        <v>6</v>
      </c>
      <c r="S1928">
        <v>809</v>
      </c>
      <c r="T1928">
        <v>0</v>
      </c>
      <c r="U1928" t="s">
        <v>2864</v>
      </c>
    </row>
    <row r="1929" spans="1:21" x14ac:dyDescent="0.25">
      <c r="H1929" t="s">
        <v>3434</v>
      </c>
    </row>
    <row r="1930" spans="1:21" x14ac:dyDescent="0.25">
      <c r="A1930">
        <v>962</v>
      </c>
      <c r="B1930">
        <v>3208</v>
      </c>
      <c r="C1930" t="s">
        <v>3435</v>
      </c>
      <c r="D1930" t="s">
        <v>3436</v>
      </c>
      <c r="E1930" t="s">
        <v>27</v>
      </c>
      <c r="F1930" t="s">
        <v>3437</v>
      </c>
      <c r="G1930" t="str">
        <f>"00045326"</f>
        <v>00045326</v>
      </c>
      <c r="H1930" t="s">
        <v>1838</v>
      </c>
      <c r="I1930">
        <v>0</v>
      </c>
      <c r="J1930">
        <v>30</v>
      </c>
      <c r="K1930">
        <v>0</v>
      </c>
      <c r="L1930">
        <v>0</v>
      </c>
      <c r="M1930">
        <v>0</v>
      </c>
      <c r="N1930">
        <v>0</v>
      </c>
      <c r="O1930">
        <v>0</v>
      </c>
      <c r="P1930">
        <v>0</v>
      </c>
      <c r="Q1930">
        <v>0</v>
      </c>
      <c r="T1930">
        <v>1</v>
      </c>
      <c r="U1930" t="s">
        <v>3438</v>
      </c>
    </row>
    <row r="1931" spans="1:21" x14ac:dyDescent="0.25">
      <c r="H1931" t="s">
        <v>1138</v>
      </c>
    </row>
    <row r="1932" spans="1:21" x14ac:dyDescent="0.25">
      <c r="A1932">
        <v>963</v>
      </c>
      <c r="B1932">
        <v>6041</v>
      </c>
      <c r="C1932" t="s">
        <v>3439</v>
      </c>
      <c r="D1932" t="s">
        <v>2076</v>
      </c>
      <c r="E1932" t="s">
        <v>764</v>
      </c>
      <c r="F1932" t="s">
        <v>3440</v>
      </c>
      <c r="G1932" t="str">
        <f>"00021523"</f>
        <v>00021523</v>
      </c>
      <c r="H1932" t="s">
        <v>2638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0</v>
      </c>
      <c r="Q1932">
        <v>0</v>
      </c>
      <c r="T1932">
        <v>0</v>
      </c>
      <c r="U1932" t="s">
        <v>2638</v>
      </c>
    </row>
    <row r="1933" spans="1:21" x14ac:dyDescent="0.25">
      <c r="H1933" t="s">
        <v>3441</v>
      </c>
    </row>
    <row r="1934" spans="1:21" x14ac:dyDescent="0.25">
      <c r="A1934">
        <v>964</v>
      </c>
      <c r="B1934">
        <v>7761</v>
      </c>
      <c r="C1934" t="s">
        <v>3442</v>
      </c>
      <c r="D1934" t="s">
        <v>285</v>
      </c>
      <c r="E1934" t="s">
        <v>36</v>
      </c>
      <c r="F1934" t="s">
        <v>3443</v>
      </c>
      <c r="G1934" t="str">
        <f>"201406003833"</f>
        <v>201406003833</v>
      </c>
      <c r="H1934">
        <v>715</v>
      </c>
      <c r="I1934">
        <v>150</v>
      </c>
      <c r="J1934">
        <v>50</v>
      </c>
      <c r="K1934">
        <v>0</v>
      </c>
      <c r="L1934">
        <v>0</v>
      </c>
      <c r="M1934">
        <v>0</v>
      </c>
      <c r="N1934">
        <v>0</v>
      </c>
      <c r="O1934">
        <v>0</v>
      </c>
      <c r="P1934">
        <v>0</v>
      </c>
      <c r="Q1934">
        <v>0</v>
      </c>
      <c r="T1934">
        <v>0</v>
      </c>
      <c r="U1934">
        <v>915</v>
      </c>
    </row>
    <row r="1935" spans="1:21" x14ac:dyDescent="0.25">
      <c r="H1935" t="s">
        <v>3444</v>
      </c>
    </row>
    <row r="1936" spans="1:21" x14ac:dyDescent="0.25">
      <c r="A1936">
        <v>965</v>
      </c>
      <c r="B1936">
        <v>6426</v>
      </c>
      <c r="C1936" t="s">
        <v>3445</v>
      </c>
      <c r="D1936" t="s">
        <v>3446</v>
      </c>
      <c r="E1936" t="s">
        <v>36</v>
      </c>
      <c r="F1936" t="s">
        <v>3447</v>
      </c>
      <c r="G1936" t="str">
        <f>"00041117"</f>
        <v>00041117</v>
      </c>
      <c r="H1936">
        <v>715</v>
      </c>
      <c r="I1936">
        <v>150</v>
      </c>
      <c r="J1936">
        <v>50</v>
      </c>
      <c r="K1936">
        <v>0</v>
      </c>
      <c r="L1936">
        <v>0</v>
      </c>
      <c r="M1936">
        <v>0</v>
      </c>
      <c r="N1936">
        <v>0</v>
      </c>
      <c r="O1936">
        <v>0</v>
      </c>
      <c r="P1936">
        <v>0</v>
      </c>
      <c r="Q1936">
        <v>0</v>
      </c>
      <c r="T1936">
        <v>0</v>
      </c>
      <c r="U1936">
        <v>915</v>
      </c>
    </row>
    <row r="1937" spans="1:21" x14ac:dyDescent="0.25">
      <c r="H1937" t="s">
        <v>3448</v>
      </c>
    </row>
    <row r="1938" spans="1:21" x14ac:dyDescent="0.25">
      <c r="A1938">
        <v>966</v>
      </c>
      <c r="B1938">
        <v>2620</v>
      </c>
      <c r="C1938" t="s">
        <v>1171</v>
      </c>
      <c r="D1938" t="s">
        <v>589</v>
      </c>
      <c r="E1938" t="s">
        <v>122</v>
      </c>
      <c r="F1938" t="s">
        <v>3449</v>
      </c>
      <c r="G1938" t="str">
        <f>"201511031582"</f>
        <v>201511031582</v>
      </c>
      <c r="H1938" t="s">
        <v>1422</v>
      </c>
      <c r="I1938">
        <v>0</v>
      </c>
      <c r="J1938">
        <v>30</v>
      </c>
      <c r="K1938">
        <v>0</v>
      </c>
      <c r="L1938">
        <v>0</v>
      </c>
      <c r="M1938">
        <v>0</v>
      </c>
      <c r="N1938">
        <v>0</v>
      </c>
      <c r="O1938">
        <v>0</v>
      </c>
      <c r="P1938">
        <v>0</v>
      </c>
      <c r="Q1938">
        <v>0</v>
      </c>
      <c r="T1938">
        <v>0</v>
      </c>
      <c r="U1938" t="s">
        <v>3450</v>
      </c>
    </row>
    <row r="1939" spans="1:21" x14ac:dyDescent="0.25">
      <c r="H1939" t="s">
        <v>3451</v>
      </c>
    </row>
    <row r="1940" spans="1:21" x14ac:dyDescent="0.25">
      <c r="A1940">
        <v>967</v>
      </c>
      <c r="B1940">
        <v>936</v>
      </c>
      <c r="C1940" t="s">
        <v>3452</v>
      </c>
      <c r="D1940" t="s">
        <v>64</v>
      </c>
      <c r="E1940" t="s">
        <v>36</v>
      </c>
      <c r="F1940" t="s">
        <v>3453</v>
      </c>
      <c r="G1940" t="str">
        <f>"00036176"</f>
        <v>00036176</v>
      </c>
      <c r="H1940" t="s">
        <v>1426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0</v>
      </c>
      <c r="P1940">
        <v>0</v>
      </c>
      <c r="Q1940">
        <v>0</v>
      </c>
      <c r="T1940">
        <v>0</v>
      </c>
      <c r="U1940" t="s">
        <v>1426</v>
      </c>
    </row>
    <row r="1941" spans="1:21" x14ac:dyDescent="0.25">
      <c r="H1941" t="s">
        <v>3454</v>
      </c>
    </row>
    <row r="1942" spans="1:21" x14ac:dyDescent="0.25">
      <c r="A1942">
        <v>968</v>
      </c>
      <c r="B1942">
        <v>9779</v>
      </c>
      <c r="C1942" t="s">
        <v>3455</v>
      </c>
      <c r="D1942" t="s">
        <v>85</v>
      </c>
      <c r="E1942" t="s">
        <v>42</v>
      </c>
      <c r="F1942" t="s">
        <v>3456</v>
      </c>
      <c r="G1942" t="str">
        <f>"201511041337"</f>
        <v>201511041337</v>
      </c>
      <c r="H1942" t="s">
        <v>1426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0</v>
      </c>
      <c r="P1942">
        <v>0</v>
      </c>
      <c r="Q1942">
        <v>0</v>
      </c>
      <c r="T1942">
        <v>0</v>
      </c>
      <c r="U1942" t="s">
        <v>1426</v>
      </c>
    </row>
    <row r="1943" spans="1:21" x14ac:dyDescent="0.25">
      <c r="H1943" t="s">
        <v>3457</v>
      </c>
    </row>
    <row r="1944" spans="1:21" x14ac:dyDescent="0.25">
      <c r="A1944">
        <v>969</v>
      </c>
      <c r="B1944">
        <v>303</v>
      </c>
      <c r="C1944" t="s">
        <v>3458</v>
      </c>
      <c r="D1944" t="s">
        <v>434</v>
      </c>
      <c r="E1944" t="s">
        <v>42</v>
      </c>
      <c r="F1944" t="s">
        <v>3459</v>
      </c>
      <c r="G1944" t="str">
        <f>"201511037365"</f>
        <v>201511037365</v>
      </c>
      <c r="H1944">
        <v>913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0</v>
      </c>
      <c r="P1944">
        <v>0</v>
      </c>
      <c r="Q1944">
        <v>0</v>
      </c>
      <c r="T1944">
        <v>0</v>
      </c>
      <c r="U1944">
        <v>913</v>
      </c>
    </row>
    <row r="1945" spans="1:21" x14ac:dyDescent="0.25">
      <c r="H1945" t="s">
        <v>3460</v>
      </c>
    </row>
    <row r="1946" spans="1:21" x14ac:dyDescent="0.25">
      <c r="A1946">
        <v>970</v>
      </c>
      <c r="B1946">
        <v>3304</v>
      </c>
      <c r="C1946" t="s">
        <v>3461</v>
      </c>
      <c r="D1946" t="s">
        <v>164</v>
      </c>
      <c r="E1946" t="s">
        <v>3462</v>
      </c>
      <c r="F1946" t="s">
        <v>3463</v>
      </c>
      <c r="G1946" t="str">
        <f>"00024297"</f>
        <v>00024297</v>
      </c>
      <c r="H1946">
        <v>913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0</v>
      </c>
      <c r="P1946">
        <v>0</v>
      </c>
      <c r="Q1946">
        <v>0</v>
      </c>
      <c r="T1946">
        <v>2</v>
      </c>
      <c r="U1946">
        <v>913</v>
      </c>
    </row>
    <row r="1947" spans="1:21" x14ac:dyDescent="0.25">
      <c r="H1947" t="s">
        <v>3464</v>
      </c>
    </row>
    <row r="1948" spans="1:21" x14ac:dyDescent="0.25">
      <c r="A1948">
        <v>971</v>
      </c>
      <c r="B1948">
        <v>3785</v>
      </c>
      <c r="C1948" t="s">
        <v>403</v>
      </c>
      <c r="D1948" t="s">
        <v>3465</v>
      </c>
      <c r="E1948" t="s">
        <v>122</v>
      </c>
      <c r="F1948" t="s">
        <v>3466</v>
      </c>
      <c r="G1948" t="str">
        <f>"00079257"</f>
        <v>00079257</v>
      </c>
      <c r="H1948">
        <v>913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0</v>
      </c>
      <c r="P1948">
        <v>0</v>
      </c>
      <c r="Q1948">
        <v>0</v>
      </c>
      <c r="T1948">
        <v>0</v>
      </c>
      <c r="U1948">
        <v>913</v>
      </c>
    </row>
    <row r="1949" spans="1:21" x14ac:dyDescent="0.25">
      <c r="H1949" t="s">
        <v>3467</v>
      </c>
    </row>
    <row r="1950" spans="1:21" x14ac:dyDescent="0.25">
      <c r="A1950">
        <v>972</v>
      </c>
      <c r="B1950">
        <v>4451</v>
      </c>
      <c r="C1950" t="s">
        <v>3468</v>
      </c>
      <c r="D1950" t="s">
        <v>173</v>
      </c>
      <c r="E1950" t="s">
        <v>27</v>
      </c>
      <c r="F1950" t="s">
        <v>3469</v>
      </c>
      <c r="G1950" t="str">
        <f>"201511018782"</f>
        <v>201511018782</v>
      </c>
      <c r="H1950" t="s">
        <v>3470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0</v>
      </c>
      <c r="P1950">
        <v>0</v>
      </c>
      <c r="Q1950">
        <v>0</v>
      </c>
      <c r="T1950">
        <v>0</v>
      </c>
      <c r="U1950" t="s">
        <v>3470</v>
      </c>
    </row>
    <row r="1951" spans="1:21" x14ac:dyDescent="0.25">
      <c r="H1951" t="s">
        <v>3471</v>
      </c>
    </row>
    <row r="1952" spans="1:21" x14ac:dyDescent="0.25">
      <c r="A1952">
        <v>973</v>
      </c>
      <c r="B1952">
        <v>6876</v>
      </c>
      <c r="C1952" t="s">
        <v>3267</v>
      </c>
      <c r="D1952" t="s">
        <v>85</v>
      </c>
      <c r="E1952" t="s">
        <v>3472</v>
      </c>
      <c r="F1952" t="s">
        <v>3473</v>
      </c>
      <c r="G1952" t="str">
        <f>"201512004743"</f>
        <v>201512004743</v>
      </c>
      <c r="H1952" t="s">
        <v>3474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0</v>
      </c>
      <c r="P1952">
        <v>0</v>
      </c>
      <c r="Q1952">
        <v>0</v>
      </c>
      <c r="T1952">
        <v>0</v>
      </c>
      <c r="U1952" t="s">
        <v>3474</v>
      </c>
    </row>
    <row r="1953" spans="1:21" x14ac:dyDescent="0.25">
      <c r="H1953" t="s">
        <v>3475</v>
      </c>
    </row>
    <row r="1954" spans="1:21" x14ac:dyDescent="0.25">
      <c r="A1954">
        <v>974</v>
      </c>
      <c r="B1954">
        <v>9340</v>
      </c>
      <c r="C1954" t="s">
        <v>2296</v>
      </c>
      <c r="D1954" t="s">
        <v>3476</v>
      </c>
      <c r="E1954" t="s">
        <v>1044</v>
      </c>
      <c r="F1954" t="s">
        <v>3477</v>
      </c>
      <c r="G1954" t="str">
        <f>"201511032701"</f>
        <v>201511032701</v>
      </c>
      <c r="H1954" t="s">
        <v>3478</v>
      </c>
      <c r="I1954">
        <v>150</v>
      </c>
      <c r="J1954">
        <v>30</v>
      </c>
      <c r="K1954">
        <v>0</v>
      </c>
      <c r="L1954">
        <v>0</v>
      </c>
      <c r="M1954">
        <v>0</v>
      </c>
      <c r="N1954">
        <v>0</v>
      </c>
      <c r="O1954">
        <v>0</v>
      </c>
      <c r="P1954">
        <v>0</v>
      </c>
      <c r="Q1954">
        <v>0</v>
      </c>
      <c r="T1954">
        <v>0</v>
      </c>
      <c r="U1954" t="s">
        <v>3479</v>
      </c>
    </row>
    <row r="1955" spans="1:21" x14ac:dyDescent="0.25">
      <c r="H1955" t="s">
        <v>3480</v>
      </c>
    </row>
    <row r="1956" spans="1:21" x14ac:dyDescent="0.25">
      <c r="A1956">
        <v>975</v>
      </c>
      <c r="B1956">
        <v>3647</v>
      </c>
      <c r="C1956" t="s">
        <v>3481</v>
      </c>
      <c r="D1956" t="s">
        <v>64</v>
      </c>
      <c r="E1956" t="s">
        <v>27</v>
      </c>
      <c r="F1956" t="s">
        <v>3482</v>
      </c>
      <c r="G1956" t="str">
        <f>"200808000452"</f>
        <v>200808000452</v>
      </c>
      <c r="H1956">
        <v>880</v>
      </c>
      <c r="I1956">
        <v>0</v>
      </c>
      <c r="J1956">
        <v>30</v>
      </c>
      <c r="K1956">
        <v>0</v>
      </c>
      <c r="L1956">
        <v>0</v>
      </c>
      <c r="M1956">
        <v>0</v>
      </c>
      <c r="N1956">
        <v>0</v>
      </c>
      <c r="O1956">
        <v>0</v>
      </c>
      <c r="P1956">
        <v>0</v>
      </c>
      <c r="Q1956">
        <v>0</v>
      </c>
      <c r="T1956">
        <v>0</v>
      </c>
      <c r="U1956">
        <v>910</v>
      </c>
    </row>
    <row r="1957" spans="1:21" x14ac:dyDescent="0.25">
      <c r="H1957" t="s">
        <v>3483</v>
      </c>
    </row>
    <row r="1958" spans="1:21" x14ac:dyDescent="0.25">
      <c r="A1958">
        <v>976</v>
      </c>
      <c r="B1958">
        <v>6730</v>
      </c>
      <c r="C1958" t="s">
        <v>3484</v>
      </c>
      <c r="D1958" t="s">
        <v>64</v>
      </c>
      <c r="E1958" t="s">
        <v>51</v>
      </c>
      <c r="F1958" t="s">
        <v>3485</v>
      </c>
      <c r="G1958" t="str">
        <f>"00041536"</f>
        <v>00041536</v>
      </c>
      <c r="H1958">
        <v>880</v>
      </c>
      <c r="I1958">
        <v>0</v>
      </c>
      <c r="J1958">
        <v>30</v>
      </c>
      <c r="K1958">
        <v>0</v>
      </c>
      <c r="L1958">
        <v>0</v>
      </c>
      <c r="M1958">
        <v>0</v>
      </c>
      <c r="N1958">
        <v>0</v>
      </c>
      <c r="O1958">
        <v>0</v>
      </c>
      <c r="P1958">
        <v>0</v>
      </c>
      <c r="Q1958">
        <v>0</v>
      </c>
      <c r="T1958">
        <v>0</v>
      </c>
      <c r="U1958">
        <v>910</v>
      </c>
    </row>
    <row r="1959" spans="1:21" x14ac:dyDescent="0.25">
      <c r="H1959" t="s">
        <v>3486</v>
      </c>
    </row>
    <row r="1960" spans="1:21" x14ac:dyDescent="0.25">
      <c r="A1960">
        <v>977</v>
      </c>
      <c r="B1960">
        <v>5962</v>
      </c>
      <c r="C1960" t="s">
        <v>3487</v>
      </c>
      <c r="D1960" t="s">
        <v>1463</v>
      </c>
      <c r="E1960" t="s">
        <v>37</v>
      </c>
      <c r="F1960" t="s">
        <v>3488</v>
      </c>
      <c r="G1960" t="str">
        <f>"201511034790"</f>
        <v>201511034790</v>
      </c>
      <c r="H1960">
        <v>880</v>
      </c>
      <c r="I1960">
        <v>0</v>
      </c>
      <c r="J1960">
        <v>30</v>
      </c>
      <c r="K1960">
        <v>0</v>
      </c>
      <c r="L1960">
        <v>0</v>
      </c>
      <c r="M1960">
        <v>0</v>
      </c>
      <c r="N1960">
        <v>0</v>
      </c>
      <c r="O1960">
        <v>0</v>
      </c>
      <c r="P1960">
        <v>0</v>
      </c>
      <c r="Q1960">
        <v>0</v>
      </c>
      <c r="T1960">
        <v>0</v>
      </c>
      <c r="U1960">
        <v>910</v>
      </c>
    </row>
    <row r="1961" spans="1:21" x14ac:dyDescent="0.25">
      <c r="H1961" t="s">
        <v>3489</v>
      </c>
    </row>
    <row r="1962" spans="1:21" x14ac:dyDescent="0.25">
      <c r="A1962">
        <v>978</v>
      </c>
      <c r="B1962">
        <v>9338</v>
      </c>
      <c r="C1962" t="s">
        <v>3490</v>
      </c>
      <c r="D1962" t="s">
        <v>74</v>
      </c>
      <c r="E1962" t="s">
        <v>37</v>
      </c>
      <c r="F1962" t="s">
        <v>3491</v>
      </c>
      <c r="G1962" t="str">
        <f>"201510002215"</f>
        <v>201510002215</v>
      </c>
      <c r="H1962">
        <v>880</v>
      </c>
      <c r="I1962">
        <v>0</v>
      </c>
      <c r="J1962">
        <v>30</v>
      </c>
      <c r="K1962">
        <v>0</v>
      </c>
      <c r="L1962">
        <v>0</v>
      </c>
      <c r="M1962">
        <v>0</v>
      </c>
      <c r="N1962">
        <v>0</v>
      </c>
      <c r="O1962">
        <v>0</v>
      </c>
      <c r="P1962">
        <v>0</v>
      </c>
      <c r="Q1962">
        <v>0</v>
      </c>
      <c r="T1962">
        <v>0</v>
      </c>
      <c r="U1962">
        <v>910</v>
      </c>
    </row>
    <row r="1963" spans="1:21" x14ac:dyDescent="0.25">
      <c r="H1963" t="s">
        <v>3492</v>
      </c>
    </row>
    <row r="1964" spans="1:21" x14ac:dyDescent="0.25">
      <c r="A1964">
        <v>979</v>
      </c>
      <c r="B1964">
        <v>7078</v>
      </c>
      <c r="C1964" t="s">
        <v>3493</v>
      </c>
      <c r="D1964" t="s">
        <v>285</v>
      </c>
      <c r="E1964" t="s">
        <v>250</v>
      </c>
      <c r="F1964" t="s">
        <v>3494</v>
      </c>
      <c r="G1964" t="str">
        <f>"00097812"</f>
        <v>00097812</v>
      </c>
      <c r="H1964">
        <v>880</v>
      </c>
      <c r="I1964">
        <v>0</v>
      </c>
      <c r="J1964">
        <v>30</v>
      </c>
      <c r="K1964">
        <v>0</v>
      </c>
      <c r="L1964">
        <v>0</v>
      </c>
      <c r="M1964">
        <v>0</v>
      </c>
      <c r="N1964">
        <v>0</v>
      </c>
      <c r="O1964">
        <v>0</v>
      </c>
      <c r="P1964">
        <v>0</v>
      </c>
      <c r="Q1964">
        <v>0</v>
      </c>
      <c r="T1964">
        <v>0</v>
      </c>
      <c r="U1964">
        <v>910</v>
      </c>
    </row>
    <row r="1965" spans="1:21" x14ac:dyDescent="0.25">
      <c r="H1965" t="s">
        <v>3495</v>
      </c>
    </row>
    <row r="1966" spans="1:21" x14ac:dyDescent="0.25">
      <c r="A1966">
        <v>980</v>
      </c>
      <c r="B1966">
        <v>4831</v>
      </c>
      <c r="C1966" t="s">
        <v>3496</v>
      </c>
      <c r="D1966" t="s">
        <v>313</v>
      </c>
      <c r="E1966" t="s">
        <v>773</v>
      </c>
      <c r="F1966" t="s">
        <v>3497</v>
      </c>
      <c r="G1966" t="str">
        <f>"00092281"</f>
        <v>00092281</v>
      </c>
      <c r="H1966">
        <v>880</v>
      </c>
      <c r="I1966">
        <v>0</v>
      </c>
      <c r="J1966">
        <v>30</v>
      </c>
      <c r="K1966">
        <v>0</v>
      </c>
      <c r="L1966">
        <v>0</v>
      </c>
      <c r="M1966">
        <v>0</v>
      </c>
      <c r="N1966">
        <v>0</v>
      </c>
      <c r="O1966">
        <v>0</v>
      </c>
      <c r="P1966">
        <v>0</v>
      </c>
      <c r="Q1966">
        <v>0</v>
      </c>
      <c r="T1966">
        <v>1</v>
      </c>
      <c r="U1966">
        <v>910</v>
      </c>
    </row>
    <row r="1967" spans="1:21" x14ac:dyDescent="0.25">
      <c r="H1967">
        <v>757</v>
      </c>
    </row>
    <row r="1968" spans="1:21" x14ac:dyDescent="0.25">
      <c r="A1968">
        <v>981</v>
      </c>
      <c r="B1968">
        <v>3911</v>
      </c>
      <c r="C1968" t="s">
        <v>3498</v>
      </c>
      <c r="D1968" t="s">
        <v>1474</v>
      </c>
      <c r="E1968" t="s">
        <v>112</v>
      </c>
      <c r="F1968" t="s">
        <v>3499</v>
      </c>
      <c r="G1968" t="str">
        <f>"00048198"</f>
        <v>00048198</v>
      </c>
      <c r="H1968">
        <v>880</v>
      </c>
      <c r="I1968">
        <v>0</v>
      </c>
      <c r="J1968">
        <v>30</v>
      </c>
      <c r="K1968">
        <v>0</v>
      </c>
      <c r="L1968">
        <v>0</v>
      </c>
      <c r="M1968">
        <v>0</v>
      </c>
      <c r="N1968">
        <v>0</v>
      </c>
      <c r="O1968">
        <v>0</v>
      </c>
      <c r="P1968">
        <v>0</v>
      </c>
      <c r="Q1968">
        <v>0</v>
      </c>
      <c r="T1968">
        <v>0</v>
      </c>
      <c r="U1968">
        <v>910</v>
      </c>
    </row>
    <row r="1969" spans="1:21" x14ac:dyDescent="0.25">
      <c r="H1969" t="s">
        <v>3500</v>
      </c>
    </row>
    <row r="1970" spans="1:21" x14ac:dyDescent="0.25">
      <c r="A1970">
        <v>982</v>
      </c>
      <c r="B1970">
        <v>480</v>
      </c>
      <c r="C1970" t="s">
        <v>3501</v>
      </c>
      <c r="D1970" t="s">
        <v>128</v>
      </c>
      <c r="E1970" t="s">
        <v>350</v>
      </c>
      <c r="F1970" t="s">
        <v>3502</v>
      </c>
      <c r="G1970" t="str">
        <f>"00029027"</f>
        <v>00029027</v>
      </c>
      <c r="H1970">
        <v>880</v>
      </c>
      <c r="I1970">
        <v>0</v>
      </c>
      <c r="J1970">
        <v>30</v>
      </c>
      <c r="K1970">
        <v>0</v>
      </c>
      <c r="L1970">
        <v>0</v>
      </c>
      <c r="M1970">
        <v>0</v>
      </c>
      <c r="N1970">
        <v>0</v>
      </c>
      <c r="O1970">
        <v>0</v>
      </c>
      <c r="P1970">
        <v>0</v>
      </c>
      <c r="Q1970">
        <v>0</v>
      </c>
      <c r="T1970">
        <v>0</v>
      </c>
      <c r="U1970">
        <v>910</v>
      </c>
    </row>
    <row r="1971" spans="1:21" x14ac:dyDescent="0.25">
      <c r="H1971" t="s">
        <v>3503</v>
      </c>
    </row>
    <row r="1972" spans="1:21" x14ac:dyDescent="0.25">
      <c r="A1972">
        <v>983</v>
      </c>
      <c r="B1972">
        <v>4989</v>
      </c>
      <c r="C1972" t="s">
        <v>421</v>
      </c>
      <c r="D1972" t="s">
        <v>27</v>
      </c>
      <c r="E1972" t="s">
        <v>36</v>
      </c>
      <c r="F1972" t="s">
        <v>3504</v>
      </c>
      <c r="G1972" t="str">
        <f>"201511015080"</f>
        <v>201511015080</v>
      </c>
      <c r="H1972">
        <v>880</v>
      </c>
      <c r="I1972">
        <v>0</v>
      </c>
      <c r="J1972">
        <v>30</v>
      </c>
      <c r="K1972">
        <v>0</v>
      </c>
      <c r="L1972">
        <v>0</v>
      </c>
      <c r="M1972">
        <v>0</v>
      </c>
      <c r="N1972">
        <v>0</v>
      </c>
      <c r="O1972">
        <v>0</v>
      </c>
      <c r="P1972">
        <v>0</v>
      </c>
      <c r="Q1972">
        <v>0</v>
      </c>
      <c r="T1972">
        <v>1</v>
      </c>
      <c r="U1972">
        <v>910</v>
      </c>
    </row>
    <row r="1973" spans="1:21" x14ac:dyDescent="0.25">
      <c r="H1973" t="s">
        <v>3505</v>
      </c>
    </row>
    <row r="1974" spans="1:21" x14ac:dyDescent="0.25">
      <c r="A1974">
        <v>984</v>
      </c>
      <c r="B1974">
        <v>2362</v>
      </c>
      <c r="C1974" t="s">
        <v>3506</v>
      </c>
      <c r="D1974" t="s">
        <v>331</v>
      </c>
      <c r="E1974" t="s">
        <v>27</v>
      </c>
      <c r="F1974" t="s">
        <v>3507</v>
      </c>
      <c r="G1974" t="str">
        <f>"00018380"</f>
        <v>00018380</v>
      </c>
      <c r="H1974">
        <v>759</v>
      </c>
      <c r="I1974">
        <v>150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0</v>
      </c>
      <c r="P1974">
        <v>0</v>
      </c>
      <c r="Q1974">
        <v>0</v>
      </c>
      <c r="T1974">
        <v>0</v>
      </c>
      <c r="U1974">
        <v>909</v>
      </c>
    </row>
    <row r="1975" spans="1:21" x14ac:dyDescent="0.25">
      <c r="H1975" t="s">
        <v>3508</v>
      </c>
    </row>
    <row r="1976" spans="1:21" x14ac:dyDescent="0.25">
      <c r="A1976">
        <v>985</v>
      </c>
      <c r="B1976">
        <v>7910</v>
      </c>
      <c r="C1976" t="s">
        <v>3509</v>
      </c>
      <c r="D1976" t="s">
        <v>3510</v>
      </c>
      <c r="E1976" t="s">
        <v>135</v>
      </c>
      <c r="F1976" t="s">
        <v>3511</v>
      </c>
      <c r="G1976" t="str">
        <f>"00076551"</f>
        <v>00076551</v>
      </c>
      <c r="H1976">
        <v>759</v>
      </c>
      <c r="I1976">
        <v>150</v>
      </c>
      <c r="J1976">
        <v>0</v>
      </c>
      <c r="K1976">
        <v>0</v>
      </c>
      <c r="L1976">
        <v>0</v>
      </c>
      <c r="M1976">
        <v>0</v>
      </c>
      <c r="N1976">
        <v>0</v>
      </c>
      <c r="O1976">
        <v>0</v>
      </c>
      <c r="P1976">
        <v>0</v>
      </c>
      <c r="Q1976">
        <v>0</v>
      </c>
      <c r="T1976">
        <v>0</v>
      </c>
      <c r="U1976">
        <v>909</v>
      </c>
    </row>
    <row r="1977" spans="1:21" x14ac:dyDescent="0.25">
      <c r="H1977" t="s">
        <v>3512</v>
      </c>
    </row>
    <row r="1978" spans="1:21" x14ac:dyDescent="0.25">
      <c r="A1978">
        <v>986</v>
      </c>
      <c r="B1978">
        <v>2125</v>
      </c>
      <c r="C1978" t="s">
        <v>3513</v>
      </c>
      <c r="D1978" t="s">
        <v>207</v>
      </c>
      <c r="E1978" t="s">
        <v>112</v>
      </c>
      <c r="F1978" t="s">
        <v>3514</v>
      </c>
      <c r="G1978" t="str">
        <f>"201510001742"</f>
        <v>201510001742</v>
      </c>
      <c r="H1978">
        <v>759</v>
      </c>
      <c r="I1978">
        <v>150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0</v>
      </c>
      <c r="P1978">
        <v>0</v>
      </c>
      <c r="Q1978">
        <v>0</v>
      </c>
      <c r="R1978">
        <v>6</v>
      </c>
      <c r="S1978">
        <v>763</v>
      </c>
      <c r="T1978">
        <v>0</v>
      </c>
      <c r="U1978">
        <v>909</v>
      </c>
    </row>
    <row r="1979" spans="1:21" x14ac:dyDescent="0.25">
      <c r="H1979" t="s">
        <v>3515</v>
      </c>
    </row>
    <row r="1980" spans="1:21" x14ac:dyDescent="0.25">
      <c r="A1980">
        <v>987</v>
      </c>
      <c r="B1980">
        <v>2125</v>
      </c>
      <c r="C1980" t="s">
        <v>3513</v>
      </c>
      <c r="D1980" t="s">
        <v>207</v>
      </c>
      <c r="E1980" t="s">
        <v>112</v>
      </c>
      <c r="F1980" t="s">
        <v>3514</v>
      </c>
      <c r="G1980" t="str">
        <f>"201510001742"</f>
        <v>201510001742</v>
      </c>
      <c r="H1980">
        <v>759</v>
      </c>
      <c r="I1980">
        <v>150</v>
      </c>
      <c r="J1980">
        <v>0</v>
      </c>
      <c r="K1980">
        <v>0</v>
      </c>
      <c r="L1980">
        <v>0</v>
      </c>
      <c r="M1980">
        <v>0</v>
      </c>
      <c r="N1980">
        <v>0</v>
      </c>
      <c r="O1980">
        <v>0</v>
      </c>
      <c r="P1980">
        <v>0</v>
      </c>
      <c r="Q1980">
        <v>0</v>
      </c>
      <c r="T1980">
        <v>0</v>
      </c>
      <c r="U1980">
        <v>909</v>
      </c>
    </row>
    <row r="1981" spans="1:21" x14ac:dyDescent="0.25">
      <c r="H1981" t="s">
        <v>3515</v>
      </c>
    </row>
    <row r="1982" spans="1:21" x14ac:dyDescent="0.25">
      <c r="A1982">
        <v>988</v>
      </c>
      <c r="B1982">
        <v>4351</v>
      </c>
      <c r="C1982" t="s">
        <v>3516</v>
      </c>
      <c r="D1982" t="s">
        <v>384</v>
      </c>
      <c r="E1982" t="s">
        <v>122</v>
      </c>
      <c r="F1982" t="s">
        <v>3517</v>
      </c>
      <c r="G1982" t="str">
        <f>"00019648"</f>
        <v>00019648</v>
      </c>
      <c r="H1982" t="s">
        <v>3518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0</v>
      </c>
      <c r="P1982">
        <v>0</v>
      </c>
      <c r="Q1982">
        <v>0</v>
      </c>
      <c r="T1982">
        <v>0</v>
      </c>
      <c r="U1982" t="s">
        <v>3518</v>
      </c>
    </row>
    <row r="1983" spans="1:21" x14ac:dyDescent="0.25">
      <c r="H1983" t="s">
        <v>3519</v>
      </c>
    </row>
    <row r="1984" spans="1:21" x14ac:dyDescent="0.25">
      <c r="A1984">
        <v>989</v>
      </c>
      <c r="B1984">
        <v>282</v>
      </c>
      <c r="C1984" t="s">
        <v>376</v>
      </c>
      <c r="D1984" t="s">
        <v>3520</v>
      </c>
      <c r="E1984" t="s">
        <v>366</v>
      </c>
      <c r="F1984" t="s">
        <v>3521</v>
      </c>
      <c r="G1984" t="str">
        <f>"00031979"</f>
        <v>00031979</v>
      </c>
      <c r="H1984" t="s">
        <v>3518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0</v>
      </c>
      <c r="P1984">
        <v>0</v>
      </c>
      <c r="Q1984">
        <v>0</v>
      </c>
      <c r="T1984">
        <v>0</v>
      </c>
      <c r="U1984" t="s">
        <v>3518</v>
      </c>
    </row>
    <row r="1985" spans="1:21" x14ac:dyDescent="0.25">
      <c r="H1985" t="s">
        <v>3522</v>
      </c>
    </row>
    <row r="1986" spans="1:21" x14ac:dyDescent="0.25">
      <c r="A1986">
        <v>990</v>
      </c>
      <c r="B1986">
        <v>3861</v>
      </c>
      <c r="C1986" t="s">
        <v>3523</v>
      </c>
      <c r="D1986" t="s">
        <v>377</v>
      </c>
      <c r="E1986" t="s">
        <v>191</v>
      </c>
      <c r="F1986" t="s">
        <v>3524</v>
      </c>
      <c r="G1986" t="str">
        <f>"200712006271"</f>
        <v>200712006271</v>
      </c>
      <c r="H1986" t="s">
        <v>3518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0</v>
      </c>
      <c r="O1986">
        <v>0</v>
      </c>
      <c r="P1986">
        <v>0</v>
      </c>
      <c r="Q1986">
        <v>0</v>
      </c>
      <c r="T1986">
        <v>0</v>
      </c>
      <c r="U1986" t="s">
        <v>3518</v>
      </c>
    </row>
    <row r="1987" spans="1:21" x14ac:dyDescent="0.25">
      <c r="H1987" t="s">
        <v>3525</v>
      </c>
    </row>
    <row r="1988" spans="1:21" x14ac:dyDescent="0.25">
      <c r="A1988">
        <v>991</v>
      </c>
      <c r="B1988">
        <v>10102</v>
      </c>
      <c r="C1988" t="s">
        <v>3526</v>
      </c>
      <c r="D1988" t="s">
        <v>64</v>
      </c>
      <c r="E1988" t="s">
        <v>135</v>
      </c>
      <c r="F1988" t="s">
        <v>3527</v>
      </c>
      <c r="G1988" t="str">
        <f>"201510001099"</f>
        <v>201510001099</v>
      </c>
      <c r="H1988" t="s">
        <v>3518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0</v>
      </c>
      <c r="P1988">
        <v>0</v>
      </c>
      <c r="Q1988">
        <v>0</v>
      </c>
      <c r="T1988">
        <v>1</v>
      </c>
      <c r="U1988" t="s">
        <v>3518</v>
      </c>
    </row>
    <row r="1989" spans="1:21" x14ac:dyDescent="0.25">
      <c r="H1989" t="s">
        <v>3528</v>
      </c>
    </row>
    <row r="1990" spans="1:21" x14ac:dyDescent="0.25">
      <c r="A1990">
        <v>992</v>
      </c>
      <c r="B1990">
        <v>2747</v>
      </c>
      <c r="C1990" t="s">
        <v>2814</v>
      </c>
      <c r="D1990" t="s">
        <v>1348</v>
      </c>
      <c r="E1990" t="s">
        <v>36</v>
      </c>
      <c r="F1990" t="s">
        <v>3529</v>
      </c>
      <c r="G1990" t="str">
        <f>"201511011940"</f>
        <v>201511011940</v>
      </c>
      <c r="H1990" t="s">
        <v>3530</v>
      </c>
      <c r="I1990">
        <v>150</v>
      </c>
      <c r="J1990">
        <v>0</v>
      </c>
      <c r="K1990">
        <v>0</v>
      </c>
      <c r="L1990">
        <v>0</v>
      </c>
      <c r="M1990">
        <v>0</v>
      </c>
      <c r="N1990">
        <v>0</v>
      </c>
      <c r="O1990">
        <v>0</v>
      </c>
      <c r="P1990">
        <v>0</v>
      </c>
      <c r="Q1990">
        <v>0</v>
      </c>
      <c r="T1990">
        <v>0</v>
      </c>
      <c r="U1990" t="s">
        <v>3531</v>
      </c>
    </row>
    <row r="1991" spans="1:21" x14ac:dyDescent="0.25">
      <c r="H1991" t="s">
        <v>3532</v>
      </c>
    </row>
    <row r="1992" spans="1:21" x14ac:dyDescent="0.25">
      <c r="A1992">
        <v>993</v>
      </c>
      <c r="B1992">
        <v>7426</v>
      </c>
      <c r="C1992" t="s">
        <v>3186</v>
      </c>
      <c r="D1992" t="s">
        <v>116</v>
      </c>
      <c r="E1992" t="s">
        <v>614</v>
      </c>
      <c r="F1992" t="s">
        <v>3533</v>
      </c>
      <c r="G1992" t="str">
        <f>"00101955"</f>
        <v>00101955</v>
      </c>
      <c r="H1992" t="s">
        <v>1105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0</v>
      </c>
      <c r="P1992">
        <v>0</v>
      </c>
      <c r="Q1992">
        <v>0</v>
      </c>
      <c r="T1992">
        <v>2</v>
      </c>
      <c r="U1992" t="s">
        <v>1105</v>
      </c>
    </row>
    <row r="1993" spans="1:21" x14ac:dyDescent="0.25">
      <c r="H1993" t="s">
        <v>3534</v>
      </c>
    </row>
    <row r="1994" spans="1:21" x14ac:dyDescent="0.25">
      <c r="A1994">
        <v>994</v>
      </c>
      <c r="B1994">
        <v>3962</v>
      </c>
      <c r="C1994" t="s">
        <v>3535</v>
      </c>
      <c r="D1994" t="s">
        <v>3536</v>
      </c>
      <c r="E1994" t="s">
        <v>122</v>
      </c>
      <c r="F1994" t="s">
        <v>3537</v>
      </c>
      <c r="G1994" t="str">
        <f>"00038244"</f>
        <v>00038244</v>
      </c>
      <c r="H1994" t="s">
        <v>1105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0</v>
      </c>
      <c r="O1994">
        <v>0</v>
      </c>
      <c r="P1994">
        <v>0</v>
      </c>
      <c r="Q1994">
        <v>0</v>
      </c>
      <c r="T1994">
        <v>0</v>
      </c>
      <c r="U1994" t="s">
        <v>1105</v>
      </c>
    </row>
    <row r="1995" spans="1:21" x14ac:dyDescent="0.25">
      <c r="H1995" t="s">
        <v>3538</v>
      </c>
    </row>
    <row r="1996" spans="1:21" x14ac:dyDescent="0.25">
      <c r="A1996">
        <v>995</v>
      </c>
      <c r="B1996">
        <v>4146</v>
      </c>
      <c r="C1996" t="s">
        <v>3539</v>
      </c>
      <c r="D1996" t="s">
        <v>122</v>
      </c>
      <c r="E1996" t="s">
        <v>27</v>
      </c>
      <c r="F1996" t="s">
        <v>3540</v>
      </c>
      <c r="G1996" t="str">
        <f>"00093182"</f>
        <v>00093182</v>
      </c>
      <c r="H1996" t="s">
        <v>1105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0</v>
      </c>
      <c r="P1996">
        <v>0</v>
      </c>
      <c r="Q1996">
        <v>0</v>
      </c>
      <c r="T1996">
        <v>1</v>
      </c>
      <c r="U1996" t="s">
        <v>1105</v>
      </c>
    </row>
    <row r="1997" spans="1:21" x14ac:dyDescent="0.25">
      <c r="H1997" t="s">
        <v>3541</v>
      </c>
    </row>
    <row r="1998" spans="1:21" x14ac:dyDescent="0.25">
      <c r="A1998">
        <v>996</v>
      </c>
      <c r="B1998">
        <v>4258</v>
      </c>
      <c r="C1998" t="s">
        <v>1245</v>
      </c>
      <c r="D1998" t="s">
        <v>911</v>
      </c>
      <c r="E1998" t="s">
        <v>1136</v>
      </c>
      <c r="F1998" t="s">
        <v>3542</v>
      </c>
      <c r="G1998" t="str">
        <f>"201511032873"</f>
        <v>201511032873</v>
      </c>
      <c r="H1998" t="s">
        <v>1105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0</v>
      </c>
      <c r="P1998">
        <v>0</v>
      </c>
      <c r="Q1998">
        <v>0</v>
      </c>
      <c r="T1998">
        <v>0</v>
      </c>
      <c r="U1998" t="s">
        <v>1105</v>
      </c>
    </row>
    <row r="1999" spans="1:21" x14ac:dyDescent="0.25">
      <c r="H1999" t="s">
        <v>3543</v>
      </c>
    </row>
    <row r="2000" spans="1:21" x14ac:dyDescent="0.25">
      <c r="A2000">
        <v>997</v>
      </c>
      <c r="B2000">
        <v>8534</v>
      </c>
      <c r="C2000" t="s">
        <v>3544</v>
      </c>
      <c r="D2000" t="s">
        <v>3545</v>
      </c>
      <c r="E2000" t="s">
        <v>27</v>
      </c>
      <c r="F2000" t="s">
        <v>3546</v>
      </c>
      <c r="G2000" t="str">
        <f>"00048010"</f>
        <v>00048010</v>
      </c>
      <c r="H2000" t="s">
        <v>1105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0</v>
      </c>
      <c r="O2000">
        <v>0</v>
      </c>
      <c r="P2000">
        <v>0</v>
      </c>
      <c r="Q2000">
        <v>0</v>
      </c>
      <c r="T2000">
        <v>1</v>
      </c>
      <c r="U2000" t="s">
        <v>1105</v>
      </c>
    </row>
    <row r="2001" spans="1:21" x14ac:dyDescent="0.25">
      <c r="H2001" t="s">
        <v>3547</v>
      </c>
    </row>
    <row r="2002" spans="1:21" x14ac:dyDescent="0.25">
      <c r="A2002">
        <v>998</v>
      </c>
      <c r="B2002">
        <v>4282</v>
      </c>
      <c r="C2002" t="s">
        <v>3548</v>
      </c>
      <c r="D2002" t="s">
        <v>1326</v>
      </c>
      <c r="E2002" t="s">
        <v>36</v>
      </c>
      <c r="F2002" t="s">
        <v>3549</v>
      </c>
      <c r="G2002" t="str">
        <f>"201511030632"</f>
        <v>201511030632</v>
      </c>
      <c r="H2002" t="s">
        <v>1105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0</v>
      </c>
      <c r="P2002">
        <v>0</v>
      </c>
      <c r="Q2002">
        <v>0</v>
      </c>
      <c r="T2002">
        <v>2</v>
      </c>
      <c r="U2002" t="s">
        <v>1105</v>
      </c>
    </row>
    <row r="2003" spans="1:21" x14ac:dyDescent="0.25">
      <c r="H2003" t="s">
        <v>3550</v>
      </c>
    </row>
    <row r="2004" spans="1:21" x14ac:dyDescent="0.25">
      <c r="A2004">
        <v>999</v>
      </c>
      <c r="B2004">
        <v>9031</v>
      </c>
      <c r="C2004" t="s">
        <v>3551</v>
      </c>
      <c r="D2004" t="s">
        <v>134</v>
      </c>
      <c r="E2004" t="s">
        <v>614</v>
      </c>
      <c r="F2004" t="s">
        <v>3552</v>
      </c>
      <c r="G2004" t="str">
        <f>"201511043261"</f>
        <v>201511043261</v>
      </c>
      <c r="H2004" t="s">
        <v>1105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0</v>
      </c>
      <c r="P2004">
        <v>0</v>
      </c>
      <c r="Q2004">
        <v>0</v>
      </c>
      <c r="T2004">
        <v>0</v>
      </c>
      <c r="U2004" t="s">
        <v>1105</v>
      </c>
    </row>
    <row r="2005" spans="1:21" x14ac:dyDescent="0.25">
      <c r="H2005" t="s">
        <v>3553</v>
      </c>
    </row>
    <row r="2006" spans="1:21" x14ac:dyDescent="0.25">
      <c r="A2006">
        <v>1000</v>
      </c>
      <c r="B2006">
        <v>8328</v>
      </c>
      <c r="C2006" t="s">
        <v>3554</v>
      </c>
      <c r="D2006" t="s">
        <v>64</v>
      </c>
      <c r="E2006" t="s">
        <v>42</v>
      </c>
      <c r="F2006" t="s">
        <v>3555</v>
      </c>
      <c r="G2006" t="str">
        <f>"00037225"</f>
        <v>00037225</v>
      </c>
      <c r="H2006" t="s">
        <v>1105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0</v>
      </c>
      <c r="O2006">
        <v>0</v>
      </c>
      <c r="P2006">
        <v>0</v>
      </c>
      <c r="Q2006">
        <v>0</v>
      </c>
      <c r="T2006">
        <v>0</v>
      </c>
      <c r="U2006" t="s">
        <v>1105</v>
      </c>
    </row>
    <row r="2007" spans="1:21" x14ac:dyDescent="0.25">
      <c r="H2007" t="s">
        <v>3556</v>
      </c>
    </row>
    <row r="2008" spans="1:21" x14ac:dyDescent="0.25">
      <c r="A2008">
        <v>1001</v>
      </c>
      <c r="B2008">
        <v>6318</v>
      </c>
      <c r="C2008" t="s">
        <v>659</v>
      </c>
      <c r="D2008" t="s">
        <v>154</v>
      </c>
      <c r="E2008" t="s">
        <v>37</v>
      </c>
      <c r="F2008" t="s">
        <v>3557</v>
      </c>
      <c r="G2008" t="str">
        <f>"201512003315"</f>
        <v>201512003315</v>
      </c>
      <c r="H2008" t="s">
        <v>1105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0</v>
      </c>
      <c r="O2008">
        <v>0</v>
      </c>
      <c r="P2008">
        <v>0</v>
      </c>
      <c r="Q2008">
        <v>0</v>
      </c>
      <c r="T2008">
        <v>0</v>
      </c>
      <c r="U2008" t="s">
        <v>1105</v>
      </c>
    </row>
    <row r="2009" spans="1:21" x14ac:dyDescent="0.25">
      <c r="H2009" t="s">
        <v>3558</v>
      </c>
    </row>
    <row r="2010" spans="1:21" x14ac:dyDescent="0.25">
      <c r="A2010">
        <v>1002</v>
      </c>
      <c r="B2010">
        <v>8685</v>
      </c>
      <c r="C2010" t="s">
        <v>3559</v>
      </c>
      <c r="D2010" t="s">
        <v>692</v>
      </c>
      <c r="E2010" t="s">
        <v>135</v>
      </c>
      <c r="F2010" t="s">
        <v>3560</v>
      </c>
      <c r="G2010" t="str">
        <f>"201511040009"</f>
        <v>201511040009</v>
      </c>
      <c r="H2010" t="s">
        <v>1105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0</v>
      </c>
      <c r="P2010">
        <v>0</v>
      </c>
      <c r="Q2010">
        <v>0</v>
      </c>
      <c r="T2010">
        <v>0</v>
      </c>
      <c r="U2010" t="s">
        <v>1105</v>
      </c>
    </row>
    <row r="2011" spans="1:21" x14ac:dyDescent="0.25">
      <c r="H2011" t="s">
        <v>89</v>
      </c>
    </row>
    <row r="2012" spans="1:21" x14ac:dyDescent="0.25">
      <c r="A2012">
        <v>1003</v>
      </c>
      <c r="B2012">
        <v>5185</v>
      </c>
      <c r="C2012" t="s">
        <v>3561</v>
      </c>
      <c r="D2012" t="s">
        <v>3562</v>
      </c>
      <c r="E2012" t="s">
        <v>155</v>
      </c>
      <c r="F2012" t="s">
        <v>3563</v>
      </c>
      <c r="G2012" t="str">
        <f>"00023535"</f>
        <v>00023535</v>
      </c>
      <c r="H2012" t="s">
        <v>1105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0</v>
      </c>
      <c r="O2012">
        <v>0</v>
      </c>
      <c r="P2012">
        <v>0</v>
      </c>
      <c r="Q2012">
        <v>0</v>
      </c>
      <c r="T2012">
        <v>0</v>
      </c>
      <c r="U2012" t="s">
        <v>1105</v>
      </c>
    </row>
    <row r="2013" spans="1:21" x14ac:dyDescent="0.25">
      <c r="H2013" t="s">
        <v>3564</v>
      </c>
    </row>
    <row r="2014" spans="1:21" x14ac:dyDescent="0.25">
      <c r="A2014">
        <v>1004</v>
      </c>
      <c r="B2014">
        <v>3280</v>
      </c>
      <c r="C2014" t="s">
        <v>3565</v>
      </c>
      <c r="D2014" t="s">
        <v>1605</v>
      </c>
      <c r="E2014" t="s">
        <v>259</v>
      </c>
      <c r="F2014" t="s">
        <v>3566</v>
      </c>
      <c r="G2014" t="str">
        <f>"00035164"</f>
        <v>00035164</v>
      </c>
      <c r="H2014" t="s">
        <v>3567</v>
      </c>
      <c r="I2014">
        <v>150</v>
      </c>
      <c r="J2014">
        <v>0</v>
      </c>
      <c r="K2014">
        <v>0</v>
      </c>
      <c r="L2014">
        <v>0</v>
      </c>
      <c r="M2014">
        <v>0</v>
      </c>
      <c r="N2014">
        <v>0</v>
      </c>
      <c r="O2014">
        <v>0</v>
      </c>
      <c r="P2014">
        <v>0</v>
      </c>
      <c r="Q2014">
        <v>0</v>
      </c>
      <c r="T2014">
        <v>2</v>
      </c>
      <c r="U2014" t="s">
        <v>3568</v>
      </c>
    </row>
    <row r="2015" spans="1:21" x14ac:dyDescent="0.25">
      <c r="H2015" t="s">
        <v>3569</v>
      </c>
    </row>
    <row r="2016" spans="1:21" x14ac:dyDescent="0.25">
      <c r="A2016">
        <v>1005</v>
      </c>
      <c r="B2016">
        <v>9245</v>
      </c>
      <c r="C2016" t="s">
        <v>3570</v>
      </c>
      <c r="D2016" t="s">
        <v>1182</v>
      </c>
      <c r="E2016" t="s">
        <v>259</v>
      </c>
      <c r="F2016" t="s">
        <v>3571</v>
      </c>
      <c r="G2016" t="str">
        <f>"00037260"</f>
        <v>00037260</v>
      </c>
      <c r="H2016" t="s">
        <v>3572</v>
      </c>
      <c r="I2016">
        <v>0</v>
      </c>
      <c r="J2016">
        <v>50</v>
      </c>
      <c r="K2016">
        <v>0</v>
      </c>
      <c r="L2016">
        <v>0</v>
      </c>
      <c r="M2016">
        <v>0</v>
      </c>
      <c r="N2016">
        <v>0</v>
      </c>
      <c r="O2016">
        <v>0</v>
      </c>
      <c r="P2016">
        <v>0</v>
      </c>
      <c r="Q2016">
        <v>0</v>
      </c>
      <c r="T2016">
        <v>0</v>
      </c>
      <c r="U2016" t="s">
        <v>3573</v>
      </c>
    </row>
    <row r="2017" spans="1:21" x14ac:dyDescent="0.25">
      <c r="H2017" t="s">
        <v>3574</v>
      </c>
    </row>
    <row r="2018" spans="1:21" x14ac:dyDescent="0.25">
      <c r="A2018">
        <v>1006</v>
      </c>
      <c r="B2018">
        <v>223</v>
      </c>
      <c r="C2018" t="s">
        <v>3575</v>
      </c>
      <c r="D2018" t="s">
        <v>122</v>
      </c>
      <c r="E2018" t="s">
        <v>37</v>
      </c>
      <c r="F2018" t="s">
        <v>3576</v>
      </c>
      <c r="G2018" t="str">
        <f>"201510001111"</f>
        <v>201510001111</v>
      </c>
      <c r="H2018" t="s">
        <v>1553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0</v>
      </c>
      <c r="O2018">
        <v>0</v>
      </c>
      <c r="P2018">
        <v>0</v>
      </c>
      <c r="Q2018">
        <v>0</v>
      </c>
      <c r="T2018">
        <v>0</v>
      </c>
      <c r="U2018" t="s">
        <v>1553</v>
      </c>
    </row>
    <row r="2019" spans="1:21" x14ac:dyDescent="0.25">
      <c r="H2019" t="s">
        <v>3577</v>
      </c>
    </row>
    <row r="2020" spans="1:21" x14ac:dyDescent="0.25">
      <c r="A2020">
        <v>1007</v>
      </c>
      <c r="B2020">
        <v>2301</v>
      </c>
      <c r="C2020" t="s">
        <v>3578</v>
      </c>
      <c r="D2020" t="s">
        <v>1463</v>
      </c>
      <c r="E2020" t="s">
        <v>3579</v>
      </c>
      <c r="F2020" t="s">
        <v>3580</v>
      </c>
      <c r="G2020" t="str">
        <f>"201511027151"</f>
        <v>201511027151</v>
      </c>
      <c r="H2020" t="s">
        <v>1553</v>
      </c>
      <c r="I2020">
        <v>0</v>
      </c>
      <c r="J2020">
        <v>0</v>
      </c>
      <c r="K2020">
        <v>0</v>
      </c>
      <c r="L2020">
        <v>0</v>
      </c>
      <c r="M2020">
        <v>0</v>
      </c>
      <c r="N2020">
        <v>0</v>
      </c>
      <c r="O2020">
        <v>0</v>
      </c>
      <c r="P2020">
        <v>0</v>
      </c>
      <c r="Q2020">
        <v>0</v>
      </c>
      <c r="T2020">
        <v>0</v>
      </c>
      <c r="U2020" t="s">
        <v>1553</v>
      </c>
    </row>
    <row r="2021" spans="1:21" x14ac:dyDescent="0.25">
      <c r="H2021" t="s">
        <v>3581</v>
      </c>
    </row>
    <row r="2022" spans="1:21" x14ac:dyDescent="0.25">
      <c r="A2022">
        <v>1008</v>
      </c>
      <c r="B2022">
        <v>3893</v>
      </c>
      <c r="C2022" t="s">
        <v>3582</v>
      </c>
      <c r="D2022" t="s">
        <v>64</v>
      </c>
      <c r="E2022" t="s">
        <v>366</v>
      </c>
      <c r="F2022" t="s">
        <v>3583</v>
      </c>
      <c r="G2022" t="str">
        <f>"00084934"</f>
        <v>00084934</v>
      </c>
      <c r="H2022" t="s">
        <v>1553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0</v>
      </c>
      <c r="O2022">
        <v>0</v>
      </c>
      <c r="P2022">
        <v>0</v>
      </c>
      <c r="Q2022">
        <v>0</v>
      </c>
      <c r="T2022">
        <v>3</v>
      </c>
      <c r="U2022" t="s">
        <v>1553</v>
      </c>
    </row>
    <row r="2023" spans="1:21" x14ac:dyDescent="0.25">
      <c r="H2023" t="s">
        <v>3584</v>
      </c>
    </row>
    <row r="2024" spans="1:21" x14ac:dyDescent="0.25">
      <c r="A2024">
        <v>1009</v>
      </c>
      <c r="B2024">
        <v>4420</v>
      </c>
      <c r="C2024" t="s">
        <v>3585</v>
      </c>
      <c r="D2024" t="s">
        <v>128</v>
      </c>
      <c r="E2024" t="s">
        <v>36</v>
      </c>
      <c r="F2024" t="s">
        <v>3586</v>
      </c>
      <c r="G2024" t="str">
        <f>"201511019031"</f>
        <v>201511019031</v>
      </c>
      <c r="H2024" t="s">
        <v>1553</v>
      </c>
      <c r="I2024">
        <v>0</v>
      </c>
      <c r="J2024">
        <v>0</v>
      </c>
      <c r="K2024">
        <v>0</v>
      </c>
      <c r="L2024">
        <v>0</v>
      </c>
      <c r="M2024">
        <v>0</v>
      </c>
      <c r="N2024">
        <v>0</v>
      </c>
      <c r="O2024">
        <v>0</v>
      </c>
      <c r="P2024">
        <v>0</v>
      </c>
      <c r="Q2024">
        <v>0</v>
      </c>
      <c r="T2024">
        <v>0</v>
      </c>
      <c r="U2024" t="s">
        <v>1553</v>
      </c>
    </row>
    <row r="2025" spans="1:21" x14ac:dyDescent="0.25">
      <c r="H2025" t="s">
        <v>3587</v>
      </c>
    </row>
    <row r="2026" spans="1:21" x14ac:dyDescent="0.25">
      <c r="A2026">
        <v>1010</v>
      </c>
      <c r="B2026">
        <v>356</v>
      </c>
      <c r="C2026" t="s">
        <v>3588</v>
      </c>
      <c r="D2026" t="s">
        <v>64</v>
      </c>
      <c r="E2026" t="s">
        <v>79</v>
      </c>
      <c r="F2026" t="s">
        <v>3589</v>
      </c>
      <c r="G2026" t="str">
        <f>"201511034818"</f>
        <v>201511034818</v>
      </c>
      <c r="H2026">
        <v>825</v>
      </c>
      <c r="I2026">
        <v>0</v>
      </c>
      <c r="J2026">
        <v>30</v>
      </c>
      <c r="K2026">
        <v>0</v>
      </c>
      <c r="L2026">
        <v>0</v>
      </c>
      <c r="M2026">
        <v>50</v>
      </c>
      <c r="N2026">
        <v>0</v>
      </c>
      <c r="O2026">
        <v>0</v>
      </c>
      <c r="P2026">
        <v>0</v>
      </c>
      <c r="Q2026">
        <v>0</v>
      </c>
      <c r="T2026">
        <v>0</v>
      </c>
      <c r="U2026">
        <v>905</v>
      </c>
    </row>
    <row r="2027" spans="1:21" x14ac:dyDescent="0.25">
      <c r="H2027" t="s">
        <v>3590</v>
      </c>
    </row>
    <row r="2028" spans="1:21" x14ac:dyDescent="0.25">
      <c r="A2028">
        <v>1011</v>
      </c>
      <c r="B2028">
        <v>10021</v>
      </c>
      <c r="C2028" t="s">
        <v>3591</v>
      </c>
      <c r="D2028" t="s">
        <v>372</v>
      </c>
      <c r="E2028" t="s">
        <v>231</v>
      </c>
      <c r="F2028" t="s">
        <v>3592</v>
      </c>
      <c r="G2028" t="str">
        <f>"201511019375"</f>
        <v>201511019375</v>
      </c>
      <c r="H2028" t="s">
        <v>3593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0</v>
      </c>
      <c r="P2028">
        <v>0</v>
      </c>
      <c r="Q2028">
        <v>0</v>
      </c>
      <c r="T2028">
        <v>0</v>
      </c>
      <c r="U2028" t="s">
        <v>3593</v>
      </c>
    </row>
    <row r="2029" spans="1:21" x14ac:dyDescent="0.25">
      <c r="H2029" t="s">
        <v>3594</v>
      </c>
    </row>
    <row r="2030" spans="1:21" x14ac:dyDescent="0.25">
      <c r="A2030">
        <v>1012</v>
      </c>
      <c r="B2030">
        <v>8024</v>
      </c>
      <c r="C2030" t="s">
        <v>3595</v>
      </c>
      <c r="D2030" t="s">
        <v>36</v>
      </c>
      <c r="E2030" t="s">
        <v>614</v>
      </c>
      <c r="F2030" t="s">
        <v>3596</v>
      </c>
      <c r="G2030" t="str">
        <f>"00032245"</f>
        <v>00032245</v>
      </c>
      <c r="H2030">
        <v>902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0</v>
      </c>
      <c r="O2030">
        <v>0</v>
      </c>
      <c r="P2030">
        <v>0</v>
      </c>
      <c r="Q2030">
        <v>0</v>
      </c>
      <c r="T2030">
        <v>1</v>
      </c>
      <c r="U2030">
        <v>902</v>
      </c>
    </row>
    <row r="2031" spans="1:21" x14ac:dyDescent="0.25">
      <c r="H2031">
        <v>756</v>
      </c>
    </row>
    <row r="2032" spans="1:21" x14ac:dyDescent="0.25">
      <c r="A2032">
        <v>1013</v>
      </c>
      <c r="B2032">
        <v>6860</v>
      </c>
      <c r="C2032" t="s">
        <v>2233</v>
      </c>
      <c r="D2032" t="s">
        <v>64</v>
      </c>
      <c r="E2032" t="s">
        <v>27</v>
      </c>
      <c r="F2032" t="s">
        <v>3597</v>
      </c>
      <c r="G2032" t="str">
        <f>"00020212"</f>
        <v>00020212</v>
      </c>
      <c r="H2032">
        <v>902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0</v>
      </c>
      <c r="O2032">
        <v>0</v>
      </c>
      <c r="P2032">
        <v>0</v>
      </c>
      <c r="Q2032">
        <v>0</v>
      </c>
      <c r="T2032">
        <v>0</v>
      </c>
      <c r="U2032">
        <v>902</v>
      </c>
    </row>
    <row r="2033" spans="1:21" x14ac:dyDescent="0.25">
      <c r="H2033" t="s">
        <v>3598</v>
      </c>
    </row>
    <row r="2034" spans="1:21" x14ac:dyDescent="0.25">
      <c r="A2034">
        <v>1014</v>
      </c>
      <c r="B2034">
        <v>6997</v>
      </c>
      <c r="C2034" t="s">
        <v>3599</v>
      </c>
      <c r="D2034" t="s">
        <v>36</v>
      </c>
      <c r="E2034" t="s">
        <v>3600</v>
      </c>
      <c r="F2034" t="s">
        <v>3601</v>
      </c>
      <c r="G2034" t="str">
        <f>"00024951"</f>
        <v>00024951</v>
      </c>
      <c r="H2034">
        <v>902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0</v>
      </c>
      <c r="O2034">
        <v>0</v>
      </c>
      <c r="P2034">
        <v>0</v>
      </c>
      <c r="Q2034">
        <v>0</v>
      </c>
      <c r="T2034">
        <v>2</v>
      </c>
      <c r="U2034">
        <v>902</v>
      </c>
    </row>
    <row r="2035" spans="1:21" x14ac:dyDescent="0.25">
      <c r="H2035" t="s">
        <v>3602</v>
      </c>
    </row>
    <row r="2036" spans="1:21" x14ac:dyDescent="0.25">
      <c r="A2036">
        <v>1015</v>
      </c>
      <c r="B2036">
        <v>10184</v>
      </c>
      <c r="C2036" t="s">
        <v>3603</v>
      </c>
      <c r="D2036" t="s">
        <v>3604</v>
      </c>
      <c r="E2036" t="s">
        <v>27</v>
      </c>
      <c r="F2036" t="s">
        <v>3605</v>
      </c>
      <c r="G2036" t="str">
        <f>"201512002710"</f>
        <v>201512002710</v>
      </c>
      <c r="H2036">
        <v>902</v>
      </c>
      <c r="I2036">
        <v>0</v>
      </c>
      <c r="J2036">
        <v>0</v>
      </c>
      <c r="K2036">
        <v>0</v>
      </c>
      <c r="L2036">
        <v>0</v>
      </c>
      <c r="M2036">
        <v>0</v>
      </c>
      <c r="N2036">
        <v>0</v>
      </c>
      <c r="O2036">
        <v>0</v>
      </c>
      <c r="P2036">
        <v>0</v>
      </c>
      <c r="Q2036">
        <v>0</v>
      </c>
      <c r="T2036">
        <v>1</v>
      </c>
      <c r="U2036">
        <v>902</v>
      </c>
    </row>
    <row r="2037" spans="1:21" x14ac:dyDescent="0.25">
      <c r="H2037" t="s">
        <v>3606</v>
      </c>
    </row>
    <row r="2038" spans="1:21" x14ac:dyDescent="0.25">
      <c r="A2038">
        <v>1016</v>
      </c>
      <c r="B2038">
        <v>9450</v>
      </c>
      <c r="C2038" t="s">
        <v>3607</v>
      </c>
      <c r="D2038" t="s">
        <v>50</v>
      </c>
      <c r="E2038" t="s">
        <v>36</v>
      </c>
      <c r="F2038" t="s">
        <v>3608</v>
      </c>
      <c r="G2038" t="str">
        <f>"201511032605"</f>
        <v>201511032605</v>
      </c>
      <c r="H2038" t="s">
        <v>3259</v>
      </c>
      <c r="I2038">
        <v>0</v>
      </c>
      <c r="J2038">
        <v>0</v>
      </c>
      <c r="K2038">
        <v>0</v>
      </c>
      <c r="L2038">
        <v>0</v>
      </c>
      <c r="M2038">
        <v>0</v>
      </c>
      <c r="N2038">
        <v>0</v>
      </c>
      <c r="O2038">
        <v>0</v>
      </c>
      <c r="P2038">
        <v>0</v>
      </c>
      <c r="Q2038">
        <v>0</v>
      </c>
      <c r="T2038">
        <v>0</v>
      </c>
      <c r="U2038" t="s">
        <v>3259</v>
      </c>
    </row>
    <row r="2039" spans="1:21" x14ac:dyDescent="0.25">
      <c r="H2039">
        <v>794</v>
      </c>
    </row>
    <row r="2040" spans="1:21" x14ac:dyDescent="0.25">
      <c r="A2040">
        <v>1017</v>
      </c>
      <c r="B2040">
        <v>8477</v>
      </c>
      <c r="C2040" t="s">
        <v>3609</v>
      </c>
      <c r="D2040" t="s">
        <v>74</v>
      </c>
      <c r="E2040" t="s">
        <v>36</v>
      </c>
      <c r="F2040" t="s">
        <v>3610</v>
      </c>
      <c r="G2040" t="str">
        <f>"00094092"</f>
        <v>00094092</v>
      </c>
      <c r="H2040" t="s">
        <v>1616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0</v>
      </c>
      <c r="O2040">
        <v>0</v>
      </c>
      <c r="P2040">
        <v>0</v>
      </c>
      <c r="Q2040">
        <v>0</v>
      </c>
      <c r="T2040">
        <v>0</v>
      </c>
      <c r="U2040" t="s">
        <v>1616</v>
      </c>
    </row>
    <row r="2041" spans="1:21" x14ac:dyDescent="0.25">
      <c r="H2041" t="s">
        <v>3611</v>
      </c>
    </row>
    <row r="2042" spans="1:21" x14ac:dyDescent="0.25">
      <c r="A2042">
        <v>1018</v>
      </c>
      <c r="B2042">
        <v>7357</v>
      </c>
      <c r="C2042" t="s">
        <v>3612</v>
      </c>
      <c r="D2042" t="s">
        <v>3613</v>
      </c>
      <c r="E2042" t="s">
        <v>259</v>
      </c>
      <c r="F2042" t="s">
        <v>3614</v>
      </c>
      <c r="G2042" t="str">
        <f>"201511025671"</f>
        <v>201511025671</v>
      </c>
      <c r="H2042" t="s">
        <v>1616</v>
      </c>
      <c r="I2042">
        <v>0</v>
      </c>
      <c r="J2042">
        <v>0</v>
      </c>
      <c r="K2042">
        <v>0</v>
      </c>
      <c r="L2042">
        <v>0</v>
      </c>
      <c r="M2042">
        <v>0</v>
      </c>
      <c r="N2042">
        <v>0</v>
      </c>
      <c r="O2042">
        <v>0</v>
      </c>
      <c r="P2042">
        <v>0</v>
      </c>
      <c r="Q2042">
        <v>0</v>
      </c>
      <c r="T2042">
        <v>0</v>
      </c>
      <c r="U2042" t="s">
        <v>1616</v>
      </c>
    </row>
    <row r="2043" spans="1:21" x14ac:dyDescent="0.25">
      <c r="H2043" t="s">
        <v>3615</v>
      </c>
    </row>
    <row r="2044" spans="1:21" x14ac:dyDescent="0.25">
      <c r="A2044">
        <v>1019</v>
      </c>
      <c r="B2044">
        <v>2013</v>
      </c>
      <c r="C2044" t="s">
        <v>3616</v>
      </c>
      <c r="D2044" t="s">
        <v>647</v>
      </c>
      <c r="E2044" t="s">
        <v>27</v>
      </c>
      <c r="F2044" t="s">
        <v>3617</v>
      </c>
      <c r="G2044" t="str">
        <f>"201406005784"</f>
        <v>201406005784</v>
      </c>
      <c r="H2044" t="s">
        <v>3618</v>
      </c>
      <c r="I2044">
        <v>150</v>
      </c>
      <c r="J2044">
        <v>0</v>
      </c>
      <c r="K2044">
        <v>0</v>
      </c>
      <c r="L2044">
        <v>0</v>
      </c>
      <c r="M2044">
        <v>30</v>
      </c>
      <c r="N2044">
        <v>0</v>
      </c>
      <c r="O2044">
        <v>0</v>
      </c>
      <c r="P2044">
        <v>0</v>
      </c>
      <c r="Q2044">
        <v>0</v>
      </c>
      <c r="T2044">
        <v>0</v>
      </c>
      <c r="U2044" t="s">
        <v>3619</v>
      </c>
    </row>
    <row r="2045" spans="1:21" x14ac:dyDescent="0.25">
      <c r="H2045" t="s">
        <v>3620</v>
      </c>
    </row>
    <row r="2046" spans="1:21" x14ac:dyDescent="0.25">
      <c r="A2046">
        <v>1020</v>
      </c>
      <c r="B2046">
        <v>6518</v>
      </c>
      <c r="C2046" t="s">
        <v>3621</v>
      </c>
      <c r="D2046" t="s">
        <v>533</v>
      </c>
      <c r="E2046" t="s">
        <v>191</v>
      </c>
      <c r="F2046" t="s">
        <v>3622</v>
      </c>
      <c r="G2046" t="str">
        <f>"201511029389"</f>
        <v>201511029389</v>
      </c>
      <c r="H2046" t="s">
        <v>3623</v>
      </c>
      <c r="I2046">
        <v>150</v>
      </c>
      <c r="J2046">
        <v>0</v>
      </c>
      <c r="K2046">
        <v>0</v>
      </c>
      <c r="L2046">
        <v>0</v>
      </c>
      <c r="M2046">
        <v>0</v>
      </c>
      <c r="N2046">
        <v>0</v>
      </c>
      <c r="O2046">
        <v>0</v>
      </c>
      <c r="P2046">
        <v>0</v>
      </c>
      <c r="Q2046">
        <v>0</v>
      </c>
      <c r="T2046">
        <v>0</v>
      </c>
      <c r="U2046" t="s">
        <v>3624</v>
      </c>
    </row>
    <row r="2047" spans="1:21" x14ac:dyDescent="0.25">
      <c r="H2047" t="s">
        <v>3625</v>
      </c>
    </row>
    <row r="2048" spans="1:21" x14ac:dyDescent="0.25">
      <c r="A2048">
        <v>1021</v>
      </c>
      <c r="B2048">
        <v>4930</v>
      </c>
      <c r="C2048" t="s">
        <v>3626</v>
      </c>
      <c r="D2048" t="s">
        <v>74</v>
      </c>
      <c r="E2048" t="s">
        <v>1132</v>
      </c>
      <c r="F2048" t="s">
        <v>3627</v>
      </c>
      <c r="G2048" t="str">
        <f>"00037359"</f>
        <v>00037359</v>
      </c>
      <c r="H2048">
        <v>869</v>
      </c>
      <c r="I2048">
        <v>0</v>
      </c>
      <c r="J2048">
        <v>30</v>
      </c>
      <c r="K2048">
        <v>0</v>
      </c>
      <c r="L2048">
        <v>0</v>
      </c>
      <c r="M2048">
        <v>0</v>
      </c>
      <c r="N2048">
        <v>0</v>
      </c>
      <c r="O2048">
        <v>0</v>
      </c>
      <c r="P2048">
        <v>0</v>
      </c>
      <c r="Q2048">
        <v>0</v>
      </c>
      <c r="T2048">
        <v>0</v>
      </c>
      <c r="U2048">
        <v>899</v>
      </c>
    </row>
    <row r="2049" spans="1:21" x14ac:dyDescent="0.25">
      <c r="H2049" t="s">
        <v>3628</v>
      </c>
    </row>
    <row r="2050" spans="1:21" x14ac:dyDescent="0.25">
      <c r="A2050">
        <v>1022</v>
      </c>
      <c r="B2050">
        <v>1455</v>
      </c>
      <c r="C2050" t="s">
        <v>3629</v>
      </c>
      <c r="D2050" t="s">
        <v>646</v>
      </c>
      <c r="E2050" t="s">
        <v>3630</v>
      </c>
      <c r="F2050" t="s">
        <v>3631</v>
      </c>
      <c r="G2050" t="str">
        <f>"00034878"</f>
        <v>00034878</v>
      </c>
      <c r="H2050" t="s">
        <v>2721</v>
      </c>
      <c r="I2050">
        <v>0</v>
      </c>
      <c r="J2050">
        <v>70</v>
      </c>
      <c r="K2050">
        <v>0</v>
      </c>
      <c r="L2050">
        <v>0</v>
      </c>
      <c r="M2050">
        <v>0</v>
      </c>
      <c r="N2050">
        <v>0</v>
      </c>
      <c r="O2050">
        <v>0</v>
      </c>
      <c r="P2050">
        <v>0</v>
      </c>
      <c r="Q2050">
        <v>0</v>
      </c>
      <c r="T2050">
        <v>0</v>
      </c>
      <c r="U2050" t="s">
        <v>3632</v>
      </c>
    </row>
    <row r="2051" spans="1:21" x14ac:dyDescent="0.25">
      <c r="H2051" t="s">
        <v>491</v>
      </c>
    </row>
    <row r="2052" spans="1:21" x14ac:dyDescent="0.25">
      <c r="A2052">
        <v>1023</v>
      </c>
      <c r="B2052">
        <v>8336</v>
      </c>
      <c r="C2052" t="s">
        <v>1919</v>
      </c>
      <c r="D2052" t="s">
        <v>313</v>
      </c>
      <c r="E2052" t="s">
        <v>36</v>
      </c>
      <c r="F2052" t="s">
        <v>3633</v>
      </c>
      <c r="G2052" t="str">
        <f>"201511012015"</f>
        <v>201511012015</v>
      </c>
      <c r="H2052" t="s">
        <v>3634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0</v>
      </c>
      <c r="O2052">
        <v>0</v>
      </c>
      <c r="P2052">
        <v>0</v>
      </c>
      <c r="Q2052">
        <v>0</v>
      </c>
      <c r="T2052">
        <v>2</v>
      </c>
      <c r="U2052" t="s">
        <v>3634</v>
      </c>
    </row>
    <row r="2053" spans="1:21" x14ac:dyDescent="0.25">
      <c r="H2053" t="s">
        <v>3635</v>
      </c>
    </row>
    <row r="2054" spans="1:21" x14ac:dyDescent="0.25">
      <c r="A2054">
        <v>1024</v>
      </c>
      <c r="B2054">
        <v>6628</v>
      </c>
      <c r="C2054" t="s">
        <v>3636</v>
      </c>
      <c r="D2054" t="s">
        <v>173</v>
      </c>
      <c r="E2054" t="s">
        <v>259</v>
      </c>
      <c r="F2054" t="s">
        <v>3637</v>
      </c>
      <c r="G2054" t="str">
        <f>"00073326"</f>
        <v>00073326</v>
      </c>
      <c r="H2054" t="s">
        <v>3638</v>
      </c>
      <c r="I2054">
        <v>150</v>
      </c>
      <c r="J2054">
        <v>0</v>
      </c>
      <c r="K2054">
        <v>0</v>
      </c>
      <c r="L2054">
        <v>0</v>
      </c>
      <c r="M2054">
        <v>0</v>
      </c>
      <c r="N2054">
        <v>0</v>
      </c>
      <c r="O2054">
        <v>0</v>
      </c>
      <c r="P2054">
        <v>0</v>
      </c>
      <c r="Q2054">
        <v>0</v>
      </c>
      <c r="T2054">
        <v>0</v>
      </c>
      <c r="U2054" t="s">
        <v>3639</v>
      </c>
    </row>
    <row r="2055" spans="1:21" x14ac:dyDescent="0.25">
      <c r="H2055" t="s">
        <v>3640</v>
      </c>
    </row>
    <row r="2056" spans="1:21" x14ac:dyDescent="0.25">
      <c r="A2056">
        <v>1025</v>
      </c>
      <c r="B2056">
        <v>7392</v>
      </c>
      <c r="C2056" t="s">
        <v>3641</v>
      </c>
      <c r="D2056" t="s">
        <v>116</v>
      </c>
      <c r="E2056" t="s">
        <v>65</v>
      </c>
      <c r="F2056" t="s">
        <v>3642</v>
      </c>
      <c r="G2056" t="str">
        <f>"201502001991"</f>
        <v>201502001991</v>
      </c>
      <c r="H2056" t="s">
        <v>3643</v>
      </c>
      <c r="I2056">
        <v>0</v>
      </c>
      <c r="J2056">
        <v>30</v>
      </c>
      <c r="K2056">
        <v>0</v>
      </c>
      <c r="L2056">
        <v>0</v>
      </c>
      <c r="M2056">
        <v>0</v>
      </c>
      <c r="N2056">
        <v>0</v>
      </c>
      <c r="O2056">
        <v>0</v>
      </c>
      <c r="P2056">
        <v>0</v>
      </c>
      <c r="Q2056">
        <v>0</v>
      </c>
      <c r="R2056">
        <v>6</v>
      </c>
      <c r="S2056">
        <v>804</v>
      </c>
      <c r="T2056">
        <v>0</v>
      </c>
      <c r="U2056" t="s">
        <v>3644</v>
      </c>
    </row>
    <row r="2057" spans="1:21" x14ac:dyDescent="0.25">
      <c r="H2057" t="s">
        <v>507</v>
      </c>
    </row>
    <row r="2058" spans="1:21" x14ac:dyDescent="0.25">
      <c r="A2058">
        <v>1026</v>
      </c>
      <c r="B2058">
        <v>7225</v>
      </c>
      <c r="C2058" t="s">
        <v>253</v>
      </c>
      <c r="D2058" t="s">
        <v>313</v>
      </c>
      <c r="E2058" t="s">
        <v>474</v>
      </c>
      <c r="F2058" t="s">
        <v>3645</v>
      </c>
      <c r="G2058" t="str">
        <f>"00029338"</f>
        <v>00029338</v>
      </c>
      <c r="H2058" t="s">
        <v>1655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0</v>
      </c>
      <c r="O2058">
        <v>0</v>
      </c>
      <c r="P2058">
        <v>0</v>
      </c>
      <c r="Q2058">
        <v>0</v>
      </c>
      <c r="T2058">
        <v>0</v>
      </c>
      <c r="U2058" t="s">
        <v>1655</v>
      </c>
    </row>
    <row r="2059" spans="1:21" x14ac:dyDescent="0.25">
      <c r="H2059" t="s">
        <v>3646</v>
      </c>
    </row>
    <row r="2060" spans="1:21" x14ac:dyDescent="0.25">
      <c r="A2060">
        <v>1027</v>
      </c>
      <c r="B2060">
        <v>8257</v>
      </c>
      <c r="C2060" t="s">
        <v>3647</v>
      </c>
      <c r="D2060" t="s">
        <v>64</v>
      </c>
      <c r="E2060" t="s">
        <v>37</v>
      </c>
      <c r="F2060" t="s">
        <v>3648</v>
      </c>
      <c r="G2060" t="str">
        <f>"00043103"</f>
        <v>00043103</v>
      </c>
      <c r="H2060" t="s">
        <v>1655</v>
      </c>
      <c r="I2060">
        <v>0</v>
      </c>
      <c r="J2060">
        <v>0</v>
      </c>
      <c r="K2060">
        <v>0</v>
      </c>
      <c r="L2060">
        <v>0</v>
      </c>
      <c r="M2060">
        <v>0</v>
      </c>
      <c r="N2060">
        <v>0</v>
      </c>
      <c r="O2060">
        <v>0</v>
      </c>
      <c r="P2060">
        <v>0</v>
      </c>
      <c r="Q2060">
        <v>0</v>
      </c>
      <c r="T2060">
        <v>0</v>
      </c>
      <c r="U2060" t="s">
        <v>1655</v>
      </c>
    </row>
    <row r="2061" spans="1:21" x14ac:dyDescent="0.25">
      <c r="H2061" t="s">
        <v>3649</v>
      </c>
    </row>
    <row r="2062" spans="1:21" x14ac:dyDescent="0.25">
      <c r="A2062">
        <v>1028</v>
      </c>
      <c r="B2062">
        <v>3101</v>
      </c>
      <c r="C2062" t="s">
        <v>3650</v>
      </c>
      <c r="D2062" t="s">
        <v>64</v>
      </c>
      <c r="E2062" t="s">
        <v>112</v>
      </c>
      <c r="F2062" t="s">
        <v>3651</v>
      </c>
      <c r="G2062" t="str">
        <f>"00022199"</f>
        <v>00022199</v>
      </c>
      <c r="H2062" t="s">
        <v>1655</v>
      </c>
      <c r="I2062">
        <v>0</v>
      </c>
      <c r="J2062">
        <v>0</v>
      </c>
      <c r="K2062">
        <v>0</v>
      </c>
      <c r="L2062">
        <v>0</v>
      </c>
      <c r="M2062">
        <v>0</v>
      </c>
      <c r="N2062">
        <v>0</v>
      </c>
      <c r="O2062">
        <v>0</v>
      </c>
      <c r="P2062">
        <v>0</v>
      </c>
      <c r="Q2062">
        <v>0</v>
      </c>
      <c r="T2062">
        <v>0</v>
      </c>
      <c r="U2062" t="s">
        <v>1655</v>
      </c>
    </row>
    <row r="2063" spans="1:21" x14ac:dyDescent="0.25">
      <c r="H2063" t="s">
        <v>3652</v>
      </c>
    </row>
    <row r="2064" spans="1:21" x14ac:dyDescent="0.25">
      <c r="A2064">
        <v>1029</v>
      </c>
      <c r="B2064">
        <v>10087</v>
      </c>
      <c r="C2064" t="s">
        <v>3653</v>
      </c>
      <c r="D2064" t="s">
        <v>57</v>
      </c>
      <c r="E2064" t="s">
        <v>36</v>
      </c>
      <c r="F2064" t="s">
        <v>3654</v>
      </c>
      <c r="G2064" t="str">
        <f>"00028673"</f>
        <v>00028673</v>
      </c>
      <c r="H2064" t="s">
        <v>1655</v>
      </c>
      <c r="I2064">
        <v>0</v>
      </c>
      <c r="J2064">
        <v>0</v>
      </c>
      <c r="K2064">
        <v>0</v>
      </c>
      <c r="L2064">
        <v>0</v>
      </c>
      <c r="M2064">
        <v>0</v>
      </c>
      <c r="N2064">
        <v>0</v>
      </c>
      <c r="O2064">
        <v>0</v>
      </c>
      <c r="P2064">
        <v>0</v>
      </c>
      <c r="Q2064">
        <v>0</v>
      </c>
      <c r="T2064">
        <v>0</v>
      </c>
      <c r="U2064" t="s">
        <v>1655</v>
      </c>
    </row>
    <row r="2065" spans="1:21" x14ac:dyDescent="0.25">
      <c r="H2065" t="s">
        <v>3655</v>
      </c>
    </row>
    <row r="2066" spans="1:21" x14ac:dyDescent="0.25">
      <c r="A2066">
        <v>1030</v>
      </c>
      <c r="B2066">
        <v>9200</v>
      </c>
      <c r="C2066" t="s">
        <v>3656</v>
      </c>
      <c r="D2066" t="s">
        <v>835</v>
      </c>
      <c r="E2066" t="s">
        <v>764</v>
      </c>
      <c r="F2066" t="s">
        <v>3657</v>
      </c>
      <c r="G2066" t="str">
        <f>"00036303"</f>
        <v>00036303</v>
      </c>
      <c r="H2066" t="s">
        <v>1655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0</v>
      </c>
      <c r="O2066">
        <v>0</v>
      </c>
      <c r="P2066">
        <v>0</v>
      </c>
      <c r="Q2066">
        <v>0</v>
      </c>
      <c r="T2066">
        <v>0</v>
      </c>
      <c r="U2066" t="s">
        <v>1655</v>
      </c>
    </row>
    <row r="2067" spans="1:21" x14ac:dyDescent="0.25">
      <c r="H2067" t="s">
        <v>3658</v>
      </c>
    </row>
    <row r="2068" spans="1:21" x14ac:dyDescent="0.25">
      <c r="A2068">
        <v>1031</v>
      </c>
      <c r="B2068">
        <v>4444</v>
      </c>
      <c r="C2068" t="s">
        <v>3659</v>
      </c>
      <c r="D2068" t="s">
        <v>589</v>
      </c>
      <c r="E2068" t="s">
        <v>36</v>
      </c>
      <c r="F2068" t="s">
        <v>3660</v>
      </c>
      <c r="G2068" t="str">
        <f>"201511028538"</f>
        <v>201511028538</v>
      </c>
      <c r="H2068" t="s">
        <v>1655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0</v>
      </c>
      <c r="O2068">
        <v>0</v>
      </c>
      <c r="P2068">
        <v>0</v>
      </c>
      <c r="Q2068">
        <v>0</v>
      </c>
      <c r="T2068">
        <v>2</v>
      </c>
      <c r="U2068" t="s">
        <v>1655</v>
      </c>
    </row>
    <row r="2069" spans="1:21" x14ac:dyDescent="0.25">
      <c r="H2069" t="s">
        <v>3661</v>
      </c>
    </row>
    <row r="2070" spans="1:21" x14ac:dyDescent="0.25">
      <c r="A2070">
        <v>1032</v>
      </c>
      <c r="B2070">
        <v>2780</v>
      </c>
      <c r="C2070" t="s">
        <v>3662</v>
      </c>
      <c r="D2070" t="s">
        <v>95</v>
      </c>
      <c r="E2070" t="s">
        <v>449</v>
      </c>
      <c r="F2070" t="s">
        <v>3663</v>
      </c>
      <c r="G2070" t="str">
        <f>"201511022809"</f>
        <v>201511022809</v>
      </c>
      <c r="H2070" t="s">
        <v>1655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0</v>
      </c>
      <c r="O2070">
        <v>0</v>
      </c>
      <c r="P2070">
        <v>0</v>
      </c>
      <c r="Q2070">
        <v>0</v>
      </c>
      <c r="T2070">
        <v>0</v>
      </c>
      <c r="U2070" t="s">
        <v>1655</v>
      </c>
    </row>
    <row r="2071" spans="1:21" x14ac:dyDescent="0.25">
      <c r="H2071" t="s">
        <v>3664</v>
      </c>
    </row>
    <row r="2072" spans="1:21" x14ac:dyDescent="0.25">
      <c r="A2072">
        <v>1033</v>
      </c>
      <c r="B2072">
        <v>3886</v>
      </c>
      <c r="C2072" t="s">
        <v>3665</v>
      </c>
      <c r="D2072" t="s">
        <v>173</v>
      </c>
      <c r="E2072" t="s">
        <v>533</v>
      </c>
      <c r="F2072" t="s">
        <v>3666</v>
      </c>
      <c r="G2072" t="str">
        <f>"00021367"</f>
        <v>00021367</v>
      </c>
      <c r="H2072" t="s">
        <v>1655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0</v>
      </c>
      <c r="O2072">
        <v>0</v>
      </c>
      <c r="P2072">
        <v>0</v>
      </c>
      <c r="Q2072">
        <v>0</v>
      </c>
      <c r="T2072">
        <v>0</v>
      </c>
      <c r="U2072" t="s">
        <v>1655</v>
      </c>
    </row>
    <row r="2073" spans="1:21" x14ac:dyDescent="0.25">
      <c r="H2073" t="s">
        <v>3667</v>
      </c>
    </row>
    <row r="2074" spans="1:21" x14ac:dyDescent="0.25">
      <c r="A2074">
        <v>1034</v>
      </c>
      <c r="B2074">
        <v>10096</v>
      </c>
      <c r="C2074" t="s">
        <v>3668</v>
      </c>
      <c r="D2074" t="s">
        <v>95</v>
      </c>
      <c r="E2074" t="s">
        <v>1501</v>
      </c>
      <c r="F2074" t="s">
        <v>3669</v>
      </c>
      <c r="G2074" t="str">
        <f>"00022505"</f>
        <v>00022505</v>
      </c>
      <c r="H2074" t="s">
        <v>1655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0</v>
      </c>
      <c r="O2074">
        <v>0</v>
      </c>
      <c r="P2074">
        <v>0</v>
      </c>
      <c r="Q2074">
        <v>0</v>
      </c>
      <c r="T2074">
        <v>0</v>
      </c>
      <c r="U2074" t="s">
        <v>1655</v>
      </c>
    </row>
    <row r="2075" spans="1:21" x14ac:dyDescent="0.25">
      <c r="H2075" t="s">
        <v>471</v>
      </c>
    </row>
    <row r="2076" spans="1:21" x14ac:dyDescent="0.25">
      <c r="A2076">
        <v>1035</v>
      </c>
      <c r="B2076">
        <v>5667</v>
      </c>
      <c r="C2076" t="s">
        <v>3670</v>
      </c>
      <c r="D2076" t="s">
        <v>135</v>
      </c>
      <c r="E2076" t="s">
        <v>259</v>
      </c>
      <c r="F2076" t="s">
        <v>3671</v>
      </c>
      <c r="G2076" t="str">
        <f>"201511039286"</f>
        <v>201511039286</v>
      </c>
      <c r="H2076" t="s">
        <v>1655</v>
      </c>
      <c r="I2076">
        <v>0</v>
      </c>
      <c r="J2076">
        <v>0</v>
      </c>
      <c r="K2076">
        <v>0</v>
      </c>
      <c r="L2076">
        <v>0</v>
      </c>
      <c r="M2076">
        <v>0</v>
      </c>
      <c r="N2076">
        <v>0</v>
      </c>
      <c r="O2076">
        <v>0</v>
      </c>
      <c r="P2076">
        <v>0</v>
      </c>
      <c r="Q2076">
        <v>0</v>
      </c>
      <c r="T2076">
        <v>2</v>
      </c>
      <c r="U2076" t="s">
        <v>1655</v>
      </c>
    </row>
    <row r="2077" spans="1:21" x14ac:dyDescent="0.25">
      <c r="H2077" t="s">
        <v>3325</v>
      </c>
    </row>
    <row r="2078" spans="1:21" x14ac:dyDescent="0.25">
      <c r="A2078">
        <v>1036</v>
      </c>
      <c r="B2078">
        <v>274</v>
      </c>
      <c r="C2078" t="s">
        <v>163</v>
      </c>
      <c r="D2078" t="s">
        <v>3672</v>
      </c>
      <c r="E2078" t="s">
        <v>614</v>
      </c>
      <c r="F2078" t="s">
        <v>3673</v>
      </c>
      <c r="G2078" t="str">
        <f>"201502002103"</f>
        <v>201502002103</v>
      </c>
      <c r="H2078" t="s">
        <v>1655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0</v>
      </c>
      <c r="O2078">
        <v>0</v>
      </c>
      <c r="P2078">
        <v>0</v>
      </c>
      <c r="Q2078">
        <v>0</v>
      </c>
      <c r="T2078">
        <v>0</v>
      </c>
      <c r="U2078" t="s">
        <v>1655</v>
      </c>
    </row>
    <row r="2079" spans="1:21" x14ac:dyDescent="0.25">
      <c r="H2079" t="s">
        <v>3674</v>
      </c>
    </row>
    <row r="2080" spans="1:21" x14ac:dyDescent="0.25">
      <c r="A2080">
        <v>1037</v>
      </c>
      <c r="B2080">
        <v>9736</v>
      </c>
      <c r="C2080" t="s">
        <v>3675</v>
      </c>
      <c r="D2080" t="s">
        <v>173</v>
      </c>
      <c r="E2080" t="s">
        <v>3676</v>
      </c>
      <c r="F2080" t="s">
        <v>3677</v>
      </c>
      <c r="G2080" t="str">
        <f>"201511018458"</f>
        <v>201511018458</v>
      </c>
      <c r="H2080" t="s">
        <v>3678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0</v>
      </c>
      <c r="O2080">
        <v>0</v>
      </c>
      <c r="P2080">
        <v>0</v>
      </c>
      <c r="Q2080">
        <v>0</v>
      </c>
      <c r="T2080">
        <v>1</v>
      </c>
      <c r="U2080" t="s">
        <v>3678</v>
      </c>
    </row>
    <row r="2081" spans="1:21" x14ac:dyDescent="0.25">
      <c r="H2081" t="s">
        <v>3679</v>
      </c>
    </row>
    <row r="2082" spans="1:21" x14ac:dyDescent="0.25">
      <c r="A2082">
        <v>1038</v>
      </c>
      <c r="B2082">
        <v>1792</v>
      </c>
      <c r="C2082" t="s">
        <v>3680</v>
      </c>
      <c r="D2082" t="s">
        <v>313</v>
      </c>
      <c r="E2082" t="s">
        <v>122</v>
      </c>
      <c r="F2082" t="s">
        <v>3681</v>
      </c>
      <c r="G2082" t="str">
        <f>"201511037313"</f>
        <v>201511037313</v>
      </c>
      <c r="H2082" t="s">
        <v>3678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0</v>
      </c>
      <c r="O2082">
        <v>0</v>
      </c>
      <c r="P2082">
        <v>0</v>
      </c>
      <c r="Q2082">
        <v>0</v>
      </c>
      <c r="T2082">
        <v>0</v>
      </c>
      <c r="U2082" t="s">
        <v>3678</v>
      </c>
    </row>
    <row r="2083" spans="1:21" x14ac:dyDescent="0.25">
      <c r="H2083" t="s">
        <v>3682</v>
      </c>
    </row>
    <row r="2084" spans="1:21" x14ac:dyDescent="0.25">
      <c r="A2084">
        <v>1039</v>
      </c>
      <c r="B2084">
        <v>5725</v>
      </c>
      <c r="C2084" t="s">
        <v>3683</v>
      </c>
      <c r="D2084" t="s">
        <v>64</v>
      </c>
      <c r="E2084" t="s">
        <v>36</v>
      </c>
      <c r="F2084" t="s">
        <v>3684</v>
      </c>
      <c r="G2084" t="str">
        <f>"00082975"</f>
        <v>00082975</v>
      </c>
      <c r="H2084" t="s">
        <v>3678</v>
      </c>
      <c r="I2084">
        <v>0</v>
      </c>
      <c r="J2084">
        <v>0</v>
      </c>
      <c r="K2084">
        <v>0</v>
      </c>
      <c r="L2084">
        <v>0</v>
      </c>
      <c r="M2084">
        <v>0</v>
      </c>
      <c r="N2084">
        <v>0</v>
      </c>
      <c r="O2084">
        <v>0</v>
      </c>
      <c r="P2084">
        <v>0</v>
      </c>
      <c r="Q2084">
        <v>0</v>
      </c>
      <c r="T2084">
        <v>0</v>
      </c>
      <c r="U2084" t="s">
        <v>3678</v>
      </c>
    </row>
    <row r="2085" spans="1:21" x14ac:dyDescent="0.25">
      <c r="H2085" t="s">
        <v>3685</v>
      </c>
    </row>
    <row r="2086" spans="1:21" x14ac:dyDescent="0.25">
      <c r="A2086">
        <v>1040</v>
      </c>
      <c r="B2086">
        <v>7818</v>
      </c>
      <c r="C2086" t="s">
        <v>3686</v>
      </c>
      <c r="D2086" t="s">
        <v>1841</v>
      </c>
      <c r="E2086" t="s">
        <v>135</v>
      </c>
      <c r="F2086" t="s">
        <v>3687</v>
      </c>
      <c r="G2086" t="str">
        <f>"00070174"</f>
        <v>00070174</v>
      </c>
      <c r="H2086">
        <v>825</v>
      </c>
      <c r="I2086">
        <v>0</v>
      </c>
      <c r="J2086">
        <v>70</v>
      </c>
      <c r="K2086">
        <v>0</v>
      </c>
      <c r="L2086">
        <v>0</v>
      </c>
      <c r="M2086">
        <v>0</v>
      </c>
      <c r="N2086">
        <v>0</v>
      </c>
      <c r="O2086">
        <v>0</v>
      </c>
      <c r="P2086">
        <v>0</v>
      </c>
      <c r="Q2086">
        <v>0</v>
      </c>
      <c r="T2086">
        <v>1</v>
      </c>
      <c r="U2086">
        <v>895</v>
      </c>
    </row>
    <row r="2087" spans="1:21" x14ac:dyDescent="0.25">
      <c r="H2087" t="s">
        <v>3688</v>
      </c>
    </row>
    <row r="2088" spans="1:21" x14ac:dyDescent="0.25">
      <c r="A2088">
        <v>1041</v>
      </c>
      <c r="B2088">
        <v>4203</v>
      </c>
      <c r="C2088" t="s">
        <v>3689</v>
      </c>
      <c r="D2088" t="s">
        <v>3690</v>
      </c>
      <c r="E2088" t="s">
        <v>135</v>
      </c>
      <c r="F2088" t="s">
        <v>3691</v>
      </c>
      <c r="G2088" t="str">
        <f>"201412000245"</f>
        <v>201412000245</v>
      </c>
      <c r="H2088">
        <v>825</v>
      </c>
      <c r="I2088">
        <v>0</v>
      </c>
      <c r="J2088">
        <v>70</v>
      </c>
      <c r="K2088">
        <v>0</v>
      </c>
      <c r="L2088">
        <v>0</v>
      </c>
      <c r="M2088">
        <v>0</v>
      </c>
      <c r="N2088">
        <v>0</v>
      </c>
      <c r="O2088">
        <v>0</v>
      </c>
      <c r="P2088">
        <v>0</v>
      </c>
      <c r="Q2088">
        <v>0</v>
      </c>
      <c r="T2088">
        <v>1</v>
      </c>
      <c r="U2088">
        <v>895</v>
      </c>
    </row>
    <row r="2089" spans="1:21" x14ac:dyDescent="0.25">
      <c r="H2089" t="s">
        <v>3692</v>
      </c>
    </row>
    <row r="2090" spans="1:21" x14ac:dyDescent="0.25">
      <c r="A2090">
        <v>1042</v>
      </c>
      <c r="B2090">
        <v>1356</v>
      </c>
      <c r="C2090" t="s">
        <v>3693</v>
      </c>
      <c r="D2090" t="s">
        <v>1972</v>
      </c>
      <c r="E2090" t="s">
        <v>37</v>
      </c>
      <c r="F2090" t="s">
        <v>3694</v>
      </c>
      <c r="G2090" t="str">
        <f>"00020914"</f>
        <v>00020914</v>
      </c>
      <c r="H2090">
        <v>825</v>
      </c>
      <c r="I2090">
        <v>0</v>
      </c>
      <c r="J2090">
        <v>70</v>
      </c>
      <c r="K2090">
        <v>0</v>
      </c>
      <c r="L2090">
        <v>0</v>
      </c>
      <c r="M2090">
        <v>0</v>
      </c>
      <c r="N2090">
        <v>0</v>
      </c>
      <c r="O2090">
        <v>0</v>
      </c>
      <c r="P2090">
        <v>0</v>
      </c>
      <c r="Q2090">
        <v>0</v>
      </c>
      <c r="T2090">
        <v>1</v>
      </c>
      <c r="U2090">
        <v>895</v>
      </c>
    </row>
    <row r="2091" spans="1:21" x14ac:dyDescent="0.25">
      <c r="H2091" t="s">
        <v>3695</v>
      </c>
    </row>
    <row r="2092" spans="1:21" x14ac:dyDescent="0.25">
      <c r="A2092">
        <v>1043</v>
      </c>
      <c r="B2092">
        <v>5841</v>
      </c>
      <c r="C2092" t="s">
        <v>834</v>
      </c>
      <c r="D2092" t="s">
        <v>141</v>
      </c>
      <c r="E2092" t="s">
        <v>37</v>
      </c>
      <c r="F2092" t="s">
        <v>3696</v>
      </c>
      <c r="G2092" t="str">
        <f>"201511029959"</f>
        <v>201511029959</v>
      </c>
      <c r="H2092" t="s">
        <v>3336</v>
      </c>
      <c r="I2092">
        <v>150</v>
      </c>
      <c r="J2092">
        <v>0</v>
      </c>
      <c r="K2092">
        <v>0</v>
      </c>
      <c r="L2092">
        <v>0</v>
      </c>
      <c r="M2092">
        <v>0</v>
      </c>
      <c r="N2092">
        <v>0</v>
      </c>
      <c r="O2092">
        <v>0</v>
      </c>
      <c r="P2092">
        <v>0</v>
      </c>
      <c r="Q2092">
        <v>0</v>
      </c>
      <c r="T2092">
        <v>0</v>
      </c>
      <c r="U2092" t="s">
        <v>3697</v>
      </c>
    </row>
    <row r="2093" spans="1:21" x14ac:dyDescent="0.25">
      <c r="H2093" t="s">
        <v>3698</v>
      </c>
    </row>
    <row r="2094" spans="1:21" x14ac:dyDescent="0.25">
      <c r="A2094">
        <v>1044</v>
      </c>
      <c r="B2094">
        <v>9522</v>
      </c>
      <c r="C2094" t="s">
        <v>3699</v>
      </c>
      <c r="D2094" t="s">
        <v>179</v>
      </c>
      <c r="E2094" t="s">
        <v>135</v>
      </c>
      <c r="F2094" t="s">
        <v>3700</v>
      </c>
      <c r="G2094" t="str">
        <f>"00074280"</f>
        <v>00074280</v>
      </c>
      <c r="H2094" t="s">
        <v>3336</v>
      </c>
      <c r="I2094">
        <v>150</v>
      </c>
      <c r="J2094">
        <v>0</v>
      </c>
      <c r="K2094">
        <v>0</v>
      </c>
      <c r="L2094">
        <v>0</v>
      </c>
      <c r="M2094">
        <v>0</v>
      </c>
      <c r="N2094">
        <v>0</v>
      </c>
      <c r="O2094">
        <v>0</v>
      </c>
      <c r="P2094">
        <v>0</v>
      </c>
      <c r="Q2094">
        <v>0</v>
      </c>
      <c r="T2094">
        <v>1</v>
      </c>
      <c r="U2094" t="s">
        <v>3697</v>
      </c>
    </row>
    <row r="2095" spans="1:21" x14ac:dyDescent="0.25">
      <c r="H2095" t="s">
        <v>3701</v>
      </c>
    </row>
    <row r="2096" spans="1:21" x14ac:dyDescent="0.25">
      <c r="A2096">
        <v>1045</v>
      </c>
      <c r="B2096">
        <v>1765</v>
      </c>
      <c r="C2096" t="s">
        <v>3702</v>
      </c>
      <c r="D2096" t="s">
        <v>3703</v>
      </c>
      <c r="E2096" t="s">
        <v>773</v>
      </c>
      <c r="F2096" t="s">
        <v>3704</v>
      </c>
      <c r="G2096" t="str">
        <f>"00054138"</f>
        <v>00054138</v>
      </c>
      <c r="H2096" t="s">
        <v>2182</v>
      </c>
      <c r="I2096">
        <v>0</v>
      </c>
      <c r="J2096">
        <v>30</v>
      </c>
      <c r="K2096">
        <v>0</v>
      </c>
      <c r="L2096">
        <v>0</v>
      </c>
      <c r="M2096">
        <v>0</v>
      </c>
      <c r="N2096">
        <v>0</v>
      </c>
      <c r="O2096">
        <v>0</v>
      </c>
      <c r="P2096">
        <v>0</v>
      </c>
      <c r="Q2096">
        <v>0</v>
      </c>
      <c r="T2096">
        <v>2</v>
      </c>
      <c r="U2096" t="s">
        <v>3705</v>
      </c>
    </row>
    <row r="2097" spans="1:21" x14ac:dyDescent="0.25">
      <c r="H2097" t="s">
        <v>3706</v>
      </c>
    </row>
    <row r="2098" spans="1:21" x14ac:dyDescent="0.25">
      <c r="A2098">
        <v>1046</v>
      </c>
      <c r="B2098">
        <v>3441</v>
      </c>
      <c r="C2098" t="s">
        <v>3707</v>
      </c>
      <c r="D2098" t="s">
        <v>64</v>
      </c>
      <c r="E2098" t="s">
        <v>27</v>
      </c>
      <c r="F2098" t="s">
        <v>3708</v>
      </c>
      <c r="G2098" t="str">
        <f>"00019322"</f>
        <v>00019322</v>
      </c>
      <c r="H2098" t="s">
        <v>3342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0</v>
      </c>
      <c r="O2098">
        <v>0</v>
      </c>
      <c r="P2098">
        <v>0</v>
      </c>
      <c r="Q2098">
        <v>0</v>
      </c>
      <c r="T2098">
        <v>0</v>
      </c>
      <c r="U2098" t="s">
        <v>3342</v>
      </c>
    </row>
    <row r="2099" spans="1:21" x14ac:dyDescent="0.25">
      <c r="H2099" t="s">
        <v>710</v>
      </c>
    </row>
    <row r="2100" spans="1:21" x14ac:dyDescent="0.25">
      <c r="A2100">
        <v>1047</v>
      </c>
      <c r="B2100">
        <v>9195</v>
      </c>
      <c r="C2100" t="s">
        <v>3659</v>
      </c>
      <c r="D2100" t="s">
        <v>2375</v>
      </c>
      <c r="E2100" t="s">
        <v>366</v>
      </c>
      <c r="F2100" t="s">
        <v>3709</v>
      </c>
      <c r="G2100" t="str">
        <f>"00079855"</f>
        <v>00079855</v>
      </c>
      <c r="H2100" t="s">
        <v>3342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0</v>
      </c>
      <c r="P2100">
        <v>0</v>
      </c>
      <c r="Q2100">
        <v>0</v>
      </c>
      <c r="T2100">
        <v>0</v>
      </c>
      <c r="U2100" t="s">
        <v>3342</v>
      </c>
    </row>
    <row r="2101" spans="1:21" x14ac:dyDescent="0.25">
      <c r="H2101" t="s">
        <v>3710</v>
      </c>
    </row>
    <row r="2102" spans="1:21" x14ac:dyDescent="0.25">
      <c r="A2102">
        <v>1048</v>
      </c>
      <c r="B2102">
        <v>2892</v>
      </c>
      <c r="C2102" t="s">
        <v>3711</v>
      </c>
      <c r="D2102" t="s">
        <v>502</v>
      </c>
      <c r="E2102" t="s">
        <v>135</v>
      </c>
      <c r="F2102" t="s">
        <v>3712</v>
      </c>
      <c r="G2102" t="str">
        <f>"201502000870"</f>
        <v>201502000870</v>
      </c>
      <c r="H2102" t="s">
        <v>2935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0</v>
      </c>
      <c r="O2102">
        <v>0</v>
      </c>
      <c r="P2102">
        <v>0</v>
      </c>
      <c r="Q2102">
        <v>0</v>
      </c>
      <c r="T2102">
        <v>0</v>
      </c>
      <c r="U2102" t="s">
        <v>2935</v>
      </c>
    </row>
    <row r="2103" spans="1:21" x14ac:dyDescent="0.25">
      <c r="H2103" t="s">
        <v>3713</v>
      </c>
    </row>
    <row r="2104" spans="1:21" x14ac:dyDescent="0.25">
      <c r="A2104">
        <v>1049</v>
      </c>
      <c r="B2104">
        <v>1015</v>
      </c>
      <c r="C2104" t="s">
        <v>3714</v>
      </c>
      <c r="D2104" t="s">
        <v>134</v>
      </c>
      <c r="E2104" t="s">
        <v>582</v>
      </c>
      <c r="F2104" t="s">
        <v>3715</v>
      </c>
      <c r="G2104" t="str">
        <f>"201511024971"</f>
        <v>201511024971</v>
      </c>
      <c r="H2104" t="s">
        <v>2935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v>0</v>
      </c>
      <c r="P2104">
        <v>0</v>
      </c>
      <c r="Q2104">
        <v>0</v>
      </c>
      <c r="T2104">
        <v>0</v>
      </c>
      <c r="U2104" t="s">
        <v>2935</v>
      </c>
    </row>
    <row r="2105" spans="1:21" x14ac:dyDescent="0.25">
      <c r="H2105" t="s">
        <v>3716</v>
      </c>
    </row>
    <row r="2106" spans="1:21" x14ac:dyDescent="0.25">
      <c r="A2106">
        <v>1050</v>
      </c>
      <c r="B2106">
        <v>3500</v>
      </c>
      <c r="C2106" t="s">
        <v>3717</v>
      </c>
      <c r="D2106" t="s">
        <v>1625</v>
      </c>
      <c r="E2106" t="s">
        <v>255</v>
      </c>
      <c r="F2106" t="s">
        <v>3718</v>
      </c>
      <c r="G2106" t="str">
        <f>"00021238"</f>
        <v>00021238</v>
      </c>
      <c r="H2106" t="s">
        <v>3719</v>
      </c>
      <c r="I2106">
        <v>150</v>
      </c>
      <c r="J2106">
        <v>0</v>
      </c>
      <c r="K2106">
        <v>0</v>
      </c>
      <c r="L2106">
        <v>0</v>
      </c>
      <c r="M2106">
        <v>0</v>
      </c>
      <c r="N2106">
        <v>0</v>
      </c>
      <c r="O2106">
        <v>0</v>
      </c>
      <c r="P2106">
        <v>0</v>
      </c>
      <c r="Q2106">
        <v>0</v>
      </c>
      <c r="T2106">
        <v>0</v>
      </c>
      <c r="U2106" t="s">
        <v>3720</v>
      </c>
    </row>
    <row r="2107" spans="1:21" x14ac:dyDescent="0.25">
      <c r="H2107" t="s">
        <v>710</v>
      </c>
    </row>
    <row r="2108" spans="1:21" x14ac:dyDescent="0.25">
      <c r="A2108">
        <v>1051</v>
      </c>
      <c r="B2108">
        <v>9511</v>
      </c>
      <c r="C2108" t="s">
        <v>3017</v>
      </c>
      <c r="D2108" t="s">
        <v>116</v>
      </c>
      <c r="E2108" t="s">
        <v>2591</v>
      </c>
      <c r="F2108" t="s">
        <v>3721</v>
      </c>
      <c r="G2108" t="str">
        <f>"00087495"</f>
        <v>00087495</v>
      </c>
      <c r="H2108" t="s">
        <v>1749</v>
      </c>
      <c r="I2108">
        <v>0</v>
      </c>
      <c r="J2108">
        <v>0</v>
      </c>
      <c r="K2108">
        <v>0</v>
      </c>
      <c r="L2108">
        <v>0</v>
      </c>
      <c r="M2108">
        <v>0</v>
      </c>
      <c r="N2108">
        <v>0</v>
      </c>
      <c r="O2108">
        <v>0</v>
      </c>
      <c r="P2108">
        <v>0</v>
      </c>
      <c r="Q2108">
        <v>0</v>
      </c>
      <c r="T2108">
        <v>0</v>
      </c>
      <c r="U2108" t="s">
        <v>1749</v>
      </c>
    </row>
    <row r="2109" spans="1:21" x14ac:dyDescent="0.25">
      <c r="H2109" t="s">
        <v>3722</v>
      </c>
    </row>
    <row r="2110" spans="1:21" x14ac:dyDescent="0.25">
      <c r="A2110">
        <v>1052</v>
      </c>
      <c r="B2110">
        <v>2978</v>
      </c>
      <c r="C2110" t="s">
        <v>1536</v>
      </c>
      <c r="D2110" t="s">
        <v>1065</v>
      </c>
      <c r="E2110" t="s">
        <v>112</v>
      </c>
      <c r="F2110" t="s">
        <v>3723</v>
      </c>
      <c r="G2110" t="str">
        <f>"00049444"</f>
        <v>00049444</v>
      </c>
      <c r="H2110" t="s">
        <v>1749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0</v>
      </c>
      <c r="O2110">
        <v>0</v>
      </c>
      <c r="P2110">
        <v>0</v>
      </c>
      <c r="Q2110">
        <v>0</v>
      </c>
      <c r="T2110">
        <v>0</v>
      </c>
      <c r="U2110" t="s">
        <v>1749</v>
      </c>
    </row>
    <row r="2111" spans="1:21" x14ac:dyDescent="0.25">
      <c r="H2111" t="s">
        <v>3724</v>
      </c>
    </row>
    <row r="2112" spans="1:21" x14ac:dyDescent="0.25">
      <c r="A2112">
        <v>1053</v>
      </c>
      <c r="B2112">
        <v>743</v>
      </c>
      <c r="C2112" t="s">
        <v>288</v>
      </c>
      <c r="D2112" t="s">
        <v>95</v>
      </c>
      <c r="E2112" t="s">
        <v>135</v>
      </c>
      <c r="F2112" t="s">
        <v>3725</v>
      </c>
      <c r="G2112" t="str">
        <f>"201511036861"</f>
        <v>201511036861</v>
      </c>
      <c r="H2112" t="s">
        <v>1749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0</v>
      </c>
      <c r="O2112">
        <v>0</v>
      </c>
      <c r="P2112">
        <v>0</v>
      </c>
      <c r="Q2112">
        <v>0</v>
      </c>
      <c r="T2112">
        <v>2</v>
      </c>
      <c r="U2112" t="s">
        <v>1749</v>
      </c>
    </row>
    <row r="2113" spans="1:21" x14ac:dyDescent="0.25">
      <c r="H2113" t="s">
        <v>3726</v>
      </c>
    </row>
    <row r="2114" spans="1:21" x14ac:dyDescent="0.25">
      <c r="A2114">
        <v>1054</v>
      </c>
      <c r="B2114">
        <v>8847</v>
      </c>
      <c r="C2114" t="s">
        <v>3727</v>
      </c>
      <c r="D2114" t="s">
        <v>3728</v>
      </c>
      <c r="E2114" t="s">
        <v>36</v>
      </c>
      <c r="F2114" t="s">
        <v>3729</v>
      </c>
      <c r="G2114" t="str">
        <f>"00088608"</f>
        <v>00088608</v>
      </c>
      <c r="H2114" t="s">
        <v>1749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0</v>
      </c>
      <c r="O2114">
        <v>0</v>
      </c>
      <c r="P2114">
        <v>0</v>
      </c>
      <c r="Q2114">
        <v>0</v>
      </c>
      <c r="T2114">
        <v>0</v>
      </c>
      <c r="U2114" t="s">
        <v>1749</v>
      </c>
    </row>
    <row r="2115" spans="1:21" x14ac:dyDescent="0.25">
      <c r="H2115" t="s">
        <v>3730</v>
      </c>
    </row>
    <row r="2116" spans="1:21" x14ac:dyDescent="0.25">
      <c r="A2116">
        <v>1055</v>
      </c>
      <c r="B2116">
        <v>7528</v>
      </c>
      <c r="C2116" t="s">
        <v>3731</v>
      </c>
      <c r="D2116" t="s">
        <v>185</v>
      </c>
      <c r="E2116" t="s">
        <v>1136</v>
      </c>
      <c r="F2116" t="s">
        <v>3732</v>
      </c>
      <c r="G2116" t="str">
        <f>"00040785"</f>
        <v>00040785</v>
      </c>
      <c r="H2116" t="s">
        <v>1749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0</v>
      </c>
      <c r="O2116">
        <v>0</v>
      </c>
      <c r="P2116">
        <v>0</v>
      </c>
      <c r="Q2116">
        <v>0</v>
      </c>
      <c r="T2116">
        <v>0</v>
      </c>
      <c r="U2116" t="s">
        <v>1749</v>
      </c>
    </row>
    <row r="2117" spans="1:21" x14ac:dyDescent="0.25">
      <c r="H2117" t="s">
        <v>3733</v>
      </c>
    </row>
    <row r="2118" spans="1:21" x14ac:dyDescent="0.25">
      <c r="A2118">
        <v>1056</v>
      </c>
      <c r="B2118">
        <v>4454</v>
      </c>
      <c r="C2118" t="s">
        <v>3734</v>
      </c>
      <c r="D2118" t="s">
        <v>185</v>
      </c>
      <c r="E2118" t="s">
        <v>27</v>
      </c>
      <c r="F2118" t="s">
        <v>3735</v>
      </c>
      <c r="G2118" t="str">
        <f>"00036511"</f>
        <v>00036511</v>
      </c>
      <c r="H2118">
        <v>891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0</v>
      </c>
      <c r="O2118">
        <v>0</v>
      </c>
      <c r="P2118">
        <v>0</v>
      </c>
      <c r="Q2118">
        <v>0</v>
      </c>
      <c r="T2118">
        <v>0</v>
      </c>
      <c r="U2118">
        <v>891</v>
      </c>
    </row>
    <row r="2119" spans="1:21" x14ac:dyDescent="0.25">
      <c r="H2119" t="s">
        <v>3736</v>
      </c>
    </row>
    <row r="2120" spans="1:21" x14ac:dyDescent="0.25">
      <c r="A2120">
        <v>1057</v>
      </c>
      <c r="B2120">
        <v>1615</v>
      </c>
      <c r="C2120" t="s">
        <v>3737</v>
      </c>
      <c r="D2120" t="s">
        <v>313</v>
      </c>
      <c r="E2120" t="s">
        <v>614</v>
      </c>
      <c r="F2120" t="s">
        <v>3738</v>
      </c>
      <c r="G2120" t="str">
        <f>"201506002254"</f>
        <v>201506002254</v>
      </c>
      <c r="H2120">
        <v>891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0</v>
      </c>
      <c r="O2120">
        <v>0</v>
      </c>
      <c r="P2120">
        <v>0</v>
      </c>
      <c r="Q2120">
        <v>0</v>
      </c>
      <c r="T2120">
        <v>0</v>
      </c>
      <c r="U2120">
        <v>891</v>
      </c>
    </row>
    <row r="2121" spans="1:21" x14ac:dyDescent="0.25">
      <c r="H2121" t="s">
        <v>3739</v>
      </c>
    </row>
    <row r="2122" spans="1:21" x14ac:dyDescent="0.25">
      <c r="A2122">
        <v>1058</v>
      </c>
      <c r="B2122">
        <v>9248</v>
      </c>
      <c r="C2122" t="s">
        <v>3740</v>
      </c>
      <c r="D2122" t="s">
        <v>3741</v>
      </c>
      <c r="E2122" t="s">
        <v>3742</v>
      </c>
      <c r="F2122" t="s">
        <v>3743</v>
      </c>
      <c r="G2122" t="str">
        <f>"00027361"</f>
        <v>00027361</v>
      </c>
      <c r="H2122">
        <v>891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0</v>
      </c>
      <c r="O2122">
        <v>0</v>
      </c>
      <c r="P2122">
        <v>0</v>
      </c>
      <c r="Q2122">
        <v>0</v>
      </c>
      <c r="T2122">
        <v>0</v>
      </c>
      <c r="U2122">
        <v>891</v>
      </c>
    </row>
    <row r="2123" spans="1:21" x14ac:dyDescent="0.25">
      <c r="H2123" t="s">
        <v>3744</v>
      </c>
    </row>
    <row r="2124" spans="1:21" x14ac:dyDescent="0.25">
      <c r="A2124">
        <v>1059</v>
      </c>
      <c r="B2124">
        <v>9224</v>
      </c>
      <c r="C2124" t="s">
        <v>3745</v>
      </c>
      <c r="D2124" t="s">
        <v>911</v>
      </c>
      <c r="E2124" t="s">
        <v>614</v>
      </c>
      <c r="F2124" t="s">
        <v>3746</v>
      </c>
      <c r="G2124" t="str">
        <f>"00042657"</f>
        <v>00042657</v>
      </c>
      <c r="H2124">
        <v>891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0</v>
      </c>
      <c r="O2124">
        <v>0</v>
      </c>
      <c r="P2124">
        <v>0</v>
      </c>
      <c r="Q2124">
        <v>0</v>
      </c>
      <c r="T2124">
        <v>0</v>
      </c>
      <c r="U2124">
        <v>891</v>
      </c>
    </row>
    <row r="2125" spans="1:21" x14ac:dyDescent="0.25">
      <c r="H2125" t="s">
        <v>3747</v>
      </c>
    </row>
    <row r="2126" spans="1:21" x14ac:dyDescent="0.25">
      <c r="A2126">
        <v>1060</v>
      </c>
      <c r="B2126">
        <v>10420</v>
      </c>
      <c r="C2126" t="s">
        <v>3748</v>
      </c>
      <c r="D2126" t="s">
        <v>26</v>
      </c>
      <c r="E2126" t="s">
        <v>135</v>
      </c>
      <c r="F2126" t="s">
        <v>3749</v>
      </c>
      <c r="G2126" t="str">
        <f>"00076465"</f>
        <v>00076465</v>
      </c>
      <c r="H2126" t="s">
        <v>3750</v>
      </c>
      <c r="I2126">
        <v>0</v>
      </c>
      <c r="J2126">
        <v>70</v>
      </c>
      <c r="K2126">
        <v>0</v>
      </c>
      <c r="L2126">
        <v>0</v>
      </c>
      <c r="M2126">
        <v>0</v>
      </c>
      <c r="N2126">
        <v>0</v>
      </c>
      <c r="O2126">
        <v>0</v>
      </c>
      <c r="P2126">
        <v>0</v>
      </c>
      <c r="Q2126">
        <v>0</v>
      </c>
      <c r="T2126">
        <v>2</v>
      </c>
      <c r="U2126" t="s">
        <v>3751</v>
      </c>
    </row>
    <row r="2127" spans="1:21" x14ac:dyDescent="0.25">
      <c r="H2127" t="s">
        <v>3752</v>
      </c>
    </row>
    <row r="2128" spans="1:21" x14ac:dyDescent="0.25">
      <c r="A2128">
        <v>1061</v>
      </c>
      <c r="B2128">
        <v>7349</v>
      </c>
      <c r="C2128" t="s">
        <v>3753</v>
      </c>
      <c r="D2128" t="s">
        <v>225</v>
      </c>
      <c r="E2128" t="s">
        <v>332</v>
      </c>
      <c r="F2128" t="s">
        <v>3754</v>
      </c>
      <c r="G2128" t="str">
        <f>"201511025647"</f>
        <v>201511025647</v>
      </c>
      <c r="H2128" t="s">
        <v>3755</v>
      </c>
      <c r="I2128">
        <v>0</v>
      </c>
      <c r="J2128">
        <v>70</v>
      </c>
      <c r="K2128">
        <v>0</v>
      </c>
      <c r="L2128">
        <v>0</v>
      </c>
      <c r="M2128">
        <v>0</v>
      </c>
      <c r="N2128">
        <v>0</v>
      </c>
      <c r="O2128">
        <v>0</v>
      </c>
      <c r="P2128">
        <v>0</v>
      </c>
      <c r="Q2128">
        <v>0</v>
      </c>
      <c r="T2128">
        <v>0</v>
      </c>
      <c r="U2128" t="s">
        <v>3756</v>
      </c>
    </row>
    <row r="2129" spans="1:21" x14ac:dyDescent="0.25">
      <c r="H2129" t="s">
        <v>3757</v>
      </c>
    </row>
    <row r="2130" spans="1:21" x14ac:dyDescent="0.25">
      <c r="A2130">
        <v>1062</v>
      </c>
      <c r="B2130">
        <v>5831</v>
      </c>
      <c r="C2130" t="s">
        <v>3758</v>
      </c>
      <c r="D2130" t="s">
        <v>145</v>
      </c>
      <c r="E2130" t="s">
        <v>231</v>
      </c>
      <c r="F2130" t="s">
        <v>3759</v>
      </c>
      <c r="G2130" t="str">
        <f>"201511035236"</f>
        <v>201511035236</v>
      </c>
      <c r="H2130" t="s">
        <v>3760</v>
      </c>
      <c r="I2130">
        <v>150</v>
      </c>
      <c r="J2130">
        <v>30</v>
      </c>
      <c r="K2130">
        <v>0</v>
      </c>
      <c r="L2130">
        <v>0</v>
      </c>
      <c r="M2130">
        <v>0</v>
      </c>
      <c r="N2130">
        <v>0</v>
      </c>
      <c r="O2130">
        <v>0</v>
      </c>
      <c r="P2130">
        <v>0</v>
      </c>
      <c r="Q2130">
        <v>0</v>
      </c>
      <c r="T2130">
        <v>0</v>
      </c>
      <c r="U2130" t="s">
        <v>3756</v>
      </c>
    </row>
    <row r="2131" spans="1:21" x14ac:dyDescent="0.25">
      <c r="H2131" t="s">
        <v>3761</v>
      </c>
    </row>
    <row r="2132" spans="1:21" x14ac:dyDescent="0.25">
      <c r="A2132">
        <v>1063</v>
      </c>
      <c r="B2132">
        <v>3750</v>
      </c>
      <c r="C2132" t="s">
        <v>3762</v>
      </c>
      <c r="D2132" t="s">
        <v>3763</v>
      </c>
      <c r="E2132" t="s">
        <v>3764</v>
      </c>
      <c r="F2132" t="s">
        <v>3765</v>
      </c>
      <c r="G2132" t="str">
        <f>"00040831"</f>
        <v>00040831</v>
      </c>
      <c r="H2132" t="s">
        <v>3766</v>
      </c>
      <c r="I2132">
        <v>150</v>
      </c>
      <c r="J2132">
        <v>0</v>
      </c>
      <c r="K2132">
        <v>0</v>
      </c>
      <c r="L2132">
        <v>0</v>
      </c>
      <c r="M2132">
        <v>0</v>
      </c>
      <c r="N2132">
        <v>0</v>
      </c>
      <c r="O2132">
        <v>0</v>
      </c>
      <c r="P2132">
        <v>0</v>
      </c>
      <c r="Q2132">
        <v>0</v>
      </c>
      <c r="T2132">
        <v>0</v>
      </c>
      <c r="U2132" t="s">
        <v>3767</v>
      </c>
    </row>
    <row r="2133" spans="1:21" x14ac:dyDescent="0.25">
      <c r="H2133" t="s">
        <v>3768</v>
      </c>
    </row>
    <row r="2134" spans="1:21" x14ac:dyDescent="0.25">
      <c r="A2134">
        <v>1064</v>
      </c>
      <c r="B2134">
        <v>2937</v>
      </c>
      <c r="C2134" t="s">
        <v>163</v>
      </c>
      <c r="D2134" t="s">
        <v>3769</v>
      </c>
      <c r="E2134" t="s">
        <v>27</v>
      </c>
      <c r="F2134" t="s">
        <v>3770</v>
      </c>
      <c r="G2134" t="str">
        <f>"00016819"</f>
        <v>00016819</v>
      </c>
      <c r="H2134" t="s">
        <v>1373</v>
      </c>
      <c r="I2134">
        <v>0</v>
      </c>
      <c r="J2134">
        <v>0</v>
      </c>
      <c r="K2134">
        <v>0</v>
      </c>
      <c r="L2134">
        <v>0</v>
      </c>
      <c r="M2134">
        <v>0</v>
      </c>
      <c r="N2134">
        <v>0</v>
      </c>
      <c r="O2134">
        <v>0</v>
      </c>
      <c r="P2134">
        <v>0</v>
      </c>
      <c r="Q2134">
        <v>0</v>
      </c>
      <c r="R2134">
        <v>6</v>
      </c>
      <c r="S2134">
        <v>809</v>
      </c>
      <c r="T2134">
        <v>0</v>
      </c>
      <c r="U2134" t="s">
        <v>1373</v>
      </c>
    </row>
    <row r="2135" spans="1:21" x14ac:dyDescent="0.25">
      <c r="H2135">
        <v>809</v>
      </c>
    </row>
    <row r="2136" spans="1:21" x14ac:dyDescent="0.25">
      <c r="A2136">
        <v>1065</v>
      </c>
      <c r="B2136">
        <v>1541</v>
      </c>
      <c r="C2136" t="s">
        <v>1797</v>
      </c>
      <c r="D2136" t="s">
        <v>121</v>
      </c>
      <c r="E2136" t="s">
        <v>36</v>
      </c>
      <c r="F2136" t="s">
        <v>3771</v>
      </c>
      <c r="G2136" t="str">
        <f>"00025091"</f>
        <v>00025091</v>
      </c>
      <c r="H2136" t="s">
        <v>3772</v>
      </c>
      <c r="I2136">
        <v>150</v>
      </c>
      <c r="J2136">
        <v>50</v>
      </c>
      <c r="K2136">
        <v>0</v>
      </c>
      <c r="L2136">
        <v>0</v>
      </c>
      <c r="M2136">
        <v>0</v>
      </c>
      <c r="N2136">
        <v>0</v>
      </c>
      <c r="O2136">
        <v>0</v>
      </c>
      <c r="P2136">
        <v>0</v>
      </c>
      <c r="Q2136">
        <v>0</v>
      </c>
      <c r="T2136">
        <v>2</v>
      </c>
      <c r="U2136" t="s">
        <v>3773</v>
      </c>
    </row>
    <row r="2137" spans="1:21" x14ac:dyDescent="0.25">
      <c r="H2137" t="s">
        <v>3774</v>
      </c>
    </row>
    <row r="2138" spans="1:21" x14ac:dyDescent="0.25">
      <c r="A2138">
        <v>1066</v>
      </c>
      <c r="B2138">
        <v>6137</v>
      </c>
      <c r="C2138" t="s">
        <v>3775</v>
      </c>
      <c r="D2138" t="s">
        <v>85</v>
      </c>
      <c r="E2138" t="s">
        <v>36</v>
      </c>
      <c r="F2138" t="s">
        <v>3776</v>
      </c>
      <c r="G2138" t="str">
        <f>"201008000077"</f>
        <v>201008000077</v>
      </c>
      <c r="H2138">
        <v>858</v>
      </c>
      <c r="I2138">
        <v>0</v>
      </c>
      <c r="J2138">
        <v>30</v>
      </c>
      <c r="K2138">
        <v>0</v>
      </c>
      <c r="L2138">
        <v>0</v>
      </c>
      <c r="M2138">
        <v>0</v>
      </c>
      <c r="N2138">
        <v>0</v>
      </c>
      <c r="O2138">
        <v>0</v>
      </c>
      <c r="P2138">
        <v>0</v>
      </c>
      <c r="Q2138">
        <v>0</v>
      </c>
      <c r="T2138">
        <v>0</v>
      </c>
      <c r="U2138">
        <v>888</v>
      </c>
    </row>
    <row r="2139" spans="1:21" x14ac:dyDescent="0.25">
      <c r="H2139" t="s">
        <v>3777</v>
      </c>
    </row>
    <row r="2140" spans="1:21" x14ac:dyDescent="0.25">
      <c r="A2140">
        <v>1067</v>
      </c>
      <c r="B2140">
        <v>4802</v>
      </c>
      <c r="C2140" t="s">
        <v>2523</v>
      </c>
      <c r="D2140" t="s">
        <v>134</v>
      </c>
      <c r="E2140" t="s">
        <v>773</v>
      </c>
      <c r="F2140" t="s">
        <v>3778</v>
      </c>
      <c r="G2140" t="str">
        <f>"201510004902"</f>
        <v>201510004902</v>
      </c>
      <c r="H2140">
        <v>858</v>
      </c>
      <c r="I2140">
        <v>0</v>
      </c>
      <c r="J2140">
        <v>30</v>
      </c>
      <c r="K2140">
        <v>0</v>
      </c>
      <c r="L2140">
        <v>0</v>
      </c>
      <c r="M2140">
        <v>0</v>
      </c>
      <c r="N2140">
        <v>0</v>
      </c>
      <c r="O2140">
        <v>0</v>
      </c>
      <c r="P2140">
        <v>0</v>
      </c>
      <c r="Q2140">
        <v>0</v>
      </c>
      <c r="T2140">
        <v>0</v>
      </c>
      <c r="U2140">
        <v>888</v>
      </c>
    </row>
    <row r="2141" spans="1:21" x14ac:dyDescent="0.25">
      <c r="H2141" t="s">
        <v>3779</v>
      </c>
    </row>
    <row r="2142" spans="1:21" x14ac:dyDescent="0.25">
      <c r="A2142">
        <v>1068</v>
      </c>
      <c r="B2142">
        <v>1666</v>
      </c>
      <c r="C2142" t="s">
        <v>3780</v>
      </c>
      <c r="D2142" t="s">
        <v>768</v>
      </c>
      <c r="E2142" t="s">
        <v>614</v>
      </c>
      <c r="F2142" t="s">
        <v>3781</v>
      </c>
      <c r="G2142" t="str">
        <f>"201511033237"</f>
        <v>201511033237</v>
      </c>
      <c r="H2142" t="s">
        <v>1799</v>
      </c>
      <c r="I2142">
        <v>0</v>
      </c>
      <c r="J2142">
        <v>0</v>
      </c>
      <c r="K2142">
        <v>0</v>
      </c>
      <c r="L2142">
        <v>0</v>
      </c>
      <c r="M2142">
        <v>0</v>
      </c>
      <c r="N2142">
        <v>0</v>
      </c>
      <c r="O2142">
        <v>0</v>
      </c>
      <c r="P2142">
        <v>0</v>
      </c>
      <c r="Q2142">
        <v>0</v>
      </c>
      <c r="T2142">
        <v>0</v>
      </c>
      <c r="U2142" t="s">
        <v>1799</v>
      </c>
    </row>
    <row r="2143" spans="1:21" x14ac:dyDescent="0.25">
      <c r="H2143" t="s">
        <v>3782</v>
      </c>
    </row>
    <row r="2144" spans="1:21" x14ac:dyDescent="0.25">
      <c r="A2144">
        <v>1069</v>
      </c>
      <c r="B2144">
        <v>1435</v>
      </c>
      <c r="C2144" t="s">
        <v>1614</v>
      </c>
      <c r="D2144" t="s">
        <v>173</v>
      </c>
      <c r="E2144" t="s">
        <v>533</v>
      </c>
      <c r="F2144" t="s">
        <v>3783</v>
      </c>
      <c r="G2144" t="str">
        <f>"00025136"</f>
        <v>00025136</v>
      </c>
      <c r="H2144" t="s">
        <v>1799</v>
      </c>
      <c r="I2144">
        <v>0</v>
      </c>
      <c r="J2144">
        <v>0</v>
      </c>
      <c r="K2144">
        <v>0</v>
      </c>
      <c r="L2144">
        <v>0</v>
      </c>
      <c r="M2144">
        <v>0</v>
      </c>
      <c r="N2144">
        <v>0</v>
      </c>
      <c r="O2144">
        <v>0</v>
      </c>
      <c r="P2144">
        <v>0</v>
      </c>
      <c r="Q2144">
        <v>0</v>
      </c>
      <c r="T2144">
        <v>0</v>
      </c>
      <c r="U2144" t="s">
        <v>1799</v>
      </c>
    </row>
    <row r="2145" spans="1:21" x14ac:dyDescent="0.25">
      <c r="H2145" t="s">
        <v>3784</v>
      </c>
    </row>
    <row r="2146" spans="1:21" x14ac:dyDescent="0.25">
      <c r="A2146">
        <v>1070</v>
      </c>
      <c r="B2146">
        <v>6521</v>
      </c>
      <c r="C2146" t="s">
        <v>3785</v>
      </c>
      <c r="D2146" t="s">
        <v>69</v>
      </c>
      <c r="E2146" t="s">
        <v>3786</v>
      </c>
      <c r="F2146" t="s">
        <v>3787</v>
      </c>
      <c r="G2146" t="str">
        <f>"00091463"</f>
        <v>00091463</v>
      </c>
      <c r="H2146" t="s">
        <v>1799</v>
      </c>
      <c r="I2146">
        <v>0</v>
      </c>
      <c r="J2146">
        <v>0</v>
      </c>
      <c r="K2146">
        <v>0</v>
      </c>
      <c r="L2146">
        <v>0</v>
      </c>
      <c r="M2146">
        <v>0</v>
      </c>
      <c r="N2146">
        <v>0</v>
      </c>
      <c r="O2146">
        <v>0</v>
      </c>
      <c r="P2146">
        <v>0</v>
      </c>
      <c r="Q2146">
        <v>0</v>
      </c>
      <c r="T2146">
        <v>0</v>
      </c>
      <c r="U2146" t="s">
        <v>1799</v>
      </c>
    </row>
    <row r="2147" spans="1:21" x14ac:dyDescent="0.25">
      <c r="H2147" t="s">
        <v>3788</v>
      </c>
    </row>
    <row r="2148" spans="1:21" x14ac:dyDescent="0.25">
      <c r="A2148">
        <v>1071</v>
      </c>
      <c r="B2148">
        <v>7300</v>
      </c>
      <c r="C2148" t="s">
        <v>3789</v>
      </c>
      <c r="D2148" t="s">
        <v>533</v>
      </c>
      <c r="E2148" t="s">
        <v>42</v>
      </c>
      <c r="F2148" t="s">
        <v>3790</v>
      </c>
      <c r="G2148" t="str">
        <f>"00031639"</f>
        <v>00031639</v>
      </c>
      <c r="H2148" t="s">
        <v>1799</v>
      </c>
      <c r="I2148">
        <v>0</v>
      </c>
      <c r="J2148">
        <v>0</v>
      </c>
      <c r="K2148">
        <v>0</v>
      </c>
      <c r="L2148">
        <v>0</v>
      </c>
      <c r="M2148">
        <v>0</v>
      </c>
      <c r="N2148">
        <v>0</v>
      </c>
      <c r="O2148">
        <v>0</v>
      </c>
      <c r="P2148">
        <v>0</v>
      </c>
      <c r="Q2148">
        <v>0</v>
      </c>
      <c r="T2148">
        <v>2</v>
      </c>
      <c r="U2148" t="s">
        <v>1799</v>
      </c>
    </row>
    <row r="2149" spans="1:21" x14ac:dyDescent="0.25">
      <c r="H2149" t="s">
        <v>3791</v>
      </c>
    </row>
    <row r="2150" spans="1:21" x14ac:dyDescent="0.25">
      <c r="A2150">
        <v>1072</v>
      </c>
      <c r="B2150">
        <v>753</v>
      </c>
      <c r="C2150" t="s">
        <v>3792</v>
      </c>
      <c r="D2150" t="s">
        <v>254</v>
      </c>
      <c r="E2150" t="s">
        <v>112</v>
      </c>
      <c r="F2150" t="s">
        <v>3793</v>
      </c>
      <c r="G2150" t="str">
        <f>"201511036642"</f>
        <v>201511036642</v>
      </c>
      <c r="H2150" t="s">
        <v>1799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0</v>
      </c>
      <c r="O2150">
        <v>0</v>
      </c>
      <c r="P2150">
        <v>0</v>
      </c>
      <c r="Q2150">
        <v>0</v>
      </c>
      <c r="T2150">
        <v>0</v>
      </c>
      <c r="U2150" t="s">
        <v>1799</v>
      </c>
    </row>
    <row r="2151" spans="1:21" x14ac:dyDescent="0.25">
      <c r="H2151" t="s">
        <v>3794</v>
      </c>
    </row>
    <row r="2152" spans="1:21" x14ac:dyDescent="0.25">
      <c r="A2152">
        <v>1073</v>
      </c>
      <c r="B2152">
        <v>10482</v>
      </c>
      <c r="C2152" t="s">
        <v>3795</v>
      </c>
      <c r="D2152" t="s">
        <v>3796</v>
      </c>
      <c r="E2152" t="s">
        <v>32</v>
      </c>
      <c r="F2152" t="s">
        <v>3797</v>
      </c>
      <c r="G2152" t="str">
        <f>"201511040952"</f>
        <v>201511040952</v>
      </c>
      <c r="H2152" t="s">
        <v>1799</v>
      </c>
      <c r="I2152">
        <v>0</v>
      </c>
      <c r="J2152">
        <v>0</v>
      </c>
      <c r="K2152">
        <v>0</v>
      </c>
      <c r="L2152">
        <v>0</v>
      </c>
      <c r="M2152">
        <v>0</v>
      </c>
      <c r="N2152">
        <v>0</v>
      </c>
      <c r="O2152">
        <v>0</v>
      </c>
      <c r="P2152">
        <v>0</v>
      </c>
      <c r="Q2152">
        <v>0</v>
      </c>
      <c r="T2152">
        <v>0</v>
      </c>
      <c r="U2152" t="s">
        <v>1799</v>
      </c>
    </row>
    <row r="2153" spans="1:21" x14ac:dyDescent="0.25">
      <c r="H2153" t="s">
        <v>3798</v>
      </c>
    </row>
    <row r="2154" spans="1:21" x14ac:dyDescent="0.25">
      <c r="A2154">
        <v>1074</v>
      </c>
      <c r="B2154">
        <v>7974</v>
      </c>
      <c r="C2154" t="s">
        <v>3799</v>
      </c>
      <c r="D2154" t="s">
        <v>3800</v>
      </c>
      <c r="E2154" t="s">
        <v>3801</v>
      </c>
      <c r="F2154" t="s">
        <v>3802</v>
      </c>
      <c r="G2154" t="str">
        <f>"00092669"</f>
        <v>00092669</v>
      </c>
      <c r="H2154" t="s">
        <v>1799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0</v>
      </c>
      <c r="O2154">
        <v>0</v>
      </c>
      <c r="P2154">
        <v>0</v>
      </c>
      <c r="Q2154">
        <v>0</v>
      </c>
      <c r="T2154">
        <v>0</v>
      </c>
      <c r="U2154" t="s">
        <v>1799</v>
      </c>
    </row>
    <row r="2155" spans="1:21" x14ac:dyDescent="0.25">
      <c r="H2155" t="s">
        <v>3803</v>
      </c>
    </row>
    <row r="2156" spans="1:21" x14ac:dyDescent="0.25">
      <c r="A2156">
        <v>1075</v>
      </c>
      <c r="B2156">
        <v>5003</v>
      </c>
      <c r="C2156" t="s">
        <v>3804</v>
      </c>
      <c r="D2156" t="s">
        <v>1683</v>
      </c>
      <c r="E2156" t="s">
        <v>122</v>
      </c>
      <c r="F2156" t="s">
        <v>3805</v>
      </c>
      <c r="G2156" t="str">
        <f>"201410012638"</f>
        <v>201410012638</v>
      </c>
      <c r="H2156" t="s">
        <v>3806</v>
      </c>
      <c r="I2156">
        <v>150</v>
      </c>
      <c r="J2156">
        <v>50</v>
      </c>
      <c r="K2156">
        <v>0</v>
      </c>
      <c r="L2156">
        <v>0</v>
      </c>
      <c r="M2156">
        <v>0</v>
      </c>
      <c r="N2156">
        <v>0</v>
      </c>
      <c r="O2156">
        <v>0</v>
      </c>
      <c r="P2156">
        <v>0</v>
      </c>
      <c r="Q2156">
        <v>0</v>
      </c>
      <c r="T2156">
        <v>0</v>
      </c>
      <c r="U2156" t="s">
        <v>3807</v>
      </c>
    </row>
    <row r="2157" spans="1:21" x14ac:dyDescent="0.25">
      <c r="H2157" t="s">
        <v>3808</v>
      </c>
    </row>
    <row r="2158" spans="1:21" x14ac:dyDescent="0.25">
      <c r="A2158">
        <v>1076</v>
      </c>
      <c r="B2158">
        <v>5311</v>
      </c>
      <c r="C2158" t="s">
        <v>3809</v>
      </c>
      <c r="D2158" t="s">
        <v>179</v>
      </c>
      <c r="E2158" t="s">
        <v>37</v>
      </c>
      <c r="F2158" t="s">
        <v>3810</v>
      </c>
      <c r="G2158" t="str">
        <f>"00085824"</f>
        <v>00085824</v>
      </c>
      <c r="H2158" t="s">
        <v>3811</v>
      </c>
      <c r="I2158">
        <v>0</v>
      </c>
      <c r="J2158">
        <v>0</v>
      </c>
      <c r="K2158">
        <v>0</v>
      </c>
      <c r="L2158">
        <v>0</v>
      </c>
      <c r="M2158">
        <v>0</v>
      </c>
      <c r="N2158">
        <v>0</v>
      </c>
      <c r="O2158">
        <v>0</v>
      </c>
      <c r="P2158">
        <v>0</v>
      </c>
      <c r="Q2158">
        <v>0</v>
      </c>
      <c r="T2158">
        <v>0</v>
      </c>
      <c r="U2158" t="s">
        <v>3811</v>
      </c>
    </row>
    <row r="2159" spans="1:21" x14ac:dyDescent="0.25">
      <c r="H2159" t="s">
        <v>3812</v>
      </c>
    </row>
    <row r="2160" spans="1:21" x14ac:dyDescent="0.25">
      <c r="A2160">
        <v>1077</v>
      </c>
      <c r="B2160">
        <v>5148</v>
      </c>
      <c r="C2160" t="s">
        <v>1341</v>
      </c>
      <c r="D2160" t="s">
        <v>74</v>
      </c>
      <c r="E2160" t="s">
        <v>65</v>
      </c>
      <c r="F2160" t="s">
        <v>3813</v>
      </c>
      <c r="G2160" t="str">
        <f>"00072734"</f>
        <v>00072734</v>
      </c>
      <c r="H2160" t="s">
        <v>3811</v>
      </c>
      <c r="I2160">
        <v>0</v>
      </c>
      <c r="J2160">
        <v>0</v>
      </c>
      <c r="K2160">
        <v>0</v>
      </c>
      <c r="L2160">
        <v>0</v>
      </c>
      <c r="M2160">
        <v>0</v>
      </c>
      <c r="N2160">
        <v>0</v>
      </c>
      <c r="O2160">
        <v>0</v>
      </c>
      <c r="P2160">
        <v>0</v>
      </c>
      <c r="Q2160">
        <v>0</v>
      </c>
      <c r="T2160">
        <v>2</v>
      </c>
      <c r="U2160" t="s">
        <v>3811</v>
      </c>
    </row>
    <row r="2161" spans="1:21" x14ac:dyDescent="0.25">
      <c r="H2161" t="s">
        <v>3814</v>
      </c>
    </row>
    <row r="2162" spans="1:21" x14ac:dyDescent="0.25">
      <c r="A2162">
        <v>1078</v>
      </c>
      <c r="B2162">
        <v>4787</v>
      </c>
      <c r="C2162" t="s">
        <v>1487</v>
      </c>
      <c r="D2162" t="s">
        <v>384</v>
      </c>
      <c r="E2162" t="s">
        <v>135</v>
      </c>
      <c r="F2162" t="s">
        <v>3815</v>
      </c>
      <c r="G2162" t="str">
        <f>"201511043445"</f>
        <v>201511043445</v>
      </c>
      <c r="H2162" t="s">
        <v>3811</v>
      </c>
      <c r="I2162">
        <v>0</v>
      </c>
      <c r="J2162">
        <v>0</v>
      </c>
      <c r="K2162">
        <v>0</v>
      </c>
      <c r="L2162">
        <v>0</v>
      </c>
      <c r="M2162">
        <v>0</v>
      </c>
      <c r="N2162">
        <v>0</v>
      </c>
      <c r="O2162">
        <v>0</v>
      </c>
      <c r="P2162">
        <v>0</v>
      </c>
      <c r="Q2162">
        <v>0</v>
      </c>
      <c r="T2162">
        <v>0</v>
      </c>
      <c r="U2162" t="s">
        <v>3811</v>
      </c>
    </row>
    <row r="2163" spans="1:21" x14ac:dyDescent="0.25">
      <c r="H2163" t="s">
        <v>3816</v>
      </c>
    </row>
    <row r="2164" spans="1:21" x14ac:dyDescent="0.25">
      <c r="A2164">
        <v>1079</v>
      </c>
      <c r="B2164">
        <v>1157</v>
      </c>
      <c r="C2164" t="s">
        <v>3817</v>
      </c>
      <c r="D2164" t="s">
        <v>646</v>
      </c>
      <c r="E2164" t="s">
        <v>112</v>
      </c>
      <c r="F2164" t="s">
        <v>3818</v>
      </c>
      <c r="G2164" t="str">
        <f>"00070406"</f>
        <v>00070406</v>
      </c>
      <c r="H2164" t="s">
        <v>2870</v>
      </c>
      <c r="I2164">
        <v>0</v>
      </c>
      <c r="J2164">
        <v>70</v>
      </c>
      <c r="K2164">
        <v>0</v>
      </c>
      <c r="L2164">
        <v>0</v>
      </c>
      <c r="M2164">
        <v>0</v>
      </c>
      <c r="N2164">
        <v>0</v>
      </c>
      <c r="O2164">
        <v>0</v>
      </c>
      <c r="P2164">
        <v>0</v>
      </c>
      <c r="Q2164">
        <v>0</v>
      </c>
      <c r="T2164">
        <v>0</v>
      </c>
      <c r="U2164" t="s">
        <v>3819</v>
      </c>
    </row>
    <row r="2165" spans="1:21" x14ac:dyDescent="0.25">
      <c r="H2165" t="s">
        <v>3820</v>
      </c>
    </row>
    <row r="2166" spans="1:21" x14ac:dyDescent="0.25">
      <c r="A2166">
        <v>1080</v>
      </c>
      <c r="B2166">
        <v>3117</v>
      </c>
      <c r="C2166" t="s">
        <v>3821</v>
      </c>
      <c r="D2166" t="s">
        <v>112</v>
      </c>
      <c r="E2166" t="s">
        <v>27</v>
      </c>
      <c r="F2166" t="s">
        <v>3822</v>
      </c>
      <c r="G2166" t="str">
        <f>"201402005993"</f>
        <v>201402005993</v>
      </c>
      <c r="H2166" t="s">
        <v>3823</v>
      </c>
      <c r="I2166">
        <v>150</v>
      </c>
      <c r="J2166">
        <v>0</v>
      </c>
      <c r="K2166">
        <v>0</v>
      </c>
      <c r="L2166">
        <v>0</v>
      </c>
      <c r="M2166">
        <v>0</v>
      </c>
      <c r="N2166">
        <v>0</v>
      </c>
      <c r="O2166">
        <v>0</v>
      </c>
      <c r="P2166">
        <v>0</v>
      </c>
      <c r="Q2166">
        <v>0</v>
      </c>
      <c r="T2166">
        <v>1</v>
      </c>
      <c r="U2166" t="s">
        <v>3824</v>
      </c>
    </row>
    <row r="2167" spans="1:21" x14ac:dyDescent="0.25">
      <c r="H2167" t="s">
        <v>3825</v>
      </c>
    </row>
    <row r="2168" spans="1:21" x14ac:dyDescent="0.25">
      <c r="A2168">
        <v>1081</v>
      </c>
      <c r="B2168">
        <v>2768</v>
      </c>
      <c r="C2168" t="s">
        <v>3826</v>
      </c>
      <c r="D2168" t="s">
        <v>3827</v>
      </c>
      <c r="E2168" t="s">
        <v>1136</v>
      </c>
      <c r="F2168" t="s">
        <v>3828</v>
      </c>
      <c r="G2168" t="str">
        <f>"00027829"</f>
        <v>00027829</v>
      </c>
      <c r="H2168" t="s">
        <v>1422</v>
      </c>
      <c r="I2168">
        <v>0</v>
      </c>
      <c r="J2168">
        <v>0</v>
      </c>
      <c r="K2168">
        <v>0</v>
      </c>
      <c r="L2168">
        <v>0</v>
      </c>
      <c r="M2168">
        <v>0</v>
      </c>
      <c r="N2168">
        <v>0</v>
      </c>
      <c r="O2168">
        <v>0</v>
      </c>
      <c r="P2168">
        <v>0</v>
      </c>
      <c r="Q2168">
        <v>0</v>
      </c>
      <c r="T2168">
        <v>0</v>
      </c>
      <c r="U2168" t="s">
        <v>1422</v>
      </c>
    </row>
    <row r="2169" spans="1:21" x14ac:dyDescent="0.25">
      <c r="H2169" t="s">
        <v>3829</v>
      </c>
    </row>
    <row r="2170" spans="1:21" x14ac:dyDescent="0.25">
      <c r="A2170">
        <v>1082</v>
      </c>
      <c r="B2170">
        <v>6074</v>
      </c>
      <c r="C2170" t="s">
        <v>3830</v>
      </c>
      <c r="D2170" t="s">
        <v>3831</v>
      </c>
      <c r="E2170" t="s">
        <v>707</v>
      </c>
      <c r="F2170" t="s">
        <v>3832</v>
      </c>
      <c r="G2170" t="str">
        <f>"00073917"</f>
        <v>00073917</v>
      </c>
      <c r="H2170" t="s">
        <v>1422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0</v>
      </c>
      <c r="O2170">
        <v>0</v>
      </c>
      <c r="P2170">
        <v>0</v>
      </c>
      <c r="Q2170">
        <v>0</v>
      </c>
      <c r="T2170">
        <v>0</v>
      </c>
      <c r="U2170" t="s">
        <v>1422</v>
      </c>
    </row>
    <row r="2171" spans="1:21" x14ac:dyDescent="0.25">
      <c r="H2171" t="s">
        <v>3833</v>
      </c>
    </row>
    <row r="2172" spans="1:21" x14ac:dyDescent="0.25">
      <c r="A2172">
        <v>1083</v>
      </c>
      <c r="B2172">
        <v>7368</v>
      </c>
      <c r="C2172" t="s">
        <v>3834</v>
      </c>
      <c r="D2172" t="s">
        <v>313</v>
      </c>
      <c r="E2172" t="s">
        <v>449</v>
      </c>
      <c r="F2172" t="s">
        <v>3835</v>
      </c>
      <c r="G2172" t="str">
        <f>"200908000050"</f>
        <v>200908000050</v>
      </c>
      <c r="H2172" t="s">
        <v>1422</v>
      </c>
      <c r="I2172">
        <v>0</v>
      </c>
      <c r="J2172">
        <v>0</v>
      </c>
      <c r="K2172">
        <v>0</v>
      </c>
      <c r="L2172">
        <v>0</v>
      </c>
      <c r="M2172">
        <v>0</v>
      </c>
      <c r="N2172">
        <v>0</v>
      </c>
      <c r="O2172">
        <v>0</v>
      </c>
      <c r="P2172">
        <v>0</v>
      </c>
      <c r="Q2172">
        <v>0</v>
      </c>
      <c r="T2172">
        <v>0</v>
      </c>
      <c r="U2172" t="s">
        <v>1422</v>
      </c>
    </row>
    <row r="2173" spans="1:21" x14ac:dyDescent="0.25">
      <c r="H2173" t="s">
        <v>491</v>
      </c>
    </row>
    <row r="2174" spans="1:21" x14ac:dyDescent="0.25">
      <c r="A2174">
        <v>1084</v>
      </c>
      <c r="B2174">
        <v>971</v>
      </c>
      <c r="C2174" t="s">
        <v>3836</v>
      </c>
      <c r="D2174" t="s">
        <v>116</v>
      </c>
      <c r="E2174" t="s">
        <v>231</v>
      </c>
      <c r="F2174" t="s">
        <v>3837</v>
      </c>
      <c r="G2174" t="str">
        <f>"00024664"</f>
        <v>00024664</v>
      </c>
      <c r="H2174" t="s">
        <v>1867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0</v>
      </c>
      <c r="O2174">
        <v>0</v>
      </c>
      <c r="P2174">
        <v>0</v>
      </c>
      <c r="Q2174">
        <v>0</v>
      </c>
      <c r="T2174">
        <v>0</v>
      </c>
      <c r="U2174" t="s">
        <v>1867</v>
      </c>
    </row>
    <row r="2175" spans="1:21" x14ac:dyDescent="0.25">
      <c r="H2175" t="s">
        <v>3838</v>
      </c>
    </row>
    <row r="2176" spans="1:21" x14ac:dyDescent="0.25">
      <c r="A2176">
        <v>1085</v>
      </c>
      <c r="B2176">
        <v>3524</v>
      </c>
      <c r="C2176" t="s">
        <v>3839</v>
      </c>
      <c r="D2176" t="s">
        <v>116</v>
      </c>
      <c r="E2176" t="s">
        <v>27</v>
      </c>
      <c r="F2176" t="s">
        <v>3840</v>
      </c>
      <c r="G2176" t="str">
        <f>"00050868"</f>
        <v>00050868</v>
      </c>
      <c r="H2176" t="s">
        <v>1867</v>
      </c>
      <c r="I2176">
        <v>0</v>
      </c>
      <c r="J2176">
        <v>0</v>
      </c>
      <c r="K2176">
        <v>0</v>
      </c>
      <c r="L2176">
        <v>0</v>
      </c>
      <c r="M2176">
        <v>0</v>
      </c>
      <c r="N2176">
        <v>0</v>
      </c>
      <c r="O2176">
        <v>0</v>
      </c>
      <c r="P2176">
        <v>0</v>
      </c>
      <c r="Q2176">
        <v>0</v>
      </c>
      <c r="T2176">
        <v>2</v>
      </c>
      <c r="U2176" t="s">
        <v>1867</v>
      </c>
    </row>
    <row r="2177" spans="1:21" x14ac:dyDescent="0.25">
      <c r="H2177" t="s">
        <v>3841</v>
      </c>
    </row>
    <row r="2178" spans="1:21" x14ac:dyDescent="0.25">
      <c r="A2178">
        <v>1086</v>
      </c>
      <c r="B2178">
        <v>7977</v>
      </c>
      <c r="C2178" t="s">
        <v>3842</v>
      </c>
      <c r="D2178" t="s">
        <v>27</v>
      </c>
      <c r="E2178" t="s">
        <v>350</v>
      </c>
      <c r="F2178" t="s">
        <v>3843</v>
      </c>
      <c r="G2178" t="str">
        <f>"201512003972"</f>
        <v>201512003972</v>
      </c>
      <c r="H2178" t="s">
        <v>2672</v>
      </c>
      <c r="I2178">
        <v>0</v>
      </c>
      <c r="J2178">
        <v>50</v>
      </c>
      <c r="K2178">
        <v>0</v>
      </c>
      <c r="L2178">
        <v>0</v>
      </c>
      <c r="M2178">
        <v>0</v>
      </c>
      <c r="N2178">
        <v>0</v>
      </c>
      <c r="O2178">
        <v>0</v>
      </c>
      <c r="P2178">
        <v>0</v>
      </c>
      <c r="Q2178">
        <v>0</v>
      </c>
      <c r="T2178">
        <v>0</v>
      </c>
      <c r="U2178" t="s">
        <v>3844</v>
      </c>
    </row>
    <row r="2179" spans="1:21" x14ac:dyDescent="0.25">
      <c r="H2179" t="s">
        <v>3845</v>
      </c>
    </row>
    <row r="2180" spans="1:21" x14ac:dyDescent="0.25">
      <c r="A2180">
        <v>1087</v>
      </c>
      <c r="B2180">
        <v>7679</v>
      </c>
      <c r="C2180" t="s">
        <v>3846</v>
      </c>
      <c r="D2180" t="s">
        <v>112</v>
      </c>
      <c r="E2180" t="s">
        <v>135</v>
      </c>
      <c r="F2180" t="s">
        <v>3847</v>
      </c>
      <c r="G2180" t="str">
        <f>"201510002001"</f>
        <v>201510002001</v>
      </c>
      <c r="H2180" t="s">
        <v>3848</v>
      </c>
      <c r="I2180">
        <v>150</v>
      </c>
      <c r="J2180">
        <v>0</v>
      </c>
      <c r="K2180">
        <v>0</v>
      </c>
      <c r="L2180">
        <v>0</v>
      </c>
      <c r="M2180">
        <v>0</v>
      </c>
      <c r="N2180">
        <v>0</v>
      </c>
      <c r="O2180">
        <v>0</v>
      </c>
      <c r="P2180">
        <v>0</v>
      </c>
      <c r="Q2180">
        <v>0</v>
      </c>
      <c r="T2180">
        <v>0</v>
      </c>
      <c r="U2180" t="s">
        <v>3849</v>
      </c>
    </row>
    <row r="2181" spans="1:21" x14ac:dyDescent="0.25">
      <c r="H2181" t="s">
        <v>3850</v>
      </c>
    </row>
    <row r="2182" spans="1:21" x14ac:dyDescent="0.25">
      <c r="A2182">
        <v>1088</v>
      </c>
      <c r="B2182">
        <v>8152</v>
      </c>
      <c r="C2182" t="s">
        <v>3851</v>
      </c>
      <c r="D2182" t="s">
        <v>3852</v>
      </c>
      <c r="E2182" t="s">
        <v>3853</v>
      </c>
      <c r="F2182" t="s">
        <v>3854</v>
      </c>
      <c r="G2182" t="str">
        <f>"201511015331"</f>
        <v>201511015331</v>
      </c>
      <c r="H2182" t="s">
        <v>3848</v>
      </c>
      <c r="I2182">
        <v>150</v>
      </c>
      <c r="J2182">
        <v>0</v>
      </c>
      <c r="K2182">
        <v>0</v>
      </c>
      <c r="L2182">
        <v>0</v>
      </c>
      <c r="M2182">
        <v>0</v>
      </c>
      <c r="N2182">
        <v>0</v>
      </c>
      <c r="O2182">
        <v>0</v>
      </c>
      <c r="P2182">
        <v>0</v>
      </c>
      <c r="Q2182">
        <v>0</v>
      </c>
      <c r="T2182">
        <v>0</v>
      </c>
      <c r="U2182" t="s">
        <v>3849</v>
      </c>
    </row>
    <row r="2183" spans="1:21" x14ac:dyDescent="0.25">
      <c r="H2183" t="s">
        <v>3855</v>
      </c>
    </row>
    <row r="2184" spans="1:21" x14ac:dyDescent="0.25">
      <c r="A2184">
        <v>1089</v>
      </c>
      <c r="B2184">
        <v>9963</v>
      </c>
      <c r="C2184" t="s">
        <v>3856</v>
      </c>
      <c r="D2184" t="s">
        <v>533</v>
      </c>
      <c r="E2184" t="s">
        <v>3600</v>
      </c>
      <c r="F2184" t="s">
        <v>3857</v>
      </c>
      <c r="G2184" t="str">
        <f>"00048256"</f>
        <v>00048256</v>
      </c>
      <c r="H2184" t="s">
        <v>2702</v>
      </c>
      <c r="I2184">
        <v>0</v>
      </c>
      <c r="J2184">
        <v>50</v>
      </c>
      <c r="K2184">
        <v>0</v>
      </c>
      <c r="L2184">
        <v>0</v>
      </c>
      <c r="M2184">
        <v>0</v>
      </c>
      <c r="N2184">
        <v>0</v>
      </c>
      <c r="O2184">
        <v>0</v>
      </c>
      <c r="P2184">
        <v>0</v>
      </c>
      <c r="Q2184">
        <v>0</v>
      </c>
      <c r="T2184">
        <v>0</v>
      </c>
      <c r="U2184" t="s">
        <v>3858</v>
      </c>
    </row>
    <row r="2185" spans="1:21" x14ac:dyDescent="0.25">
      <c r="H2185" t="s">
        <v>3859</v>
      </c>
    </row>
    <row r="2186" spans="1:21" x14ac:dyDescent="0.25">
      <c r="A2186">
        <v>1090</v>
      </c>
      <c r="B2186">
        <v>7671</v>
      </c>
      <c r="C2186" t="s">
        <v>3860</v>
      </c>
      <c r="D2186" t="s">
        <v>2716</v>
      </c>
      <c r="E2186" t="s">
        <v>79</v>
      </c>
      <c r="F2186" t="s">
        <v>3861</v>
      </c>
      <c r="G2186" t="str">
        <f>"201511009351"</f>
        <v>201511009351</v>
      </c>
      <c r="H2186">
        <v>880</v>
      </c>
      <c r="I2186">
        <v>0</v>
      </c>
      <c r="J2186">
        <v>0</v>
      </c>
      <c r="K2186">
        <v>0</v>
      </c>
      <c r="L2186">
        <v>0</v>
      </c>
      <c r="M2186">
        <v>0</v>
      </c>
      <c r="N2186">
        <v>0</v>
      </c>
      <c r="O2186">
        <v>0</v>
      </c>
      <c r="P2186">
        <v>0</v>
      </c>
      <c r="Q2186">
        <v>0</v>
      </c>
      <c r="T2186">
        <v>0</v>
      </c>
      <c r="U2186">
        <v>880</v>
      </c>
    </row>
    <row r="2187" spans="1:21" x14ac:dyDescent="0.25">
      <c r="H2187">
        <v>782</v>
      </c>
    </row>
    <row r="2188" spans="1:21" x14ac:dyDescent="0.25">
      <c r="A2188">
        <v>1091</v>
      </c>
      <c r="B2188">
        <v>5190</v>
      </c>
      <c r="C2188" t="s">
        <v>3862</v>
      </c>
      <c r="D2188" t="s">
        <v>3863</v>
      </c>
      <c r="E2188" t="s">
        <v>1477</v>
      </c>
      <c r="F2188" t="s">
        <v>3864</v>
      </c>
      <c r="G2188" t="str">
        <f>"201512001148"</f>
        <v>201512001148</v>
      </c>
      <c r="H2188">
        <v>880</v>
      </c>
      <c r="I2188">
        <v>0</v>
      </c>
      <c r="J2188">
        <v>0</v>
      </c>
      <c r="K2188">
        <v>0</v>
      </c>
      <c r="L2188">
        <v>0</v>
      </c>
      <c r="M2188">
        <v>0</v>
      </c>
      <c r="N2188">
        <v>0</v>
      </c>
      <c r="O2188">
        <v>0</v>
      </c>
      <c r="P2188">
        <v>0</v>
      </c>
      <c r="Q2188">
        <v>0</v>
      </c>
      <c r="R2188">
        <v>6</v>
      </c>
      <c r="S2188">
        <v>809</v>
      </c>
      <c r="T2188">
        <v>0</v>
      </c>
      <c r="U2188">
        <v>880</v>
      </c>
    </row>
    <row r="2189" spans="1:21" x14ac:dyDescent="0.25">
      <c r="H2189">
        <v>809</v>
      </c>
    </row>
    <row r="2190" spans="1:21" x14ac:dyDescent="0.25">
      <c r="A2190">
        <v>1092</v>
      </c>
      <c r="B2190">
        <v>3920</v>
      </c>
      <c r="C2190" t="s">
        <v>3865</v>
      </c>
      <c r="D2190" t="s">
        <v>3866</v>
      </c>
      <c r="E2190" t="s">
        <v>155</v>
      </c>
      <c r="F2190" t="s">
        <v>3867</v>
      </c>
      <c r="G2190" t="str">
        <f>"00071778"</f>
        <v>00071778</v>
      </c>
      <c r="H2190">
        <v>880</v>
      </c>
      <c r="I2190">
        <v>0</v>
      </c>
      <c r="J2190">
        <v>0</v>
      </c>
      <c r="K2190">
        <v>0</v>
      </c>
      <c r="L2190">
        <v>0</v>
      </c>
      <c r="M2190">
        <v>0</v>
      </c>
      <c r="N2190">
        <v>0</v>
      </c>
      <c r="O2190">
        <v>0</v>
      </c>
      <c r="P2190">
        <v>0</v>
      </c>
      <c r="Q2190">
        <v>0</v>
      </c>
      <c r="T2190">
        <v>0</v>
      </c>
      <c r="U2190">
        <v>880</v>
      </c>
    </row>
    <row r="2191" spans="1:21" x14ac:dyDescent="0.25">
      <c r="H2191" t="s">
        <v>3868</v>
      </c>
    </row>
    <row r="2192" spans="1:21" x14ac:dyDescent="0.25">
      <c r="A2192">
        <v>1093</v>
      </c>
      <c r="B2192">
        <v>1565</v>
      </c>
      <c r="C2192" t="s">
        <v>3869</v>
      </c>
      <c r="D2192" t="s">
        <v>85</v>
      </c>
      <c r="E2192" t="s">
        <v>769</v>
      </c>
      <c r="F2192" t="s">
        <v>3870</v>
      </c>
      <c r="G2192" t="str">
        <f>"201511042010"</f>
        <v>201511042010</v>
      </c>
      <c r="H2192">
        <v>880</v>
      </c>
      <c r="I2192">
        <v>0</v>
      </c>
      <c r="J2192">
        <v>0</v>
      </c>
      <c r="K2192">
        <v>0</v>
      </c>
      <c r="L2192">
        <v>0</v>
      </c>
      <c r="M2192">
        <v>0</v>
      </c>
      <c r="N2192">
        <v>0</v>
      </c>
      <c r="O2192">
        <v>0</v>
      </c>
      <c r="P2192">
        <v>0</v>
      </c>
      <c r="Q2192">
        <v>0</v>
      </c>
      <c r="T2192">
        <v>0</v>
      </c>
      <c r="U2192">
        <v>880</v>
      </c>
    </row>
    <row r="2193" spans="1:21" x14ac:dyDescent="0.25">
      <c r="H2193" t="s">
        <v>3871</v>
      </c>
    </row>
    <row r="2194" spans="1:21" x14ac:dyDescent="0.25">
      <c r="A2194">
        <v>1094</v>
      </c>
      <c r="B2194">
        <v>4948</v>
      </c>
      <c r="C2194" t="s">
        <v>3872</v>
      </c>
      <c r="D2194" t="s">
        <v>225</v>
      </c>
      <c r="E2194" t="s">
        <v>449</v>
      </c>
      <c r="F2194" t="s">
        <v>3873</v>
      </c>
      <c r="G2194" t="str">
        <f>"00070448"</f>
        <v>00070448</v>
      </c>
      <c r="H2194">
        <v>880</v>
      </c>
      <c r="I2194">
        <v>0</v>
      </c>
      <c r="J2194">
        <v>0</v>
      </c>
      <c r="K2194">
        <v>0</v>
      </c>
      <c r="L2194">
        <v>0</v>
      </c>
      <c r="M2194">
        <v>0</v>
      </c>
      <c r="N2194">
        <v>0</v>
      </c>
      <c r="O2194">
        <v>0</v>
      </c>
      <c r="P2194">
        <v>0</v>
      </c>
      <c r="Q2194">
        <v>0</v>
      </c>
      <c r="T2194">
        <v>0</v>
      </c>
      <c r="U2194">
        <v>880</v>
      </c>
    </row>
    <row r="2195" spans="1:21" x14ac:dyDescent="0.25">
      <c r="H2195" t="s">
        <v>3874</v>
      </c>
    </row>
    <row r="2196" spans="1:21" x14ac:dyDescent="0.25">
      <c r="A2196">
        <v>1095</v>
      </c>
      <c r="B2196">
        <v>4595</v>
      </c>
      <c r="C2196" t="s">
        <v>3875</v>
      </c>
      <c r="D2196" t="s">
        <v>116</v>
      </c>
      <c r="E2196" t="s">
        <v>37</v>
      </c>
      <c r="F2196" t="s">
        <v>3876</v>
      </c>
      <c r="G2196" t="str">
        <f>"201511032842"</f>
        <v>201511032842</v>
      </c>
      <c r="H2196">
        <v>880</v>
      </c>
      <c r="I2196">
        <v>0</v>
      </c>
      <c r="J2196">
        <v>0</v>
      </c>
      <c r="K2196">
        <v>0</v>
      </c>
      <c r="L2196">
        <v>0</v>
      </c>
      <c r="M2196">
        <v>0</v>
      </c>
      <c r="N2196">
        <v>0</v>
      </c>
      <c r="O2196">
        <v>0</v>
      </c>
      <c r="P2196">
        <v>0</v>
      </c>
      <c r="Q2196">
        <v>0</v>
      </c>
      <c r="T2196">
        <v>0</v>
      </c>
      <c r="U2196">
        <v>880</v>
      </c>
    </row>
    <row r="2197" spans="1:21" x14ac:dyDescent="0.25">
      <c r="H2197" t="s">
        <v>3877</v>
      </c>
    </row>
    <row r="2198" spans="1:21" x14ac:dyDescent="0.25">
      <c r="A2198">
        <v>1096</v>
      </c>
      <c r="B2198">
        <v>6106</v>
      </c>
      <c r="C2198" t="s">
        <v>3878</v>
      </c>
      <c r="D2198" t="s">
        <v>3879</v>
      </c>
      <c r="E2198" t="s">
        <v>975</v>
      </c>
      <c r="F2198" t="s">
        <v>3880</v>
      </c>
      <c r="G2198" t="str">
        <f>"00050559"</f>
        <v>00050559</v>
      </c>
      <c r="H2198">
        <v>880</v>
      </c>
      <c r="I2198">
        <v>0</v>
      </c>
      <c r="J2198">
        <v>0</v>
      </c>
      <c r="K2198">
        <v>0</v>
      </c>
      <c r="L2198">
        <v>0</v>
      </c>
      <c r="M2198">
        <v>0</v>
      </c>
      <c r="N2198">
        <v>0</v>
      </c>
      <c r="O2198">
        <v>0</v>
      </c>
      <c r="P2198">
        <v>0</v>
      </c>
      <c r="Q2198">
        <v>0</v>
      </c>
      <c r="T2198">
        <v>1</v>
      </c>
      <c r="U2198">
        <v>880</v>
      </c>
    </row>
    <row r="2199" spans="1:21" x14ac:dyDescent="0.25">
      <c r="H2199">
        <v>801</v>
      </c>
    </row>
    <row r="2200" spans="1:21" x14ac:dyDescent="0.25">
      <c r="A2200">
        <v>1097</v>
      </c>
      <c r="B2200">
        <v>405</v>
      </c>
      <c r="C2200" t="s">
        <v>3881</v>
      </c>
      <c r="D2200" t="s">
        <v>185</v>
      </c>
      <c r="E2200" t="s">
        <v>42</v>
      </c>
      <c r="F2200" t="s">
        <v>3882</v>
      </c>
      <c r="G2200" t="str">
        <f>"00064082"</f>
        <v>00064082</v>
      </c>
      <c r="H2200">
        <v>880</v>
      </c>
      <c r="I2200">
        <v>0</v>
      </c>
      <c r="J2200">
        <v>0</v>
      </c>
      <c r="K2200">
        <v>0</v>
      </c>
      <c r="L2200">
        <v>0</v>
      </c>
      <c r="M2200">
        <v>0</v>
      </c>
      <c r="N2200">
        <v>0</v>
      </c>
      <c r="O2200">
        <v>0</v>
      </c>
      <c r="P2200">
        <v>0</v>
      </c>
      <c r="Q2200">
        <v>0</v>
      </c>
      <c r="T2200">
        <v>0</v>
      </c>
      <c r="U2200">
        <v>880</v>
      </c>
    </row>
    <row r="2201" spans="1:21" x14ac:dyDescent="0.25">
      <c r="H2201">
        <v>764</v>
      </c>
    </row>
    <row r="2202" spans="1:21" x14ac:dyDescent="0.25">
      <c r="A2202">
        <v>1098</v>
      </c>
      <c r="B2202">
        <v>10099</v>
      </c>
      <c r="C2202" t="s">
        <v>3883</v>
      </c>
      <c r="D2202" t="s">
        <v>57</v>
      </c>
      <c r="E2202" t="s">
        <v>255</v>
      </c>
      <c r="F2202" t="s">
        <v>3884</v>
      </c>
      <c r="G2202" t="str">
        <f>"00043072"</f>
        <v>00043072</v>
      </c>
      <c r="H2202">
        <v>880</v>
      </c>
      <c r="I2202">
        <v>0</v>
      </c>
      <c r="J2202">
        <v>0</v>
      </c>
      <c r="K2202">
        <v>0</v>
      </c>
      <c r="L2202">
        <v>0</v>
      </c>
      <c r="M2202">
        <v>0</v>
      </c>
      <c r="N2202">
        <v>0</v>
      </c>
      <c r="O2202">
        <v>0</v>
      </c>
      <c r="P2202">
        <v>0</v>
      </c>
      <c r="Q2202">
        <v>0</v>
      </c>
      <c r="T2202">
        <v>1</v>
      </c>
      <c r="U2202">
        <v>880</v>
      </c>
    </row>
    <row r="2203" spans="1:21" x14ac:dyDescent="0.25">
      <c r="H2203" t="s">
        <v>3885</v>
      </c>
    </row>
    <row r="2204" spans="1:21" x14ac:dyDescent="0.25">
      <c r="A2204">
        <v>1099</v>
      </c>
      <c r="B2204">
        <v>2449</v>
      </c>
      <c r="C2204" t="s">
        <v>1240</v>
      </c>
      <c r="D2204" t="s">
        <v>69</v>
      </c>
      <c r="E2204" t="s">
        <v>36</v>
      </c>
      <c r="F2204" t="s">
        <v>3886</v>
      </c>
      <c r="G2204" t="str">
        <f>"201511035322"</f>
        <v>201511035322</v>
      </c>
      <c r="H2204">
        <v>880</v>
      </c>
      <c r="I2204">
        <v>0</v>
      </c>
      <c r="J2204">
        <v>0</v>
      </c>
      <c r="K2204">
        <v>0</v>
      </c>
      <c r="L2204">
        <v>0</v>
      </c>
      <c r="M2204">
        <v>0</v>
      </c>
      <c r="N2204">
        <v>0</v>
      </c>
      <c r="O2204">
        <v>0</v>
      </c>
      <c r="P2204">
        <v>0</v>
      </c>
      <c r="Q2204">
        <v>0</v>
      </c>
      <c r="T2204">
        <v>0</v>
      </c>
      <c r="U2204">
        <v>880</v>
      </c>
    </row>
    <row r="2205" spans="1:21" x14ac:dyDescent="0.25">
      <c r="H2205" t="s">
        <v>3887</v>
      </c>
    </row>
    <row r="2206" spans="1:21" x14ac:dyDescent="0.25">
      <c r="A2206">
        <v>1100</v>
      </c>
      <c r="B2206">
        <v>1447</v>
      </c>
      <c r="C2206" t="s">
        <v>3888</v>
      </c>
      <c r="D2206" t="s">
        <v>646</v>
      </c>
      <c r="E2206" t="s">
        <v>42</v>
      </c>
      <c r="F2206" t="s">
        <v>3889</v>
      </c>
      <c r="G2206" t="str">
        <f>"201510000889"</f>
        <v>201510000889</v>
      </c>
      <c r="H2206">
        <v>880</v>
      </c>
      <c r="I2206">
        <v>0</v>
      </c>
      <c r="J2206">
        <v>0</v>
      </c>
      <c r="K2206">
        <v>0</v>
      </c>
      <c r="L2206">
        <v>0</v>
      </c>
      <c r="M2206">
        <v>0</v>
      </c>
      <c r="N2206">
        <v>0</v>
      </c>
      <c r="O2206">
        <v>0</v>
      </c>
      <c r="P2206">
        <v>0</v>
      </c>
      <c r="Q2206">
        <v>0</v>
      </c>
      <c r="T2206">
        <v>0</v>
      </c>
      <c r="U2206">
        <v>880</v>
      </c>
    </row>
    <row r="2207" spans="1:21" x14ac:dyDescent="0.25">
      <c r="H2207" t="s">
        <v>3890</v>
      </c>
    </row>
    <row r="2208" spans="1:21" x14ac:dyDescent="0.25">
      <c r="A2208">
        <v>1101</v>
      </c>
      <c r="B2208">
        <v>10155</v>
      </c>
      <c r="C2208" t="s">
        <v>3891</v>
      </c>
      <c r="D2208" t="s">
        <v>85</v>
      </c>
      <c r="E2208" t="s">
        <v>37</v>
      </c>
      <c r="F2208" t="s">
        <v>3892</v>
      </c>
      <c r="G2208" t="str">
        <f>"00102585"</f>
        <v>00102585</v>
      </c>
      <c r="H2208">
        <v>880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0</v>
      </c>
      <c r="O2208">
        <v>0</v>
      </c>
      <c r="P2208">
        <v>0</v>
      </c>
      <c r="Q2208">
        <v>0</v>
      </c>
      <c r="T2208">
        <v>0</v>
      </c>
      <c r="U2208">
        <v>880</v>
      </c>
    </row>
    <row r="2209" spans="1:21" x14ac:dyDescent="0.25">
      <c r="H2209" t="s">
        <v>3893</v>
      </c>
    </row>
    <row r="2210" spans="1:21" x14ac:dyDescent="0.25">
      <c r="A2210">
        <v>1102</v>
      </c>
      <c r="B2210">
        <v>779</v>
      </c>
      <c r="C2210" t="s">
        <v>3894</v>
      </c>
      <c r="D2210" t="s">
        <v>173</v>
      </c>
      <c r="E2210" t="s">
        <v>27</v>
      </c>
      <c r="F2210" t="s">
        <v>3895</v>
      </c>
      <c r="G2210" t="str">
        <f>"00028957"</f>
        <v>00028957</v>
      </c>
      <c r="H2210">
        <v>880</v>
      </c>
      <c r="I2210">
        <v>0</v>
      </c>
      <c r="J2210">
        <v>0</v>
      </c>
      <c r="K2210">
        <v>0</v>
      </c>
      <c r="L2210">
        <v>0</v>
      </c>
      <c r="M2210">
        <v>0</v>
      </c>
      <c r="N2210">
        <v>0</v>
      </c>
      <c r="O2210">
        <v>0</v>
      </c>
      <c r="P2210">
        <v>0</v>
      </c>
      <c r="Q2210">
        <v>0</v>
      </c>
      <c r="T2210">
        <v>0</v>
      </c>
      <c r="U2210">
        <v>880</v>
      </c>
    </row>
    <row r="2211" spans="1:21" x14ac:dyDescent="0.25">
      <c r="H2211" t="s">
        <v>3896</v>
      </c>
    </row>
    <row r="2212" spans="1:21" x14ac:dyDescent="0.25">
      <c r="A2212">
        <v>1103</v>
      </c>
      <c r="B2212">
        <v>4824</v>
      </c>
      <c r="C2212" t="s">
        <v>3897</v>
      </c>
      <c r="D2212" t="s">
        <v>3898</v>
      </c>
      <c r="E2212" t="s">
        <v>533</v>
      </c>
      <c r="F2212" t="s">
        <v>3899</v>
      </c>
      <c r="G2212" t="str">
        <f>"201511007120"</f>
        <v>201511007120</v>
      </c>
      <c r="H2212">
        <v>880</v>
      </c>
      <c r="I2212">
        <v>0</v>
      </c>
      <c r="J2212">
        <v>0</v>
      </c>
      <c r="K2212">
        <v>0</v>
      </c>
      <c r="L2212">
        <v>0</v>
      </c>
      <c r="M2212">
        <v>0</v>
      </c>
      <c r="N2212">
        <v>0</v>
      </c>
      <c r="O2212">
        <v>0</v>
      </c>
      <c r="P2212">
        <v>0</v>
      </c>
      <c r="Q2212">
        <v>0</v>
      </c>
      <c r="R2212">
        <v>6</v>
      </c>
      <c r="S2212">
        <v>804</v>
      </c>
      <c r="T2212">
        <v>0</v>
      </c>
      <c r="U2212">
        <v>880</v>
      </c>
    </row>
    <row r="2213" spans="1:21" x14ac:dyDescent="0.25">
      <c r="H2213" t="s">
        <v>3900</v>
      </c>
    </row>
    <row r="2214" spans="1:21" x14ac:dyDescent="0.25">
      <c r="A2214">
        <v>1104</v>
      </c>
      <c r="B2214">
        <v>4824</v>
      </c>
      <c r="C2214" t="s">
        <v>3897</v>
      </c>
      <c r="D2214" t="s">
        <v>3898</v>
      </c>
      <c r="E2214" t="s">
        <v>533</v>
      </c>
      <c r="F2214" t="s">
        <v>3899</v>
      </c>
      <c r="G2214" t="str">
        <f>"201511007120"</f>
        <v>201511007120</v>
      </c>
      <c r="H2214">
        <v>880</v>
      </c>
      <c r="I2214">
        <v>0</v>
      </c>
      <c r="J2214">
        <v>0</v>
      </c>
      <c r="K2214">
        <v>0</v>
      </c>
      <c r="L2214">
        <v>0</v>
      </c>
      <c r="M2214">
        <v>0</v>
      </c>
      <c r="N2214">
        <v>0</v>
      </c>
      <c r="O2214">
        <v>0</v>
      </c>
      <c r="P2214">
        <v>0</v>
      </c>
      <c r="Q2214">
        <v>0</v>
      </c>
      <c r="T2214">
        <v>0</v>
      </c>
      <c r="U2214">
        <v>880</v>
      </c>
    </row>
    <row r="2215" spans="1:21" x14ac:dyDescent="0.25">
      <c r="H2215" t="s">
        <v>3900</v>
      </c>
    </row>
    <row r="2216" spans="1:21" x14ac:dyDescent="0.25">
      <c r="A2216">
        <v>1105</v>
      </c>
      <c r="B2216">
        <v>7380</v>
      </c>
      <c r="C2216" t="s">
        <v>163</v>
      </c>
      <c r="D2216" t="s">
        <v>3901</v>
      </c>
      <c r="E2216" t="s">
        <v>42</v>
      </c>
      <c r="F2216" t="s">
        <v>3902</v>
      </c>
      <c r="G2216" t="str">
        <f>"00091631"</f>
        <v>00091631</v>
      </c>
      <c r="H2216">
        <v>880</v>
      </c>
      <c r="I2216">
        <v>0</v>
      </c>
      <c r="J2216">
        <v>0</v>
      </c>
      <c r="K2216">
        <v>0</v>
      </c>
      <c r="L2216">
        <v>0</v>
      </c>
      <c r="M2216">
        <v>0</v>
      </c>
      <c r="N2216">
        <v>0</v>
      </c>
      <c r="O2216">
        <v>0</v>
      </c>
      <c r="P2216">
        <v>0</v>
      </c>
      <c r="Q2216">
        <v>0</v>
      </c>
      <c r="T2216">
        <v>0</v>
      </c>
      <c r="U2216">
        <v>880</v>
      </c>
    </row>
    <row r="2217" spans="1:21" x14ac:dyDescent="0.25">
      <c r="H2217" t="s">
        <v>3903</v>
      </c>
    </row>
    <row r="2218" spans="1:21" x14ac:dyDescent="0.25">
      <c r="A2218">
        <v>1106</v>
      </c>
      <c r="B2218">
        <v>8743</v>
      </c>
      <c r="C2218" t="s">
        <v>3904</v>
      </c>
      <c r="D2218" t="s">
        <v>3905</v>
      </c>
      <c r="E2218" t="s">
        <v>3801</v>
      </c>
      <c r="F2218" t="s">
        <v>3906</v>
      </c>
      <c r="G2218" t="str">
        <f>"00096147"</f>
        <v>00096147</v>
      </c>
      <c r="H2218">
        <v>880</v>
      </c>
      <c r="I2218">
        <v>0</v>
      </c>
      <c r="J2218">
        <v>0</v>
      </c>
      <c r="K2218">
        <v>0</v>
      </c>
      <c r="L2218">
        <v>0</v>
      </c>
      <c r="M2218">
        <v>0</v>
      </c>
      <c r="N2218">
        <v>0</v>
      </c>
      <c r="O2218">
        <v>0</v>
      </c>
      <c r="P2218">
        <v>0</v>
      </c>
      <c r="Q2218">
        <v>0</v>
      </c>
      <c r="T2218">
        <v>1</v>
      </c>
      <c r="U2218">
        <v>880</v>
      </c>
    </row>
    <row r="2219" spans="1:21" x14ac:dyDescent="0.25">
      <c r="H2219" t="s">
        <v>3907</v>
      </c>
    </row>
    <row r="2220" spans="1:21" x14ac:dyDescent="0.25">
      <c r="A2220">
        <v>1107</v>
      </c>
      <c r="B2220">
        <v>3054</v>
      </c>
      <c r="C2220" t="s">
        <v>3908</v>
      </c>
      <c r="D2220" t="s">
        <v>164</v>
      </c>
      <c r="E2220" t="s">
        <v>37</v>
      </c>
      <c r="F2220" t="s">
        <v>3909</v>
      </c>
      <c r="G2220" t="str">
        <f>"00023064"</f>
        <v>00023064</v>
      </c>
      <c r="H2220">
        <v>880</v>
      </c>
      <c r="I2220">
        <v>0</v>
      </c>
      <c r="J2220">
        <v>0</v>
      </c>
      <c r="K2220">
        <v>0</v>
      </c>
      <c r="L2220">
        <v>0</v>
      </c>
      <c r="M2220">
        <v>0</v>
      </c>
      <c r="N2220">
        <v>0</v>
      </c>
      <c r="O2220">
        <v>0</v>
      </c>
      <c r="P2220">
        <v>0</v>
      </c>
      <c r="Q2220">
        <v>0</v>
      </c>
      <c r="T2220">
        <v>2</v>
      </c>
      <c r="U2220">
        <v>880</v>
      </c>
    </row>
    <row r="2221" spans="1:21" x14ac:dyDescent="0.25">
      <c r="H2221" t="s">
        <v>3910</v>
      </c>
    </row>
    <row r="2222" spans="1:21" x14ac:dyDescent="0.25">
      <c r="A2222">
        <v>1108</v>
      </c>
      <c r="B2222">
        <v>7046</v>
      </c>
      <c r="C2222" t="s">
        <v>3911</v>
      </c>
      <c r="D2222" t="s">
        <v>173</v>
      </c>
      <c r="E2222" t="s">
        <v>533</v>
      </c>
      <c r="F2222" t="s">
        <v>3912</v>
      </c>
      <c r="G2222" t="str">
        <f>"00049252"</f>
        <v>00049252</v>
      </c>
      <c r="H2222">
        <v>880</v>
      </c>
      <c r="I2222">
        <v>0</v>
      </c>
      <c r="J2222">
        <v>0</v>
      </c>
      <c r="K2222">
        <v>0</v>
      </c>
      <c r="L2222">
        <v>0</v>
      </c>
      <c r="M2222">
        <v>0</v>
      </c>
      <c r="N2222">
        <v>0</v>
      </c>
      <c r="O2222">
        <v>0</v>
      </c>
      <c r="P2222">
        <v>0</v>
      </c>
      <c r="Q2222">
        <v>0</v>
      </c>
      <c r="T2222">
        <v>0</v>
      </c>
      <c r="U2222">
        <v>880</v>
      </c>
    </row>
    <row r="2223" spans="1:21" x14ac:dyDescent="0.25">
      <c r="H2223" t="s">
        <v>3913</v>
      </c>
    </row>
    <row r="2224" spans="1:21" x14ac:dyDescent="0.25">
      <c r="A2224">
        <v>1109</v>
      </c>
      <c r="B2224">
        <v>6683</v>
      </c>
      <c r="C2224" t="s">
        <v>3914</v>
      </c>
      <c r="D2224" t="s">
        <v>384</v>
      </c>
      <c r="E2224" t="s">
        <v>42</v>
      </c>
      <c r="F2224" t="s">
        <v>3915</v>
      </c>
      <c r="G2224" t="str">
        <f>"200905000006"</f>
        <v>200905000006</v>
      </c>
      <c r="H2224">
        <v>880</v>
      </c>
      <c r="I2224">
        <v>0</v>
      </c>
      <c r="J2224">
        <v>0</v>
      </c>
      <c r="K2224">
        <v>0</v>
      </c>
      <c r="L2224">
        <v>0</v>
      </c>
      <c r="M2224">
        <v>0</v>
      </c>
      <c r="N2224">
        <v>0</v>
      </c>
      <c r="O2224">
        <v>0</v>
      </c>
      <c r="P2224">
        <v>0</v>
      </c>
      <c r="Q2224">
        <v>0</v>
      </c>
      <c r="T2224">
        <v>0</v>
      </c>
      <c r="U2224">
        <v>880</v>
      </c>
    </row>
    <row r="2225" spans="1:21" x14ac:dyDescent="0.25">
      <c r="H2225" t="s">
        <v>3916</v>
      </c>
    </row>
    <row r="2226" spans="1:21" x14ac:dyDescent="0.25">
      <c r="A2226">
        <v>1110</v>
      </c>
      <c r="B2226">
        <v>1357</v>
      </c>
      <c r="C2226" t="s">
        <v>3917</v>
      </c>
      <c r="D2226" t="s">
        <v>285</v>
      </c>
      <c r="E2226" t="s">
        <v>1471</v>
      </c>
      <c r="F2226" t="s">
        <v>3918</v>
      </c>
      <c r="G2226" t="str">
        <f>"00024365"</f>
        <v>00024365</v>
      </c>
      <c r="H2226">
        <v>880</v>
      </c>
      <c r="I2226">
        <v>0</v>
      </c>
      <c r="J2226">
        <v>0</v>
      </c>
      <c r="K2226">
        <v>0</v>
      </c>
      <c r="L2226">
        <v>0</v>
      </c>
      <c r="M2226">
        <v>0</v>
      </c>
      <c r="N2226">
        <v>0</v>
      </c>
      <c r="O2226">
        <v>0</v>
      </c>
      <c r="P2226">
        <v>0</v>
      </c>
      <c r="Q2226">
        <v>0</v>
      </c>
      <c r="T2226">
        <v>0</v>
      </c>
      <c r="U2226">
        <v>880</v>
      </c>
    </row>
    <row r="2227" spans="1:21" x14ac:dyDescent="0.25">
      <c r="H2227" t="s">
        <v>3919</v>
      </c>
    </row>
    <row r="2228" spans="1:21" x14ac:dyDescent="0.25">
      <c r="A2228">
        <v>1111</v>
      </c>
      <c r="B2228">
        <v>3437</v>
      </c>
      <c r="C2228" t="s">
        <v>3920</v>
      </c>
      <c r="D2228" t="s">
        <v>3921</v>
      </c>
      <c r="E2228" t="s">
        <v>3922</v>
      </c>
      <c r="F2228" t="s">
        <v>3923</v>
      </c>
      <c r="G2228" t="str">
        <f>"00080375"</f>
        <v>00080375</v>
      </c>
      <c r="H2228">
        <v>880</v>
      </c>
      <c r="I2228">
        <v>0</v>
      </c>
      <c r="J2228">
        <v>0</v>
      </c>
      <c r="K2228">
        <v>0</v>
      </c>
      <c r="L2228">
        <v>0</v>
      </c>
      <c r="M2228">
        <v>0</v>
      </c>
      <c r="N2228">
        <v>0</v>
      </c>
      <c r="O2228">
        <v>0</v>
      </c>
      <c r="P2228">
        <v>0</v>
      </c>
      <c r="Q2228">
        <v>0</v>
      </c>
      <c r="T2228">
        <v>0</v>
      </c>
      <c r="U2228">
        <v>880</v>
      </c>
    </row>
    <row r="2229" spans="1:21" x14ac:dyDescent="0.25">
      <c r="H2229" t="s">
        <v>3924</v>
      </c>
    </row>
    <row r="2230" spans="1:21" x14ac:dyDescent="0.25">
      <c r="A2230">
        <v>1112</v>
      </c>
      <c r="B2230">
        <v>4605</v>
      </c>
      <c r="C2230" t="s">
        <v>3925</v>
      </c>
      <c r="D2230" t="s">
        <v>64</v>
      </c>
      <c r="E2230" t="s">
        <v>225</v>
      </c>
      <c r="F2230" t="s">
        <v>3926</v>
      </c>
      <c r="G2230" t="str">
        <f>"201511008111"</f>
        <v>201511008111</v>
      </c>
      <c r="H2230">
        <v>880</v>
      </c>
      <c r="I2230">
        <v>0</v>
      </c>
      <c r="J2230">
        <v>0</v>
      </c>
      <c r="K2230">
        <v>0</v>
      </c>
      <c r="L2230">
        <v>0</v>
      </c>
      <c r="M2230">
        <v>0</v>
      </c>
      <c r="N2230">
        <v>0</v>
      </c>
      <c r="O2230">
        <v>0</v>
      </c>
      <c r="P2230">
        <v>0</v>
      </c>
      <c r="Q2230">
        <v>0</v>
      </c>
      <c r="T2230">
        <v>0</v>
      </c>
      <c r="U2230">
        <v>880</v>
      </c>
    </row>
    <row r="2231" spans="1:21" x14ac:dyDescent="0.25">
      <c r="H2231" t="s">
        <v>2280</v>
      </c>
    </row>
    <row r="2232" spans="1:21" x14ac:dyDescent="0.25">
      <c r="A2232">
        <v>1113</v>
      </c>
      <c r="B2232">
        <v>3692</v>
      </c>
      <c r="C2232" t="s">
        <v>3927</v>
      </c>
      <c r="D2232" t="s">
        <v>304</v>
      </c>
      <c r="E2232" t="s">
        <v>37</v>
      </c>
      <c r="F2232" t="s">
        <v>3928</v>
      </c>
      <c r="G2232" t="str">
        <f>"201511038472"</f>
        <v>201511038472</v>
      </c>
      <c r="H2232">
        <v>880</v>
      </c>
      <c r="I2232">
        <v>0</v>
      </c>
      <c r="J2232">
        <v>0</v>
      </c>
      <c r="K2232">
        <v>0</v>
      </c>
      <c r="L2232">
        <v>0</v>
      </c>
      <c r="M2232">
        <v>0</v>
      </c>
      <c r="N2232">
        <v>0</v>
      </c>
      <c r="O2232">
        <v>0</v>
      </c>
      <c r="P2232">
        <v>0</v>
      </c>
      <c r="Q2232">
        <v>0</v>
      </c>
      <c r="T2232">
        <v>0</v>
      </c>
      <c r="U2232">
        <v>880</v>
      </c>
    </row>
    <row r="2233" spans="1:21" x14ac:dyDescent="0.25">
      <c r="H2233" t="s">
        <v>3929</v>
      </c>
    </row>
    <row r="2234" spans="1:21" x14ac:dyDescent="0.25">
      <c r="A2234">
        <v>1114</v>
      </c>
      <c r="B2234">
        <v>10358</v>
      </c>
      <c r="C2234" t="s">
        <v>3930</v>
      </c>
      <c r="D2234" t="s">
        <v>95</v>
      </c>
      <c r="E2234" t="s">
        <v>1941</v>
      </c>
      <c r="F2234" t="s">
        <v>3931</v>
      </c>
      <c r="G2234" t="str">
        <f>"201512000101"</f>
        <v>201512000101</v>
      </c>
      <c r="H2234">
        <v>880</v>
      </c>
      <c r="I2234">
        <v>0</v>
      </c>
      <c r="J2234">
        <v>0</v>
      </c>
      <c r="K2234">
        <v>0</v>
      </c>
      <c r="L2234">
        <v>0</v>
      </c>
      <c r="M2234">
        <v>0</v>
      </c>
      <c r="N2234">
        <v>0</v>
      </c>
      <c r="O2234">
        <v>0</v>
      </c>
      <c r="P2234">
        <v>0</v>
      </c>
      <c r="Q2234">
        <v>0</v>
      </c>
      <c r="T2234">
        <v>0</v>
      </c>
      <c r="U2234">
        <v>880</v>
      </c>
    </row>
    <row r="2235" spans="1:21" x14ac:dyDescent="0.25">
      <c r="H2235" t="s">
        <v>3932</v>
      </c>
    </row>
    <row r="2236" spans="1:21" x14ac:dyDescent="0.25">
      <c r="A2236">
        <v>1115</v>
      </c>
      <c r="B2236">
        <v>5009</v>
      </c>
      <c r="C2236" t="s">
        <v>1458</v>
      </c>
      <c r="D2236" t="s">
        <v>1005</v>
      </c>
      <c r="E2236" t="s">
        <v>37</v>
      </c>
      <c r="F2236" t="s">
        <v>3933</v>
      </c>
      <c r="G2236" t="str">
        <f>"201512001734"</f>
        <v>201512001734</v>
      </c>
      <c r="H2236" t="s">
        <v>3934</v>
      </c>
      <c r="I2236">
        <v>150</v>
      </c>
      <c r="J2236">
        <v>0</v>
      </c>
      <c r="K2236">
        <v>0</v>
      </c>
      <c r="L2236">
        <v>0</v>
      </c>
      <c r="M2236">
        <v>0</v>
      </c>
      <c r="N2236">
        <v>0</v>
      </c>
      <c r="O2236">
        <v>0</v>
      </c>
      <c r="P2236">
        <v>0</v>
      </c>
      <c r="Q2236">
        <v>0</v>
      </c>
      <c r="T2236">
        <v>0</v>
      </c>
      <c r="U2236" t="s">
        <v>3935</v>
      </c>
    </row>
    <row r="2237" spans="1:21" x14ac:dyDescent="0.25">
      <c r="H2237" t="s">
        <v>3936</v>
      </c>
    </row>
    <row r="2238" spans="1:21" x14ac:dyDescent="0.25">
      <c r="A2238">
        <v>1116</v>
      </c>
      <c r="B2238">
        <v>5009</v>
      </c>
      <c r="C2238" t="s">
        <v>1458</v>
      </c>
      <c r="D2238" t="s">
        <v>1005</v>
      </c>
      <c r="E2238" t="s">
        <v>37</v>
      </c>
      <c r="F2238" t="s">
        <v>3933</v>
      </c>
      <c r="G2238" t="str">
        <f>"201512001734"</f>
        <v>201512001734</v>
      </c>
      <c r="H2238" t="s">
        <v>3934</v>
      </c>
      <c r="I2238">
        <v>150</v>
      </c>
      <c r="J2238">
        <v>0</v>
      </c>
      <c r="K2238">
        <v>0</v>
      </c>
      <c r="L2238">
        <v>0</v>
      </c>
      <c r="M2238">
        <v>0</v>
      </c>
      <c r="N2238">
        <v>0</v>
      </c>
      <c r="O2238">
        <v>0</v>
      </c>
      <c r="P2238">
        <v>0</v>
      </c>
      <c r="Q2238">
        <v>0</v>
      </c>
      <c r="R2238">
        <v>6</v>
      </c>
      <c r="S2238">
        <v>763</v>
      </c>
      <c r="T2238">
        <v>0</v>
      </c>
      <c r="U2238" t="s">
        <v>3935</v>
      </c>
    </row>
    <row r="2239" spans="1:21" x14ac:dyDescent="0.25">
      <c r="H2239" t="s">
        <v>3936</v>
      </c>
    </row>
    <row r="2240" spans="1:21" x14ac:dyDescent="0.25">
      <c r="A2240">
        <v>1117</v>
      </c>
      <c r="B2240">
        <v>5601</v>
      </c>
      <c r="C2240" t="s">
        <v>3937</v>
      </c>
      <c r="D2240" t="s">
        <v>366</v>
      </c>
      <c r="E2240" t="s">
        <v>373</v>
      </c>
      <c r="F2240" t="s">
        <v>3938</v>
      </c>
      <c r="G2240" t="str">
        <f>"201511013967"</f>
        <v>201511013967</v>
      </c>
      <c r="H2240">
        <v>726</v>
      </c>
      <c r="I2240">
        <v>150</v>
      </c>
      <c r="J2240">
        <v>0</v>
      </c>
      <c r="K2240">
        <v>0</v>
      </c>
      <c r="L2240">
        <v>0</v>
      </c>
      <c r="M2240">
        <v>0</v>
      </c>
      <c r="N2240">
        <v>0</v>
      </c>
      <c r="O2240">
        <v>0</v>
      </c>
      <c r="P2240">
        <v>0</v>
      </c>
      <c r="Q2240">
        <v>0</v>
      </c>
      <c r="T2240">
        <v>0</v>
      </c>
      <c r="U2240">
        <v>876</v>
      </c>
    </row>
    <row r="2241" spans="1:21" x14ac:dyDescent="0.25">
      <c r="H2241" t="s">
        <v>3939</v>
      </c>
    </row>
    <row r="2242" spans="1:21" x14ac:dyDescent="0.25">
      <c r="A2242">
        <v>1118</v>
      </c>
      <c r="B2242">
        <v>1118</v>
      </c>
      <c r="C2242" t="s">
        <v>3940</v>
      </c>
      <c r="D2242" t="s">
        <v>64</v>
      </c>
      <c r="E2242" t="s">
        <v>231</v>
      </c>
      <c r="F2242" t="s">
        <v>3941</v>
      </c>
      <c r="G2242" t="str">
        <f>"201511033406"</f>
        <v>201511033406</v>
      </c>
      <c r="H2242">
        <v>726</v>
      </c>
      <c r="I2242">
        <v>150</v>
      </c>
      <c r="J2242">
        <v>0</v>
      </c>
      <c r="K2242">
        <v>0</v>
      </c>
      <c r="L2242">
        <v>0</v>
      </c>
      <c r="M2242">
        <v>0</v>
      </c>
      <c r="N2242">
        <v>0</v>
      </c>
      <c r="O2242">
        <v>0</v>
      </c>
      <c r="P2242">
        <v>0</v>
      </c>
      <c r="Q2242">
        <v>0</v>
      </c>
      <c r="T2242">
        <v>0</v>
      </c>
      <c r="U2242">
        <v>876</v>
      </c>
    </row>
    <row r="2243" spans="1:21" x14ac:dyDescent="0.25">
      <c r="H2243" t="s">
        <v>3942</v>
      </c>
    </row>
    <row r="2244" spans="1:21" x14ac:dyDescent="0.25">
      <c r="A2244">
        <v>1119</v>
      </c>
      <c r="B2244">
        <v>2464</v>
      </c>
      <c r="C2244" t="s">
        <v>3943</v>
      </c>
      <c r="D2244" t="s">
        <v>240</v>
      </c>
      <c r="E2244" t="s">
        <v>231</v>
      </c>
      <c r="F2244" t="s">
        <v>3944</v>
      </c>
      <c r="G2244" t="str">
        <f>"201511034898"</f>
        <v>201511034898</v>
      </c>
      <c r="H2244" t="s">
        <v>1968</v>
      </c>
      <c r="I2244">
        <v>0</v>
      </c>
      <c r="J2244">
        <v>0</v>
      </c>
      <c r="K2244">
        <v>0</v>
      </c>
      <c r="L2244">
        <v>0</v>
      </c>
      <c r="M2244">
        <v>0</v>
      </c>
      <c r="N2244">
        <v>0</v>
      </c>
      <c r="O2244">
        <v>0</v>
      </c>
      <c r="P2244">
        <v>0</v>
      </c>
      <c r="Q2244">
        <v>0</v>
      </c>
      <c r="T2244">
        <v>0</v>
      </c>
      <c r="U2244" t="s">
        <v>1968</v>
      </c>
    </row>
    <row r="2245" spans="1:21" x14ac:dyDescent="0.25">
      <c r="H2245" t="s">
        <v>3945</v>
      </c>
    </row>
    <row r="2246" spans="1:21" x14ac:dyDescent="0.25">
      <c r="A2246">
        <v>1120</v>
      </c>
      <c r="B2246">
        <v>1627</v>
      </c>
      <c r="C2246" t="s">
        <v>3946</v>
      </c>
      <c r="D2246" t="s">
        <v>122</v>
      </c>
      <c r="E2246" t="s">
        <v>65</v>
      </c>
      <c r="F2246" t="s">
        <v>3947</v>
      </c>
      <c r="G2246" t="str">
        <f>"201511017185"</f>
        <v>201511017185</v>
      </c>
      <c r="H2246" t="s">
        <v>1968</v>
      </c>
      <c r="I2246">
        <v>0</v>
      </c>
      <c r="J2246">
        <v>0</v>
      </c>
      <c r="K2246">
        <v>0</v>
      </c>
      <c r="L2246">
        <v>0</v>
      </c>
      <c r="M2246">
        <v>0</v>
      </c>
      <c r="N2246">
        <v>0</v>
      </c>
      <c r="O2246">
        <v>0</v>
      </c>
      <c r="P2246">
        <v>0</v>
      </c>
      <c r="Q2246">
        <v>0</v>
      </c>
      <c r="T2246">
        <v>2</v>
      </c>
      <c r="U2246" t="s">
        <v>1968</v>
      </c>
    </row>
    <row r="2247" spans="1:21" x14ac:dyDescent="0.25">
      <c r="H2247" t="s">
        <v>3948</v>
      </c>
    </row>
    <row r="2248" spans="1:21" x14ac:dyDescent="0.25">
      <c r="A2248">
        <v>1121</v>
      </c>
      <c r="B2248">
        <v>2183</v>
      </c>
      <c r="C2248" t="s">
        <v>3949</v>
      </c>
      <c r="D2248" t="s">
        <v>372</v>
      </c>
      <c r="E2248" t="s">
        <v>1436</v>
      </c>
      <c r="F2248" t="s">
        <v>3950</v>
      </c>
      <c r="G2248" t="str">
        <f>"00062675"</f>
        <v>00062675</v>
      </c>
      <c r="H2248" t="s">
        <v>1968</v>
      </c>
      <c r="I2248">
        <v>0</v>
      </c>
      <c r="J2248">
        <v>0</v>
      </c>
      <c r="K2248">
        <v>0</v>
      </c>
      <c r="L2248">
        <v>0</v>
      </c>
      <c r="M2248">
        <v>0</v>
      </c>
      <c r="N2248">
        <v>0</v>
      </c>
      <c r="O2248">
        <v>0</v>
      </c>
      <c r="P2248">
        <v>0</v>
      </c>
      <c r="Q2248">
        <v>0</v>
      </c>
      <c r="T2248">
        <v>0</v>
      </c>
      <c r="U2248" t="s">
        <v>1968</v>
      </c>
    </row>
    <row r="2249" spans="1:21" x14ac:dyDescent="0.25">
      <c r="H2249" t="s">
        <v>3951</v>
      </c>
    </row>
    <row r="2250" spans="1:21" x14ac:dyDescent="0.25">
      <c r="A2250">
        <v>1122</v>
      </c>
      <c r="B2250">
        <v>9166</v>
      </c>
      <c r="C2250" t="s">
        <v>3952</v>
      </c>
      <c r="D2250" t="s">
        <v>191</v>
      </c>
      <c r="E2250" t="s">
        <v>37</v>
      </c>
      <c r="F2250" t="s">
        <v>3953</v>
      </c>
      <c r="G2250" t="str">
        <f>"00084065"</f>
        <v>00084065</v>
      </c>
      <c r="H2250" t="s">
        <v>1560</v>
      </c>
      <c r="I2250">
        <v>0</v>
      </c>
      <c r="J2250">
        <v>0</v>
      </c>
      <c r="K2250">
        <v>0</v>
      </c>
      <c r="L2250">
        <v>0</v>
      </c>
      <c r="M2250">
        <v>0</v>
      </c>
      <c r="N2250">
        <v>0</v>
      </c>
      <c r="O2250">
        <v>0</v>
      </c>
      <c r="P2250">
        <v>0</v>
      </c>
      <c r="Q2250">
        <v>0</v>
      </c>
      <c r="T2250">
        <v>0</v>
      </c>
      <c r="U2250" t="s">
        <v>1560</v>
      </c>
    </row>
    <row r="2251" spans="1:21" x14ac:dyDescent="0.25">
      <c r="H2251" t="s">
        <v>3954</v>
      </c>
    </row>
    <row r="2252" spans="1:21" x14ac:dyDescent="0.25">
      <c r="A2252">
        <v>1123</v>
      </c>
      <c r="B2252">
        <v>10190</v>
      </c>
      <c r="C2252" t="s">
        <v>3955</v>
      </c>
      <c r="D2252" t="s">
        <v>3956</v>
      </c>
      <c r="E2252" t="s">
        <v>27</v>
      </c>
      <c r="F2252" t="s">
        <v>3957</v>
      </c>
      <c r="G2252" t="str">
        <f>"201511026846"</f>
        <v>201511026846</v>
      </c>
      <c r="H2252" t="s">
        <v>1560</v>
      </c>
      <c r="I2252">
        <v>0</v>
      </c>
      <c r="J2252">
        <v>0</v>
      </c>
      <c r="K2252">
        <v>0</v>
      </c>
      <c r="L2252">
        <v>0</v>
      </c>
      <c r="M2252">
        <v>0</v>
      </c>
      <c r="N2252">
        <v>0</v>
      </c>
      <c r="O2252">
        <v>0</v>
      </c>
      <c r="P2252">
        <v>0</v>
      </c>
      <c r="Q2252">
        <v>0</v>
      </c>
      <c r="T2252">
        <v>2</v>
      </c>
      <c r="U2252" t="s">
        <v>1560</v>
      </c>
    </row>
    <row r="2253" spans="1:21" x14ac:dyDescent="0.25">
      <c r="H2253" t="s">
        <v>3958</v>
      </c>
    </row>
    <row r="2254" spans="1:21" x14ac:dyDescent="0.25">
      <c r="A2254">
        <v>1124</v>
      </c>
      <c r="B2254">
        <v>10128</v>
      </c>
      <c r="C2254" t="s">
        <v>3959</v>
      </c>
      <c r="D2254" t="s">
        <v>78</v>
      </c>
      <c r="E2254" t="s">
        <v>65</v>
      </c>
      <c r="F2254" t="s">
        <v>3960</v>
      </c>
      <c r="G2254" t="str">
        <f>"00033044"</f>
        <v>00033044</v>
      </c>
      <c r="H2254" t="s">
        <v>2513</v>
      </c>
      <c r="I2254">
        <v>0</v>
      </c>
      <c r="J2254">
        <v>30</v>
      </c>
      <c r="K2254">
        <v>0</v>
      </c>
      <c r="L2254">
        <v>0</v>
      </c>
      <c r="M2254">
        <v>0</v>
      </c>
      <c r="N2254">
        <v>0</v>
      </c>
      <c r="O2254">
        <v>0</v>
      </c>
      <c r="P2254">
        <v>0</v>
      </c>
      <c r="Q2254">
        <v>0</v>
      </c>
      <c r="T2254">
        <v>0</v>
      </c>
      <c r="U2254" t="s">
        <v>3961</v>
      </c>
    </row>
    <row r="2255" spans="1:21" x14ac:dyDescent="0.25">
      <c r="H2255" t="s">
        <v>3962</v>
      </c>
    </row>
    <row r="2256" spans="1:21" x14ac:dyDescent="0.25">
      <c r="A2256">
        <v>1125</v>
      </c>
      <c r="B2256">
        <v>9571</v>
      </c>
      <c r="C2256" t="s">
        <v>3963</v>
      </c>
      <c r="D2256" t="s">
        <v>64</v>
      </c>
      <c r="E2256" t="s">
        <v>37</v>
      </c>
      <c r="F2256" t="s">
        <v>3964</v>
      </c>
      <c r="G2256" t="str">
        <f>"00093260"</f>
        <v>00093260</v>
      </c>
      <c r="H2256" t="s">
        <v>3965</v>
      </c>
      <c r="I2256">
        <v>0</v>
      </c>
      <c r="J2256">
        <v>0</v>
      </c>
      <c r="K2256">
        <v>0</v>
      </c>
      <c r="L2256">
        <v>0</v>
      </c>
      <c r="M2256">
        <v>0</v>
      </c>
      <c r="N2256">
        <v>0</v>
      </c>
      <c r="O2256">
        <v>0</v>
      </c>
      <c r="P2256">
        <v>0</v>
      </c>
      <c r="Q2256">
        <v>0</v>
      </c>
      <c r="T2256">
        <v>0</v>
      </c>
      <c r="U2256" t="s">
        <v>3965</v>
      </c>
    </row>
    <row r="2257" spans="1:21" x14ac:dyDescent="0.25">
      <c r="H2257" t="s">
        <v>3966</v>
      </c>
    </row>
    <row r="2258" spans="1:21" x14ac:dyDescent="0.25">
      <c r="A2258">
        <v>1126</v>
      </c>
      <c r="B2258">
        <v>3346</v>
      </c>
      <c r="C2258" t="s">
        <v>3967</v>
      </c>
      <c r="D2258" t="s">
        <v>3968</v>
      </c>
      <c r="E2258" t="s">
        <v>36</v>
      </c>
      <c r="F2258" t="s">
        <v>3969</v>
      </c>
      <c r="G2258" t="str">
        <f>"201511043397"</f>
        <v>201511043397</v>
      </c>
      <c r="H2258" t="s">
        <v>3970</v>
      </c>
      <c r="I2258">
        <v>150</v>
      </c>
      <c r="J2258">
        <v>50</v>
      </c>
      <c r="K2258">
        <v>0</v>
      </c>
      <c r="L2258">
        <v>0</v>
      </c>
      <c r="M2258">
        <v>0</v>
      </c>
      <c r="N2258">
        <v>0</v>
      </c>
      <c r="O2258">
        <v>0</v>
      </c>
      <c r="P2258">
        <v>0</v>
      </c>
      <c r="Q2258">
        <v>0</v>
      </c>
      <c r="T2258">
        <v>2</v>
      </c>
      <c r="U2258" t="s">
        <v>3971</v>
      </c>
    </row>
    <row r="2259" spans="1:21" x14ac:dyDescent="0.25">
      <c r="H2259" t="s">
        <v>3972</v>
      </c>
    </row>
    <row r="2260" spans="1:21" x14ac:dyDescent="0.25">
      <c r="A2260">
        <v>1127</v>
      </c>
      <c r="B2260">
        <v>82</v>
      </c>
      <c r="C2260" t="s">
        <v>3973</v>
      </c>
      <c r="D2260" t="s">
        <v>26</v>
      </c>
      <c r="E2260" t="s">
        <v>112</v>
      </c>
      <c r="F2260" t="s">
        <v>3974</v>
      </c>
      <c r="G2260" t="str">
        <f>"201412006252"</f>
        <v>201412006252</v>
      </c>
      <c r="H2260" t="s">
        <v>3975</v>
      </c>
      <c r="I2260">
        <v>150</v>
      </c>
      <c r="J2260">
        <v>0</v>
      </c>
      <c r="K2260">
        <v>0</v>
      </c>
      <c r="L2260">
        <v>0</v>
      </c>
      <c r="M2260">
        <v>0</v>
      </c>
      <c r="N2260">
        <v>0</v>
      </c>
      <c r="O2260">
        <v>0</v>
      </c>
      <c r="P2260">
        <v>0</v>
      </c>
      <c r="Q2260">
        <v>0</v>
      </c>
      <c r="T2260">
        <v>0</v>
      </c>
      <c r="U2260" t="s">
        <v>3976</v>
      </c>
    </row>
    <row r="2261" spans="1:21" x14ac:dyDescent="0.25">
      <c r="H2261" t="s">
        <v>382</v>
      </c>
    </row>
    <row r="2262" spans="1:21" x14ac:dyDescent="0.25">
      <c r="A2262">
        <v>1128</v>
      </c>
      <c r="B2262">
        <v>6716</v>
      </c>
      <c r="C2262" t="s">
        <v>3977</v>
      </c>
      <c r="D2262" t="s">
        <v>3978</v>
      </c>
      <c r="E2262" t="s">
        <v>366</v>
      </c>
      <c r="F2262" t="s">
        <v>3979</v>
      </c>
      <c r="G2262" t="str">
        <f>"201511015487"</f>
        <v>201511015487</v>
      </c>
      <c r="H2262" t="s">
        <v>2048</v>
      </c>
      <c r="I2262">
        <v>0</v>
      </c>
      <c r="J2262">
        <v>0</v>
      </c>
      <c r="K2262">
        <v>0</v>
      </c>
      <c r="L2262">
        <v>0</v>
      </c>
      <c r="M2262">
        <v>0</v>
      </c>
      <c r="N2262">
        <v>0</v>
      </c>
      <c r="O2262">
        <v>0</v>
      </c>
      <c r="P2262">
        <v>0</v>
      </c>
      <c r="Q2262">
        <v>0</v>
      </c>
      <c r="T2262">
        <v>2</v>
      </c>
      <c r="U2262" t="s">
        <v>2048</v>
      </c>
    </row>
    <row r="2263" spans="1:21" x14ac:dyDescent="0.25">
      <c r="H2263" t="s">
        <v>3980</v>
      </c>
    </row>
    <row r="2264" spans="1:21" x14ac:dyDescent="0.25">
      <c r="A2264">
        <v>1129</v>
      </c>
      <c r="B2264">
        <v>6144</v>
      </c>
      <c r="C2264" t="s">
        <v>3981</v>
      </c>
      <c r="D2264" t="s">
        <v>141</v>
      </c>
      <c r="E2264" t="s">
        <v>155</v>
      </c>
      <c r="F2264" t="s">
        <v>3982</v>
      </c>
      <c r="G2264" t="str">
        <f>"00069947"</f>
        <v>00069947</v>
      </c>
      <c r="H2264" t="s">
        <v>2048</v>
      </c>
      <c r="I2264">
        <v>0</v>
      </c>
      <c r="J2264">
        <v>0</v>
      </c>
      <c r="K2264">
        <v>0</v>
      </c>
      <c r="L2264">
        <v>0</v>
      </c>
      <c r="M2264">
        <v>0</v>
      </c>
      <c r="N2264">
        <v>0</v>
      </c>
      <c r="O2264">
        <v>0</v>
      </c>
      <c r="P2264">
        <v>0</v>
      </c>
      <c r="Q2264">
        <v>0</v>
      </c>
      <c r="T2264">
        <v>0</v>
      </c>
      <c r="U2264" t="s">
        <v>2048</v>
      </c>
    </row>
    <row r="2265" spans="1:21" x14ac:dyDescent="0.25">
      <c r="H2265" t="s">
        <v>3983</v>
      </c>
    </row>
    <row r="2266" spans="1:21" x14ac:dyDescent="0.25">
      <c r="A2266">
        <v>1130</v>
      </c>
      <c r="B2266">
        <v>2217</v>
      </c>
      <c r="C2266" t="s">
        <v>3659</v>
      </c>
      <c r="D2266" t="s">
        <v>116</v>
      </c>
      <c r="E2266" t="s">
        <v>37</v>
      </c>
      <c r="F2266" t="s">
        <v>3984</v>
      </c>
      <c r="G2266" t="str">
        <f>"201511031024"</f>
        <v>201511031024</v>
      </c>
      <c r="H2266" t="s">
        <v>3985</v>
      </c>
      <c r="I2266">
        <v>0</v>
      </c>
      <c r="J2266">
        <v>30</v>
      </c>
      <c r="K2266">
        <v>0</v>
      </c>
      <c r="L2266">
        <v>0</v>
      </c>
      <c r="M2266">
        <v>0</v>
      </c>
      <c r="N2266">
        <v>0</v>
      </c>
      <c r="O2266">
        <v>0</v>
      </c>
      <c r="P2266">
        <v>0</v>
      </c>
      <c r="Q2266">
        <v>0</v>
      </c>
      <c r="T2266">
        <v>0</v>
      </c>
      <c r="U2266" t="s">
        <v>3986</v>
      </c>
    </row>
    <row r="2267" spans="1:21" x14ac:dyDescent="0.25">
      <c r="H2267" t="s">
        <v>3987</v>
      </c>
    </row>
    <row r="2268" spans="1:21" x14ac:dyDescent="0.25">
      <c r="A2268">
        <v>1131</v>
      </c>
      <c r="B2268">
        <v>5081</v>
      </c>
      <c r="C2268" t="s">
        <v>3988</v>
      </c>
      <c r="D2268" t="s">
        <v>1131</v>
      </c>
      <c r="E2268" t="s">
        <v>1684</v>
      </c>
      <c r="F2268" t="s">
        <v>3989</v>
      </c>
      <c r="G2268" t="str">
        <f>"00020818"</f>
        <v>00020818</v>
      </c>
      <c r="H2268" t="s">
        <v>3990</v>
      </c>
      <c r="I2268">
        <v>0</v>
      </c>
      <c r="J2268">
        <v>0</v>
      </c>
      <c r="K2268">
        <v>0</v>
      </c>
      <c r="L2268">
        <v>0</v>
      </c>
      <c r="M2268">
        <v>0</v>
      </c>
      <c r="N2268">
        <v>0</v>
      </c>
      <c r="O2268">
        <v>0</v>
      </c>
      <c r="P2268">
        <v>0</v>
      </c>
      <c r="Q2268">
        <v>0</v>
      </c>
      <c r="T2268">
        <v>0</v>
      </c>
      <c r="U2268" t="s">
        <v>3990</v>
      </c>
    </row>
    <row r="2269" spans="1:21" x14ac:dyDescent="0.25">
      <c r="H2269" t="s">
        <v>3991</v>
      </c>
    </row>
    <row r="2270" spans="1:21" x14ac:dyDescent="0.25">
      <c r="A2270">
        <v>1132</v>
      </c>
      <c r="B2270">
        <v>324</v>
      </c>
      <c r="C2270" t="s">
        <v>3992</v>
      </c>
      <c r="D2270" t="s">
        <v>372</v>
      </c>
      <c r="E2270" t="s">
        <v>42</v>
      </c>
      <c r="F2270" t="s">
        <v>3993</v>
      </c>
      <c r="G2270" t="str">
        <f>"201511041583"</f>
        <v>201511041583</v>
      </c>
      <c r="H2270">
        <v>869</v>
      </c>
      <c r="I2270">
        <v>0</v>
      </c>
      <c r="J2270">
        <v>0</v>
      </c>
      <c r="K2270">
        <v>0</v>
      </c>
      <c r="L2270">
        <v>0</v>
      </c>
      <c r="M2270">
        <v>0</v>
      </c>
      <c r="N2270">
        <v>0</v>
      </c>
      <c r="O2270">
        <v>0</v>
      </c>
      <c r="P2270">
        <v>0</v>
      </c>
      <c r="Q2270">
        <v>0</v>
      </c>
      <c r="T2270">
        <v>2</v>
      </c>
      <c r="U2270">
        <v>869</v>
      </c>
    </row>
    <row r="2271" spans="1:21" x14ac:dyDescent="0.25">
      <c r="H2271" t="s">
        <v>3994</v>
      </c>
    </row>
    <row r="2272" spans="1:21" x14ac:dyDescent="0.25">
      <c r="A2272">
        <v>1133</v>
      </c>
      <c r="B2272">
        <v>8188</v>
      </c>
      <c r="C2272" t="s">
        <v>3995</v>
      </c>
      <c r="D2272" t="s">
        <v>3996</v>
      </c>
      <c r="E2272" t="s">
        <v>37</v>
      </c>
      <c r="F2272" t="s">
        <v>3997</v>
      </c>
      <c r="G2272" t="str">
        <f>"00095759"</f>
        <v>00095759</v>
      </c>
      <c r="H2272">
        <v>869</v>
      </c>
      <c r="I2272">
        <v>0</v>
      </c>
      <c r="J2272">
        <v>0</v>
      </c>
      <c r="K2272">
        <v>0</v>
      </c>
      <c r="L2272">
        <v>0</v>
      </c>
      <c r="M2272">
        <v>0</v>
      </c>
      <c r="N2272">
        <v>0</v>
      </c>
      <c r="O2272">
        <v>0</v>
      </c>
      <c r="P2272">
        <v>0</v>
      </c>
      <c r="Q2272">
        <v>0</v>
      </c>
      <c r="T2272">
        <v>0</v>
      </c>
      <c r="U2272">
        <v>869</v>
      </c>
    </row>
    <row r="2273" spans="1:21" x14ac:dyDescent="0.25">
      <c r="H2273" t="s">
        <v>3998</v>
      </c>
    </row>
    <row r="2274" spans="1:21" x14ac:dyDescent="0.25">
      <c r="A2274">
        <v>1134</v>
      </c>
      <c r="B2274">
        <v>8365</v>
      </c>
      <c r="C2274" t="s">
        <v>1392</v>
      </c>
      <c r="D2274" t="s">
        <v>439</v>
      </c>
      <c r="E2274" t="s">
        <v>373</v>
      </c>
      <c r="F2274" t="s">
        <v>3999</v>
      </c>
      <c r="G2274" t="str">
        <f>"00022836"</f>
        <v>00022836</v>
      </c>
      <c r="H2274" t="s">
        <v>4000</v>
      </c>
      <c r="I2274">
        <v>0</v>
      </c>
      <c r="J2274">
        <v>30</v>
      </c>
      <c r="K2274">
        <v>0</v>
      </c>
      <c r="L2274">
        <v>0</v>
      </c>
      <c r="M2274">
        <v>0</v>
      </c>
      <c r="N2274">
        <v>0</v>
      </c>
      <c r="O2274">
        <v>0</v>
      </c>
      <c r="P2274">
        <v>0</v>
      </c>
      <c r="Q2274">
        <v>0</v>
      </c>
      <c r="T2274">
        <v>0</v>
      </c>
      <c r="U2274" t="s">
        <v>4001</v>
      </c>
    </row>
    <row r="2275" spans="1:21" x14ac:dyDescent="0.25">
      <c r="H2275" t="s">
        <v>4002</v>
      </c>
    </row>
    <row r="2276" spans="1:21" x14ac:dyDescent="0.25">
      <c r="A2276">
        <v>1135</v>
      </c>
      <c r="B2276">
        <v>3842</v>
      </c>
      <c r="C2276" t="s">
        <v>4003</v>
      </c>
      <c r="D2276" t="s">
        <v>185</v>
      </c>
      <c r="E2276" t="s">
        <v>51</v>
      </c>
      <c r="F2276" t="s">
        <v>4004</v>
      </c>
      <c r="G2276" t="str">
        <f>"201511030813"</f>
        <v>201511030813</v>
      </c>
      <c r="H2276" t="s">
        <v>3643</v>
      </c>
      <c r="I2276">
        <v>0</v>
      </c>
      <c r="J2276">
        <v>0</v>
      </c>
      <c r="K2276">
        <v>0</v>
      </c>
      <c r="L2276">
        <v>0</v>
      </c>
      <c r="M2276">
        <v>0</v>
      </c>
      <c r="N2276">
        <v>0</v>
      </c>
      <c r="O2276">
        <v>0</v>
      </c>
      <c r="P2276">
        <v>0</v>
      </c>
      <c r="Q2276">
        <v>0</v>
      </c>
      <c r="T2276">
        <v>0</v>
      </c>
      <c r="U2276" t="s">
        <v>3643</v>
      </c>
    </row>
    <row r="2277" spans="1:21" x14ac:dyDescent="0.25">
      <c r="H2277" t="s">
        <v>4005</v>
      </c>
    </row>
    <row r="2278" spans="1:21" x14ac:dyDescent="0.25">
      <c r="A2278">
        <v>1136</v>
      </c>
      <c r="B2278">
        <v>4723</v>
      </c>
      <c r="C2278" t="s">
        <v>4006</v>
      </c>
      <c r="D2278" t="s">
        <v>304</v>
      </c>
      <c r="E2278" t="s">
        <v>65</v>
      </c>
      <c r="F2278" t="s">
        <v>4007</v>
      </c>
      <c r="G2278" t="str">
        <f>"201511043628"</f>
        <v>201511043628</v>
      </c>
      <c r="H2278" t="s">
        <v>3643</v>
      </c>
      <c r="I2278">
        <v>0</v>
      </c>
      <c r="J2278">
        <v>0</v>
      </c>
      <c r="K2278">
        <v>0</v>
      </c>
      <c r="L2278">
        <v>0</v>
      </c>
      <c r="M2278">
        <v>0</v>
      </c>
      <c r="N2278">
        <v>0</v>
      </c>
      <c r="O2278">
        <v>0</v>
      </c>
      <c r="P2278">
        <v>0</v>
      </c>
      <c r="Q2278">
        <v>0</v>
      </c>
      <c r="T2278">
        <v>0</v>
      </c>
      <c r="U2278" t="s">
        <v>3643</v>
      </c>
    </row>
    <row r="2279" spans="1:21" x14ac:dyDescent="0.25">
      <c r="H2279" t="s">
        <v>4008</v>
      </c>
    </row>
    <row r="2280" spans="1:21" x14ac:dyDescent="0.25">
      <c r="A2280">
        <v>1137</v>
      </c>
      <c r="B2280">
        <v>6018</v>
      </c>
      <c r="C2280" t="s">
        <v>4009</v>
      </c>
      <c r="D2280" t="s">
        <v>173</v>
      </c>
      <c r="E2280" t="s">
        <v>3676</v>
      </c>
      <c r="F2280" t="s">
        <v>4010</v>
      </c>
      <c r="G2280" t="str">
        <f>"00100833"</f>
        <v>00100833</v>
      </c>
      <c r="H2280" t="s">
        <v>2870</v>
      </c>
      <c r="I2280">
        <v>0</v>
      </c>
      <c r="J2280">
        <v>50</v>
      </c>
      <c r="K2280">
        <v>0</v>
      </c>
      <c r="L2280">
        <v>0</v>
      </c>
      <c r="M2280">
        <v>0</v>
      </c>
      <c r="N2280">
        <v>0</v>
      </c>
      <c r="O2280">
        <v>0</v>
      </c>
      <c r="P2280">
        <v>0</v>
      </c>
      <c r="Q2280">
        <v>0</v>
      </c>
      <c r="T2280">
        <v>1</v>
      </c>
      <c r="U2280" t="s">
        <v>4011</v>
      </c>
    </row>
    <row r="2281" spans="1:21" x14ac:dyDescent="0.25">
      <c r="H2281">
        <v>801</v>
      </c>
    </row>
    <row r="2282" spans="1:21" x14ac:dyDescent="0.25">
      <c r="A2282">
        <v>1138</v>
      </c>
      <c r="B2282">
        <v>3496</v>
      </c>
      <c r="C2282" t="s">
        <v>4012</v>
      </c>
      <c r="D2282" t="s">
        <v>3049</v>
      </c>
      <c r="E2282" t="s">
        <v>350</v>
      </c>
      <c r="F2282" t="s">
        <v>4013</v>
      </c>
      <c r="G2282" t="str">
        <f>"200812000296"</f>
        <v>200812000296</v>
      </c>
      <c r="H2282" t="s">
        <v>2158</v>
      </c>
      <c r="I2282">
        <v>0</v>
      </c>
      <c r="J2282">
        <v>0</v>
      </c>
      <c r="K2282">
        <v>0</v>
      </c>
      <c r="L2282">
        <v>0</v>
      </c>
      <c r="M2282">
        <v>0</v>
      </c>
      <c r="N2282">
        <v>0</v>
      </c>
      <c r="O2282">
        <v>0</v>
      </c>
      <c r="P2282">
        <v>0</v>
      </c>
      <c r="Q2282">
        <v>0</v>
      </c>
      <c r="T2282">
        <v>0</v>
      </c>
      <c r="U2282" t="s">
        <v>2158</v>
      </c>
    </row>
    <row r="2283" spans="1:21" x14ac:dyDescent="0.25">
      <c r="H2283" t="s">
        <v>4014</v>
      </c>
    </row>
    <row r="2284" spans="1:21" x14ac:dyDescent="0.25">
      <c r="A2284">
        <v>1139</v>
      </c>
      <c r="B2284">
        <v>3965</v>
      </c>
      <c r="C2284" t="s">
        <v>4015</v>
      </c>
      <c r="D2284" t="s">
        <v>331</v>
      </c>
      <c r="E2284" t="s">
        <v>27</v>
      </c>
      <c r="F2284" t="s">
        <v>4016</v>
      </c>
      <c r="G2284" t="str">
        <f>"201511034344"</f>
        <v>201511034344</v>
      </c>
      <c r="H2284" t="s">
        <v>2158</v>
      </c>
      <c r="I2284">
        <v>0</v>
      </c>
      <c r="J2284">
        <v>0</v>
      </c>
      <c r="K2284">
        <v>0</v>
      </c>
      <c r="L2284">
        <v>0</v>
      </c>
      <c r="M2284">
        <v>0</v>
      </c>
      <c r="N2284">
        <v>0</v>
      </c>
      <c r="O2284">
        <v>0</v>
      </c>
      <c r="P2284">
        <v>0</v>
      </c>
      <c r="Q2284">
        <v>0</v>
      </c>
      <c r="T2284">
        <v>1</v>
      </c>
      <c r="U2284" t="s">
        <v>2158</v>
      </c>
    </row>
    <row r="2285" spans="1:21" x14ac:dyDescent="0.25">
      <c r="H2285" t="s">
        <v>4017</v>
      </c>
    </row>
    <row r="2286" spans="1:21" x14ac:dyDescent="0.25">
      <c r="A2286">
        <v>1140</v>
      </c>
      <c r="B2286">
        <v>8741</v>
      </c>
      <c r="C2286" t="s">
        <v>4018</v>
      </c>
      <c r="D2286" t="s">
        <v>1012</v>
      </c>
      <c r="E2286" t="s">
        <v>231</v>
      </c>
      <c r="F2286" t="s">
        <v>4019</v>
      </c>
      <c r="G2286" t="str">
        <f>"201511042779"</f>
        <v>201511042779</v>
      </c>
      <c r="H2286">
        <v>715</v>
      </c>
      <c r="I2286">
        <v>150</v>
      </c>
      <c r="J2286">
        <v>0</v>
      </c>
      <c r="K2286">
        <v>0</v>
      </c>
      <c r="L2286">
        <v>0</v>
      </c>
      <c r="M2286">
        <v>0</v>
      </c>
      <c r="N2286">
        <v>0</v>
      </c>
      <c r="O2286">
        <v>0</v>
      </c>
      <c r="P2286">
        <v>0</v>
      </c>
      <c r="Q2286">
        <v>0</v>
      </c>
      <c r="T2286">
        <v>0</v>
      </c>
      <c r="U2286">
        <v>865</v>
      </c>
    </row>
    <row r="2287" spans="1:21" x14ac:dyDescent="0.25">
      <c r="H2287" t="s">
        <v>4020</v>
      </c>
    </row>
    <row r="2288" spans="1:21" x14ac:dyDescent="0.25">
      <c r="A2288">
        <v>1141</v>
      </c>
      <c r="B2288">
        <v>3932</v>
      </c>
      <c r="C2288" t="s">
        <v>4021</v>
      </c>
      <c r="D2288" t="s">
        <v>2483</v>
      </c>
      <c r="E2288" t="s">
        <v>36</v>
      </c>
      <c r="F2288" t="s">
        <v>4022</v>
      </c>
      <c r="G2288" t="str">
        <f>"00017032"</f>
        <v>00017032</v>
      </c>
      <c r="H2288">
        <v>715</v>
      </c>
      <c r="I2288">
        <v>150</v>
      </c>
      <c r="J2288">
        <v>0</v>
      </c>
      <c r="K2288">
        <v>0</v>
      </c>
      <c r="L2288">
        <v>0</v>
      </c>
      <c r="M2288">
        <v>0</v>
      </c>
      <c r="N2288">
        <v>0</v>
      </c>
      <c r="O2288">
        <v>0</v>
      </c>
      <c r="P2288">
        <v>0</v>
      </c>
      <c r="Q2288">
        <v>0</v>
      </c>
      <c r="T2288">
        <v>1</v>
      </c>
      <c r="U2288">
        <v>865</v>
      </c>
    </row>
    <row r="2289" spans="1:21" x14ac:dyDescent="0.25">
      <c r="H2289" t="s">
        <v>4023</v>
      </c>
    </row>
    <row r="2290" spans="1:21" x14ac:dyDescent="0.25">
      <c r="A2290">
        <v>1142</v>
      </c>
      <c r="B2290">
        <v>427</v>
      </c>
      <c r="C2290" t="s">
        <v>2237</v>
      </c>
      <c r="D2290" t="s">
        <v>101</v>
      </c>
      <c r="E2290" t="s">
        <v>350</v>
      </c>
      <c r="F2290" t="s">
        <v>4024</v>
      </c>
      <c r="G2290" t="str">
        <f>"201511037550"</f>
        <v>201511037550</v>
      </c>
      <c r="H2290">
        <v>715</v>
      </c>
      <c r="I2290">
        <v>150</v>
      </c>
      <c r="J2290">
        <v>0</v>
      </c>
      <c r="K2290">
        <v>0</v>
      </c>
      <c r="L2290">
        <v>0</v>
      </c>
      <c r="M2290">
        <v>0</v>
      </c>
      <c r="N2290">
        <v>0</v>
      </c>
      <c r="O2290">
        <v>0</v>
      </c>
      <c r="P2290">
        <v>0</v>
      </c>
      <c r="Q2290">
        <v>0</v>
      </c>
      <c r="T2290">
        <v>2</v>
      </c>
      <c r="U2290">
        <v>865</v>
      </c>
    </row>
    <row r="2291" spans="1:21" x14ac:dyDescent="0.25">
      <c r="H2291" t="s">
        <v>4025</v>
      </c>
    </row>
    <row r="2292" spans="1:21" x14ac:dyDescent="0.25">
      <c r="A2292">
        <v>1143</v>
      </c>
      <c r="B2292">
        <v>9087</v>
      </c>
      <c r="C2292" t="s">
        <v>4026</v>
      </c>
      <c r="D2292" t="s">
        <v>528</v>
      </c>
      <c r="E2292" t="s">
        <v>112</v>
      </c>
      <c r="F2292" t="s">
        <v>4027</v>
      </c>
      <c r="G2292" t="str">
        <f>"00023546"</f>
        <v>00023546</v>
      </c>
      <c r="H2292" t="s">
        <v>3097</v>
      </c>
      <c r="I2292">
        <v>0</v>
      </c>
      <c r="J2292">
        <v>70</v>
      </c>
      <c r="K2292">
        <v>30</v>
      </c>
      <c r="L2292">
        <v>0</v>
      </c>
      <c r="M2292">
        <v>0</v>
      </c>
      <c r="N2292">
        <v>0</v>
      </c>
      <c r="O2292">
        <v>0</v>
      </c>
      <c r="P2292">
        <v>0</v>
      </c>
      <c r="Q2292">
        <v>0</v>
      </c>
      <c r="T2292">
        <v>0</v>
      </c>
      <c r="U2292" t="s">
        <v>4028</v>
      </c>
    </row>
    <row r="2293" spans="1:21" x14ac:dyDescent="0.25">
      <c r="H2293" t="s">
        <v>4029</v>
      </c>
    </row>
    <row r="2294" spans="1:21" x14ac:dyDescent="0.25">
      <c r="A2294">
        <v>1144</v>
      </c>
      <c r="B2294">
        <v>6086</v>
      </c>
      <c r="C2294" t="s">
        <v>4030</v>
      </c>
      <c r="D2294" t="s">
        <v>453</v>
      </c>
      <c r="E2294" t="s">
        <v>259</v>
      </c>
      <c r="F2294" t="s">
        <v>4031</v>
      </c>
      <c r="G2294" t="str">
        <f>"201512001129"</f>
        <v>201512001129</v>
      </c>
      <c r="H2294" t="s">
        <v>1444</v>
      </c>
      <c r="I2294">
        <v>0</v>
      </c>
      <c r="J2294">
        <v>0</v>
      </c>
      <c r="K2294">
        <v>0</v>
      </c>
      <c r="L2294">
        <v>0</v>
      </c>
      <c r="M2294">
        <v>0</v>
      </c>
      <c r="N2294">
        <v>0</v>
      </c>
      <c r="O2294">
        <v>0</v>
      </c>
      <c r="P2294">
        <v>0</v>
      </c>
      <c r="Q2294">
        <v>0</v>
      </c>
      <c r="T2294">
        <v>0</v>
      </c>
      <c r="U2294" t="s">
        <v>1444</v>
      </c>
    </row>
    <row r="2295" spans="1:21" x14ac:dyDescent="0.25">
      <c r="H2295" t="s">
        <v>4032</v>
      </c>
    </row>
    <row r="2296" spans="1:21" x14ac:dyDescent="0.25">
      <c r="A2296">
        <v>1145</v>
      </c>
      <c r="B2296">
        <v>7889</v>
      </c>
      <c r="C2296" t="s">
        <v>4033</v>
      </c>
      <c r="D2296" t="s">
        <v>121</v>
      </c>
      <c r="E2296" t="s">
        <v>122</v>
      </c>
      <c r="F2296" t="s">
        <v>4034</v>
      </c>
      <c r="G2296" t="str">
        <f>"00050702"</f>
        <v>00050702</v>
      </c>
      <c r="H2296" t="s">
        <v>1444</v>
      </c>
      <c r="I2296">
        <v>0</v>
      </c>
      <c r="J2296">
        <v>0</v>
      </c>
      <c r="K2296">
        <v>0</v>
      </c>
      <c r="L2296">
        <v>0</v>
      </c>
      <c r="M2296">
        <v>0</v>
      </c>
      <c r="N2296">
        <v>0</v>
      </c>
      <c r="O2296">
        <v>0</v>
      </c>
      <c r="P2296">
        <v>0</v>
      </c>
      <c r="Q2296">
        <v>0</v>
      </c>
      <c r="T2296">
        <v>0</v>
      </c>
      <c r="U2296" t="s">
        <v>1444</v>
      </c>
    </row>
    <row r="2297" spans="1:21" x14ac:dyDescent="0.25">
      <c r="H2297" t="s">
        <v>1504</v>
      </c>
    </row>
    <row r="2298" spans="1:21" x14ac:dyDescent="0.25">
      <c r="A2298">
        <v>1146</v>
      </c>
      <c r="B2298">
        <v>8671</v>
      </c>
      <c r="C2298" t="s">
        <v>973</v>
      </c>
      <c r="D2298" t="s">
        <v>179</v>
      </c>
      <c r="E2298" t="s">
        <v>533</v>
      </c>
      <c r="F2298" t="s">
        <v>4035</v>
      </c>
      <c r="G2298" t="str">
        <f>"00101245"</f>
        <v>00101245</v>
      </c>
      <c r="H2298" t="s">
        <v>1444</v>
      </c>
      <c r="I2298">
        <v>0</v>
      </c>
      <c r="J2298">
        <v>0</v>
      </c>
      <c r="K2298">
        <v>0</v>
      </c>
      <c r="L2298">
        <v>0</v>
      </c>
      <c r="M2298">
        <v>0</v>
      </c>
      <c r="N2298">
        <v>0</v>
      </c>
      <c r="O2298">
        <v>0</v>
      </c>
      <c r="P2298">
        <v>0</v>
      </c>
      <c r="Q2298">
        <v>0</v>
      </c>
      <c r="T2298">
        <v>0</v>
      </c>
      <c r="U2298" t="s">
        <v>1444</v>
      </c>
    </row>
    <row r="2299" spans="1:21" x14ac:dyDescent="0.25">
      <c r="H2299" t="s">
        <v>4036</v>
      </c>
    </row>
    <row r="2300" spans="1:21" x14ac:dyDescent="0.25">
      <c r="A2300">
        <v>1147</v>
      </c>
      <c r="B2300">
        <v>2911</v>
      </c>
      <c r="C2300" t="s">
        <v>4037</v>
      </c>
      <c r="D2300" t="s">
        <v>122</v>
      </c>
      <c r="E2300" t="s">
        <v>37</v>
      </c>
      <c r="F2300" t="s">
        <v>4038</v>
      </c>
      <c r="G2300" t="str">
        <f>"201405000227"</f>
        <v>201405000227</v>
      </c>
      <c r="H2300" t="s">
        <v>2672</v>
      </c>
      <c r="I2300">
        <v>0</v>
      </c>
      <c r="J2300">
        <v>0</v>
      </c>
      <c r="K2300">
        <v>0</v>
      </c>
      <c r="L2300">
        <v>0</v>
      </c>
      <c r="M2300">
        <v>0</v>
      </c>
      <c r="N2300">
        <v>30</v>
      </c>
      <c r="O2300">
        <v>0</v>
      </c>
      <c r="P2300">
        <v>0</v>
      </c>
      <c r="Q2300">
        <v>0</v>
      </c>
      <c r="T2300">
        <v>0</v>
      </c>
      <c r="U2300" t="s">
        <v>4039</v>
      </c>
    </row>
    <row r="2301" spans="1:21" x14ac:dyDescent="0.25">
      <c r="H2301" t="s">
        <v>4040</v>
      </c>
    </row>
    <row r="2302" spans="1:21" x14ac:dyDescent="0.25">
      <c r="A2302">
        <v>1148</v>
      </c>
      <c r="B2302">
        <v>2911</v>
      </c>
      <c r="C2302" t="s">
        <v>4037</v>
      </c>
      <c r="D2302" t="s">
        <v>122</v>
      </c>
      <c r="E2302" t="s">
        <v>37</v>
      </c>
      <c r="F2302" t="s">
        <v>4038</v>
      </c>
      <c r="G2302" t="str">
        <f>"201405000227"</f>
        <v>201405000227</v>
      </c>
      <c r="H2302" t="s">
        <v>2672</v>
      </c>
      <c r="I2302">
        <v>0</v>
      </c>
      <c r="J2302">
        <v>0</v>
      </c>
      <c r="K2302">
        <v>0</v>
      </c>
      <c r="L2302">
        <v>0</v>
      </c>
      <c r="M2302">
        <v>0</v>
      </c>
      <c r="N2302">
        <v>30</v>
      </c>
      <c r="O2302">
        <v>0</v>
      </c>
      <c r="P2302">
        <v>0</v>
      </c>
      <c r="Q2302">
        <v>0</v>
      </c>
      <c r="R2302">
        <v>6</v>
      </c>
      <c r="S2302">
        <v>804</v>
      </c>
      <c r="T2302">
        <v>0</v>
      </c>
      <c r="U2302" t="s">
        <v>4039</v>
      </c>
    </row>
    <row r="2303" spans="1:21" x14ac:dyDescent="0.25">
      <c r="H2303" t="s">
        <v>4040</v>
      </c>
    </row>
    <row r="2304" spans="1:21" x14ac:dyDescent="0.25">
      <c r="A2304">
        <v>1149</v>
      </c>
      <c r="B2304">
        <v>1418</v>
      </c>
      <c r="C2304" t="s">
        <v>4041</v>
      </c>
      <c r="D2304" t="s">
        <v>453</v>
      </c>
      <c r="E2304" t="s">
        <v>135</v>
      </c>
      <c r="F2304" t="s">
        <v>4042</v>
      </c>
      <c r="G2304" t="str">
        <f>"00019033"</f>
        <v>00019033</v>
      </c>
      <c r="H2304" t="s">
        <v>4043</v>
      </c>
      <c r="I2304">
        <v>0</v>
      </c>
      <c r="J2304">
        <v>0</v>
      </c>
      <c r="K2304">
        <v>0</v>
      </c>
      <c r="L2304">
        <v>0</v>
      </c>
      <c r="M2304">
        <v>0</v>
      </c>
      <c r="N2304">
        <v>0</v>
      </c>
      <c r="O2304">
        <v>0</v>
      </c>
      <c r="P2304">
        <v>0</v>
      </c>
      <c r="Q2304">
        <v>0</v>
      </c>
      <c r="T2304">
        <v>0</v>
      </c>
      <c r="U2304" t="s">
        <v>4043</v>
      </c>
    </row>
    <row r="2305" spans="1:21" x14ac:dyDescent="0.25">
      <c r="H2305" t="s">
        <v>4044</v>
      </c>
    </row>
    <row r="2306" spans="1:21" x14ac:dyDescent="0.25">
      <c r="A2306">
        <v>1150</v>
      </c>
      <c r="B2306">
        <v>6648</v>
      </c>
      <c r="C2306" t="s">
        <v>344</v>
      </c>
      <c r="D2306" t="s">
        <v>78</v>
      </c>
      <c r="E2306" t="s">
        <v>422</v>
      </c>
      <c r="F2306" t="s">
        <v>4045</v>
      </c>
      <c r="G2306" t="str">
        <f>"00041950"</f>
        <v>00041950</v>
      </c>
      <c r="H2306" t="s">
        <v>4043</v>
      </c>
      <c r="I2306">
        <v>0</v>
      </c>
      <c r="J2306">
        <v>0</v>
      </c>
      <c r="K2306">
        <v>0</v>
      </c>
      <c r="L2306">
        <v>0</v>
      </c>
      <c r="M2306">
        <v>0</v>
      </c>
      <c r="N2306">
        <v>0</v>
      </c>
      <c r="O2306">
        <v>0</v>
      </c>
      <c r="P2306">
        <v>0</v>
      </c>
      <c r="Q2306">
        <v>0</v>
      </c>
      <c r="T2306">
        <v>0</v>
      </c>
      <c r="U2306" t="s">
        <v>4043</v>
      </c>
    </row>
    <row r="2307" spans="1:21" x14ac:dyDescent="0.25">
      <c r="H2307" t="s">
        <v>4046</v>
      </c>
    </row>
    <row r="2308" spans="1:21" x14ac:dyDescent="0.25">
      <c r="A2308">
        <v>1151</v>
      </c>
      <c r="B2308">
        <v>9808</v>
      </c>
      <c r="C2308" t="s">
        <v>4047</v>
      </c>
      <c r="D2308" t="s">
        <v>528</v>
      </c>
      <c r="E2308" t="s">
        <v>42</v>
      </c>
      <c r="F2308" t="s">
        <v>4048</v>
      </c>
      <c r="G2308" t="str">
        <f>"201511041384"</f>
        <v>201511041384</v>
      </c>
      <c r="H2308" t="s">
        <v>4049</v>
      </c>
      <c r="I2308">
        <v>0</v>
      </c>
      <c r="J2308">
        <v>0</v>
      </c>
      <c r="K2308">
        <v>0</v>
      </c>
      <c r="L2308">
        <v>0</v>
      </c>
      <c r="M2308">
        <v>0</v>
      </c>
      <c r="N2308">
        <v>0</v>
      </c>
      <c r="O2308">
        <v>0</v>
      </c>
      <c r="P2308">
        <v>0</v>
      </c>
      <c r="Q2308">
        <v>0</v>
      </c>
      <c r="T2308">
        <v>0</v>
      </c>
      <c r="U2308" t="s">
        <v>4049</v>
      </c>
    </row>
    <row r="2309" spans="1:21" x14ac:dyDescent="0.25">
      <c r="H2309" t="s">
        <v>4050</v>
      </c>
    </row>
    <row r="2310" spans="1:21" x14ac:dyDescent="0.25">
      <c r="A2310">
        <v>1152</v>
      </c>
      <c r="B2310">
        <v>3247</v>
      </c>
      <c r="C2310" t="s">
        <v>4051</v>
      </c>
      <c r="D2310" t="s">
        <v>64</v>
      </c>
      <c r="E2310" t="s">
        <v>37</v>
      </c>
      <c r="F2310" t="s">
        <v>4052</v>
      </c>
      <c r="G2310" t="str">
        <f>"00062010"</f>
        <v>00062010</v>
      </c>
      <c r="H2310" t="s">
        <v>4049</v>
      </c>
      <c r="I2310">
        <v>0</v>
      </c>
      <c r="J2310">
        <v>0</v>
      </c>
      <c r="K2310">
        <v>0</v>
      </c>
      <c r="L2310">
        <v>0</v>
      </c>
      <c r="M2310">
        <v>0</v>
      </c>
      <c r="N2310">
        <v>0</v>
      </c>
      <c r="O2310">
        <v>0</v>
      </c>
      <c r="P2310">
        <v>0</v>
      </c>
      <c r="Q2310">
        <v>0</v>
      </c>
      <c r="T2310">
        <v>0</v>
      </c>
      <c r="U2310" t="s">
        <v>4049</v>
      </c>
    </row>
    <row r="2311" spans="1:21" x14ac:dyDescent="0.25">
      <c r="H2311" t="s">
        <v>4053</v>
      </c>
    </row>
    <row r="2312" spans="1:21" x14ac:dyDescent="0.25">
      <c r="A2312">
        <v>1153</v>
      </c>
      <c r="B2312">
        <v>2762</v>
      </c>
      <c r="C2312" t="s">
        <v>4054</v>
      </c>
      <c r="D2312" t="s">
        <v>101</v>
      </c>
      <c r="E2312" t="s">
        <v>449</v>
      </c>
      <c r="F2312" t="s">
        <v>4055</v>
      </c>
      <c r="G2312" t="str">
        <f>"201102000650"</f>
        <v>201102000650</v>
      </c>
      <c r="H2312" t="s">
        <v>4056</v>
      </c>
      <c r="I2312">
        <v>150</v>
      </c>
      <c r="J2312">
        <v>0</v>
      </c>
      <c r="K2312">
        <v>0</v>
      </c>
      <c r="L2312">
        <v>0</v>
      </c>
      <c r="M2312">
        <v>0</v>
      </c>
      <c r="N2312">
        <v>0</v>
      </c>
      <c r="O2312">
        <v>0</v>
      </c>
      <c r="P2312">
        <v>0</v>
      </c>
      <c r="Q2312">
        <v>0</v>
      </c>
      <c r="T2312">
        <v>0</v>
      </c>
      <c r="U2312" t="s">
        <v>4057</v>
      </c>
    </row>
    <row r="2313" spans="1:21" x14ac:dyDescent="0.25">
      <c r="H2313" t="s">
        <v>4058</v>
      </c>
    </row>
    <row r="2314" spans="1:21" x14ac:dyDescent="0.25">
      <c r="A2314">
        <v>1154</v>
      </c>
      <c r="B2314">
        <v>85</v>
      </c>
      <c r="C2314" t="s">
        <v>4059</v>
      </c>
      <c r="D2314" t="s">
        <v>173</v>
      </c>
      <c r="E2314" t="s">
        <v>70</v>
      </c>
      <c r="F2314" t="s">
        <v>4060</v>
      </c>
      <c r="G2314" t="str">
        <f>"201510003016"</f>
        <v>201510003016</v>
      </c>
      <c r="H2314" t="s">
        <v>2702</v>
      </c>
      <c r="I2314">
        <v>0</v>
      </c>
      <c r="J2314">
        <v>30</v>
      </c>
      <c r="K2314">
        <v>0</v>
      </c>
      <c r="L2314">
        <v>0</v>
      </c>
      <c r="M2314">
        <v>0</v>
      </c>
      <c r="N2314">
        <v>0</v>
      </c>
      <c r="O2314">
        <v>0</v>
      </c>
      <c r="P2314">
        <v>0</v>
      </c>
      <c r="Q2314">
        <v>0</v>
      </c>
      <c r="T2314">
        <v>1</v>
      </c>
      <c r="U2314" t="s">
        <v>4061</v>
      </c>
    </row>
    <row r="2315" spans="1:21" x14ac:dyDescent="0.25">
      <c r="H2315" t="s">
        <v>4062</v>
      </c>
    </row>
    <row r="2316" spans="1:21" x14ac:dyDescent="0.25">
      <c r="A2316">
        <v>1155</v>
      </c>
      <c r="B2316">
        <v>10212</v>
      </c>
      <c r="C2316" t="s">
        <v>4063</v>
      </c>
      <c r="D2316" t="s">
        <v>1097</v>
      </c>
      <c r="E2316" t="s">
        <v>191</v>
      </c>
      <c r="F2316" t="s">
        <v>4064</v>
      </c>
      <c r="G2316" t="str">
        <f>"201512004365"</f>
        <v>201512004365</v>
      </c>
      <c r="H2316" t="s">
        <v>2702</v>
      </c>
      <c r="I2316">
        <v>0</v>
      </c>
      <c r="J2316">
        <v>30</v>
      </c>
      <c r="K2316">
        <v>0</v>
      </c>
      <c r="L2316">
        <v>0</v>
      </c>
      <c r="M2316">
        <v>0</v>
      </c>
      <c r="N2316">
        <v>0</v>
      </c>
      <c r="O2316">
        <v>0</v>
      </c>
      <c r="P2316">
        <v>0</v>
      </c>
      <c r="Q2316">
        <v>0</v>
      </c>
      <c r="T2316">
        <v>0</v>
      </c>
      <c r="U2316" t="s">
        <v>4061</v>
      </c>
    </row>
    <row r="2317" spans="1:21" x14ac:dyDescent="0.25">
      <c r="H2317" t="s">
        <v>4065</v>
      </c>
    </row>
    <row r="2318" spans="1:21" x14ac:dyDescent="0.25">
      <c r="A2318">
        <v>1156</v>
      </c>
      <c r="B2318">
        <v>9103</v>
      </c>
      <c r="C2318" t="s">
        <v>4066</v>
      </c>
      <c r="D2318" t="s">
        <v>173</v>
      </c>
      <c r="E2318" t="s">
        <v>122</v>
      </c>
      <c r="F2318" t="s">
        <v>4067</v>
      </c>
      <c r="G2318" t="str">
        <f>"201511017644"</f>
        <v>201511017644</v>
      </c>
      <c r="H2318" t="s">
        <v>2239</v>
      </c>
      <c r="I2318">
        <v>0</v>
      </c>
      <c r="J2318">
        <v>0</v>
      </c>
      <c r="K2318">
        <v>0</v>
      </c>
      <c r="L2318">
        <v>0</v>
      </c>
      <c r="M2318">
        <v>0</v>
      </c>
      <c r="N2318">
        <v>0</v>
      </c>
      <c r="O2318">
        <v>0</v>
      </c>
      <c r="P2318">
        <v>0</v>
      </c>
      <c r="Q2318">
        <v>0</v>
      </c>
      <c r="T2318">
        <v>2</v>
      </c>
      <c r="U2318" t="s">
        <v>2239</v>
      </c>
    </row>
    <row r="2319" spans="1:21" x14ac:dyDescent="0.25">
      <c r="H2319" t="s">
        <v>4068</v>
      </c>
    </row>
    <row r="2320" spans="1:21" x14ac:dyDescent="0.25">
      <c r="A2320">
        <v>1157</v>
      </c>
      <c r="B2320">
        <v>2460</v>
      </c>
      <c r="C2320" t="s">
        <v>1392</v>
      </c>
      <c r="D2320" t="s">
        <v>85</v>
      </c>
      <c r="E2320" t="s">
        <v>582</v>
      </c>
      <c r="F2320" t="s">
        <v>4069</v>
      </c>
      <c r="G2320" t="str">
        <f>"200904000463"</f>
        <v>200904000463</v>
      </c>
      <c r="H2320" t="s">
        <v>2239</v>
      </c>
      <c r="I2320">
        <v>0</v>
      </c>
      <c r="J2320">
        <v>0</v>
      </c>
      <c r="K2320">
        <v>0</v>
      </c>
      <c r="L2320">
        <v>0</v>
      </c>
      <c r="M2320">
        <v>0</v>
      </c>
      <c r="N2320">
        <v>0</v>
      </c>
      <c r="O2320">
        <v>0</v>
      </c>
      <c r="P2320">
        <v>0</v>
      </c>
      <c r="Q2320">
        <v>0</v>
      </c>
      <c r="T2320">
        <v>0</v>
      </c>
      <c r="U2320" t="s">
        <v>2239</v>
      </c>
    </row>
    <row r="2321" spans="1:21" x14ac:dyDescent="0.25">
      <c r="H2321" t="s">
        <v>4070</v>
      </c>
    </row>
    <row r="2322" spans="1:21" x14ac:dyDescent="0.25">
      <c r="A2322">
        <v>1158</v>
      </c>
      <c r="B2322">
        <v>3114</v>
      </c>
      <c r="C2322" t="s">
        <v>4071</v>
      </c>
      <c r="D2322" t="s">
        <v>154</v>
      </c>
      <c r="E2322" t="s">
        <v>36</v>
      </c>
      <c r="F2322" t="s">
        <v>4072</v>
      </c>
      <c r="G2322" t="str">
        <f>"201511006078"</f>
        <v>201511006078</v>
      </c>
      <c r="H2322" t="s">
        <v>4073</v>
      </c>
      <c r="I2322">
        <v>0</v>
      </c>
      <c r="J2322">
        <v>0</v>
      </c>
      <c r="K2322">
        <v>0</v>
      </c>
      <c r="L2322">
        <v>0</v>
      </c>
      <c r="M2322">
        <v>0</v>
      </c>
      <c r="N2322">
        <v>0</v>
      </c>
      <c r="O2322">
        <v>0</v>
      </c>
      <c r="P2322">
        <v>0</v>
      </c>
      <c r="Q2322">
        <v>0</v>
      </c>
      <c r="T2322">
        <v>0</v>
      </c>
      <c r="U2322" t="s">
        <v>4073</v>
      </c>
    </row>
    <row r="2323" spans="1:21" x14ac:dyDescent="0.25">
      <c r="H2323" t="s">
        <v>4074</v>
      </c>
    </row>
    <row r="2324" spans="1:21" x14ac:dyDescent="0.25">
      <c r="A2324">
        <v>1159</v>
      </c>
      <c r="B2324">
        <v>9516</v>
      </c>
      <c r="C2324" t="s">
        <v>4075</v>
      </c>
      <c r="D2324" t="s">
        <v>164</v>
      </c>
      <c r="E2324" t="s">
        <v>533</v>
      </c>
      <c r="F2324" t="s">
        <v>4076</v>
      </c>
      <c r="G2324" t="str">
        <f>"201512004829"</f>
        <v>201512004829</v>
      </c>
      <c r="H2324" t="s">
        <v>4077</v>
      </c>
      <c r="I2324">
        <v>150</v>
      </c>
      <c r="J2324">
        <v>30</v>
      </c>
      <c r="K2324">
        <v>0</v>
      </c>
      <c r="L2324">
        <v>0</v>
      </c>
      <c r="M2324">
        <v>0</v>
      </c>
      <c r="N2324">
        <v>0</v>
      </c>
      <c r="O2324">
        <v>0</v>
      </c>
      <c r="P2324">
        <v>0</v>
      </c>
      <c r="Q2324">
        <v>0</v>
      </c>
      <c r="T2324">
        <v>0</v>
      </c>
      <c r="U2324" t="s">
        <v>4078</v>
      </c>
    </row>
    <row r="2325" spans="1:21" x14ac:dyDescent="0.25">
      <c r="H2325" t="s">
        <v>4079</v>
      </c>
    </row>
    <row r="2326" spans="1:21" x14ac:dyDescent="0.25">
      <c r="A2326">
        <v>1160</v>
      </c>
      <c r="B2326">
        <v>1606</v>
      </c>
      <c r="C2326" t="s">
        <v>1487</v>
      </c>
      <c r="D2326" t="s">
        <v>116</v>
      </c>
      <c r="E2326" t="s">
        <v>773</v>
      </c>
      <c r="F2326" t="s">
        <v>4080</v>
      </c>
      <c r="G2326" t="str">
        <f>"00036656"</f>
        <v>00036656</v>
      </c>
      <c r="H2326" t="s">
        <v>2606</v>
      </c>
      <c r="I2326">
        <v>0</v>
      </c>
      <c r="J2326">
        <v>50</v>
      </c>
      <c r="K2326">
        <v>0</v>
      </c>
      <c r="L2326">
        <v>0</v>
      </c>
      <c r="M2326">
        <v>0</v>
      </c>
      <c r="N2326">
        <v>0</v>
      </c>
      <c r="O2326">
        <v>0</v>
      </c>
      <c r="P2326">
        <v>0</v>
      </c>
      <c r="Q2326">
        <v>0</v>
      </c>
      <c r="T2326">
        <v>0</v>
      </c>
      <c r="U2326" t="s">
        <v>4081</v>
      </c>
    </row>
    <row r="2327" spans="1:21" x14ac:dyDescent="0.25">
      <c r="H2327">
        <v>756</v>
      </c>
    </row>
    <row r="2328" spans="1:21" x14ac:dyDescent="0.25">
      <c r="A2328">
        <v>1161</v>
      </c>
      <c r="B2328">
        <v>4652</v>
      </c>
      <c r="C2328" t="s">
        <v>4082</v>
      </c>
      <c r="D2328" t="s">
        <v>285</v>
      </c>
      <c r="E2328" t="s">
        <v>36</v>
      </c>
      <c r="F2328" t="s">
        <v>4083</v>
      </c>
      <c r="G2328" t="str">
        <f>"201405000303"</f>
        <v>201405000303</v>
      </c>
      <c r="H2328" t="s">
        <v>2606</v>
      </c>
      <c r="I2328">
        <v>0</v>
      </c>
      <c r="J2328">
        <v>50</v>
      </c>
      <c r="K2328">
        <v>0</v>
      </c>
      <c r="L2328">
        <v>0</v>
      </c>
      <c r="M2328">
        <v>0</v>
      </c>
      <c r="N2328">
        <v>0</v>
      </c>
      <c r="O2328">
        <v>0</v>
      </c>
      <c r="P2328">
        <v>0</v>
      </c>
      <c r="Q2328">
        <v>0</v>
      </c>
      <c r="T2328">
        <v>0</v>
      </c>
      <c r="U2328" t="s">
        <v>4081</v>
      </c>
    </row>
    <row r="2329" spans="1:21" x14ac:dyDescent="0.25">
      <c r="H2329" t="s">
        <v>4084</v>
      </c>
    </row>
    <row r="2330" spans="1:21" x14ac:dyDescent="0.25">
      <c r="A2330">
        <v>1162</v>
      </c>
      <c r="B2330">
        <v>4758</v>
      </c>
      <c r="C2330" t="s">
        <v>4085</v>
      </c>
      <c r="D2330" t="s">
        <v>4086</v>
      </c>
      <c r="E2330" t="s">
        <v>155</v>
      </c>
      <c r="F2330" t="s">
        <v>4087</v>
      </c>
      <c r="G2330" t="str">
        <f>"00043373"</f>
        <v>00043373</v>
      </c>
      <c r="H2330" t="s">
        <v>2721</v>
      </c>
      <c r="I2330">
        <v>0</v>
      </c>
      <c r="J2330">
        <v>30</v>
      </c>
      <c r="K2330">
        <v>0</v>
      </c>
      <c r="L2330">
        <v>0</v>
      </c>
      <c r="M2330">
        <v>0</v>
      </c>
      <c r="N2330">
        <v>0</v>
      </c>
      <c r="O2330">
        <v>0</v>
      </c>
      <c r="P2330">
        <v>0</v>
      </c>
      <c r="Q2330">
        <v>0</v>
      </c>
      <c r="T2330">
        <v>0</v>
      </c>
      <c r="U2330" t="s">
        <v>4088</v>
      </c>
    </row>
    <row r="2331" spans="1:21" x14ac:dyDescent="0.25">
      <c r="H2331" t="s">
        <v>4089</v>
      </c>
    </row>
    <row r="2332" spans="1:21" x14ac:dyDescent="0.25">
      <c r="A2332">
        <v>1163</v>
      </c>
      <c r="B2332">
        <v>10330</v>
      </c>
      <c r="C2332" t="s">
        <v>4090</v>
      </c>
      <c r="D2332" t="s">
        <v>64</v>
      </c>
      <c r="E2332" t="s">
        <v>4091</v>
      </c>
      <c r="F2332" t="s">
        <v>4092</v>
      </c>
      <c r="G2332" t="str">
        <f>"00029881"</f>
        <v>00029881</v>
      </c>
      <c r="H2332" t="s">
        <v>2721</v>
      </c>
      <c r="I2332">
        <v>0</v>
      </c>
      <c r="J2332">
        <v>30</v>
      </c>
      <c r="K2332">
        <v>0</v>
      </c>
      <c r="L2332">
        <v>0</v>
      </c>
      <c r="M2332">
        <v>0</v>
      </c>
      <c r="N2332">
        <v>0</v>
      </c>
      <c r="O2332">
        <v>0</v>
      </c>
      <c r="P2332">
        <v>0</v>
      </c>
      <c r="Q2332">
        <v>0</v>
      </c>
      <c r="T2332">
        <v>0</v>
      </c>
      <c r="U2332" t="s">
        <v>4088</v>
      </c>
    </row>
    <row r="2333" spans="1:21" x14ac:dyDescent="0.25">
      <c r="H2333" t="s">
        <v>4093</v>
      </c>
    </row>
    <row r="2334" spans="1:21" x14ac:dyDescent="0.25">
      <c r="A2334">
        <v>1164</v>
      </c>
      <c r="B2334">
        <v>598</v>
      </c>
      <c r="C2334" t="s">
        <v>4094</v>
      </c>
      <c r="D2334" t="s">
        <v>78</v>
      </c>
      <c r="E2334" t="s">
        <v>122</v>
      </c>
      <c r="F2334" t="s">
        <v>4095</v>
      </c>
      <c r="G2334" t="str">
        <f>"201510000522"</f>
        <v>201510000522</v>
      </c>
      <c r="H2334" t="s">
        <v>2721</v>
      </c>
      <c r="I2334">
        <v>0</v>
      </c>
      <c r="J2334">
        <v>30</v>
      </c>
      <c r="K2334">
        <v>0</v>
      </c>
      <c r="L2334">
        <v>0</v>
      </c>
      <c r="M2334">
        <v>0</v>
      </c>
      <c r="N2334">
        <v>0</v>
      </c>
      <c r="O2334">
        <v>0</v>
      </c>
      <c r="P2334">
        <v>0</v>
      </c>
      <c r="Q2334">
        <v>0</v>
      </c>
      <c r="T2334">
        <v>0</v>
      </c>
      <c r="U2334" t="s">
        <v>4088</v>
      </c>
    </row>
    <row r="2335" spans="1:21" x14ac:dyDescent="0.25">
      <c r="H2335" t="s">
        <v>4096</v>
      </c>
    </row>
    <row r="2336" spans="1:21" x14ac:dyDescent="0.25">
      <c r="A2336">
        <v>1165</v>
      </c>
      <c r="B2336">
        <v>7075</v>
      </c>
      <c r="C2336" t="s">
        <v>4097</v>
      </c>
      <c r="D2336" t="s">
        <v>95</v>
      </c>
      <c r="E2336" t="s">
        <v>366</v>
      </c>
      <c r="F2336" t="s">
        <v>4098</v>
      </c>
      <c r="G2336" t="str">
        <f>"00102324"</f>
        <v>00102324</v>
      </c>
      <c r="H2336">
        <v>858</v>
      </c>
      <c r="I2336">
        <v>0</v>
      </c>
      <c r="J2336">
        <v>0</v>
      </c>
      <c r="K2336">
        <v>0</v>
      </c>
      <c r="L2336">
        <v>0</v>
      </c>
      <c r="M2336">
        <v>0</v>
      </c>
      <c r="N2336">
        <v>0</v>
      </c>
      <c r="O2336">
        <v>0</v>
      </c>
      <c r="P2336">
        <v>0</v>
      </c>
      <c r="Q2336">
        <v>0</v>
      </c>
      <c r="R2336">
        <v>6</v>
      </c>
      <c r="S2336" t="s">
        <v>4099</v>
      </c>
      <c r="T2336">
        <v>0</v>
      </c>
      <c r="U2336">
        <v>858</v>
      </c>
    </row>
    <row r="2337" spans="1:21" x14ac:dyDescent="0.25">
      <c r="H2337" t="s">
        <v>4100</v>
      </c>
    </row>
    <row r="2338" spans="1:21" x14ac:dyDescent="0.25">
      <c r="A2338">
        <v>1166</v>
      </c>
      <c r="B2338">
        <v>7075</v>
      </c>
      <c r="C2338" t="s">
        <v>4097</v>
      </c>
      <c r="D2338" t="s">
        <v>95</v>
      </c>
      <c r="E2338" t="s">
        <v>366</v>
      </c>
      <c r="F2338" t="s">
        <v>4098</v>
      </c>
      <c r="G2338" t="str">
        <f>"00102324"</f>
        <v>00102324</v>
      </c>
      <c r="H2338">
        <v>858</v>
      </c>
      <c r="I2338">
        <v>0</v>
      </c>
      <c r="J2338">
        <v>0</v>
      </c>
      <c r="K2338">
        <v>0</v>
      </c>
      <c r="L2338">
        <v>0</v>
      </c>
      <c r="M2338">
        <v>0</v>
      </c>
      <c r="N2338">
        <v>0</v>
      </c>
      <c r="O2338">
        <v>0</v>
      </c>
      <c r="P2338">
        <v>0</v>
      </c>
      <c r="Q2338">
        <v>0</v>
      </c>
      <c r="T2338">
        <v>0</v>
      </c>
      <c r="U2338">
        <v>858</v>
      </c>
    </row>
    <row r="2339" spans="1:21" x14ac:dyDescent="0.25">
      <c r="H2339" t="s">
        <v>4100</v>
      </c>
    </row>
    <row r="2340" spans="1:21" x14ac:dyDescent="0.25">
      <c r="A2340">
        <v>1167</v>
      </c>
      <c r="B2340">
        <v>8742</v>
      </c>
      <c r="C2340" t="s">
        <v>4101</v>
      </c>
      <c r="D2340" t="s">
        <v>473</v>
      </c>
      <c r="E2340" t="s">
        <v>600</v>
      </c>
      <c r="F2340" t="s">
        <v>4102</v>
      </c>
      <c r="G2340" t="str">
        <f>"201511041737"</f>
        <v>201511041737</v>
      </c>
      <c r="H2340">
        <v>858</v>
      </c>
      <c r="I2340">
        <v>0</v>
      </c>
      <c r="J2340">
        <v>0</v>
      </c>
      <c r="K2340">
        <v>0</v>
      </c>
      <c r="L2340">
        <v>0</v>
      </c>
      <c r="M2340">
        <v>0</v>
      </c>
      <c r="N2340">
        <v>0</v>
      </c>
      <c r="O2340">
        <v>0</v>
      </c>
      <c r="P2340">
        <v>0</v>
      </c>
      <c r="Q2340">
        <v>0</v>
      </c>
      <c r="T2340">
        <v>0</v>
      </c>
      <c r="U2340">
        <v>858</v>
      </c>
    </row>
    <row r="2341" spans="1:21" x14ac:dyDescent="0.25">
      <c r="H2341" t="s">
        <v>4103</v>
      </c>
    </row>
    <row r="2342" spans="1:21" x14ac:dyDescent="0.25">
      <c r="A2342">
        <v>1168</v>
      </c>
      <c r="B2342">
        <v>6382</v>
      </c>
      <c r="C2342" t="s">
        <v>2011</v>
      </c>
      <c r="D2342" t="s">
        <v>2890</v>
      </c>
      <c r="E2342" t="s">
        <v>4104</v>
      </c>
      <c r="F2342" t="s">
        <v>4105</v>
      </c>
      <c r="G2342" t="str">
        <f>"00080889"</f>
        <v>00080889</v>
      </c>
      <c r="H2342">
        <v>858</v>
      </c>
      <c r="I2342">
        <v>0</v>
      </c>
      <c r="J2342">
        <v>0</v>
      </c>
      <c r="K2342">
        <v>0</v>
      </c>
      <c r="L2342">
        <v>0</v>
      </c>
      <c r="M2342">
        <v>0</v>
      </c>
      <c r="N2342">
        <v>0</v>
      </c>
      <c r="O2342">
        <v>0</v>
      </c>
      <c r="P2342">
        <v>0</v>
      </c>
      <c r="Q2342">
        <v>0</v>
      </c>
      <c r="T2342">
        <v>0</v>
      </c>
      <c r="U2342">
        <v>858</v>
      </c>
    </row>
    <row r="2343" spans="1:21" x14ac:dyDescent="0.25">
      <c r="H2343" t="s">
        <v>4106</v>
      </c>
    </row>
    <row r="2344" spans="1:21" x14ac:dyDescent="0.25">
      <c r="A2344">
        <v>1169</v>
      </c>
      <c r="B2344">
        <v>1843</v>
      </c>
      <c r="C2344" t="s">
        <v>285</v>
      </c>
      <c r="D2344" t="s">
        <v>4107</v>
      </c>
      <c r="E2344" t="s">
        <v>122</v>
      </c>
      <c r="F2344" t="s">
        <v>4108</v>
      </c>
      <c r="G2344" t="str">
        <f>"00025307"</f>
        <v>00025307</v>
      </c>
      <c r="H2344">
        <v>858</v>
      </c>
      <c r="I2344">
        <v>0</v>
      </c>
      <c r="J2344">
        <v>0</v>
      </c>
      <c r="K2344">
        <v>0</v>
      </c>
      <c r="L2344">
        <v>0</v>
      </c>
      <c r="M2344">
        <v>0</v>
      </c>
      <c r="N2344">
        <v>0</v>
      </c>
      <c r="O2344">
        <v>0</v>
      </c>
      <c r="P2344">
        <v>0</v>
      </c>
      <c r="Q2344">
        <v>0</v>
      </c>
      <c r="T2344">
        <v>0</v>
      </c>
      <c r="U2344">
        <v>858</v>
      </c>
    </row>
    <row r="2345" spans="1:21" x14ac:dyDescent="0.25">
      <c r="H2345" t="s">
        <v>4109</v>
      </c>
    </row>
    <row r="2346" spans="1:21" x14ac:dyDescent="0.25">
      <c r="A2346">
        <v>1170</v>
      </c>
      <c r="B2346">
        <v>9501</v>
      </c>
      <c r="C2346" t="s">
        <v>4110</v>
      </c>
      <c r="D2346" t="s">
        <v>3604</v>
      </c>
      <c r="E2346" t="s">
        <v>373</v>
      </c>
      <c r="F2346" t="s">
        <v>4111</v>
      </c>
      <c r="G2346" t="str">
        <f>"201511013700"</f>
        <v>201511013700</v>
      </c>
      <c r="H2346">
        <v>858</v>
      </c>
      <c r="I2346">
        <v>0</v>
      </c>
      <c r="J2346">
        <v>0</v>
      </c>
      <c r="K2346">
        <v>0</v>
      </c>
      <c r="L2346">
        <v>0</v>
      </c>
      <c r="M2346">
        <v>0</v>
      </c>
      <c r="N2346">
        <v>0</v>
      </c>
      <c r="O2346">
        <v>0</v>
      </c>
      <c r="P2346">
        <v>0</v>
      </c>
      <c r="Q2346">
        <v>0</v>
      </c>
      <c r="T2346">
        <v>0</v>
      </c>
      <c r="U2346">
        <v>858</v>
      </c>
    </row>
    <row r="2347" spans="1:21" x14ac:dyDescent="0.25">
      <c r="H2347" t="s">
        <v>4112</v>
      </c>
    </row>
    <row r="2348" spans="1:21" x14ac:dyDescent="0.25">
      <c r="A2348">
        <v>1171</v>
      </c>
      <c r="B2348">
        <v>1132</v>
      </c>
      <c r="C2348" t="s">
        <v>4113</v>
      </c>
      <c r="D2348" t="s">
        <v>4114</v>
      </c>
      <c r="E2348" t="s">
        <v>42</v>
      </c>
      <c r="F2348" t="s">
        <v>4115</v>
      </c>
      <c r="G2348" t="str">
        <f>"201511031553"</f>
        <v>201511031553</v>
      </c>
      <c r="H2348">
        <v>858</v>
      </c>
      <c r="I2348">
        <v>0</v>
      </c>
      <c r="J2348">
        <v>0</v>
      </c>
      <c r="K2348">
        <v>0</v>
      </c>
      <c r="L2348">
        <v>0</v>
      </c>
      <c r="M2348">
        <v>0</v>
      </c>
      <c r="N2348">
        <v>0</v>
      </c>
      <c r="O2348">
        <v>0</v>
      </c>
      <c r="P2348">
        <v>0</v>
      </c>
      <c r="Q2348">
        <v>0</v>
      </c>
      <c r="T2348">
        <v>2</v>
      </c>
      <c r="U2348">
        <v>858</v>
      </c>
    </row>
    <row r="2349" spans="1:21" x14ac:dyDescent="0.25">
      <c r="H2349" t="s">
        <v>1465</v>
      </c>
    </row>
    <row r="2350" spans="1:21" x14ac:dyDescent="0.25">
      <c r="A2350">
        <v>1172</v>
      </c>
      <c r="B2350">
        <v>9702</v>
      </c>
      <c r="C2350" t="s">
        <v>4116</v>
      </c>
      <c r="D2350" t="s">
        <v>1972</v>
      </c>
      <c r="E2350" t="s">
        <v>42</v>
      </c>
      <c r="F2350" t="s">
        <v>4117</v>
      </c>
      <c r="G2350" t="str">
        <f>"00016565"</f>
        <v>00016565</v>
      </c>
      <c r="H2350" t="s">
        <v>4118</v>
      </c>
      <c r="I2350">
        <v>150</v>
      </c>
      <c r="J2350">
        <v>0</v>
      </c>
      <c r="K2350">
        <v>0</v>
      </c>
      <c r="L2350">
        <v>0</v>
      </c>
      <c r="M2350">
        <v>0</v>
      </c>
      <c r="N2350">
        <v>0</v>
      </c>
      <c r="O2350">
        <v>0</v>
      </c>
      <c r="P2350">
        <v>0</v>
      </c>
      <c r="Q2350">
        <v>0</v>
      </c>
      <c r="T2350">
        <v>0</v>
      </c>
      <c r="U2350" t="s">
        <v>4119</v>
      </c>
    </row>
    <row r="2351" spans="1:21" x14ac:dyDescent="0.25">
      <c r="H2351" t="s">
        <v>4120</v>
      </c>
    </row>
    <row r="2352" spans="1:21" x14ac:dyDescent="0.25">
      <c r="A2352">
        <v>1173</v>
      </c>
      <c r="B2352">
        <v>10483</v>
      </c>
      <c r="C2352" t="s">
        <v>4121</v>
      </c>
      <c r="D2352" t="s">
        <v>280</v>
      </c>
      <c r="E2352" t="s">
        <v>852</v>
      </c>
      <c r="F2352" t="s">
        <v>4122</v>
      </c>
      <c r="G2352" t="str">
        <f>"201510005108"</f>
        <v>201510005108</v>
      </c>
      <c r="H2352" t="s">
        <v>4123</v>
      </c>
      <c r="I2352">
        <v>0</v>
      </c>
      <c r="J2352">
        <v>0</v>
      </c>
      <c r="K2352">
        <v>0</v>
      </c>
      <c r="L2352">
        <v>0</v>
      </c>
      <c r="M2352">
        <v>0</v>
      </c>
      <c r="N2352">
        <v>0</v>
      </c>
      <c r="O2352">
        <v>0</v>
      </c>
      <c r="P2352">
        <v>0</v>
      </c>
      <c r="Q2352">
        <v>0</v>
      </c>
      <c r="T2352">
        <v>0</v>
      </c>
      <c r="U2352" t="s">
        <v>4123</v>
      </c>
    </row>
    <row r="2353" spans="1:21" x14ac:dyDescent="0.25">
      <c r="H2353" t="s">
        <v>4124</v>
      </c>
    </row>
    <row r="2354" spans="1:21" x14ac:dyDescent="0.25">
      <c r="A2354">
        <v>1174</v>
      </c>
      <c r="B2354">
        <v>4742</v>
      </c>
      <c r="C2354" t="s">
        <v>3241</v>
      </c>
      <c r="D2354" t="s">
        <v>57</v>
      </c>
      <c r="E2354" t="s">
        <v>1506</v>
      </c>
      <c r="F2354" t="s">
        <v>4125</v>
      </c>
      <c r="G2354" t="str">
        <f>"00017494"</f>
        <v>00017494</v>
      </c>
      <c r="H2354" t="s">
        <v>4123</v>
      </c>
      <c r="I2354">
        <v>0</v>
      </c>
      <c r="J2354">
        <v>0</v>
      </c>
      <c r="K2354">
        <v>0</v>
      </c>
      <c r="L2354">
        <v>0</v>
      </c>
      <c r="M2354">
        <v>0</v>
      </c>
      <c r="N2354">
        <v>0</v>
      </c>
      <c r="O2354">
        <v>0</v>
      </c>
      <c r="P2354">
        <v>0</v>
      </c>
      <c r="Q2354">
        <v>0</v>
      </c>
      <c r="T2354">
        <v>1</v>
      </c>
      <c r="U2354" t="s">
        <v>4123</v>
      </c>
    </row>
    <row r="2355" spans="1:21" x14ac:dyDescent="0.25">
      <c r="H2355" t="s">
        <v>4126</v>
      </c>
    </row>
    <row r="2356" spans="1:21" x14ac:dyDescent="0.25">
      <c r="A2356">
        <v>1175</v>
      </c>
      <c r="B2356">
        <v>7396</v>
      </c>
      <c r="C2356" t="s">
        <v>4127</v>
      </c>
      <c r="D2356" t="s">
        <v>4128</v>
      </c>
      <c r="E2356" t="s">
        <v>112</v>
      </c>
      <c r="F2356" t="s">
        <v>4129</v>
      </c>
      <c r="G2356" t="str">
        <f>"00019738"</f>
        <v>00019738</v>
      </c>
      <c r="H2356" t="s">
        <v>4123</v>
      </c>
      <c r="I2356">
        <v>0</v>
      </c>
      <c r="J2356">
        <v>0</v>
      </c>
      <c r="K2356">
        <v>0</v>
      </c>
      <c r="L2356">
        <v>0</v>
      </c>
      <c r="M2356">
        <v>0</v>
      </c>
      <c r="N2356">
        <v>0</v>
      </c>
      <c r="O2356">
        <v>0</v>
      </c>
      <c r="P2356">
        <v>0</v>
      </c>
      <c r="Q2356">
        <v>0</v>
      </c>
      <c r="T2356">
        <v>2</v>
      </c>
      <c r="U2356" t="s">
        <v>4123</v>
      </c>
    </row>
    <row r="2357" spans="1:21" x14ac:dyDescent="0.25">
      <c r="H2357" t="s">
        <v>4130</v>
      </c>
    </row>
    <row r="2358" spans="1:21" x14ac:dyDescent="0.25">
      <c r="A2358">
        <v>1176</v>
      </c>
      <c r="B2358">
        <v>2625</v>
      </c>
      <c r="C2358" t="s">
        <v>4131</v>
      </c>
      <c r="D2358" t="s">
        <v>121</v>
      </c>
      <c r="E2358" t="s">
        <v>907</v>
      </c>
      <c r="F2358" t="s">
        <v>4132</v>
      </c>
      <c r="G2358" t="str">
        <f>"201511027451"</f>
        <v>201511027451</v>
      </c>
      <c r="H2358" t="s">
        <v>3572</v>
      </c>
      <c r="I2358">
        <v>0</v>
      </c>
      <c r="J2358">
        <v>0</v>
      </c>
      <c r="K2358">
        <v>0</v>
      </c>
      <c r="L2358">
        <v>0</v>
      </c>
      <c r="M2358">
        <v>0</v>
      </c>
      <c r="N2358">
        <v>0</v>
      </c>
      <c r="O2358">
        <v>0</v>
      </c>
      <c r="P2358">
        <v>0</v>
      </c>
      <c r="Q2358">
        <v>0</v>
      </c>
      <c r="T2358">
        <v>0</v>
      </c>
      <c r="U2358" t="s">
        <v>3572</v>
      </c>
    </row>
    <row r="2359" spans="1:21" x14ac:dyDescent="0.25">
      <c r="H2359" t="s">
        <v>4133</v>
      </c>
    </row>
    <row r="2360" spans="1:21" x14ac:dyDescent="0.25">
      <c r="A2360">
        <v>1177</v>
      </c>
      <c r="B2360">
        <v>3766</v>
      </c>
      <c r="C2360" t="s">
        <v>421</v>
      </c>
      <c r="D2360" t="s">
        <v>2162</v>
      </c>
      <c r="E2360" t="s">
        <v>42</v>
      </c>
      <c r="F2360" t="s">
        <v>4134</v>
      </c>
      <c r="G2360" t="str">
        <f>"00029281"</f>
        <v>00029281</v>
      </c>
      <c r="H2360" t="s">
        <v>3572</v>
      </c>
      <c r="I2360">
        <v>0</v>
      </c>
      <c r="J2360">
        <v>0</v>
      </c>
      <c r="K2360">
        <v>0</v>
      </c>
      <c r="L2360">
        <v>0</v>
      </c>
      <c r="M2360">
        <v>0</v>
      </c>
      <c r="N2360">
        <v>0</v>
      </c>
      <c r="O2360">
        <v>0</v>
      </c>
      <c r="P2360">
        <v>0</v>
      </c>
      <c r="Q2360">
        <v>0</v>
      </c>
      <c r="T2360">
        <v>0</v>
      </c>
      <c r="U2360" t="s">
        <v>3572</v>
      </c>
    </row>
    <row r="2361" spans="1:21" x14ac:dyDescent="0.25">
      <c r="H2361">
        <v>794</v>
      </c>
    </row>
    <row r="2362" spans="1:21" x14ac:dyDescent="0.25">
      <c r="A2362">
        <v>1178</v>
      </c>
      <c r="B2362">
        <v>5426</v>
      </c>
      <c r="C2362" t="s">
        <v>4135</v>
      </c>
      <c r="D2362" t="s">
        <v>141</v>
      </c>
      <c r="E2362" t="s">
        <v>36</v>
      </c>
      <c r="F2362" t="s">
        <v>4136</v>
      </c>
      <c r="G2362" t="str">
        <f>"201102000469"</f>
        <v>201102000469</v>
      </c>
      <c r="H2362">
        <v>825</v>
      </c>
      <c r="I2362">
        <v>0</v>
      </c>
      <c r="J2362">
        <v>30</v>
      </c>
      <c r="K2362">
        <v>0</v>
      </c>
      <c r="L2362">
        <v>0</v>
      </c>
      <c r="M2362">
        <v>0</v>
      </c>
      <c r="N2362">
        <v>0</v>
      </c>
      <c r="O2362">
        <v>0</v>
      </c>
      <c r="P2362">
        <v>0</v>
      </c>
      <c r="Q2362">
        <v>0</v>
      </c>
      <c r="T2362">
        <v>0</v>
      </c>
      <c r="U2362">
        <v>855</v>
      </c>
    </row>
    <row r="2363" spans="1:21" x14ac:dyDescent="0.25">
      <c r="H2363" t="s">
        <v>3701</v>
      </c>
    </row>
    <row r="2364" spans="1:21" x14ac:dyDescent="0.25">
      <c r="A2364">
        <v>1179</v>
      </c>
      <c r="B2364">
        <v>9069</v>
      </c>
      <c r="C2364" t="s">
        <v>4137</v>
      </c>
      <c r="D2364" t="s">
        <v>141</v>
      </c>
      <c r="E2364" t="s">
        <v>37</v>
      </c>
      <c r="F2364" t="s">
        <v>4138</v>
      </c>
      <c r="G2364" t="str">
        <f>"201402010766"</f>
        <v>201402010766</v>
      </c>
      <c r="H2364">
        <v>825</v>
      </c>
      <c r="I2364">
        <v>0</v>
      </c>
      <c r="J2364">
        <v>30</v>
      </c>
      <c r="K2364">
        <v>0</v>
      </c>
      <c r="L2364">
        <v>0</v>
      </c>
      <c r="M2364">
        <v>0</v>
      </c>
      <c r="N2364">
        <v>0</v>
      </c>
      <c r="O2364">
        <v>0</v>
      </c>
      <c r="P2364">
        <v>0</v>
      </c>
      <c r="Q2364">
        <v>0</v>
      </c>
      <c r="T2364">
        <v>0</v>
      </c>
      <c r="U2364">
        <v>855</v>
      </c>
    </row>
    <row r="2365" spans="1:21" x14ac:dyDescent="0.25">
      <c r="H2365" t="s">
        <v>1763</v>
      </c>
    </row>
    <row r="2366" spans="1:21" x14ac:dyDescent="0.25">
      <c r="A2366">
        <v>1180</v>
      </c>
      <c r="B2366">
        <v>9472</v>
      </c>
      <c r="C2366" t="s">
        <v>4139</v>
      </c>
      <c r="D2366" t="s">
        <v>95</v>
      </c>
      <c r="E2366" t="s">
        <v>835</v>
      </c>
      <c r="F2366" t="s">
        <v>4140</v>
      </c>
      <c r="G2366" t="str">
        <f>"00022329"</f>
        <v>00022329</v>
      </c>
      <c r="H2366">
        <v>825</v>
      </c>
      <c r="I2366">
        <v>0</v>
      </c>
      <c r="J2366">
        <v>30</v>
      </c>
      <c r="K2366">
        <v>0</v>
      </c>
      <c r="L2366">
        <v>0</v>
      </c>
      <c r="M2366">
        <v>0</v>
      </c>
      <c r="N2366">
        <v>0</v>
      </c>
      <c r="O2366">
        <v>0</v>
      </c>
      <c r="P2366">
        <v>0</v>
      </c>
      <c r="Q2366">
        <v>0</v>
      </c>
      <c r="T2366">
        <v>2</v>
      </c>
      <c r="U2366">
        <v>855</v>
      </c>
    </row>
    <row r="2367" spans="1:21" x14ac:dyDescent="0.25">
      <c r="H2367" t="s">
        <v>4141</v>
      </c>
    </row>
    <row r="2368" spans="1:21" x14ac:dyDescent="0.25">
      <c r="A2368">
        <v>1181</v>
      </c>
      <c r="B2368">
        <v>9389</v>
      </c>
      <c r="C2368" t="s">
        <v>4142</v>
      </c>
      <c r="D2368" t="s">
        <v>78</v>
      </c>
      <c r="E2368" t="s">
        <v>122</v>
      </c>
      <c r="F2368" t="s">
        <v>4143</v>
      </c>
      <c r="G2368" t="str">
        <f>"201511041543"</f>
        <v>201511041543</v>
      </c>
      <c r="H2368">
        <v>825</v>
      </c>
      <c r="I2368">
        <v>0</v>
      </c>
      <c r="J2368">
        <v>30</v>
      </c>
      <c r="K2368">
        <v>0</v>
      </c>
      <c r="L2368">
        <v>0</v>
      </c>
      <c r="M2368">
        <v>0</v>
      </c>
      <c r="N2368">
        <v>0</v>
      </c>
      <c r="O2368">
        <v>0</v>
      </c>
      <c r="P2368">
        <v>0</v>
      </c>
      <c r="Q2368">
        <v>0</v>
      </c>
      <c r="T2368">
        <v>0</v>
      </c>
      <c r="U2368">
        <v>855</v>
      </c>
    </row>
    <row r="2369" spans="1:21" x14ac:dyDescent="0.25">
      <c r="H2369" t="s">
        <v>4144</v>
      </c>
    </row>
    <row r="2370" spans="1:21" x14ac:dyDescent="0.25">
      <c r="A2370">
        <v>1182</v>
      </c>
      <c r="B2370">
        <v>5006</v>
      </c>
      <c r="C2370" t="s">
        <v>4145</v>
      </c>
      <c r="D2370" t="s">
        <v>2107</v>
      </c>
      <c r="E2370" t="s">
        <v>4146</v>
      </c>
      <c r="F2370" t="s">
        <v>4147</v>
      </c>
      <c r="G2370" t="str">
        <f>"00073286"</f>
        <v>00073286</v>
      </c>
      <c r="H2370">
        <v>825</v>
      </c>
      <c r="I2370">
        <v>0</v>
      </c>
      <c r="J2370">
        <v>30</v>
      </c>
      <c r="K2370">
        <v>0</v>
      </c>
      <c r="L2370">
        <v>0</v>
      </c>
      <c r="M2370">
        <v>0</v>
      </c>
      <c r="N2370">
        <v>0</v>
      </c>
      <c r="O2370">
        <v>0</v>
      </c>
      <c r="P2370">
        <v>0</v>
      </c>
      <c r="Q2370">
        <v>0</v>
      </c>
      <c r="T2370">
        <v>0</v>
      </c>
      <c r="U2370">
        <v>855</v>
      </c>
    </row>
    <row r="2371" spans="1:21" x14ac:dyDescent="0.25">
      <c r="H2371" t="s">
        <v>4148</v>
      </c>
    </row>
    <row r="2372" spans="1:21" x14ac:dyDescent="0.25">
      <c r="A2372">
        <v>1183</v>
      </c>
      <c r="B2372">
        <v>119</v>
      </c>
      <c r="C2372" t="s">
        <v>4149</v>
      </c>
      <c r="D2372" t="s">
        <v>528</v>
      </c>
      <c r="E2372" t="s">
        <v>366</v>
      </c>
      <c r="F2372" t="s">
        <v>4150</v>
      </c>
      <c r="G2372" t="str">
        <f>"200808000165"</f>
        <v>200808000165</v>
      </c>
      <c r="H2372">
        <v>825</v>
      </c>
      <c r="I2372">
        <v>0</v>
      </c>
      <c r="J2372">
        <v>30</v>
      </c>
      <c r="K2372">
        <v>0</v>
      </c>
      <c r="L2372">
        <v>0</v>
      </c>
      <c r="M2372">
        <v>0</v>
      </c>
      <c r="N2372">
        <v>0</v>
      </c>
      <c r="O2372">
        <v>0</v>
      </c>
      <c r="P2372">
        <v>0</v>
      </c>
      <c r="Q2372">
        <v>0</v>
      </c>
      <c r="T2372">
        <v>0</v>
      </c>
      <c r="U2372">
        <v>855</v>
      </c>
    </row>
    <row r="2373" spans="1:21" x14ac:dyDescent="0.25">
      <c r="H2373" t="s">
        <v>4151</v>
      </c>
    </row>
    <row r="2374" spans="1:21" x14ac:dyDescent="0.25">
      <c r="A2374">
        <v>1184</v>
      </c>
      <c r="B2374">
        <v>4820</v>
      </c>
      <c r="C2374" t="s">
        <v>1327</v>
      </c>
      <c r="D2374" t="s">
        <v>116</v>
      </c>
      <c r="E2374" t="s">
        <v>975</v>
      </c>
      <c r="F2374" t="s">
        <v>4152</v>
      </c>
      <c r="G2374" t="str">
        <f>"201412000529"</f>
        <v>201412000529</v>
      </c>
      <c r="H2374">
        <v>825</v>
      </c>
      <c r="I2374">
        <v>0</v>
      </c>
      <c r="J2374">
        <v>30</v>
      </c>
      <c r="K2374">
        <v>0</v>
      </c>
      <c r="L2374">
        <v>0</v>
      </c>
      <c r="M2374">
        <v>0</v>
      </c>
      <c r="N2374">
        <v>0</v>
      </c>
      <c r="O2374">
        <v>0</v>
      </c>
      <c r="P2374">
        <v>0</v>
      </c>
      <c r="Q2374">
        <v>0</v>
      </c>
      <c r="T2374">
        <v>0</v>
      </c>
      <c r="U2374">
        <v>855</v>
      </c>
    </row>
    <row r="2375" spans="1:21" x14ac:dyDescent="0.25">
      <c r="H2375" t="s">
        <v>4153</v>
      </c>
    </row>
    <row r="2376" spans="1:21" x14ac:dyDescent="0.25">
      <c r="A2376">
        <v>1185</v>
      </c>
      <c r="B2376">
        <v>7391</v>
      </c>
      <c r="C2376" t="s">
        <v>4154</v>
      </c>
      <c r="D2376" t="s">
        <v>112</v>
      </c>
      <c r="E2376" t="s">
        <v>135</v>
      </c>
      <c r="F2376" t="s">
        <v>4155</v>
      </c>
      <c r="G2376" t="str">
        <f>"00090011"</f>
        <v>00090011</v>
      </c>
      <c r="H2376">
        <v>825</v>
      </c>
      <c r="I2376">
        <v>0</v>
      </c>
      <c r="J2376">
        <v>30</v>
      </c>
      <c r="K2376">
        <v>0</v>
      </c>
      <c r="L2376">
        <v>0</v>
      </c>
      <c r="M2376">
        <v>0</v>
      </c>
      <c r="N2376">
        <v>0</v>
      </c>
      <c r="O2376">
        <v>0</v>
      </c>
      <c r="P2376">
        <v>0</v>
      </c>
      <c r="Q2376">
        <v>0</v>
      </c>
      <c r="T2376">
        <v>0</v>
      </c>
      <c r="U2376">
        <v>855</v>
      </c>
    </row>
    <row r="2377" spans="1:21" x14ac:dyDescent="0.25">
      <c r="H2377" t="s">
        <v>4156</v>
      </c>
    </row>
    <row r="2378" spans="1:21" x14ac:dyDescent="0.25">
      <c r="A2378">
        <v>1186</v>
      </c>
      <c r="B2378">
        <v>4829</v>
      </c>
      <c r="C2378" t="s">
        <v>4157</v>
      </c>
      <c r="D2378" t="s">
        <v>285</v>
      </c>
      <c r="E2378" t="s">
        <v>27</v>
      </c>
      <c r="F2378" t="s">
        <v>4158</v>
      </c>
      <c r="G2378" t="str">
        <f>"201511040598"</f>
        <v>201511040598</v>
      </c>
      <c r="H2378">
        <v>825</v>
      </c>
      <c r="I2378">
        <v>0</v>
      </c>
      <c r="J2378">
        <v>30</v>
      </c>
      <c r="K2378">
        <v>0</v>
      </c>
      <c r="L2378">
        <v>0</v>
      </c>
      <c r="M2378">
        <v>0</v>
      </c>
      <c r="N2378">
        <v>0</v>
      </c>
      <c r="O2378">
        <v>0</v>
      </c>
      <c r="P2378">
        <v>0</v>
      </c>
      <c r="Q2378">
        <v>0</v>
      </c>
      <c r="R2378">
        <v>6</v>
      </c>
      <c r="S2378">
        <v>804</v>
      </c>
      <c r="T2378">
        <v>0</v>
      </c>
      <c r="U2378">
        <v>855</v>
      </c>
    </row>
    <row r="2379" spans="1:21" x14ac:dyDescent="0.25">
      <c r="H2379" t="s">
        <v>4159</v>
      </c>
    </row>
    <row r="2380" spans="1:21" x14ac:dyDescent="0.25">
      <c r="A2380">
        <v>1187</v>
      </c>
      <c r="B2380">
        <v>4829</v>
      </c>
      <c r="C2380" t="s">
        <v>4157</v>
      </c>
      <c r="D2380" t="s">
        <v>285</v>
      </c>
      <c r="E2380" t="s">
        <v>27</v>
      </c>
      <c r="F2380" t="s">
        <v>4158</v>
      </c>
      <c r="G2380" t="str">
        <f>"201511040598"</f>
        <v>201511040598</v>
      </c>
      <c r="H2380">
        <v>825</v>
      </c>
      <c r="I2380">
        <v>0</v>
      </c>
      <c r="J2380">
        <v>30</v>
      </c>
      <c r="K2380">
        <v>0</v>
      </c>
      <c r="L2380">
        <v>0</v>
      </c>
      <c r="M2380">
        <v>0</v>
      </c>
      <c r="N2380">
        <v>0</v>
      </c>
      <c r="O2380">
        <v>0</v>
      </c>
      <c r="P2380">
        <v>0</v>
      </c>
      <c r="Q2380">
        <v>0</v>
      </c>
      <c r="T2380">
        <v>0</v>
      </c>
      <c r="U2380">
        <v>855</v>
      </c>
    </row>
    <row r="2381" spans="1:21" x14ac:dyDescent="0.25">
      <c r="H2381" t="s">
        <v>4159</v>
      </c>
    </row>
    <row r="2382" spans="1:21" x14ac:dyDescent="0.25">
      <c r="A2382">
        <v>1188</v>
      </c>
      <c r="B2382">
        <v>8787</v>
      </c>
      <c r="C2382" t="s">
        <v>4160</v>
      </c>
      <c r="D2382" t="s">
        <v>78</v>
      </c>
      <c r="E2382" t="s">
        <v>65</v>
      </c>
      <c r="F2382" t="s">
        <v>4161</v>
      </c>
      <c r="G2382" t="str">
        <f>"00096253"</f>
        <v>00096253</v>
      </c>
      <c r="H2382" t="s">
        <v>4162</v>
      </c>
      <c r="I2382">
        <v>0</v>
      </c>
      <c r="J2382">
        <v>0</v>
      </c>
      <c r="K2382">
        <v>0</v>
      </c>
      <c r="L2382">
        <v>0</v>
      </c>
      <c r="M2382">
        <v>0</v>
      </c>
      <c r="N2382">
        <v>0</v>
      </c>
      <c r="O2382">
        <v>0</v>
      </c>
      <c r="P2382">
        <v>0</v>
      </c>
      <c r="Q2382">
        <v>0</v>
      </c>
      <c r="T2382">
        <v>0</v>
      </c>
      <c r="U2382" t="s">
        <v>4162</v>
      </c>
    </row>
    <row r="2383" spans="1:21" x14ac:dyDescent="0.25">
      <c r="H2383" t="s">
        <v>4163</v>
      </c>
    </row>
    <row r="2384" spans="1:21" x14ac:dyDescent="0.25">
      <c r="A2384">
        <v>1189</v>
      </c>
      <c r="B2384">
        <v>7282</v>
      </c>
      <c r="C2384" t="s">
        <v>4164</v>
      </c>
      <c r="D2384" t="s">
        <v>372</v>
      </c>
      <c r="E2384" t="s">
        <v>42</v>
      </c>
      <c r="F2384" t="s">
        <v>4165</v>
      </c>
      <c r="G2384" t="str">
        <f>"00101477"</f>
        <v>00101477</v>
      </c>
      <c r="H2384" t="s">
        <v>3251</v>
      </c>
      <c r="I2384">
        <v>0</v>
      </c>
      <c r="J2384">
        <v>0</v>
      </c>
      <c r="K2384">
        <v>0</v>
      </c>
      <c r="L2384">
        <v>0</v>
      </c>
      <c r="M2384">
        <v>0</v>
      </c>
      <c r="N2384">
        <v>0</v>
      </c>
      <c r="O2384">
        <v>0</v>
      </c>
      <c r="P2384">
        <v>0</v>
      </c>
      <c r="Q2384">
        <v>0</v>
      </c>
      <c r="T2384">
        <v>0</v>
      </c>
      <c r="U2384" t="s">
        <v>3251</v>
      </c>
    </row>
    <row r="2385" spans="1:21" x14ac:dyDescent="0.25">
      <c r="H2385" t="s">
        <v>4166</v>
      </c>
    </row>
    <row r="2386" spans="1:21" x14ac:dyDescent="0.25">
      <c r="A2386">
        <v>1190</v>
      </c>
      <c r="B2386">
        <v>2420</v>
      </c>
      <c r="C2386" t="s">
        <v>4167</v>
      </c>
      <c r="D2386" t="s">
        <v>528</v>
      </c>
      <c r="E2386" t="s">
        <v>1836</v>
      </c>
      <c r="F2386" t="s">
        <v>4168</v>
      </c>
      <c r="G2386" t="str">
        <f>"201511010591"</f>
        <v>201511010591</v>
      </c>
      <c r="H2386" t="s">
        <v>3251</v>
      </c>
      <c r="I2386">
        <v>0</v>
      </c>
      <c r="J2386">
        <v>0</v>
      </c>
      <c r="K2386">
        <v>0</v>
      </c>
      <c r="L2386">
        <v>0</v>
      </c>
      <c r="M2386">
        <v>0</v>
      </c>
      <c r="N2386">
        <v>0</v>
      </c>
      <c r="O2386">
        <v>0</v>
      </c>
      <c r="P2386">
        <v>0</v>
      </c>
      <c r="Q2386">
        <v>0</v>
      </c>
      <c r="T2386">
        <v>0</v>
      </c>
      <c r="U2386" t="s">
        <v>3251</v>
      </c>
    </row>
    <row r="2387" spans="1:21" x14ac:dyDescent="0.25">
      <c r="H2387" t="s">
        <v>4169</v>
      </c>
    </row>
    <row r="2388" spans="1:21" x14ac:dyDescent="0.25">
      <c r="A2388">
        <v>1191</v>
      </c>
      <c r="B2388">
        <v>2482</v>
      </c>
      <c r="C2388" t="s">
        <v>4170</v>
      </c>
      <c r="D2388" t="s">
        <v>64</v>
      </c>
      <c r="E2388" t="s">
        <v>42</v>
      </c>
      <c r="F2388" t="s">
        <v>4171</v>
      </c>
      <c r="G2388" t="str">
        <f>"00039108"</f>
        <v>00039108</v>
      </c>
      <c r="H2388" t="s">
        <v>3251</v>
      </c>
      <c r="I2388">
        <v>0</v>
      </c>
      <c r="J2388">
        <v>0</v>
      </c>
      <c r="K2388">
        <v>0</v>
      </c>
      <c r="L2388">
        <v>0</v>
      </c>
      <c r="M2388">
        <v>0</v>
      </c>
      <c r="N2388">
        <v>0</v>
      </c>
      <c r="O2388">
        <v>0</v>
      </c>
      <c r="P2388">
        <v>0</v>
      </c>
      <c r="Q2388">
        <v>0</v>
      </c>
      <c r="T2388">
        <v>0</v>
      </c>
      <c r="U2388" t="s">
        <v>3251</v>
      </c>
    </row>
    <row r="2389" spans="1:21" x14ac:dyDescent="0.25">
      <c r="H2389" t="s">
        <v>4172</v>
      </c>
    </row>
    <row r="2390" spans="1:21" x14ac:dyDescent="0.25">
      <c r="A2390">
        <v>1192</v>
      </c>
      <c r="B2390">
        <v>7240</v>
      </c>
      <c r="C2390" t="s">
        <v>4173</v>
      </c>
      <c r="D2390" t="s">
        <v>2834</v>
      </c>
      <c r="E2390" t="s">
        <v>4174</v>
      </c>
      <c r="F2390" t="s">
        <v>4175</v>
      </c>
      <c r="G2390" t="str">
        <f>"00022632"</f>
        <v>00022632</v>
      </c>
      <c r="H2390" t="s">
        <v>3251</v>
      </c>
      <c r="I2390">
        <v>0</v>
      </c>
      <c r="J2390">
        <v>0</v>
      </c>
      <c r="K2390">
        <v>0</v>
      </c>
      <c r="L2390">
        <v>0</v>
      </c>
      <c r="M2390">
        <v>0</v>
      </c>
      <c r="N2390">
        <v>0</v>
      </c>
      <c r="O2390">
        <v>0</v>
      </c>
      <c r="P2390">
        <v>0</v>
      </c>
      <c r="Q2390">
        <v>0</v>
      </c>
      <c r="T2390">
        <v>0</v>
      </c>
      <c r="U2390" t="s">
        <v>3251</v>
      </c>
    </row>
    <row r="2391" spans="1:21" x14ac:dyDescent="0.25">
      <c r="H2391" t="s">
        <v>4176</v>
      </c>
    </row>
    <row r="2392" spans="1:21" x14ac:dyDescent="0.25">
      <c r="A2392">
        <v>1193</v>
      </c>
      <c r="B2392">
        <v>9555</v>
      </c>
      <c r="C2392" t="s">
        <v>4177</v>
      </c>
      <c r="D2392" t="s">
        <v>350</v>
      </c>
      <c r="E2392" t="s">
        <v>42</v>
      </c>
      <c r="F2392" t="s">
        <v>4178</v>
      </c>
      <c r="G2392" t="str">
        <f>"00092122"</f>
        <v>00092122</v>
      </c>
      <c r="H2392" t="s">
        <v>3251</v>
      </c>
      <c r="I2392">
        <v>0</v>
      </c>
      <c r="J2392">
        <v>0</v>
      </c>
      <c r="K2392">
        <v>0</v>
      </c>
      <c r="L2392">
        <v>0</v>
      </c>
      <c r="M2392">
        <v>0</v>
      </c>
      <c r="N2392">
        <v>0</v>
      </c>
      <c r="O2392">
        <v>0</v>
      </c>
      <c r="P2392">
        <v>0</v>
      </c>
      <c r="Q2392">
        <v>0</v>
      </c>
      <c r="T2392">
        <v>0</v>
      </c>
      <c r="U2392" t="s">
        <v>3251</v>
      </c>
    </row>
    <row r="2393" spans="1:21" x14ac:dyDescent="0.25">
      <c r="H2393" t="s">
        <v>629</v>
      </c>
    </row>
    <row r="2394" spans="1:21" x14ac:dyDescent="0.25">
      <c r="A2394">
        <v>1194</v>
      </c>
      <c r="B2394">
        <v>2168</v>
      </c>
      <c r="C2394" t="s">
        <v>4179</v>
      </c>
      <c r="D2394" t="s">
        <v>78</v>
      </c>
      <c r="E2394" t="s">
        <v>36</v>
      </c>
      <c r="F2394" t="s">
        <v>4180</v>
      </c>
      <c r="G2394" t="str">
        <f>"201511043129"</f>
        <v>201511043129</v>
      </c>
      <c r="H2394" t="s">
        <v>3750</v>
      </c>
      <c r="I2394">
        <v>0</v>
      </c>
      <c r="J2394">
        <v>30</v>
      </c>
      <c r="K2394">
        <v>0</v>
      </c>
      <c r="L2394">
        <v>0</v>
      </c>
      <c r="M2394">
        <v>0</v>
      </c>
      <c r="N2394">
        <v>0</v>
      </c>
      <c r="O2394">
        <v>0</v>
      </c>
      <c r="P2394">
        <v>0</v>
      </c>
      <c r="Q2394">
        <v>0</v>
      </c>
      <c r="T2394">
        <v>0</v>
      </c>
      <c r="U2394" t="s">
        <v>4181</v>
      </c>
    </row>
    <row r="2395" spans="1:21" x14ac:dyDescent="0.25">
      <c r="H2395" t="s">
        <v>4182</v>
      </c>
    </row>
    <row r="2396" spans="1:21" x14ac:dyDescent="0.25">
      <c r="A2396">
        <v>1195</v>
      </c>
      <c r="B2396">
        <v>2322</v>
      </c>
      <c r="C2396" t="s">
        <v>4183</v>
      </c>
      <c r="D2396" t="s">
        <v>911</v>
      </c>
      <c r="E2396" t="s">
        <v>4184</v>
      </c>
      <c r="F2396" t="s">
        <v>4185</v>
      </c>
      <c r="G2396" t="str">
        <f>"00019576"</f>
        <v>00019576</v>
      </c>
      <c r="H2396" t="s">
        <v>2400</v>
      </c>
      <c r="I2396">
        <v>0</v>
      </c>
      <c r="J2396">
        <v>0</v>
      </c>
      <c r="K2396">
        <v>0</v>
      </c>
      <c r="L2396">
        <v>0</v>
      </c>
      <c r="M2396">
        <v>0</v>
      </c>
      <c r="N2396">
        <v>0</v>
      </c>
      <c r="O2396">
        <v>0</v>
      </c>
      <c r="P2396">
        <v>0</v>
      </c>
      <c r="Q2396">
        <v>0</v>
      </c>
      <c r="T2396">
        <v>0</v>
      </c>
      <c r="U2396" t="s">
        <v>2400</v>
      </c>
    </row>
    <row r="2397" spans="1:21" x14ac:dyDescent="0.25">
      <c r="H2397" t="s">
        <v>4186</v>
      </c>
    </row>
    <row r="2398" spans="1:21" x14ac:dyDescent="0.25">
      <c r="A2398">
        <v>1196</v>
      </c>
      <c r="B2398">
        <v>8902</v>
      </c>
      <c r="C2398" t="s">
        <v>4187</v>
      </c>
      <c r="D2398" t="s">
        <v>4188</v>
      </c>
      <c r="E2398" t="s">
        <v>533</v>
      </c>
      <c r="F2398" t="s">
        <v>4189</v>
      </c>
      <c r="G2398" t="str">
        <f>"201511024896"</f>
        <v>201511024896</v>
      </c>
      <c r="H2398" t="s">
        <v>2400</v>
      </c>
      <c r="I2398">
        <v>0</v>
      </c>
      <c r="J2398">
        <v>0</v>
      </c>
      <c r="K2398">
        <v>0</v>
      </c>
      <c r="L2398">
        <v>0</v>
      </c>
      <c r="M2398">
        <v>0</v>
      </c>
      <c r="N2398">
        <v>0</v>
      </c>
      <c r="O2398">
        <v>0</v>
      </c>
      <c r="P2398">
        <v>0</v>
      </c>
      <c r="Q2398">
        <v>0</v>
      </c>
      <c r="R2398">
        <v>6</v>
      </c>
      <c r="S2398">
        <v>763</v>
      </c>
      <c r="T2398">
        <v>0</v>
      </c>
      <c r="U2398" t="s">
        <v>2400</v>
      </c>
    </row>
    <row r="2399" spans="1:21" x14ac:dyDescent="0.25">
      <c r="H2399">
        <v>763</v>
      </c>
    </row>
    <row r="2400" spans="1:21" x14ac:dyDescent="0.25">
      <c r="A2400">
        <v>1197</v>
      </c>
      <c r="B2400">
        <v>5793</v>
      </c>
      <c r="C2400" t="s">
        <v>4190</v>
      </c>
      <c r="D2400" t="s">
        <v>1065</v>
      </c>
      <c r="E2400" t="s">
        <v>4191</v>
      </c>
      <c r="F2400" t="s">
        <v>4192</v>
      </c>
      <c r="G2400" t="str">
        <f>"00070102"</f>
        <v>00070102</v>
      </c>
      <c r="H2400" t="s">
        <v>2400</v>
      </c>
      <c r="I2400">
        <v>0</v>
      </c>
      <c r="J2400">
        <v>0</v>
      </c>
      <c r="K2400">
        <v>0</v>
      </c>
      <c r="L2400">
        <v>0</v>
      </c>
      <c r="M2400">
        <v>0</v>
      </c>
      <c r="N2400">
        <v>0</v>
      </c>
      <c r="O2400">
        <v>0</v>
      </c>
      <c r="P2400">
        <v>0</v>
      </c>
      <c r="Q2400">
        <v>0</v>
      </c>
      <c r="T2400">
        <v>1</v>
      </c>
      <c r="U2400" t="s">
        <v>2400</v>
      </c>
    </row>
    <row r="2401" spans="1:21" x14ac:dyDescent="0.25">
      <c r="H2401" t="s">
        <v>4193</v>
      </c>
    </row>
    <row r="2402" spans="1:21" x14ac:dyDescent="0.25">
      <c r="A2402">
        <v>1198</v>
      </c>
      <c r="B2402">
        <v>3234</v>
      </c>
      <c r="C2402" t="s">
        <v>4107</v>
      </c>
      <c r="D2402" t="s">
        <v>502</v>
      </c>
      <c r="E2402" t="s">
        <v>122</v>
      </c>
      <c r="F2402" t="s">
        <v>4194</v>
      </c>
      <c r="G2402" t="str">
        <f>"00044388"</f>
        <v>00044388</v>
      </c>
      <c r="H2402" t="s">
        <v>2400</v>
      </c>
      <c r="I2402">
        <v>0</v>
      </c>
      <c r="J2402">
        <v>0</v>
      </c>
      <c r="K2402">
        <v>0</v>
      </c>
      <c r="L2402">
        <v>0</v>
      </c>
      <c r="M2402">
        <v>0</v>
      </c>
      <c r="N2402">
        <v>0</v>
      </c>
      <c r="O2402">
        <v>0</v>
      </c>
      <c r="P2402">
        <v>0</v>
      </c>
      <c r="Q2402">
        <v>0</v>
      </c>
      <c r="T2402">
        <v>0</v>
      </c>
      <c r="U2402" t="s">
        <v>2400</v>
      </c>
    </row>
    <row r="2403" spans="1:21" x14ac:dyDescent="0.25">
      <c r="H2403" t="s">
        <v>4195</v>
      </c>
    </row>
    <row r="2404" spans="1:21" x14ac:dyDescent="0.25">
      <c r="A2404">
        <v>1199</v>
      </c>
      <c r="B2404">
        <v>2809</v>
      </c>
      <c r="C2404" t="s">
        <v>4196</v>
      </c>
      <c r="D2404" t="s">
        <v>528</v>
      </c>
      <c r="E2404" t="s">
        <v>65</v>
      </c>
      <c r="F2404" t="s">
        <v>4197</v>
      </c>
      <c r="G2404" t="str">
        <f>"201511014065"</f>
        <v>201511014065</v>
      </c>
      <c r="H2404" t="s">
        <v>2400</v>
      </c>
      <c r="I2404">
        <v>0</v>
      </c>
      <c r="J2404">
        <v>0</v>
      </c>
      <c r="K2404">
        <v>0</v>
      </c>
      <c r="L2404">
        <v>0</v>
      </c>
      <c r="M2404">
        <v>0</v>
      </c>
      <c r="N2404">
        <v>0</v>
      </c>
      <c r="O2404">
        <v>0</v>
      </c>
      <c r="P2404">
        <v>0</v>
      </c>
      <c r="Q2404">
        <v>0</v>
      </c>
      <c r="T2404">
        <v>0</v>
      </c>
      <c r="U2404" t="s">
        <v>2400</v>
      </c>
    </row>
    <row r="2405" spans="1:21" x14ac:dyDescent="0.25">
      <c r="H2405" t="s">
        <v>1138</v>
      </c>
    </row>
    <row r="2406" spans="1:21" x14ac:dyDescent="0.25">
      <c r="A2406">
        <v>1200</v>
      </c>
      <c r="B2406">
        <v>6104</v>
      </c>
      <c r="C2406" t="s">
        <v>4198</v>
      </c>
      <c r="D2406" t="s">
        <v>2815</v>
      </c>
      <c r="E2406" t="s">
        <v>42</v>
      </c>
      <c r="F2406" t="s">
        <v>4199</v>
      </c>
      <c r="G2406" t="str">
        <f>"201511016555"</f>
        <v>201511016555</v>
      </c>
      <c r="H2406" t="s">
        <v>2400</v>
      </c>
      <c r="I2406">
        <v>0</v>
      </c>
      <c r="J2406">
        <v>0</v>
      </c>
      <c r="K2406">
        <v>0</v>
      </c>
      <c r="L2406">
        <v>0</v>
      </c>
      <c r="M2406">
        <v>0</v>
      </c>
      <c r="N2406">
        <v>0</v>
      </c>
      <c r="O2406">
        <v>0</v>
      </c>
      <c r="P2406">
        <v>0</v>
      </c>
      <c r="Q2406">
        <v>0</v>
      </c>
      <c r="T2406">
        <v>0</v>
      </c>
      <c r="U2406" t="s">
        <v>2400</v>
      </c>
    </row>
    <row r="2407" spans="1:21" x14ac:dyDescent="0.25">
      <c r="H2407" t="s">
        <v>4200</v>
      </c>
    </row>
    <row r="2408" spans="1:21" x14ac:dyDescent="0.25">
      <c r="A2408">
        <v>1201</v>
      </c>
      <c r="B2408">
        <v>6780</v>
      </c>
      <c r="C2408" t="s">
        <v>4059</v>
      </c>
      <c r="D2408" t="s">
        <v>1605</v>
      </c>
      <c r="E2408" t="s">
        <v>42</v>
      </c>
      <c r="F2408" t="s">
        <v>4201</v>
      </c>
      <c r="G2408" t="str">
        <f>"201511036647"</f>
        <v>201511036647</v>
      </c>
      <c r="H2408" t="s">
        <v>2400</v>
      </c>
      <c r="I2408">
        <v>0</v>
      </c>
      <c r="J2408">
        <v>0</v>
      </c>
      <c r="K2408">
        <v>0</v>
      </c>
      <c r="L2408">
        <v>0</v>
      </c>
      <c r="M2408">
        <v>0</v>
      </c>
      <c r="N2408">
        <v>0</v>
      </c>
      <c r="O2408">
        <v>0</v>
      </c>
      <c r="P2408">
        <v>0</v>
      </c>
      <c r="Q2408">
        <v>0</v>
      </c>
      <c r="T2408">
        <v>1</v>
      </c>
      <c r="U2408" t="s">
        <v>2400</v>
      </c>
    </row>
    <row r="2409" spans="1:21" x14ac:dyDescent="0.25">
      <c r="H2409" t="s">
        <v>4202</v>
      </c>
    </row>
    <row r="2410" spans="1:21" x14ac:dyDescent="0.25">
      <c r="A2410">
        <v>1202</v>
      </c>
      <c r="B2410">
        <v>2334</v>
      </c>
      <c r="C2410" t="s">
        <v>4203</v>
      </c>
      <c r="D2410" t="s">
        <v>185</v>
      </c>
      <c r="E2410" t="s">
        <v>1941</v>
      </c>
      <c r="F2410" t="s">
        <v>4204</v>
      </c>
      <c r="G2410" t="str">
        <f>"00015905"</f>
        <v>00015905</v>
      </c>
      <c r="H2410" t="s">
        <v>2400</v>
      </c>
      <c r="I2410">
        <v>0</v>
      </c>
      <c r="J2410">
        <v>0</v>
      </c>
      <c r="K2410">
        <v>0</v>
      </c>
      <c r="L2410">
        <v>0</v>
      </c>
      <c r="M2410">
        <v>0</v>
      </c>
      <c r="N2410">
        <v>0</v>
      </c>
      <c r="O2410">
        <v>0</v>
      </c>
      <c r="P2410">
        <v>0</v>
      </c>
      <c r="Q2410">
        <v>0</v>
      </c>
      <c r="T2410">
        <v>2</v>
      </c>
      <c r="U2410" t="s">
        <v>2400</v>
      </c>
    </row>
    <row r="2411" spans="1:21" x14ac:dyDescent="0.25">
      <c r="H2411" t="s">
        <v>4205</v>
      </c>
    </row>
    <row r="2412" spans="1:21" x14ac:dyDescent="0.25">
      <c r="A2412">
        <v>1203</v>
      </c>
      <c r="B2412">
        <v>5826</v>
      </c>
      <c r="C2412" t="s">
        <v>827</v>
      </c>
      <c r="D2412" t="s">
        <v>207</v>
      </c>
      <c r="E2412" t="s">
        <v>263</v>
      </c>
      <c r="F2412" t="s">
        <v>4206</v>
      </c>
      <c r="G2412" t="str">
        <f>"00026614"</f>
        <v>00026614</v>
      </c>
      <c r="H2412" t="s">
        <v>2400</v>
      </c>
      <c r="I2412">
        <v>0</v>
      </c>
      <c r="J2412">
        <v>0</v>
      </c>
      <c r="K2412">
        <v>0</v>
      </c>
      <c r="L2412">
        <v>0</v>
      </c>
      <c r="M2412">
        <v>0</v>
      </c>
      <c r="N2412">
        <v>0</v>
      </c>
      <c r="O2412">
        <v>0</v>
      </c>
      <c r="P2412">
        <v>0</v>
      </c>
      <c r="Q2412">
        <v>0</v>
      </c>
      <c r="T2412">
        <v>3</v>
      </c>
      <c r="U2412" t="s">
        <v>2400</v>
      </c>
    </row>
    <row r="2413" spans="1:21" x14ac:dyDescent="0.25">
      <c r="H2413" t="s">
        <v>4207</v>
      </c>
    </row>
    <row r="2414" spans="1:21" x14ac:dyDescent="0.25">
      <c r="A2414">
        <v>1204</v>
      </c>
      <c r="B2414">
        <v>9275</v>
      </c>
      <c r="C2414" t="s">
        <v>4208</v>
      </c>
      <c r="D2414" t="s">
        <v>85</v>
      </c>
      <c r="E2414" t="s">
        <v>42</v>
      </c>
      <c r="F2414" t="s">
        <v>4209</v>
      </c>
      <c r="G2414" t="str">
        <f>"00069431"</f>
        <v>00069431</v>
      </c>
      <c r="H2414" t="s">
        <v>3755</v>
      </c>
      <c r="I2414">
        <v>0</v>
      </c>
      <c r="J2414">
        <v>30</v>
      </c>
      <c r="K2414">
        <v>0</v>
      </c>
      <c r="L2414">
        <v>0</v>
      </c>
      <c r="M2414">
        <v>0</v>
      </c>
      <c r="N2414">
        <v>0</v>
      </c>
      <c r="O2414">
        <v>0</v>
      </c>
      <c r="P2414">
        <v>0</v>
      </c>
      <c r="Q2414">
        <v>0</v>
      </c>
      <c r="T2414">
        <v>0</v>
      </c>
      <c r="U2414" t="s">
        <v>4210</v>
      </c>
    </row>
    <row r="2415" spans="1:21" x14ac:dyDescent="0.25">
      <c r="H2415" t="s">
        <v>1851</v>
      </c>
    </row>
    <row r="2416" spans="1:21" x14ac:dyDescent="0.25">
      <c r="A2416">
        <v>1205</v>
      </c>
      <c r="B2416">
        <v>6035</v>
      </c>
      <c r="C2416" t="s">
        <v>4211</v>
      </c>
      <c r="D2416" t="s">
        <v>85</v>
      </c>
      <c r="E2416" t="s">
        <v>1558</v>
      </c>
      <c r="F2416" t="s">
        <v>4212</v>
      </c>
      <c r="G2416" t="str">
        <f>"00094581"</f>
        <v>00094581</v>
      </c>
      <c r="H2416" t="s">
        <v>3755</v>
      </c>
      <c r="I2416">
        <v>0</v>
      </c>
      <c r="J2416">
        <v>30</v>
      </c>
      <c r="K2416">
        <v>0</v>
      </c>
      <c r="L2416">
        <v>0</v>
      </c>
      <c r="M2416">
        <v>0</v>
      </c>
      <c r="N2416">
        <v>0</v>
      </c>
      <c r="O2416">
        <v>0</v>
      </c>
      <c r="P2416">
        <v>0</v>
      </c>
      <c r="Q2416">
        <v>0</v>
      </c>
      <c r="T2416">
        <v>2</v>
      </c>
      <c r="U2416" t="s">
        <v>4210</v>
      </c>
    </row>
    <row r="2417" spans="1:21" x14ac:dyDescent="0.25">
      <c r="H2417" t="s">
        <v>4213</v>
      </c>
    </row>
    <row r="2418" spans="1:21" x14ac:dyDescent="0.25">
      <c r="A2418">
        <v>1206</v>
      </c>
      <c r="B2418">
        <v>9329</v>
      </c>
      <c r="C2418" t="s">
        <v>4214</v>
      </c>
      <c r="D2418" t="s">
        <v>304</v>
      </c>
      <c r="E2418" t="s">
        <v>155</v>
      </c>
      <c r="F2418" t="s">
        <v>4215</v>
      </c>
      <c r="G2418" t="str">
        <f>"201511035748"</f>
        <v>201511035748</v>
      </c>
      <c r="H2418" t="s">
        <v>2408</v>
      </c>
      <c r="I2418">
        <v>0</v>
      </c>
      <c r="J2418">
        <v>0</v>
      </c>
      <c r="K2418">
        <v>0</v>
      </c>
      <c r="L2418">
        <v>0</v>
      </c>
      <c r="M2418">
        <v>0</v>
      </c>
      <c r="N2418">
        <v>0</v>
      </c>
      <c r="O2418">
        <v>0</v>
      </c>
      <c r="P2418">
        <v>0</v>
      </c>
      <c r="Q2418">
        <v>0</v>
      </c>
      <c r="T2418">
        <v>0</v>
      </c>
      <c r="U2418" t="s">
        <v>2408</v>
      </c>
    </row>
    <row r="2419" spans="1:21" x14ac:dyDescent="0.25">
      <c r="H2419" t="s">
        <v>4216</v>
      </c>
    </row>
    <row r="2420" spans="1:21" x14ac:dyDescent="0.25">
      <c r="A2420">
        <v>1207</v>
      </c>
      <c r="B2420">
        <v>6719</v>
      </c>
      <c r="C2420" t="s">
        <v>4217</v>
      </c>
      <c r="D2420" t="s">
        <v>27</v>
      </c>
      <c r="E2420" t="s">
        <v>449</v>
      </c>
      <c r="F2420" t="s">
        <v>4218</v>
      </c>
      <c r="G2420" t="str">
        <f>"00020115"</f>
        <v>00020115</v>
      </c>
      <c r="H2420" t="s">
        <v>1644</v>
      </c>
      <c r="I2420">
        <v>0</v>
      </c>
      <c r="J2420">
        <v>0</v>
      </c>
      <c r="K2420">
        <v>0</v>
      </c>
      <c r="L2420">
        <v>0</v>
      </c>
      <c r="M2420">
        <v>0</v>
      </c>
      <c r="N2420">
        <v>0</v>
      </c>
      <c r="O2420">
        <v>0</v>
      </c>
      <c r="P2420">
        <v>0</v>
      </c>
      <c r="Q2420">
        <v>0</v>
      </c>
      <c r="T2420">
        <v>0</v>
      </c>
      <c r="U2420" t="s">
        <v>1644</v>
      </c>
    </row>
    <row r="2421" spans="1:21" x14ac:dyDescent="0.25">
      <c r="H2421" t="s">
        <v>4219</v>
      </c>
    </row>
    <row r="2422" spans="1:21" x14ac:dyDescent="0.25">
      <c r="A2422">
        <v>1208</v>
      </c>
      <c r="B2422">
        <v>2444</v>
      </c>
      <c r="C2422" t="s">
        <v>4220</v>
      </c>
      <c r="D2422" t="s">
        <v>121</v>
      </c>
      <c r="E2422" t="s">
        <v>533</v>
      </c>
      <c r="F2422" t="s">
        <v>4221</v>
      </c>
      <c r="G2422" t="str">
        <f>"00028699"</f>
        <v>00028699</v>
      </c>
      <c r="H2422" t="s">
        <v>1644</v>
      </c>
      <c r="I2422">
        <v>0</v>
      </c>
      <c r="J2422">
        <v>0</v>
      </c>
      <c r="K2422">
        <v>0</v>
      </c>
      <c r="L2422">
        <v>0</v>
      </c>
      <c r="M2422">
        <v>0</v>
      </c>
      <c r="N2422">
        <v>0</v>
      </c>
      <c r="O2422">
        <v>0</v>
      </c>
      <c r="P2422">
        <v>0</v>
      </c>
      <c r="Q2422">
        <v>0</v>
      </c>
      <c r="T2422">
        <v>0</v>
      </c>
      <c r="U2422" t="s">
        <v>1644</v>
      </c>
    </row>
    <row r="2423" spans="1:21" x14ac:dyDescent="0.25">
      <c r="H2423" t="s">
        <v>4222</v>
      </c>
    </row>
    <row r="2424" spans="1:21" x14ac:dyDescent="0.25">
      <c r="A2424">
        <v>1209</v>
      </c>
      <c r="B2424">
        <v>6795</v>
      </c>
      <c r="C2424" t="s">
        <v>4223</v>
      </c>
      <c r="D2424" t="s">
        <v>4224</v>
      </c>
      <c r="E2424" t="s">
        <v>366</v>
      </c>
      <c r="F2424" t="s">
        <v>4225</v>
      </c>
      <c r="G2424" t="str">
        <f>"00040619"</f>
        <v>00040619</v>
      </c>
      <c r="H2424">
        <v>847</v>
      </c>
      <c r="I2424">
        <v>0</v>
      </c>
      <c r="J2424">
        <v>0</v>
      </c>
      <c r="K2424">
        <v>0</v>
      </c>
      <c r="L2424">
        <v>0</v>
      </c>
      <c r="M2424">
        <v>0</v>
      </c>
      <c r="N2424">
        <v>0</v>
      </c>
      <c r="O2424">
        <v>0</v>
      </c>
      <c r="P2424">
        <v>0</v>
      </c>
      <c r="Q2424">
        <v>0</v>
      </c>
      <c r="T2424">
        <v>0</v>
      </c>
      <c r="U2424">
        <v>847</v>
      </c>
    </row>
    <row r="2425" spans="1:21" x14ac:dyDescent="0.25">
      <c r="H2425">
        <v>801</v>
      </c>
    </row>
    <row r="2426" spans="1:21" x14ac:dyDescent="0.25">
      <c r="A2426">
        <v>1210</v>
      </c>
      <c r="B2426">
        <v>4732</v>
      </c>
      <c r="C2426" t="s">
        <v>4226</v>
      </c>
      <c r="D2426" t="s">
        <v>4114</v>
      </c>
      <c r="E2426" t="s">
        <v>4227</v>
      </c>
      <c r="F2426" t="s">
        <v>4228</v>
      </c>
      <c r="G2426" t="str">
        <f>"201511012319"</f>
        <v>201511012319</v>
      </c>
      <c r="H2426">
        <v>847</v>
      </c>
      <c r="I2426">
        <v>0</v>
      </c>
      <c r="J2426">
        <v>0</v>
      </c>
      <c r="K2426">
        <v>0</v>
      </c>
      <c r="L2426">
        <v>0</v>
      </c>
      <c r="M2426">
        <v>0</v>
      </c>
      <c r="N2426">
        <v>0</v>
      </c>
      <c r="O2426">
        <v>0</v>
      </c>
      <c r="P2426">
        <v>0</v>
      </c>
      <c r="Q2426">
        <v>0</v>
      </c>
      <c r="T2426">
        <v>0</v>
      </c>
      <c r="U2426">
        <v>847</v>
      </c>
    </row>
    <row r="2427" spans="1:21" x14ac:dyDescent="0.25">
      <c r="H2427" t="s">
        <v>4229</v>
      </c>
    </row>
    <row r="2428" spans="1:21" x14ac:dyDescent="0.25">
      <c r="A2428">
        <v>1211</v>
      </c>
      <c r="B2428">
        <v>1477</v>
      </c>
      <c r="C2428" t="s">
        <v>4230</v>
      </c>
      <c r="D2428" t="s">
        <v>502</v>
      </c>
      <c r="E2428" t="s">
        <v>1000</v>
      </c>
      <c r="F2428" t="s">
        <v>4231</v>
      </c>
      <c r="G2428" t="str">
        <f>"00025040"</f>
        <v>00025040</v>
      </c>
      <c r="H2428">
        <v>847</v>
      </c>
      <c r="I2428">
        <v>0</v>
      </c>
      <c r="J2428">
        <v>0</v>
      </c>
      <c r="K2428">
        <v>0</v>
      </c>
      <c r="L2428">
        <v>0</v>
      </c>
      <c r="M2428">
        <v>0</v>
      </c>
      <c r="N2428">
        <v>0</v>
      </c>
      <c r="O2428">
        <v>0</v>
      </c>
      <c r="P2428">
        <v>0</v>
      </c>
      <c r="Q2428">
        <v>0</v>
      </c>
      <c r="T2428">
        <v>2</v>
      </c>
      <c r="U2428">
        <v>847</v>
      </c>
    </row>
    <row r="2429" spans="1:21" x14ac:dyDescent="0.25">
      <c r="H2429" t="s">
        <v>4232</v>
      </c>
    </row>
    <row r="2430" spans="1:21" x14ac:dyDescent="0.25">
      <c r="A2430">
        <v>1212</v>
      </c>
      <c r="B2430">
        <v>9606</v>
      </c>
      <c r="C2430" t="s">
        <v>1903</v>
      </c>
      <c r="D2430" t="s">
        <v>27</v>
      </c>
      <c r="E2430" t="s">
        <v>533</v>
      </c>
      <c r="F2430" t="s">
        <v>4233</v>
      </c>
      <c r="G2430" t="str">
        <f>"00030704"</f>
        <v>00030704</v>
      </c>
      <c r="H2430" t="s">
        <v>4234</v>
      </c>
      <c r="I2430">
        <v>150</v>
      </c>
      <c r="J2430">
        <v>0</v>
      </c>
      <c r="K2430">
        <v>0</v>
      </c>
      <c r="L2430">
        <v>0</v>
      </c>
      <c r="M2430">
        <v>0</v>
      </c>
      <c r="N2430">
        <v>0</v>
      </c>
      <c r="O2430">
        <v>0</v>
      </c>
      <c r="P2430">
        <v>0</v>
      </c>
      <c r="Q2430">
        <v>0</v>
      </c>
      <c r="T2430">
        <v>0</v>
      </c>
      <c r="U2430" t="s">
        <v>4235</v>
      </c>
    </row>
    <row r="2431" spans="1:21" x14ac:dyDescent="0.25">
      <c r="H2431" t="s">
        <v>4236</v>
      </c>
    </row>
    <row r="2432" spans="1:21" x14ac:dyDescent="0.25">
      <c r="A2432">
        <v>1213</v>
      </c>
      <c r="B2432">
        <v>5128</v>
      </c>
      <c r="C2432" t="s">
        <v>3241</v>
      </c>
      <c r="D2432" t="s">
        <v>502</v>
      </c>
      <c r="E2432" t="s">
        <v>36</v>
      </c>
      <c r="F2432" t="s">
        <v>4237</v>
      </c>
      <c r="G2432" t="str">
        <f>"201511031155"</f>
        <v>201511031155</v>
      </c>
      <c r="H2432" t="s">
        <v>2467</v>
      </c>
      <c r="I2432">
        <v>0</v>
      </c>
      <c r="J2432">
        <v>0</v>
      </c>
      <c r="K2432">
        <v>0</v>
      </c>
      <c r="L2432">
        <v>0</v>
      </c>
      <c r="M2432">
        <v>0</v>
      </c>
      <c r="N2432">
        <v>0</v>
      </c>
      <c r="O2432">
        <v>0</v>
      </c>
      <c r="P2432">
        <v>0</v>
      </c>
      <c r="Q2432">
        <v>0</v>
      </c>
      <c r="T2432">
        <v>1</v>
      </c>
      <c r="U2432" t="s">
        <v>2467</v>
      </c>
    </row>
    <row r="2433" spans="1:21" x14ac:dyDescent="0.25">
      <c r="H2433" t="s">
        <v>4238</v>
      </c>
    </row>
    <row r="2434" spans="1:21" x14ac:dyDescent="0.25">
      <c r="A2434">
        <v>1214</v>
      </c>
      <c r="B2434">
        <v>8614</v>
      </c>
      <c r="C2434" t="s">
        <v>4239</v>
      </c>
      <c r="D2434" t="s">
        <v>64</v>
      </c>
      <c r="E2434" t="s">
        <v>51</v>
      </c>
      <c r="F2434" t="s">
        <v>4240</v>
      </c>
      <c r="G2434" t="str">
        <f>"201511033538"</f>
        <v>201511033538</v>
      </c>
      <c r="H2434" t="s">
        <v>2467</v>
      </c>
      <c r="I2434">
        <v>0</v>
      </c>
      <c r="J2434">
        <v>0</v>
      </c>
      <c r="K2434">
        <v>0</v>
      </c>
      <c r="L2434">
        <v>0</v>
      </c>
      <c r="M2434">
        <v>0</v>
      </c>
      <c r="N2434">
        <v>0</v>
      </c>
      <c r="O2434">
        <v>0</v>
      </c>
      <c r="P2434">
        <v>0</v>
      </c>
      <c r="Q2434">
        <v>0</v>
      </c>
      <c r="T2434">
        <v>0</v>
      </c>
      <c r="U2434" t="s">
        <v>2467</v>
      </c>
    </row>
    <row r="2435" spans="1:21" x14ac:dyDescent="0.25">
      <c r="H2435" t="s">
        <v>2553</v>
      </c>
    </row>
    <row r="2436" spans="1:21" x14ac:dyDescent="0.25">
      <c r="A2436">
        <v>1215</v>
      </c>
      <c r="B2436">
        <v>5964</v>
      </c>
      <c r="C2436" t="s">
        <v>4241</v>
      </c>
      <c r="D2436" t="s">
        <v>31</v>
      </c>
      <c r="E2436" t="s">
        <v>225</v>
      </c>
      <c r="F2436" t="s">
        <v>4242</v>
      </c>
      <c r="G2436" t="str">
        <f>"201511034096"</f>
        <v>201511034096</v>
      </c>
      <c r="H2436" t="s">
        <v>2467</v>
      </c>
      <c r="I2436">
        <v>0</v>
      </c>
      <c r="J2436">
        <v>0</v>
      </c>
      <c r="K2436">
        <v>0</v>
      </c>
      <c r="L2436">
        <v>0</v>
      </c>
      <c r="M2436">
        <v>0</v>
      </c>
      <c r="N2436">
        <v>0</v>
      </c>
      <c r="O2436">
        <v>0</v>
      </c>
      <c r="P2436">
        <v>0</v>
      </c>
      <c r="Q2436">
        <v>0</v>
      </c>
      <c r="T2436">
        <v>2</v>
      </c>
      <c r="U2436" t="s">
        <v>2467</v>
      </c>
    </row>
    <row r="2437" spans="1:21" x14ac:dyDescent="0.25">
      <c r="H2437" t="s">
        <v>4243</v>
      </c>
    </row>
    <row r="2438" spans="1:21" x14ac:dyDescent="0.25">
      <c r="A2438">
        <v>1216</v>
      </c>
      <c r="B2438">
        <v>4983</v>
      </c>
      <c r="C2438" t="s">
        <v>4244</v>
      </c>
      <c r="D2438" t="s">
        <v>4245</v>
      </c>
      <c r="E2438" t="s">
        <v>27</v>
      </c>
      <c r="F2438" t="s">
        <v>4246</v>
      </c>
      <c r="G2438" t="str">
        <f>"201402000276"</f>
        <v>201402000276</v>
      </c>
      <c r="H2438" t="s">
        <v>4247</v>
      </c>
      <c r="I2438">
        <v>0</v>
      </c>
      <c r="J2438">
        <v>30</v>
      </c>
      <c r="K2438">
        <v>0</v>
      </c>
      <c r="L2438">
        <v>0</v>
      </c>
      <c r="M2438">
        <v>0</v>
      </c>
      <c r="N2438">
        <v>0</v>
      </c>
      <c r="O2438">
        <v>0</v>
      </c>
      <c r="P2438">
        <v>0</v>
      </c>
      <c r="Q2438">
        <v>0</v>
      </c>
      <c r="T2438">
        <v>0</v>
      </c>
      <c r="U2438" t="s">
        <v>4248</v>
      </c>
    </row>
    <row r="2439" spans="1:21" x14ac:dyDescent="0.25">
      <c r="H2439" t="s">
        <v>4249</v>
      </c>
    </row>
    <row r="2440" spans="1:21" x14ac:dyDescent="0.25">
      <c r="A2440">
        <v>1217</v>
      </c>
      <c r="B2440">
        <v>1739</v>
      </c>
      <c r="C2440" t="s">
        <v>4250</v>
      </c>
      <c r="D2440" t="s">
        <v>4251</v>
      </c>
      <c r="E2440" t="s">
        <v>36</v>
      </c>
      <c r="F2440" t="s">
        <v>4252</v>
      </c>
      <c r="G2440" t="str">
        <f>"00022888"</f>
        <v>00022888</v>
      </c>
      <c r="H2440">
        <v>605</v>
      </c>
      <c r="I2440">
        <v>150</v>
      </c>
      <c r="J2440">
        <v>30</v>
      </c>
      <c r="K2440">
        <v>30</v>
      </c>
      <c r="L2440">
        <v>0</v>
      </c>
      <c r="M2440">
        <v>0</v>
      </c>
      <c r="N2440">
        <v>30</v>
      </c>
      <c r="O2440">
        <v>0</v>
      </c>
      <c r="P2440">
        <v>0</v>
      </c>
      <c r="Q2440">
        <v>0</v>
      </c>
      <c r="T2440">
        <v>0</v>
      </c>
      <c r="U2440">
        <v>845</v>
      </c>
    </row>
    <row r="2441" spans="1:21" x14ac:dyDescent="0.25">
      <c r="H2441" t="s">
        <v>4253</v>
      </c>
    </row>
    <row r="2442" spans="1:21" x14ac:dyDescent="0.25">
      <c r="A2442">
        <v>1218</v>
      </c>
      <c r="B2442">
        <v>9745</v>
      </c>
      <c r="C2442" t="s">
        <v>1668</v>
      </c>
      <c r="D2442" t="s">
        <v>164</v>
      </c>
      <c r="E2442" t="s">
        <v>122</v>
      </c>
      <c r="F2442" t="s">
        <v>4254</v>
      </c>
      <c r="G2442" t="str">
        <f>"201511012011"</f>
        <v>201511012011</v>
      </c>
      <c r="H2442" t="s">
        <v>2500</v>
      </c>
      <c r="I2442">
        <v>0</v>
      </c>
      <c r="J2442">
        <v>0</v>
      </c>
      <c r="K2442">
        <v>0</v>
      </c>
      <c r="L2442">
        <v>0</v>
      </c>
      <c r="M2442">
        <v>0</v>
      </c>
      <c r="N2442">
        <v>0</v>
      </c>
      <c r="O2442">
        <v>0</v>
      </c>
      <c r="P2442">
        <v>0</v>
      </c>
      <c r="Q2442">
        <v>0</v>
      </c>
      <c r="T2442">
        <v>0</v>
      </c>
      <c r="U2442" t="s">
        <v>2500</v>
      </c>
    </row>
    <row r="2443" spans="1:21" x14ac:dyDescent="0.25">
      <c r="H2443" t="s">
        <v>4255</v>
      </c>
    </row>
    <row r="2444" spans="1:21" x14ac:dyDescent="0.25">
      <c r="A2444">
        <v>1219</v>
      </c>
      <c r="B2444">
        <v>168</v>
      </c>
      <c r="C2444" t="s">
        <v>4256</v>
      </c>
      <c r="D2444" t="s">
        <v>179</v>
      </c>
      <c r="E2444" t="s">
        <v>835</v>
      </c>
      <c r="F2444" t="s">
        <v>4257</v>
      </c>
      <c r="G2444" t="str">
        <f>"201606000036"</f>
        <v>201606000036</v>
      </c>
      <c r="H2444" t="s">
        <v>2500</v>
      </c>
      <c r="I2444">
        <v>0</v>
      </c>
      <c r="J2444">
        <v>0</v>
      </c>
      <c r="K2444">
        <v>0</v>
      </c>
      <c r="L2444">
        <v>0</v>
      </c>
      <c r="M2444">
        <v>0</v>
      </c>
      <c r="N2444">
        <v>0</v>
      </c>
      <c r="O2444">
        <v>0</v>
      </c>
      <c r="P2444">
        <v>0</v>
      </c>
      <c r="Q2444">
        <v>0</v>
      </c>
      <c r="T2444">
        <v>0</v>
      </c>
      <c r="U2444" t="s">
        <v>2500</v>
      </c>
    </row>
    <row r="2445" spans="1:21" x14ac:dyDescent="0.25">
      <c r="H2445" t="s">
        <v>4258</v>
      </c>
    </row>
    <row r="2446" spans="1:21" x14ac:dyDescent="0.25">
      <c r="A2446">
        <v>1220</v>
      </c>
      <c r="B2446">
        <v>4684</v>
      </c>
      <c r="C2446" t="s">
        <v>4259</v>
      </c>
      <c r="D2446" t="s">
        <v>85</v>
      </c>
      <c r="E2446" t="s">
        <v>373</v>
      </c>
      <c r="F2446" t="s">
        <v>4260</v>
      </c>
      <c r="G2446" t="str">
        <f>"201512000654"</f>
        <v>201512000654</v>
      </c>
      <c r="H2446" t="s">
        <v>2027</v>
      </c>
      <c r="I2446">
        <v>0</v>
      </c>
      <c r="J2446">
        <v>0</v>
      </c>
      <c r="K2446">
        <v>0</v>
      </c>
      <c r="L2446">
        <v>0</v>
      </c>
      <c r="M2446">
        <v>0</v>
      </c>
      <c r="N2446">
        <v>0</v>
      </c>
      <c r="O2446">
        <v>0</v>
      </c>
      <c r="P2446">
        <v>0</v>
      </c>
      <c r="Q2446">
        <v>0</v>
      </c>
      <c r="T2446">
        <v>0</v>
      </c>
      <c r="U2446" t="s">
        <v>2027</v>
      </c>
    </row>
    <row r="2447" spans="1:21" x14ac:dyDescent="0.25">
      <c r="H2447" t="s">
        <v>4261</v>
      </c>
    </row>
    <row r="2448" spans="1:21" x14ac:dyDescent="0.25">
      <c r="A2448">
        <v>1221</v>
      </c>
      <c r="B2448">
        <v>927</v>
      </c>
      <c r="C2448" t="s">
        <v>4262</v>
      </c>
      <c r="D2448" t="s">
        <v>26</v>
      </c>
      <c r="E2448" t="s">
        <v>332</v>
      </c>
      <c r="F2448" t="s">
        <v>4263</v>
      </c>
      <c r="G2448" t="str">
        <f>"00026868"</f>
        <v>00026868</v>
      </c>
      <c r="H2448" t="s">
        <v>2027</v>
      </c>
      <c r="I2448">
        <v>0</v>
      </c>
      <c r="J2448">
        <v>0</v>
      </c>
      <c r="K2448">
        <v>0</v>
      </c>
      <c r="L2448">
        <v>0</v>
      </c>
      <c r="M2448">
        <v>0</v>
      </c>
      <c r="N2448">
        <v>0</v>
      </c>
      <c r="O2448">
        <v>0</v>
      </c>
      <c r="P2448">
        <v>0</v>
      </c>
      <c r="Q2448">
        <v>0</v>
      </c>
      <c r="T2448">
        <v>0</v>
      </c>
      <c r="U2448" t="s">
        <v>2027</v>
      </c>
    </row>
    <row r="2449" spans="1:21" x14ac:dyDescent="0.25">
      <c r="H2449" t="s">
        <v>2081</v>
      </c>
    </row>
    <row r="2450" spans="1:21" x14ac:dyDescent="0.25">
      <c r="A2450">
        <v>1222</v>
      </c>
      <c r="B2450">
        <v>5920</v>
      </c>
      <c r="C2450" t="s">
        <v>4264</v>
      </c>
      <c r="D2450" t="s">
        <v>4265</v>
      </c>
      <c r="E2450" t="s">
        <v>42</v>
      </c>
      <c r="F2450" t="s">
        <v>4266</v>
      </c>
      <c r="G2450" t="str">
        <f>"200912000064"</f>
        <v>200912000064</v>
      </c>
      <c r="H2450" t="s">
        <v>2042</v>
      </c>
      <c r="I2450">
        <v>0</v>
      </c>
      <c r="J2450">
        <v>0</v>
      </c>
      <c r="K2450">
        <v>0</v>
      </c>
      <c r="L2450">
        <v>0</v>
      </c>
      <c r="M2450">
        <v>0</v>
      </c>
      <c r="N2450">
        <v>0</v>
      </c>
      <c r="O2450">
        <v>0</v>
      </c>
      <c r="P2450">
        <v>0</v>
      </c>
      <c r="Q2450">
        <v>0</v>
      </c>
      <c r="T2450">
        <v>0</v>
      </c>
      <c r="U2450" t="s">
        <v>2042</v>
      </c>
    </row>
    <row r="2451" spans="1:21" x14ac:dyDescent="0.25">
      <c r="H2451" t="s">
        <v>4267</v>
      </c>
    </row>
    <row r="2452" spans="1:21" x14ac:dyDescent="0.25">
      <c r="A2452">
        <v>1223</v>
      </c>
      <c r="B2452">
        <v>8919</v>
      </c>
      <c r="C2452" t="s">
        <v>4268</v>
      </c>
      <c r="D2452" t="s">
        <v>134</v>
      </c>
      <c r="E2452" t="s">
        <v>42</v>
      </c>
      <c r="F2452" t="s">
        <v>4269</v>
      </c>
      <c r="G2452" t="str">
        <f>"201511038389"</f>
        <v>201511038389</v>
      </c>
      <c r="H2452" t="s">
        <v>2042</v>
      </c>
      <c r="I2452">
        <v>0</v>
      </c>
      <c r="J2452">
        <v>0</v>
      </c>
      <c r="K2452">
        <v>0</v>
      </c>
      <c r="L2452">
        <v>0</v>
      </c>
      <c r="M2452">
        <v>0</v>
      </c>
      <c r="N2452">
        <v>0</v>
      </c>
      <c r="O2452">
        <v>0</v>
      </c>
      <c r="P2452">
        <v>0</v>
      </c>
      <c r="Q2452">
        <v>0</v>
      </c>
      <c r="T2452">
        <v>0</v>
      </c>
      <c r="U2452" t="s">
        <v>2042</v>
      </c>
    </row>
    <row r="2453" spans="1:21" x14ac:dyDescent="0.25">
      <c r="H2453" t="s">
        <v>4270</v>
      </c>
    </row>
    <row r="2454" spans="1:21" x14ac:dyDescent="0.25">
      <c r="A2454">
        <v>1224</v>
      </c>
      <c r="B2454">
        <v>6234</v>
      </c>
      <c r="C2454" t="s">
        <v>4271</v>
      </c>
      <c r="D2454" t="s">
        <v>394</v>
      </c>
      <c r="E2454" t="s">
        <v>42</v>
      </c>
      <c r="F2454" t="s">
        <v>4272</v>
      </c>
      <c r="G2454" t="str">
        <f>"00025430"</f>
        <v>00025430</v>
      </c>
      <c r="H2454" t="s">
        <v>2042</v>
      </c>
      <c r="I2454">
        <v>0</v>
      </c>
      <c r="J2454">
        <v>0</v>
      </c>
      <c r="K2454">
        <v>0</v>
      </c>
      <c r="L2454">
        <v>0</v>
      </c>
      <c r="M2454">
        <v>0</v>
      </c>
      <c r="N2454">
        <v>0</v>
      </c>
      <c r="O2454">
        <v>0</v>
      </c>
      <c r="P2454">
        <v>0</v>
      </c>
      <c r="Q2454">
        <v>0</v>
      </c>
      <c r="T2454">
        <v>2</v>
      </c>
      <c r="U2454" t="s">
        <v>2042</v>
      </c>
    </row>
    <row r="2455" spans="1:21" x14ac:dyDescent="0.25">
      <c r="H2455" t="s">
        <v>4273</v>
      </c>
    </row>
    <row r="2456" spans="1:21" x14ac:dyDescent="0.25">
      <c r="A2456">
        <v>1225</v>
      </c>
      <c r="B2456">
        <v>153</v>
      </c>
      <c r="C2456" t="s">
        <v>1053</v>
      </c>
      <c r="D2456" t="s">
        <v>116</v>
      </c>
      <c r="E2456" t="s">
        <v>36</v>
      </c>
      <c r="F2456" t="s">
        <v>4274</v>
      </c>
      <c r="G2456" t="str">
        <f>"201511025601"</f>
        <v>201511025601</v>
      </c>
      <c r="H2456">
        <v>660</v>
      </c>
      <c r="I2456">
        <v>150</v>
      </c>
      <c r="J2456">
        <v>30</v>
      </c>
      <c r="K2456">
        <v>0</v>
      </c>
      <c r="L2456">
        <v>0</v>
      </c>
      <c r="M2456">
        <v>0</v>
      </c>
      <c r="N2456">
        <v>0</v>
      </c>
      <c r="O2456">
        <v>0</v>
      </c>
      <c r="P2456">
        <v>0</v>
      </c>
      <c r="Q2456">
        <v>0</v>
      </c>
      <c r="T2456">
        <v>0</v>
      </c>
      <c r="U2456">
        <v>840</v>
      </c>
    </row>
    <row r="2457" spans="1:21" x14ac:dyDescent="0.25">
      <c r="H2457" t="s">
        <v>4275</v>
      </c>
    </row>
    <row r="2458" spans="1:21" x14ac:dyDescent="0.25">
      <c r="A2458">
        <v>1226</v>
      </c>
      <c r="B2458">
        <v>6752</v>
      </c>
      <c r="C2458" t="s">
        <v>4276</v>
      </c>
      <c r="D2458" t="s">
        <v>20</v>
      </c>
      <c r="E2458" t="s">
        <v>36</v>
      </c>
      <c r="F2458" t="s">
        <v>4277</v>
      </c>
      <c r="G2458" t="str">
        <f>"201511040682"</f>
        <v>201511040682</v>
      </c>
      <c r="H2458" t="s">
        <v>4278</v>
      </c>
      <c r="I2458">
        <v>0</v>
      </c>
      <c r="J2458">
        <v>0</v>
      </c>
      <c r="K2458">
        <v>0</v>
      </c>
      <c r="L2458">
        <v>0</v>
      </c>
      <c r="M2458">
        <v>0</v>
      </c>
      <c r="N2458">
        <v>0</v>
      </c>
      <c r="O2458">
        <v>0</v>
      </c>
      <c r="P2458">
        <v>0</v>
      </c>
      <c r="Q2458">
        <v>0</v>
      </c>
      <c r="T2458">
        <v>0</v>
      </c>
      <c r="U2458" t="s">
        <v>4278</v>
      </c>
    </row>
    <row r="2459" spans="1:21" x14ac:dyDescent="0.25">
      <c r="H2459" t="s">
        <v>4279</v>
      </c>
    </row>
    <row r="2460" spans="1:21" x14ac:dyDescent="0.25">
      <c r="A2460">
        <v>1227</v>
      </c>
      <c r="B2460">
        <v>6752</v>
      </c>
      <c r="C2460" t="s">
        <v>4276</v>
      </c>
      <c r="D2460" t="s">
        <v>20</v>
      </c>
      <c r="E2460" t="s">
        <v>36</v>
      </c>
      <c r="F2460" t="s">
        <v>4277</v>
      </c>
      <c r="G2460" t="str">
        <f>"201511040682"</f>
        <v>201511040682</v>
      </c>
      <c r="H2460" t="s">
        <v>4278</v>
      </c>
      <c r="I2460">
        <v>0</v>
      </c>
      <c r="J2460">
        <v>0</v>
      </c>
      <c r="K2460">
        <v>0</v>
      </c>
      <c r="L2460">
        <v>0</v>
      </c>
      <c r="M2460">
        <v>0</v>
      </c>
      <c r="N2460">
        <v>0</v>
      </c>
      <c r="O2460">
        <v>0</v>
      </c>
      <c r="P2460">
        <v>0</v>
      </c>
      <c r="Q2460">
        <v>0</v>
      </c>
      <c r="R2460">
        <v>6</v>
      </c>
      <c r="S2460">
        <v>804</v>
      </c>
      <c r="T2460">
        <v>0</v>
      </c>
      <c r="U2460" t="s">
        <v>4278</v>
      </c>
    </row>
    <row r="2461" spans="1:21" x14ac:dyDescent="0.25">
      <c r="H2461" t="s">
        <v>4279</v>
      </c>
    </row>
    <row r="2462" spans="1:21" x14ac:dyDescent="0.25">
      <c r="A2462">
        <v>1228</v>
      </c>
      <c r="B2462">
        <v>6406</v>
      </c>
      <c r="C2462" t="s">
        <v>4280</v>
      </c>
      <c r="D2462" t="s">
        <v>164</v>
      </c>
      <c r="E2462" t="s">
        <v>533</v>
      </c>
      <c r="F2462" t="s">
        <v>4281</v>
      </c>
      <c r="G2462" t="str">
        <f>"00075767"</f>
        <v>00075767</v>
      </c>
      <c r="H2462" t="s">
        <v>4000</v>
      </c>
      <c r="I2462">
        <v>0</v>
      </c>
      <c r="J2462">
        <v>0</v>
      </c>
      <c r="K2462">
        <v>0</v>
      </c>
      <c r="L2462">
        <v>0</v>
      </c>
      <c r="M2462">
        <v>0</v>
      </c>
      <c r="N2462">
        <v>0</v>
      </c>
      <c r="O2462">
        <v>0</v>
      </c>
      <c r="P2462">
        <v>0</v>
      </c>
      <c r="Q2462">
        <v>0</v>
      </c>
      <c r="T2462">
        <v>0</v>
      </c>
      <c r="U2462" t="s">
        <v>4000</v>
      </c>
    </row>
    <row r="2463" spans="1:21" x14ac:dyDescent="0.25">
      <c r="H2463" t="s">
        <v>4282</v>
      </c>
    </row>
    <row r="2464" spans="1:21" x14ac:dyDescent="0.25">
      <c r="A2464">
        <v>1229</v>
      </c>
      <c r="B2464">
        <v>7280</v>
      </c>
      <c r="C2464" t="s">
        <v>4283</v>
      </c>
      <c r="D2464" t="s">
        <v>4284</v>
      </c>
      <c r="E2464" t="s">
        <v>4285</v>
      </c>
      <c r="F2464" t="s">
        <v>4286</v>
      </c>
      <c r="G2464" t="str">
        <f>"00022651"</f>
        <v>00022651</v>
      </c>
      <c r="H2464" t="s">
        <v>4000</v>
      </c>
      <c r="I2464">
        <v>0</v>
      </c>
      <c r="J2464">
        <v>0</v>
      </c>
      <c r="K2464">
        <v>0</v>
      </c>
      <c r="L2464">
        <v>0</v>
      </c>
      <c r="M2464">
        <v>0</v>
      </c>
      <c r="N2464">
        <v>0</v>
      </c>
      <c r="O2464">
        <v>0</v>
      </c>
      <c r="P2464">
        <v>0</v>
      </c>
      <c r="Q2464">
        <v>0</v>
      </c>
      <c r="T2464">
        <v>0</v>
      </c>
      <c r="U2464" t="s">
        <v>4000</v>
      </c>
    </row>
    <row r="2465" spans="1:21" x14ac:dyDescent="0.25">
      <c r="H2465" t="s">
        <v>4287</v>
      </c>
    </row>
    <row r="2466" spans="1:21" x14ac:dyDescent="0.25">
      <c r="A2466">
        <v>1230</v>
      </c>
      <c r="B2466">
        <v>97</v>
      </c>
      <c r="C2466" t="s">
        <v>4288</v>
      </c>
      <c r="D2466" t="s">
        <v>4289</v>
      </c>
      <c r="E2466" t="s">
        <v>27</v>
      </c>
      <c r="F2466" t="s">
        <v>4290</v>
      </c>
      <c r="G2466" t="str">
        <f>"00024413"</f>
        <v>00024413</v>
      </c>
      <c r="H2466" t="s">
        <v>4000</v>
      </c>
      <c r="I2466">
        <v>0</v>
      </c>
      <c r="J2466">
        <v>0</v>
      </c>
      <c r="K2466">
        <v>0</v>
      </c>
      <c r="L2466">
        <v>0</v>
      </c>
      <c r="M2466">
        <v>0</v>
      </c>
      <c r="N2466">
        <v>0</v>
      </c>
      <c r="O2466">
        <v>0</v>
      </c>
      <c r="P2466">
        <v>0</v>
      </c>
      <c r="Q2466">
        <v>0</v>
      </c>
      <c r="T2466">
        <v>0</v>
      </c>
      <c r="U2466" t="s">
        <v>4000</v>
      </c>
    </row>
    <row r="2467" spans="1:21" x14ac:dyDescent="0.25">
      <c r="H2467">
        <v>809</v>
      </c>
    </row>
    <row r="2468" spans="1:21" x14ac:dyDescent="0.25">
      <c r="A2468">
        <v>1231</v>
      </c>
      <c r="B2468">
        <v>5700</v>
      </c>
      <c r="C2468" t="s">
        <v>4291</v>
      </c>
      <c r="D2468" t="s">
        <v>154</v>
      </c>
      <c r="E2468" t="s">
        <v>37</v>
      </c>
      <c r="F2468" t="s">
        <v>4292</v>
      </c>
      <c r="G2468" t="str">
        <f>"00022063"</f>
        <v>00022063</v>
      </c>
      <c r="H2468" t="s">
        <v>4293</v>
      </c>
      <c r="I2468">
        <v>0</v>
      </c>
      <c r="J2468">
        <v>0</v>
      </c>
      <c r="K2468">
        <v>0</v>
      </c>
      <c r="L2468">
        <v>0</v>
      </c>
      <c r="M2468">
        <v>0</v>
      </c>
      <c r="N2468">
        <v>0</v>
      </c>
      <c r="O2468">
        <v>0</v>
      </c>
      <c r="P2468">
        <v>0</v>
      </c>
      <c r="Q2468">
        <v>0</v>
      </c>
      <c r="T2468">
        <v>0</v>
      </c>
      <c r="U2468" t="s">
        <v>4293</v>
      </c>
    </row>
    <row r="2469" spans="1:21" x14ac:dyDescent="0.25">
      <c r="H2469" t="s">
        <v>1315</v>
      </c>
    </row>
    <row r="2470" spans="1:21" x14ac:dyDescent="0.25">
      <c r="A2470">
        <v>1232</v>
      </c>
      <c r="B2470">
        <v>1524</v>
      </c>
      <c r="C2470" t="s">
        <v>4294</v>
      </c>
      <c r="D2470" t="s">
        <v>64</v>
      </c>
      <c r="E2470" t="s">
        <v>474</v>
      </c>
      <c r="F2470" t="s">
        <v>4295</v>
      </c>
      <c r="G2470" t="str">
        <f>"00041430"</f>
        <v>00041430</v>
      </c>
      <c r="H2470">
        <v>836</v>
      </c>
      <c r="I2470">
        <v>0</v>
      </c>
      <c r="J2470">
        <v>0</v>
      </c>
      <c r="K2470">
        <v>0</v>
      </c>
      <c r="L2470">
        <v>0</v>
      </c>
      <c r="M2470">
        <v>0</v>
      </c>
      <c r="N2470">
        <v>0</v>
      </c>
      <c r="O2470">
        <v>0</v>
      </c>
      <c r="P2470">
        <v>0</v>
      </c>
      <c r="Q2470">
        <v>0</v>
      </c>
      <c r="T2470">
        <v>0</v>
      </c>
      <c r="U2470">
        <v>836</v>
      </c>
    </row>
    <row r="2471" spans="1:21" x14ac:dyDescent="0.25">
      <c r="H2471" t="s">
        <v>4296</v>
      </c>
    </row>
    <row r="2472" spans="1:21" x14ac:dyDescent="0.25">
      <c r="A2472">
        <v>1233</v>
      </c>
      <c r="B2472">
        <v>5035</v>
      </c>
      <c r="C2472" t="s">
        <v>4297</v>
      </c>
      <c r="D2472" t="s">
        <v>74</v>
      </c>
      <c r="E2472" t="s">
        <v>2956</v>
      </c>
      <c r="F2472" t="s">
        <v>4298</v>
      </c>
      <c r="G2472" t="str">
        <f>"00033055"</f>
        <v>00033055</v>
      </c>
      <c r="H2472">
        <v>836</v>
      </c>
      <c r="I2472">
        <v>0</v>
      </c>
      <c r="J2472">
        <v>0</v>
      </c>
      <c r="K2472">
        <v>0</v>
      </c>
      <c r="L2472">
        <v>0</v>
      </c>
      <c r="M2472">
        <v>0</v>
      </c>
      <c r="N2472">
        <v>0</v>
      </c>
      <c r="O2472">
        <v>0</v>
      </c>
      <c r="P2472">
        <v>0</v>
      </c>
      <c r="Q2472">
        <v>0</v>
      </c>
      <c r="T2472">
        <v>1</v>
      </c>
      <c r="U2472">
        <v>836</v>
      </c>
    </row>
    <row r="2473" spans="1:21" x14ac:dyDescent="0.25">
      <c r="H2473" t="s">
        <v>4299</v>
      </c>
    </row>
    <row r="2474" spans="1:21" x14ac:dyDescent="0.25">
      <c r="A2474">
        <v>1234</v>
      </c>
      <c r="B2474">
        <v>6019</v>
      </c>
      <c r="C2474" t="s">
        <v>3680</v>
      </c>
      <c r="D2474" t="s">
        <v>4300</v>
      </c>
      <c r="E2474" t="s">
        <v>122</v>
      </c>
      <c r="F2474" t="s">
        <v>4301</v>
      </c>
      <c r="G2474" t="str">
        <f>"201511040241"</f>
        <v>201511040241</v>
      </c>
      <c r="H2474">
        <v>836</v>
      </c>
      <c r="I2474">
        <v>0</v>
      </c>
      <c r="J2474">
        <v>0</v>
      </c>
      <c r="K2474">
        <v>0</v>
      </c>
      <c r="L2474">
        <v>0</v>
      </c>
      <c r="M2474">
        <v>0</v>
      </c>
      <c r="N2474">
        <v>0</v>
      </c>
      <c r="O2474">
        <v>0</v>
      </c>
      <c r="P2474">
        <v>0</v>
      </c>
      <c r="Q2474">
        <v>0</v>
      </c>
      <c r="T2474">
        <v>0</v>
      </c>
      <c r="U2474">
        <v>836</v>
      </c>
    </row>
    <row r="2475" spans="1:21" x14ac:dyDescent="0.25">
      <c r="H2475" t="s">
        <v>4302</v>
      </c>
    </row>
    <row r="2476" spans="1:21" x14ac:dyDescent="0.25">
      <c r="A2476">
        <v>1235</v>
      </c>
      <c r="B2476">
        <v>6140</v>
      </c>
      <c r="C2476" t="s">
        <v>3411</v>
      </c>
      <c r="D2476" t="s">
        <v>532</v>
      </c>
      <c r="E2476" t="s">
        <v>36</v>
      </c>
      <c r="F2476" t="s">
        <v>4303</v>
      </c>
      <c r="G2476" t="str">
        <f>"00097770"</f>
        <v>00097770</v>
      </c>
      <c r="H2476">
        <v>836</v>
      </c>
      <c r="I2476">
        <v>0</v>
      </c>
      <c r="J2476">
        <v>0</v>
      </c>
      <c r="K2476">
        <v>0</v>
      </c>
      <c r="L2476">
        <v>0</v>
      </c>
      <c r="M2476">
        <v>0</v>
      </c>
      <c r="N2476">
        <v>0</v>
      </c>
      <c r="O2476">
        <v>0</v>
      </c>
      <c r="P2476">
        <v>0</v>
      </c>
      <c r="Q2476">
        <v>0</v>
      </c>
      <c r="T2476">
        <v>0</v>
      </c>
      <c r="U2476">
        <v>836</v>
      </c>
    </row>
    <row r="2477" spans="1:21" x14ac:dyDescent="0.25">
      <c r="H2477" t="s">
        <v>4304</v>
      </c>
    </row>
    <row r="2478" spans="1:21" x14ac:dyDescent="0.25">
      <c r="A2478">
        <v>1236</v>
      </c>
      <c r="B2478">
        <v>5948</v>
      </c>
      <c r="C2478" t="s">
        <v>4305</v>
      </c>
      <c r="D2478" t="s">
        <v>696</v>
      </c>
      <c r="E2478" t="s">
        <v>259</v>
      </c>
      <c r="F2478" t="s">
        <v>4306</v>
      </c>
      <c r="G2478" t="str">
        <f>"00070068"</f>
        <v>00070068</v>
      </c>
      <c r="H2478">
        <v>836</v>
      </c>
      <c r="I2478">
        <v>0</v>
      </c>
      <c r="J2478">
        <v>0</v>
      </c>
      <c r="K2478">
        <v>0</v>
      </c>
      <c r="L2478">
        <v>0</v>
      </c>
      <c r="M2478">
        <v>0</v>
      </c>
      <c r="N2478">
        <v>0</v>
      </c>
      <c r="O2478">
        <v>0</v>
      </c>
      <c r="P2478">
        <v>0</v>
      </c>
      <c r="Q2478">
        <v>0</v>
      </c>
      <c r="T2478">
        <v>1</v>
      </c>
      <c r="U2478">
        <v>836</v>
      </c>
    </row>
    <row r="2479" spans="1:21" x14ac:dyDescent="0.25">
      <c r="H2479" t="s">
        <v>4307</v>
      </c>
    </row>
    <row r="2480" spans="1:21" x14ac:dyDescent="0.25">
      <c r="A2480">
        <v>1237</v>
      </c>
      <c r="B2480">
        <v>8366</v>
      </c>
      <c r="C2480" t="s">
        <v>4308</v>
      </c>
      <c r="D2480" t="s">
        <v>64</v>
      </c>
      <c r="E2480" t="s">
        <v>36</v>
      </c>
      <c r="F2480" t="s">
        <v>4309</v>
      </c>
      <c r="G2480" t="str">
        <f>"00078071"</f>
        <v>00078071</v>
      </c>
      <c r="H2480" t="s">
        <v>4310</v>
      </c>
      <c r="I2480">
        <v>0</v>
      </c>
      <c r="J2480">
        <v>0</v>
      </c>
      <c r="K2480">
        <v>0</v>
      </c>
      <c r="L2480">
        <v>0</v>
      </c>
      <c r="M2480">
        <v>0</v>
      </c>
      <c r="N2480">
        <v>0</v>
      </c>
      <c r="O2480">
        <v>0</v>
      </c>
      <c r="P2480">
        <v>0</v>
      </c>
      <c r="Q2480">
        <v>0</v>
      </c>
      <c r="T2480">
        <v>2</v>
      </c>
      <c r="U2480" t="s">
        <v>4310</v>
      </c>
    </row>
    <row r="2481" spans="1:21" x14ac:dyDescent="0.25">
      <c r="H2481" t="s">
        <v>4311</v>
      </c>
    </row>
    <row r="2482" spans="1:21" x14ac:dyDescent="0.25">
      <c r="A2482">
        <v>1238</v>
      </c>
      <c r="B2482">
        <v>8444</v>
      </c>
      <c r="C2482" t="s">
        <v>4312</v>
      </c>
      <c r="D2482" t="s">
        <v>285</v>
      </c>
      <c r="E2482" t="s">
        <v>4313</v>
      </c>
      <c r="F2482" t="s">
        <v>4314</v>
      </c>
      <c r="G2482" t="str">
        <f>"00020715"</f>
        <v>00020715</v>
      </c>
      <c r="H2482" t="s">
        <v>2667</v>
      </c>
      <c r="I2482">
        <v>0</v>
      </c>
      <c r="J2482">
        <v>0</v>
      </c>
      <c r="K2482">
        <v>0</v>
      </c>
      <c r="L2482">
        <v>0</v>
      </c>
      <c r="M2482">
        <v>0</v>
      </c>
      <c r="N2482">
        <v>0</v>
      </c>
      <c r="O2482">
        <v>0</v>
      </c>
      <c r="P2482">
        <v>0</v>
      </c>
      <c r="Q2482">
        <v>0</v>
      </c>
      <c r="T2482">
        <v>1</v>
      </c>
      <c r="U2482" t="s">
        <v>2667</v>
      </c>
    </row>
    <row r="2483" spans="1:21" x14ac:dyDescent="0.25">
      <c r="H2483" t="s">
        <v>4315</v>
      </c>
    </row>
    <row r="2484" spans="1:21" x14ac:dyDescent="0.25">
      <c r="A2484">
        <v>1239</v>
      </c>
      <c r="B2484">
        <v>5132</v>
      </c>
      <c r="C2484" t="s">
        <v>4316</v>
      </c>
      <c r="D2484" t="s">
        <v>319</v>
      </c>
      <c r="E2484" t="s">
        <v>122</v>
      </c>
      <c r="F2484" t="s">
        <v>4317</v>
      </c>
      <c r="G2484" t="str">
        <f>"201511038764"</f>
        <v>201511038764</v>
      </c>
      <c r="H2484" t="s">
        <v>4318</v>
      </c>
      <c r="I2484">
        <v>150</v>
      </c>
      <c r="J2484">
        <v>0</v>
      </c>
      <c r="K2484">
        <v>0</v>
      </c>
      <c r="L2484">
        <v>0</v>
      </c>
      <c r="M2484">
        <v>0</v>
      </c>
      <c r="N2484">
        <v>0</v>
      </c>
      <c r="O2484">
        <v>0</v>
      </c>
      <c r="P2484">
        <v>0</v>
      </c>
      <c r="Q2484">
        <v>0</v>
      </c>
      <c r="T2484">
        <v>0</v>
      </c>
      <c r="U2484" t="s">
        <v>4319</v>
      </c>
    </row>
    <row r="2485" spans="1:21" x14ac:dyDescent="0.25">
      <c r="H2485" t="s">
        <v>1763</v>
      </c>
    </row>
    <row r="2486" spans="1:21" x14ac:dyDescent="0.25">
      <c r="A2486">
        <v>1240</v>
      </c>
      <c r="B2486">
        <v>10542</v>
      </c>
      <c r="C2486" t="s">
        <v>4320</v>
      </c>
      <c r="D2486" t="s">
        <v>64</v>
      </c>
      <c r="E2486" t="s">
        <v>36</v>
      </c>
      <c r="F2486" t="s">
        <v>4321</v>
      </c>
      <c r="G2486" t="str">
        <f>"00026980"</f>
        <v>00026980</v>
      </c>
      <c r="H2486">
        <v>803</v>
      </c>
      <c r="I2486">
        <v>0</v>
      </c>
      <c r="J2486">
        <v>30</v>
      </c>
      <c r="K2486">
        <v>0</v>
      </c>
      <c r="L2486">
        <v>0</v>
      </c>
      <c r="M2486">
        <v>0</v>
      </c>
      <c r="N2486">
        <v>0</v>
      </c>
      <c r="O2486">
        <v>0</v>
      </c>
      <c r="P2486">
        <v>0</v>
      </c>
      <c r="Q2486">
        <v>0</v>
      </c>
      <c r="T2486">
        <v>0</v>
      </c>
      <c r="U2486">
        <v>833</v>
      </c>
    </row>
    <row r="2487" spans="1:21" x14ac:dyDescent="0.25">
      <c r="H2487" t="s">
        <v>4322</v>
      </c>
    </row>
    <row r="2488" spans="1:21" x14ac:dyDescent="0.25">
      <c r="A2488">
        <v>1241</v>
      </c>
      <c r="B2488">
        <v>1274</v>
      </c>
      <c r="C2488" t="s">
        <v>4323</v>
      </c>
      <c r="D2488" t="s">
        <v>4324</v>
      </c>
      <c r="E2488" t="s">
        <v>36</v>
      </c>
      <c r="F2488" t="s">
        <v>4325</v>
      </c>
      <c r="G2488" t="str">
        <f>"00037569"</f>
        <v>00037569</v>
      </c>
      <c r="H2488" t="s">
        <v>2672</v>
      </c>
      <c r="I2488">
        <v>0</v>
      </c>
      <c r="J2488">
        <v>0</v>
      </c>
      <c r="K2488">
        <v>0</v>
      </c>
      <c r="L2488">
        <v>0</v>
      </c>
      <c r="M2488">
        <v>0</v>
      </c>
      <c r="N2488">
        <v>0</v>
      </c>
      <c r="O2488">
        <v>0</v>
      </c>
      <c r="P2488">
        <v>0</v>
      </c>
      <c r="Q2488">
        <v>0</v>
      </c>
      <c r="T2488">
        <v>0</v>
      </c>
      <c r="U2488" t="s">
        <v>2672</v>
      </c>
    </row>
    <row r="2489" spans="1:21" x14ac:dyDescent="0.25">
      <c r="H2489" t="s">
        <v>1465</v>
      </c>
    </row>
    <row r="2490" spans="1:21" x14ac:dyDescent="0.25">
      <c r="A2490">
        <v>1242</v>
      </c>
      <c r="B2490">
        <v>3454</v>
      </c>
      <c r="C2490" t="s">
        <v>4326</v>
      </c>
      <c r="D2490" t="s">
        <v>64</v>
      </c>
      <c r="E2490" t="s">
        <v>37</v>
      </c>
      <c r="F2490" t="s">
        <v>4327</v>
      </c>
      <c r="G2490" t="str">
        <f>"201511023428"</f>
        <v>201511023428</v>
      </c>
      <c r="H2490" t="s">
        <v>2672</v>
      </c>
      <c r="I2490">
        <v>0</v>
      </c>
      <c r="J2490">
        <v>0</v>
      </c>
      <c r="K2490">
        <v>0</v>
      </c>
      <c r="L2490">
        <v>0</v>
      </c>
      <c r="M2490">
        <v>0</v>
      </c>
      <c r="N2490">
        <v>0</v>
      </c>
      <c r="O2490">
        <v>0</v>
      </c>
      <c r="P2490">
        <v>0</v>
      </c>
      <c r="Q2490">
        <v>0</v>
      </c>
      <c r="T2490">
        <v>0</v>
      </c>
      <c r="U2490" t="s">
        <v>2672</v>
      </c>
    </row>
    <row r="2491" spans="1:21" x14ac:dyDescent="0.25">
      <c r="H2491" t="s">
        <v>4328</v>
      </c>
    </row>
    <row r="2492" spans="1:21" x14ac:dyDescent="0.25">
      <c r="A2492">
        <v>1243</v>
      </c>
      <c r="B2492">
        <v>7784</v>
      </c>
      <c r="C2492" t="s">
        <v>1589</v>
      </c>
      <c r="D2492" t="s">
        <v>134</v>
      </c>
      <c r="E2492" t="s">
        <v>112</v>
      </c>
      <c r="F2492" t="s">
        <v>4329</v>
      </c>
      <c r="G2492" t="str">
        <f>"00093261"</f>
        <v>00093261</v>
      </c>
      <c r="H2492" t="s">
        <v>2672</v>
      </c>
      <c r="I2492">
        <v>0</v>
      </c>
      <c r="J2492">
        <v>0</v>
      </c>
      <c r="K2492">
        <v>0</v>
      </c>
      <c r="L2492">
        <v>0</v>
      </c>
      <c r="M2492">
        <v>0</v>
      </c>
      <c r="N2492">
        <v>0</v>
      </c>
      <c r="O2492">
        <v>0</v>
      </c>
      <c r="P2492">
        <v>0</v>
      </c>
      <c r="Q2492">
        <v>0</v>
      </c>
      <c r="T2492">
        <v>0</v>
      </c>
      <c r="U2492" t="s">
        <v>2672</v>
      </c>
    </row>
    <row r="2493" spans="1:21" x14ac:dyDescent="0.25">
      <c r="H2493" t="s">
        <v>3701</v>
      </c>
    </row>
    <row r="2494" spans="1:21" x14ac:dyDescent="0.25">
      <c r="A2494">
        <v>1244</v>
      </c>
      <c r="B2494">
        <v>4281</v>
      </c>
      <c r="C2494" t="s">
        <v>3199</v>
      </c>
      <c r="D2494" t="s">
        <v>4330</v>
      </c>
      <c r="E2494" t="s">
        <v>36</v>
      </c>
      <c r="F2494" t="s">
        <v>4331</v>
      </c>
      <c r="G2494" t="str">
        <f>"00086426"</f>
        <v>00086426</v>
      </c>
      <c r="H2494" t="s">
        <v>4332</v>
      </c>
      <c r="I2494">
        <v>0</v>
      </c>
      <c r="J2494">
        <v>0</v>
      </c>
      <c r="K2494">
        <v>0</v>
      </c>
      <c r="L2494">
        <v>0</v>
      </c>
      <c r="M2494">
        <v>0</v>
      </c>
      <c r="N2494">
        <v>0</v>
      </c>
      <c r="O2494">
        <v>0</v>
      </c>
      <c r="P2494">
        <v>0</v>
      </c>
      <c r="Q2494">
        <v>0</v>
      </c>
      <c r="T2494">
        <v>0</v>
      </c>
      <c r="U2494" t="s">
        <v>4332</v>
      </c>
    </row>
    <row r="2495" spans="1:21" x14ac:dyDescent="0.25">
      <c r="H2495" t="s">
        <v>4333</v>
      </c>
    </row>
    <row r="2496" spans="1:21" x14ac:dyDescent="0.25">
      <c r="A2496">
        <v>1245</v>
      </c>
      <c r="B2496">
        <v>4847</v>
      </c>
      <c r="C2496" t="s">
        <v>4334</v>
      </c>
      <c r="D2496" t="s">
        <v>128</v>
      </c>
      <c r="E2496" t="s">
        <v>366</v>
      </c>
      <c r="F2496" t="s">
        <v>4335</v>
      </c>
      <c r="G2496" t="str">
        <f>"00087493"</f>
        <v>00087493</v>
      </c>
      <c r="H2496" t="s">
        <v>4332</v>
      </c>
      <c r="I2496">
        <v>0</v>
      </c>
      <c r="J2496">
        <v>0</v>
      </c>
      <c r="K2496">
        <v>0</v>
      </c>
      <c r="L2496">
        <v>0</v>
      </c>
      <c r="M2496">
        <v>0</v>
      </c>
      <c r="N2496">
        <v>0</v>
      </c>
      <c r="O2496">
        <v>0</v>
      </c>
      <c r="P2496">
        <v>0</v>
      </c>
      <c r="Q2496">
        <v>0</v>
      </c>
      <c r="T2496">
        <v>0</v>
      </c>
      <c r="U2496" t="s">
        <v>4332</v>
      </c>
    </row>
    <row r="2497" spans="1:21" x14ac:dyDescent="0.25">
      <c r="H2497" t="s">
        <v>4336</v>
      </c>
    </row>
    <row r="2498" spans="1:21" x14ac:dyDescent="0.25">
      <c r="A2498">
        <v>1246</v>
      </c>
      <c r="B2498">
        <v>4885</v>
      </c>
      <c r="C2498" t="s">
        <v>1411</v>
      </c>
      <c r="D2498" t="s">
        <v>121</v>
      </c>
      <c r="E2498" t="s">
        <v>533</v>
      </c>
      <c r="F2498" t="s">
        <v>4337</v>
      </c>
      <c r="G2498" t="str">
        <f>"00094684"</f>
        <v>00094684</v>
      </c>
      <c r="H2498" t="s">
        <v>4332</v>
      </c>
      <c r="I2498">
        <v>0</v>
      </c>
      <c r="J2498">
        <v>0</v>
      </c>
      <c r="K2498">
        <v>0</v>
      </c>
      <c r="L2498">
        <v>0</v>
      </c>
      <c r="M2498">
        <v>0</v>
      </c>
      <c r="N2498">
        <v>0</v>
      </c>
      <c r="O2498">
        <v>0</v>
      </c>
      <c r="P2498">
        <v>0</v>
      </c>
      <c r="Q2498">
        <v>0</v>
      </c>
      <c r="T2498">
        <v>2</v>
      </c>
      <c r="U2498" t="s">
        <v>4332</v>
      </c>
    </row>
    <row r="2499" spans="1:21" x14ac:dyDescent="0.25">
      <c r="H2499" t="s">
        <v>4338</v>
      </c>
    </row>
    <row r="2500" spans="1:21" x14ac:dyDescent="0.25">
      <c r="A2500">
        <v>1247</v>
      </c>
      <c r="B2500">
        <v>2763</v>
      </c>
      <c r="C2500" t="s">
        <v>4339</v>
      </c>
      <c r="D2500" t="s">
        <v>4340</v>
      </c>
      <c r="E2500" t="s">
        <v>533</v>
      </c>
      <c r="F2500" t="s">
        <v>4341</v>
      </c>
      <c r="G2500" t="str">
        <f>"00049397"</f>
        <v>00049397</v>
      </c>
      <c r="H2500" t="s">
        <v>3035</v>
      </c>
      <c r="I2500">
        <v>0</v>
      </c>
      <c r="J2500">
        <v>30</v>
      </c>
      <c r="K2500">
        <v>0</v>
      </c>
      <c r="L2500">
        <v>0</v>
      </c>
      <c r="M2500">
        <v>0</v>
      </c>
      <c r="N2500">
        <v>0</v>
      </c>
      <c r="O2500">
        <v>0</v>
      </c>
      <c r="P2500">
        <v>0</v>
      </c>
      <c r="Q2500">
        <v>0</v>
      </c>
      <c r="T2500">
        <v>0</v>
      </c>
      <c r="U2500" t="s">
        <v>4342</v>
      </c>
    </row>
    <row r="2501" spans="1:21" x14ac:dyDescent="0.25">
      <c r="H2501" t="s">
        <v>4343</v>
      </c>
    </row>
    <row r="2502" spans="1:21" x14ac:dyDescent="0.25">
      <c r="A2502">
        <v>1248</v>
      </c>
      <c r="B2502">
        <v>9284</v>
      </c>
      <c r="C2502" t="s">
        <v>4344</v>
      </c>
      <c r="D2502" t="s">
        <v>19</v>
      </c>
      <c r="E2502" t="s">
        <v>36</v>
      </c>
      <c r="F2502" t="s">
        <v>4345</v>
      </c>
      <c r="G2502" t="str">
        <f>"00068389"</f>
        <v>00068389</v>
      </c>
      <c r="H2502">
        <v>770</v>
      </c>
      <c r="I2502">
        <v>0</v>
      </c>
      <c r="J2502">
        <v>30</v>
      </c>
      <c r="K2502">
        <v>0</v>
      </c>
      <c r="L2502">
        <v>0</v>
      </c>
      <c r="M2502">
        <v>0</v>
      </c>
      <c r="N2502">
        <v>30</v>
      </c>
      <c r="O2502">
        <v>0</v>
      </c>
      <c r="P2502">
        <v>0</v>
      </c>
      <c r="Q2502">
        <v>0</v>
      </c>
      <c r="T2502">
        <v>0</v>
      </c>
      <c r="U2502">
        <v>830</v>
      </c>
    </row>
    <row r="2503" spans="1:21" x14ac:dyDescent="0.25">
      <c r="H2503" t="s">
        <v>4346</v>
      </c>
    </row>
    <row r="2504" spans="1:21" x14ac:dyDescent="0.25">
      <c r="A2504">
        <v>1249</v>
      </c>
      <c r="B2504">
        <v>5890</v>
      </c>
      <c r="C2504" t="s">
        <v>4347</v>
      </c>
      <c r="D2504" t="s">
        <v>4348</v>
      </c>
      <c r="E2504" t="s">
        <v>27</v>
      </c>
      <c r="F2504" t="s">
        <v>4349</v>
      </c>
      <c r="G2504" t="str">
        <f>"201511005855"</f>
        <v>201511005855</v>
      </c>
      <c r="H2504" t="s">
        <v>2707</v>
      </c>
      <c r="I2504">
        <v>0</v>
      </c>
      <c r="J2504">
        <v>0</v>
      </c>
      <c r="K2504">
        <v>0</v>
      </c>
      <c r="L2504">
        <v>0</v>
      </c>
      <c r="M2504">
        <v>0</v>
      </c>
      <c r="N2504">
        <v>0</v>
      </c>
      <c r="O2504">
        <v>0</v>
      </c>
      <c r="P2504">
        <v>0</v>
      </c>
      <c r="Q2504">
        <v>0</v>
      </c>
      <c r="R2504">
        <v>6</v>
      </c>
      <c r="S2504">
        <v>809</v>
      </c>
      <c r="T2504">
        <v>0</v>
      </c>
      <c r="U2504" t="s">
        <v>2707</v>
      </c>
    </row>
    <row r="2505" spans="1:21" x14ac:dyDescent="0.25">
      <c r="H2505" t="s">
        <v>4350</v>
      </c>
    </row>
    <row r="2506" spans="1:21" x14ac:dyDescent="0.25">
      <c r="A2506">
        <v>1250</v>
      </c>
      <c r="B2506">
        <v>5890</v>
      </c>
      <c r="C2506" t="s">
        <v>4347</v>
      </c>
      <c r="D2506" t="s">
        <v>4348</v>
      </c>
      <c r="E2506" t="s">
        <v>27</v>
      </c>
      <c r="F2506" t="s">
        <v>4349</v>
      </c>
      <c r="G2506" t="str">
        <f>"201511005855"</f>
        <v>201511005855</v>
      </c>
      <c r="H2506" t="s">
        <v>2707</v>
      </c>
      <c r="I2506">
        <v>0</v>
      </c>
      <c r="J2506">
        <v>0</v>
      </c>
      <c r="K2506">
        <v>0</v>
      </c>
      <c r="L2506">
        <v>0</v>
      </c>
      <c r="M2506">
        <v>0</v>
      </c>
      <c r="N2506">
        <v>0</v>
      </c>
      <c r="O2506">
        <v>0</v>
      </c>
      <c r="P2506">
        <v>0</v>
      </c>
      <c r="Q2506">
        <v>0</v>
      </c>
      <c r="T2506">
        <v>0</v>
      </c>
      <c r="U2506" t="s">
        <v>2707</v>
      </c>
    </row>
    <row r="2507" spans="1:21" x14ac:dyDescent="0.25">
      <c r="H2507" t="s">
        <v>4350</v>
      </c>
    </row>
    <row r="2508" spans="1:21" x14ac:dyDescent="0.25">
      <c r="A2508">
        <v>1251</v>
      </c>
      <c r="B2508">
        <v>8849</v>
      </c>
      <c r="C2508" t="s">
        <v>2539</v>
      </c>
      <c r="D2508" t="s">
        <v>42</v>
      </c>
      <c r="E2508" t="s">
        <v>259</v>
      </c>
      <c r="F2508" t="s">
        <v>4351</v>
      </c>
      <c r="G2508" t="str">
        <f>"201406015856"</f>
        <v>201406015856</v>
      </c>
      <c r="H2508">
        <v>759</v>
      </c>
      <c r="I2508">
        <v>0</v>
      </c>
      <c r="J2508">
        <v>70</v>
      </c>
      <c r="K2508">
        <v>0</v>
      </c>
      <c r="L2508">
        <v>0</v>
      </c>
      <c r="M2508">
        <v>0</v>
      </c>
      <c r="N2508">
        <v>0</v>
      </c>
      <c r="O2508">
        <v>0</v>
      </c>
      <c r="P2508">
        <v>0</v>
      </c>
      <c r="Q2508">
        <v>0</v>
      </c>
      <c r="T2508">
        <v>0</v>
      </c>
      <c r="U2508">
        <v>829</v>
      </c>
    </row>
    <row r="2509" spans="1:21" x14ac:dyDescent="0.25">
      <c r="H2509" t="s">
        <v>2541</v>
      </c>
    </row>
    <row r="2510" spans="1:21" x14ac:dyDescent="0.25">
      <c r="A2510">
        <v>1252</v>
      </c>
      <c r="B2510">
        <v>6511</v>
      </c>
      <c r="C2510" t="s">
        <v>4352</v>
      </c>
      <c r="D2510" t="s">
        <v>85</v>
      </c>
      <c r="E2510" t="s">
        <v>122</v>
      </c>
      <c r="F2510" t="s">
        <v>4353</v>
      </c>
      <c r="G2510" t="str">
        <f>"201511025846"</f>
        <v>201511025846</v>
      </c>
      <c r="H2510" t="s">
        <v>2721</v>
      </c>
      <c r="I2510">
        <v>0</v>
      </c>
      <c r="J2510">
        <v>0</v>
      </c>
      <c r="K2510">
        <v>0</v>
      </c>
      <c r="L2510">
        <v>0</v>
      </c>
      <c r="M2510">
        <v>0</v>
      </c>
      <c r="N2510">
        <v>0</v>
      </c>
      <c r="O2510">
        <v>0</v>
      </c>
      <c r="P2510">
        <v>0</v>
      </c>
      <c r="Q2510">
        <v>0</v>
      </c>
      <c r="T2510">
        <v>0</v>
      </c>
      <c r="U2510" t="s">
        <v>2721</v>
      </c>
    </row>
    <row r="2511" spans="1:21" x14ac:dyDescent="0.25">
      <c r="H2511" t="s">
        <v>4354</v>
      </c>
    </row>
    <row r="2512" spans="1:21" x14ac:dyDescent="0.25">
      <c r="A2512">
        <v>1253</v>
      </c>
      <c r="B2512">
        <v>9853</v>
      </c>
      <c r="C2512" t="s">
        <v>4355</v>
      </c>
      <c r="D2512" t="s">
        <v>3278</v>
      </c>
      <c r="E2512" t="s">
        <v>474</v>
      </c>
      <c r="F2512" t="s">
        <v>4356</v>
      </c>
      <c r="G2512" t="str">
        <f>"201511038247"</f>
        <v>201511038247</v>
      </c>
      <c r="H2512" t="s">
        <v>2721</v>
      </c>
      <c r="I2512">
        <v>0</v>
      </c>
      <c r="J2512">
        <v>0</v>
      </c>
      <c r="K2512">
        <v>0</v>
      </c>
      <c r="L2512">
        <v>0</v>
      </c>
      <c r="M2512">
        <v>0</v>
      </c>
      <c r="N2512">
        <v>0</v>
      </c>
      <c r="O2512">
        <v>0</v>
      </c>
      <c r="P2512">
        <v>0</v>
      </c>
      <c r="Q2512">
        <v>0</v>
      </c>
      <c r="T2512">
        <v>0</v>
      </c>
      <c r="U2512" t="s">
        <v>2721</v>
      </c>
    </row>
    <row r="2513" spans="1:21" x14ac:dyDescent="0.25">
      <c r="H2513" t="s">
        <v>4357</v>
      </c>
    </row>
    <row r="2514" spans="1:21" x14ac:dyDescent="0.25">
      <c r="A2514">
        <v>1254</v>
      </c>
      <c r="B2514">
        <v>1098</v>
      </c>
      <c r="C2514" t="s">
        <v>4358</v>
      </c>
      <c r="D2514" t="s">
        <v>64</v>
      </c>
      <c r="E2514" t="s">
        <v>135</v>
      </c>
      <c r="F2514" t="s">
        <v>4359</v>
      </c>
      <c r="G2514" t="str">
        <f>"201105000140"</f>
        <v>201105000140</v>
      </c>
      <c r="H2514" t="s">
        <v>2721</v>
      </c>
      <c r="I2514">
        <v>0</v>
      </c>
      <c r="J2514">
        <v>0</v>
      </c>
      <c r="K2514">
        <v>0</v>
      </c>
      <c r="L2514">
        <v>0</v>
      </c>
      <c r="M2514">
        <v>0</v>
      </c>
      <c r="N2514">
        <v>0</v>
      </c>
      <c r="O2514">
        <v>0</v>
      </c>
      <c r="P2514">
        <v>0</v>
      </c>
      <c r="Q2514">
        <v>0</v>
      </c>
      <c r="T2514">
        <v>0</v>
      </c>
      <c r="U2514" t="s">
        <v>2721</v>
      </c>
    </row>
    <row r="2515" spans="1:21" x14ac:dyDescent="0.25">
      <c r="H2515" t="s">
        <v>4360</v>
      </c>
    </row>
    <row r="2516" spans="1:21" x14ac:dyDescent="0.25">
      <c r="A2516">
        <v>1255</v>
      </c>
      <c r="B2516">
        <v>6095</v>
      </c>
      <c r="C2516" t="s">
        <v>4361</v>
      </c>
      <c r="D2516" t="s">
        <v>57</v>
      </c>
      <c r="E2516" t="s">
        <v>51</v>
      </c>
      <c r="F2516" t="s">
        <v>4362</v>
      </c>
      <c r="G2516" t="str">
        <f>"201502001114"</f>
        <v>201502001114</v>
      </c>
      <c r="H2516" t="s">
        <v>2721</v>
      </c>
      <c r="I2516">
        <v>0</v>
      </c>
      <c r="J2516">
        <v>0</v>
      </c>
      <c r="K2516">
        <v>0</v>
      </c>
      <c r="L2516">
        <v>0</v>
      </c>
      <c r="M2516">
        <v>0</v>
      </c>
      <c r="N2516">
        <v>0</v>
      </c>
      <c r="O2516">
        <v>0</v>
      </c>
      <c r="P2516">
        <v>0</v>
      </c>
      <c r="Q2516">
        <v>0</v>
      </c>
      <c r="T2516">
        <v>0</v>
      </c>
      <c r="U2516" t="s">
        <v>2721</v>
      </c>
    </row>
    <row r="2517" spans="1:21" x14ac:dyDescent="0.25">
      <c r="H2517" t="s">
        <v>4363</v>
      </c>
    </row>
    <row r="2518" spans="1:21" x14ac:dyDescent="0.25">
      <c r="A2518">
        <v>1256</v>
      </c>
      <c r="B2518">
        <v>5243</v>
      </c>
      <c r="C2518" t="s">
        <v>4364</v>
      </c>
      <c r="D2518" t="s">
        <v>116</v>
      </c>
      <c r="E2518" t="s">
        <v>533</v>
      </c>
      <c r="F2518" t="s">
        <v>4365</v>
      </c>
      <c r="G2518" t="str">
        <f>"201511010535"</f>
        <v>201511010535</v>
      </c>
      <c r="H2518" t="s">
        <v>4366</v>
      </c>
      <c r="I2518">
        <v>0</v>
      </c>
      <c r="J2518">
        <v>0</v>
      </c>
      <c r="K2518">
        <v>0</v>
      </c>
      <c r="L2518">
        <v>0</v>
      </c>
      <c r="M2518">
        <v>0</v>
      </c>
      <c r="N2518">
        <v>0</v>
      </c>
      <c r="O2518">
        <v>0</v>
      </c>
      <c r="P2518">
        <v>0</v>
      </c>
      <c r="Q2518">
        <v>0</v>
      </c>
      <c r="T2518">
        <v>0</v>
      </c>
      <c r="U2518" t="s">
        <v>4366</v>
      </c>
    </row>
    <row r="2519" spans="1:21" x14ac:dyDescent="0.25">
      <c r="H2519" t="s">
        <v>4367</v>
      </c>
    </row>
    <row r="2520" spans="1:21" x14ac:dyDescent="0.25">
      <c r="A2520">
        <v>1257</v>
      </c>
      <c r="B2520">
        <v>6502</v>
      </c>
      <c r="C2520" t="s">
        <v>4368</v>
      </c>
      <c r="D2520" t="s">
        <v>95</v>
      </c>
      <c r="E2520" t="s">
        <v>42</v>
      </c>
      <c r="F2520" t="s">
        <v>4369</v>
      </c>
      <c r="G2520" t="str">
        <f>"00019694"</f>
        <v>00019694</v>
      </c>
      <c r="H2520" t="s">
        <v>4370</v>
      </c>
      <c r="I2520">
        <v>0</v>
      </c>
      <c r="J2520">
        <v>30</v>
      </c>
      <c r="K2520">
        <v>0</v>
      </c>
      <c r="L2520">
        <v>0</v>
      </c>
      <c r="M2520">
        <v>0</v>
      </c>
      <c r="N2520">
        <v>0</v>
      </c>
      <c r="O2520">
        <v>0</v>
      </c>
      <c r="P2520">
        <v>0</v>
      </c>
      <c r="Q2520">
        <v>0</v>
      </c>
      <c r="T2520">
        <v>0</v>
      </c>
      <c r="U2520" t="s">
        <v>4371</v>
      </c>
    </row>
    <row r="2521" spans="1:21" x14ac:dyDescent="0.25">
      <c r="H2521" t="s">
        <v>2553</v>
      </c>
    </row>
    <row r="2522" spans="1:21" x14ac:dyDescent="0.25">
      <c r="A2522">
        <v>1258</v>
      </c>
      <c r="B2522">
        <v>4368</v>
      </c>
      <c r="C2522" t="s">
        <v>4372</v>
      </c>
      <c r="D2522" t="s">
        <v>4373</v>
      </c>
      <c r="E2522" t="s">
        <v>4374</v>
      </c>
      <c r="F2522" t="s">
        <v>4375</v>
      </c>
      <c r="G2522" t="str">
        <f>"00091714"</f>
        <v>00091714</v>
      </c>
      <c r="H2522">
        <v>825</v>
      </c>
      <c r="I2522">
        <v>0</v>
      </c>
      <c r="J2522">
        <v>0</v>
      </c>
      <c r="K2522">
        <v>0</v>
      </c>
      <c r="L2522">
        <v>0</v>
      </c>
      <c r="M2522">
        <v>0</v>
      </c>
      <c r="N2522">
        <v>0</v>
      </c>
      <c r="O2522">
        <v>0</v>
      </c>
      <c r="P2522">
        <v>0</v>
      </c>
      <c r="Q2522">
        <v>0</v>
      </c>
      <c r="T2522">
        <v>0</v>
      </c>
      <c r="U2522">
        <v>825</v>
      </c>
    </row>
    <row r="2523" spans="1:21" x14ac:dyDescent="0.25">
      <c r="H2523" t="s">
        <v>2846</v>
      </c>
    </row>
    <row r="2524" spans="1:21" x14ac:dyDescent="0.25">
      <c r="A2524">
        <v>1259</v>
      </c>
      <c r="B2524">
        <v>5385</v>
      </c>
      <c r="C2524" t="s">
        <v>2489</v>
      </c>
      <c r="D2524" t="s">
        <v>4376</v>
      </c>
      <c r="E2524" t="s">
        <v>112</v>
      </c>
      <c r="F2524" t="s">
        <v>4377</v>
      </c>
      <c r="G2524" t="str">
        <f>"00035805"</f>
        <v>00035805</v>
      </c>
      <c r="H2524">
        <v>825</v>
      </c>
      <c r="I2524">
        <v>0</v>
      </c>
      <c r="J2524">
        <v>0</v>
      </c>
      <c r="K2524">
        <v>0</v>
      </c>
      <c r="L2524">
        <v>0</v>
      </c>
      <c r="M2524">
        <v>0</v>
      </c>
      <c r="N2524">
        <v>0</v>
      </c>
      <c r="O2524">
        <v>0</v>
      </c>
      <c r="P2524">
        <v>0</v>
      </c>
      <c r="Q2524">
        <v>0</v>
      </c>
      <c r="T2524">
        <v>2</v>
      </c>
      <c r="U2524">
        <v>825</v>
      </c>
    </row>
    <row r="2525" spans="1:21" x14ac:dyDescent="0.25">
      <c r="H2525" t="s">
        <v>4378</v>
      </c>
    </row>
    <row r="2526" spans="1:21" x14ac:dyDescent="0.25">
      <c r="A2526">
        <v>1260</v>
      </c>
      <c r="B2526">
        <v>7087</v>
      </c>
      <c r="C2526" t="s">
        <v>303</v>
      </c>
      <c r="D2526" t="s">
        <v>64</v>
      </c>
      <c r="E2526" t="s">
        <v>533</v>
      </c>
      <c r="F2526" t="s">
        <v>4379</v>
      </c>
      <c r="G2526" t="str">
        <f>"00030428"</f>
        <v>00030428</v>
      </c>
      <c r="H2526">
        <v>825</v>
      </c>
      <c r="I2526">
        <v>0</v>
      </c>
      <c r="J2526">
        <v>0</v>
      </c>
      <c r="K2526">
        <v>0</v>
      </c>
      <c r="L2526">
        <v>0</v>
      </c>
      <c r="M2526">
        <v>0</v>
      </c>
      <c r="N2526">
        <v>0</v>
      </c>
      <c r="O2526">
        <v>0</v>
      </c>
      <c r="P2526">
        <v>0</v>
      </c>
      <c r="Q2526">
        <v>0</v>
      </c>
      <c r="R2526">
        <v>6</v>
      </c>
      <c r="S2526">
        <v>807</v>
      </c>
      <c r="T2526">
        <v>0</v>
      </c>
      <c r="U2526">
        <v>825</v>
      </c>
    </row>
    <row r="2527" spans="1:21" x14ac:dyDescent="0.25">
      <c r="H2527" t="s">
        <v>4380</v>
      </c>
    </row>
    <row r="2528" spans="1:21" x14ac:dyDescent="0.25">
      <c r="A2528">
        <v>1261</v>
      </c>
      <c r="B2528">
        <v>7087</v>
      </c>
      <c r="C2528" t="s">
        <v>303</v>
      </c>
      <c r="D2528" t="s">
        <v>64</v>
      </c>
      <c r="E2528" t="s">
        <v>533</v>
      </c>
      <c r="F2528" t="s">
        <v>4379</v>
      </c>
      <c r="G2528" t="str">
        <f>"00030428"</f>
        <v>00030428</v>
      </c>
      <c r="H2528">
        <v>825</v>
      </c>
      <c r="I2528">
        <v>0</v>
      </c>
      <c r="J2528">
        <v>0</v>
      </c>
      <c r="K2528">
        <v>0</v>
      </c>
      <c r="L2528">
        <v>0</v>
      </c>
      <c r="M2528">
        <v>0</v>
      </c>
      <c r="N2528">
        <v>0</v>
      </c>
      <c r="O2528">
        <v>0</v>
      </c>
      <c r="P2528">
        <v>0</v>
      </c>
      <c r="Q2528">
        <v>0</v>
      </c>
      <c r="T2528">
        <v>0</v>
      </c>
      <c r="U2528">
        <v>825</v>
      </c>
    </row>
    <row r="2529" spans="1:21" x14ac:dyDescent="0.25">
      <c r="H2529" t="s">
        <v>4380</v>
      </c>
    </row>
    <row r="2530" spans="1:21" x14ac:dyDescent="0.25">
      <c r="A2530">
        <v>1262</v>
      </c>
      <c r="B2530">
        <v>6232</v>
      </c>
      <c r="C2530" t="s">
        <v>4250</v>
      </c>
      <c r="D2530" t="s">
        <v>57</v>
      </c>
      <c r="E2530" t="s">
        <v>135</v>
      </c>
      <c r="F2530" t="s">
        <v>4381</v>
      </c>
      <c r="G2530" t="str">
        <f>"00016209"</f>
        <v>00016209</v>
      </c>
      <c r="H2530">
        <v>825</v>
      </c>
      <c r="I2530">
        <v>0</v>
      </c>
      <c r="J2530">
        <v>0</v>
      </c>
      <c r="K2530">
        <v>0</v>
      </c>
      <c r="L2530">
        <v>0</v>
      </c>
      <c r="M2530">
        <v>0</v>
      </c>
      <c r="N2530">
        <v>0</v>
      </c>
      <c r="O2530">
        <v>0</v>
      </c>
      <c r="P2530">
        <v>0</v>
      </c>
      <c r="Q2530">
        <v>0</v>
      </c>
      <c r="T2530">
        <v>0</v>
      </c>
      <c r="U2530">
        <v>825</v>
      </c>
    </row>
    <row r="2531" spans="1:21" x14ac:dyDescent="0.25">
      <c r="H2531" t="s">
        <v>4382</v>
      </c>
    </row>
    <row r="2532" spans="1:21" x14ac:dyDescent="0.25">
      <c r="A2532">
        <v>1263</v>
      </c>
      <c r="B2532">
        <v>265</v>
      </c>
      <c r="C2532" t="s">
        <v>4383</v>
      </c>
      <c r="D2532" t="s">
        <v>121</v>
      </c>
      <c r="E2532" t="s">
        <v>122</v>
      </c>
      <c r="F2532" t="s">
        <v>4384</v>
      </c>
      <c r="G2532" t="str">
        <f>"201511029275"</f>
        <v>201511029275</v>
      </c>
      <c r="H2532">
        <v>825</v>
      </c>
      <c r="I2532">
        <v>0</v>
      </c>
      <c r="J2532">
        <v>0</v>
      </c>
      <c r="K2532">
        <v>0</v>
      </c>
      <c r="L2532">
        <v>0</v>
      </c>
      <c r="M2532">
        <v>0</v>
      </c>
      <c r="N2532">
        <v>0</v>
      </c>
      <c r="O2532">
        <v>0</v>
      </c>
      <c r="P2532">
        <v>0</v>
      </c>
      <c r="Q2532">
        <v>0</v>
      </c>
      <c r="T2532">
        <v>2</v>
      </c>
      <c r="U2532">
        <v>825</v>
      </c>
    </row>
    <row r="2533" spans="1:21" x14ac:dyDescent="0.25">
      <c r="H2533" t="s">
        <v>4385</v>
      </c>
    </row>
    <row r="2534" spans="1:21" x14ac:dyDescent="0.25">
      <c r="A2534">
        <v>1264</v>
      </c>
      <c r="B2534">
        <v>8729</v>
      </c>
      <c r="C2534" t="s">
        <v>4386</v>
      </c>
      <c r="D2534" t="s">
        <v>185</v>
      </c>
      <c r="E2534" t="s">
        <v>4387</v>
      </c>
      <c r="F2534" t="s">
        <v>4388</v>
      </c>
      <c r="G2534" t="str">
        <f>"200712004681"</f>
        <v>200712004681</v>
      </c>
      <c r="H2534">
        <v>825</v>
      </c>
      <c r="I2534">
        <v>0</v>
      </c>
      <c r="J2534">
        <v>0</v>
      </c>
      <c r="K2534">
        <v>0</v>
      </c>
      <c r="L2534">
        <v>0</v>
      </c>
      <c r="M2534">
        <v>0</v>
      </c>
      <c r="N2534">
        <v>0</v>
      </c>
      <c r="O2534">
        <v>0</v>
      </c>
      <c r="P2534">
        <v>0</v>
      </c>
      <c r="Q2534">
        <v>0</v>
      </c>
      <c r="T2534">
        <v>0</v>
      </c>
      <c r="U2534">
        <v>825</v>
      </c>
    </row>
    <row r="2535" spans="1:21" x14ac:dyDescent="0.25">
      <c r="H2535" t="s">
        <v>4389</v>
      </c>
    </row>
    <row r="2536" spans="1:21" x14ac:dyDescent="0.25">
      <c r="A2536">
        <v>1265</v>
      </c>
      <c r="B2536">
        <v>2951</v>
      </c>
      <c r="C2536" t="s">
        <v>4390</v>
      </c>
      <c r="D2536" t="s">
        <v>64</v>
      </c>
      <c r="E2536" t="s">
        <v>1355</v>
      </c>
      <c r="F2536" t="s">
        <v>4391</v>
      </c>
      <c r="G2536" t="str">
        <f>"201008000204"</f>
        <v>201008000204</v>
      </c>
      <c r="H2536">
        <v>825</v>
      </c>
      <c r="I2536">
        <v>0</v>
      </c>
      <c r="J2536">
        <v>0</v>
      </c>
      <c r="K2536">
        <v>0</v>
      </c>
      <c r="L2536">
        <v>0</v>
      </c>
      <c r="M2536">
        <v>0</v>
      </c>
      <c r="N2536">
        <v>0</v>
      </c>
      <c r="O2536">
        <v>0</v>
      </c>
      <c r="P2536">
        <v>0</v>
      </c>
      <c r="Q2536">
        <v>0</v>
      </c>
      <c r="T2536">
        <v>0</v>
      </c>
      <c r="U2536">
        <v>825</v>
      </c>
    </row>
    <row r="2537" spans="1:21" x14ac:dyDescent="0.25">
      <c r="H2537" t="s">
        <v>4392</v>
      </c>
    </row>
    <row r="2538" spans="1:21" x14ac:dyDescent="0.25">
      <c r="A2538">
        <v>1266</v>
      </c>
      <c r="B2538">
        <v>1519</v>
      </c>
      <c r="C2538" t="s">
        <v>4393</v>
      </c>
      <c r="D2538" t="s">
        <v>372</v>
      </c>
      <c r="E2538" t="s">
        <v>36</v>
      </c>
      <c r="F2538" t="s">
        <v>4394</v>
      </c>
      <c r="G2538" t="str">
        <f>"00020894"</f>
        <v>00020894</v>
      </c>
      <c r="H2538">
        <v>825</v>
      </c>
      <c r="I2538">
        <v>0</v>
      </c>
      <c r="J2538">
        <v>0</v>
      </c>
      <c r="K2538">
        <v>0</v>
      </c>
      <c r="L2538">
        <v>0</v>
      </c>
      <c r="M2538">
        <v>0</v>
      </c>
      <c r="N2538">
        <v>0</v>
      </c>
      <c r="O2538">
        <v>0</v>
      </c>
      <c r="P2538">
        <v>0</v>
      </c>
      <c r="Q2538">
        <v>0</v>
      </c>
      <c r="T2538">
        <v>0</v>
      </c>
      <c r="U2538">
        <v>825</v>
      </c>
    </row>
    <row r="2539" spans="1:21" x14ac:dyDescent="0.25">
      <c r="H2539" t="s">
        <v>4395</v>
      </c>
    </row>
    <row r="2540" spans="1:21" x14ac:dyDescent="0.25">
      <c r="A2540">
        <v>1267</v>
      </c>
      <c r="B2540">
        <v>3873</v>
      </c>
      <c r="C2540" t="s">
        <v>4396</v>
      </c>
      <c r="D2540" t="s">
        <v>4397</v>
      </c>
      <c r="E2540" t="s">
        <v>4398</v>
      </c>
      <c r="F2540" t="s">
        <v>4399</v>
      </c>
      <c r="G2540" t="str">
        <f>"201511032364"</f>
        <v>201511032364</v>
      </c>
      <c r="H2540">
        <v>825</v>
      </c>
      <c r="I2540">
        <v>0</v>
      </c>
      <c r="J2540">
        <v>0</v>
      </c>
      <c r="K2540">
        <v>0</v>
      </c>
      <c r="L2540">
        <v>0</v>
      </c>
      <c r="M2540">
        <v>0</v>
      </c>
      <c r="N2540">
        <v>0</v>
      </c>
      <c r="O2540">
        <v>0</v>
      </c>
      <c r="P2540">
        <v>0</v>
      </c>
      <c r="Q2540">
        <v>0</v>
      </c>
      <c r="T2540">
        <v>0</v>
      </c>
      <c r="U2540">
        <v>825</v>
      </c>
    </row>
    <row r="2541" spans="1:21" x14ac:dyDescent="0.25">
      <c r="H2541" t="s">
        <v>4400</v>
      </c>
    </row>
    <row r="2542" spans="1:21" x14ac:dyDescent="0.25">
      <c r="A2542">
        <v>1268</v>
      </c>
      <c r="B2542">
        <v>845</v>
      </c>
      <c r="C2542" t="s">
        <v>4401</v>
      </c>
      <c r="D2542" t="s">
        <v>4402</v>
      </c>
      <c r="E2542" t="s">
        <v>561</v>
      </c>
      <c r="F2542" t="s">
        <v>4403</v>
      </c>
      <c r="G2542" t="str">
        <f>"201510003694"</f>
        <v>201510003694</v>
      </c>
      <c r="H2542">
        <v>825</v>
      </c>
      <c r="I2542">
        <v>0</v>
      </c>
      <c r="J2542">
        <v>0</v>
      </c>
      <c r="K2542">
        <v>0</v>
      </c>
      <c r="L2542">
        <v>0</v>
      </c>
      <c r="M2542">
        <v>0</v>
      </c>
      <c r="N2542">
        <v>0</v>
      </c>
      <c r="O2542">
        <v>0</v>
      </c>
      <c r="P2542">
        <v>0</v>
      </c>
      <c r="Q2542">
        <v>0</v>
      </c>
      <c r="T2542">
        <v>0</v>
      </c>
      <c r="U2542">
        <v>825</v>
      </c>
    </row>
    <row r="2543" spans="1:21" x14ac:dyDescent="0.25">
      <c r="H2543" t="s">
        <v>4404</v>
      </c>
    </row>
    <row r="2544" spans="1:21" x14ac:dyDescent="0.25">
      <c r="A2544">
        <v>1269</v>
      </c>
      <c r="B2544">
        <v>1618</v>
      </c>
      <c r="C2544" t="s">
        <v>2767</v>
      </c>
      <c r="D2544" t="s">
        <v>975</v>
      </c>
      <c r="E2544" t="s">
        <v>122</v>
      </c>
      <c r="F2544" t="s">
        <v>2768</v>
      </c>
      <c r="G2544" t="str">
        <f>"00027934"</f>
        <v>00027934</v>
      </c>
      <c r="H2544">
        <v>825</v>
      </c>
      <c r="I2544">
        <v>0</v>
      </c>
      <c r="J2544">
        <v>0</v>
      </c>
      <c r="K2544">
        <v>0</v>
      </c>
      <c r="L2544">
        <v>0</v>
      </c>
      <c r="M2544">
        <v>0</v>
      </c>
      <c r="N2544">
        <v>0</v>
      </c>
      <c r="O2544">
        <v>0</v>
      </c>
      <c r="P2544">
        <v>0</v>
      </c>
      <c r="Q2544">
        <v>0</v>
      </c>
      <c r="T2544">
        <v>0</v>
      </c>
      <c r="U2544">
        <v>825</v>
      </c>
    </row>
    <row r="2545" spans="1:21" x14ac:dyDescent="0.25">
      <c r="H2545" t="s">
        <v>2769</v>
      </c>
    </row>
    <row r="2546" spans="1:21" x14ac:dyDescent="0.25">
      <c r="A2546">
        <v>1270</v>
      </c>
      <c r="B2546">
        <v>3908</v>
      </c>
      <c r="C2546" t="s">
        <v>4405</v>
      </c>
      <c r="D2546" t="s">
        <v>64</v>
      </c>
      <c r="E2546" t="s">
        <v>191</v>
      </c>
      <c r="F2546" t="s">
        <v>4406</v>
      </c>
      <c r="G2546" t="str">
        <f>"201003000264"</f>
        <v>201003000264</v>
      </c>
      <c r="H2546">
        <v>825</v>
      </c>
      <c r="I2546">
        <v>0</v>
      </c>
      <c r="J2546">
        <v>0</v>
      </c>
      <c r="K2546">
        <v>0</v>
      </c>
      <c r="L2546">
        <v>0</v>
      </c>
      <c r="M2546">
        <v>0</v>
      </c>
      <c r="N2546">
        <v>0</v>
      </c>
      <c r="O2546">
        <v>0</v>
      </c>
      <c r="P2546">
        <v>0</v>
      </c>
      <c r="Q2546">
        <v>0</v>
      </c>
      <c r="T2546">
        <v>0</v>
      </c>
      <c r="U2546">
        <v>825</v>
      </c>
    </row>
    <row r="2547" spans="1:21" x14ac:dyDescent="0.25">
      <c r="H2547" t="s">
        <v>4407</v>
      </c>
    </row>
    <row r="2548" spans="1:21" x14ac:dyDescent="0.25">
      <c r="A2548">
        <v>1271</v>
      </c>
      <c r="B2548">
        <v>3837</v>
      </c>
      <c r="C2548" t="s">
        <v>4408</v>
      </c>
      <c r="D2548" t="s">
        <v>154</v>
      </c>
      <c r="E2548" t="s">
        <v>4409</v>
      </c>
      <c r="F2548" t="s">
        <v>4410</v>
      </c>
      <c r="G2548" t="str">
        <f>"201010000051"</f>
        <v>201010000051</v>
      </c>
      <c r="H2548">
        <v>825</v>
      </c>
      <c r="I2548">
        <v>0</v>
      </c>
      <c r="J2548">
        <v>0</v>
      </c>
      <c r="K2548">
        <v>0</v>
      </c>
      <c r="L2548">
        <v>0</v>
      </c>
      <c r="M2548">
        <v>0</v>
      </c>
      <c r="N2548">
        <v>0</v>
      </c>
      <c r="O2548">
        <v>0</v>
      </c>
      <c r="P2548">
        <v>0</v>
      </c>
      <c r="Q2548">
        <v>0</v>
      </c>
      <c r="T2548">
        <v>0</v>
      </c>
      <c r="U2548">
        <v>825</v>
      </c>
    </row>
    <row r="2549" spans="1:21" x14ac:dyDescent="0.25">
      <c r="H2549" t="s">
        <v>4411</v>
      </c>
    </row>
    <row r="2550" spans="1:21" x14ac:dyDescent="0.25">
      <c r="A2550">
        <v>1272</v>
      </c>
      <c r="B2550">
        <v>425</v>
      </c>
      <c r="C2550" t="s">
        <v>273</v>
      </c>
      <c r="D2550" t="s">
        <v>121</v>
      </c>
      <c r="E2550" t="s">
        <v>122</v>
      </c>
      <c r="F2550" t="s">
        <v>4412</v>
      </c>
      <c r="G2550" t="str">
        <f>"201511031955"</f>
        <v>201511031955</v>
      </c>
      <c r="H2550">
        <v>825</v>
      </c>
      <c r="I2550">
        <v>0</v>
      </c>
      <c r="J2550">
        <v>0</v>
      </c>
      <c r="K2550">
        <v>0</v>
      </c>
      <c r="L2550">
        <v>0</v>
      </c>
      <c r="M2550">
        <v>0</v>
      </c>
      <c r="N2550">
        <v>0</v>
      </c>
      <c r="O2550">
        <v>0</v>
      </c>
      <c r="P2550">
        <v>0</v>
      </c>
      <c r="Q2550">
        <v>0</v>
      </c>
      <c r="T2550">
        <v>0</v>
      </c>
      <c r="U2550">
        <v>825</v>
      </c>
    </row>
    <row r="2551" spans="1:21" x14ac:dyDescent="0.25">
      <c r="H2551" t="s">
        <v>4413</v>
      </c>
    </row>
    <row r="2552" spans="1:21" x14ac:dyDescent="0.25">
      <c r="A2552">
        <v>1273</v>
      </c>
      <c r="B2552">
        <v>3196</v>
      </c>
      <c r="C2552" t="s">
        <v>4414</v>
      </c>
      <c r="D2552" t="s">
        <v>1673</v>
      </c>
      <c r="E2552" t="s">
        <v>4415</v>
      </c>
      <c r="F2552" t="s">
        <v>4416</v>
      </c>
      <c r="G2552" t="str">
        <f>"00040422"</f>
        <v>00040422</v>
      </c>
      <c r="H2552">
        <v>825</v>
      </c>
      <c r="I2552">
        <v>0</v>
      </c>
      <c r="J2552">
        <v>0</v>
      </c>
      <c r="K2552">
        <v>0</v>
      </c>
      <c r="L2552">
        <v>0</v>
      </c>
      <c r="M2552">
        <v>0</v>
      </c>
      <c r="N2552">
        <v>0</v>
      </c>
      <c r="O2552">
        <v>0</v>
      </c>
      <c r="P2552">
        <v>0</v>
      </c>
      <c r="Q2552">
        <v>0</v>
      </c>
      <c r="T2552">
        <v>0</v>
      </c>
      <c r="U2552">
        <v>825</v>
      </c>
    </row>
    <row r="2553" spans="1:21" x14ac:dyDescent="0.25">
      <c r="H2553" t="s">
        <v>4417</v>
      </c>
    </row>
    <row r="2554" spans="1:21" x14ac:dyDescent="0.25">
      <c r="A2554">
        <v>1274</v>
      </c>
      <c r="B2554">
        <v>1107</v>
      </c>
      <c r="C2554" t="s">
        <v>4418</v>
      </c>
      <c r="D2554" t="s">
        <v>4419</v>
      </c>
      <c r="E2554" t="s">
        <v>4420</v>
      </c>
      <c r="F2554" t="s">
        <v>4421</v>
      </c>
      <c r="G2554" t="str">
        <f>"00024883"</f>
        <v>00024883</v>
      </c>
      <c r="H2554">
        <v>825</v>
      </c>
      <c r="I2554">
        <v>0</v>
      </c>
      <c r="J2554">
        <v>0</v>
      </c>
      <c r="K2554">
        <v>0</v>
      </c>
      <c r="L2554">
        <v>0</v>
      </c>
      <c r="M2554">
        <v>0</v>
      </c>
      <c r="N2554">
        <v>0</v>
      </c>
      <c r="O2554">
        <v>0</v>
      </c>
      <c r="P2554">
        <v>0</v>
      </c>
      <c r="Q2554">
        <v>0</v>
      </c>
      <c r="T2554">
        <v>0</v>
      </c>
      <c r="U2554">
        <v>825</v>
      </c>
    </row>
    <row r="2555" spans="1:21" x14ac:dyDescent="0.25">
      <c r="H2555" t="s">
        <v>4422</v>
      </c>
    </row>
    <row r="2556" spans="1:21" x14ac:dyDescent="0.25">
      <c r="A2556">
        <v>1275</v>
      </c>
      <c r="B2556">
        <v>3990</v>
      </c>
      <c r="C2556" t="s">
        <v>4423</v>
      </c>
      <c r="D2556" t="s">
        <v>121</v>
      </c>
      <c r="E2556" t="s">
        <v>155</v>
      </c>
      <c r="F2556" t="s">
        <v>4424</v>
      </c>
      <c r="G2556" t="str">
        <f>"00077038"</f>
        <v>00077038</v>
      </c>
      <c r="H2556">
        <v>825</v>
      </c>
      <c r="I2556">
        <v>0</v>
      </c>
      <c r="J2556">
        <v>0</v>
      </c>
      <c r="K2556">
        <v>0</v>
      </c>
      <c r="L2556">
        <v>0</v>
      </c>
      <c r="M2556">
        <v>0</v>
      </c>
      <c r="N2556">
        <v>0</v>
      </c>
      <c r="O2556">
        <v>0</v>
      </c>
      <c r="P2556">
        <v>0</v>
      </c>
      <c r="Q2556">
        <v>0</v>
      </c>
      <c r="T2556">
        <v>2</v>
      </c>
      <c r="U2556">
        <v>825</v>
      </c>
    </row>
    <row r="2557" spans="1:21" x14ac:dyDescent="0.25">
      <c r="H2557" t="s">
        <v>4425</v>
      </c>
    </row>
    <row r="2558" spans="1:21" x14ac:dyDescent="0.25">
      <c r="A2558">
        <v>1276</v>
      </c>
      <c r="B2558">
        <v>8466</v>
      </c>
      <c r="C2558" t="s">
        <v>4426</v>
      </c>
      <c r="D2558" t="s">
        <v>116</v>
      </c>
      <c r="E2558" t="s">
        <v>70</v>
      </c>
      <c r="F2558" t="s">
        <v>4427</v>
      </c>
      <c r="G2558" t="str">
        <f>"201512004152"</f>
        <v>201512004152</v>
      </c>
      <c r="H2558">
        <v>825</v>
      </c>
      <c r="I2558">
        <v>0</v>
      </c>
      <c r="J2558">
        <v>0</v>
      </c>
      <c r="K2558">
        <v>0</v>
      </c>
      <c r="L2558">
        <v>0</v>
      </c>
      <c r="M2558">
        <v>0</v>
      </c>
      <c r="N2558">
        <v>0</v>
      </c>
      <c r="O2558">
        <v>0</v>
      </c>
      <c r="P2558">
        <v>0</v>
      </c>
      <c r="Q2558">
        <v>0</v>
      </c>
      <c r="T2558">
        <v>0</v>
      </c>
      <c r="U2558">
        <v>825</v>
      </c>
    </row>
    <row r="2559" spans="1:21" x14ac:dyDescent="0.25">
      <c r="H2559" t="s">
        <v>4428</v>
      </c>
    </row>
    <row r="2560" spans="1:21" x14ac:dyDescent="0.25">
      <c r="A2560">
        <v>1277</v>
      </c>
      <c r="B2560">
        <v>1238</v>
      </c>
      <c r="C2560" t="s">
        <v>258</v>
      </c>
      <c r="D2560" t="s">
        <v>4429</v>
      </c>
      <c r="E2560" t="s">
        <v>122</v>
      </c>
      <c r="F2560" t="s">
        <v>4430</v>
      </c>
      <c r="G2560" t="str">
        <f>"00047056"</f>
        <v>00047056</v>
      </c>
      <c r="H2560">
        <v>825</v>
      </c>
      <c r="I2560">
        <v>0</v>
      </c>
      <c r="J2560">
        <v>0</v>
      </c>
      <c r="K2560">
        <v>0</v>
      </c>
      <c r="L2560">
        <v>0</v>
      </c>
      <c r="M2560">
        <v>0</v>
      </c>
      <c r="N2560">
        <v>0</v>
      </c>
      <c r="O2560">
        <v>0</v>
      </c>
      <c r="P2560">
        <v>0</v>
      </c>
      <c r="Q2560">
        <v>0</v>
      </c>
      <c r="T2560">
        <v>1</v>
      </c>
      <c r="U2560">
        <v>825</v>
      </c>
    </row>
    <row r="2561" spans="1:21" x14ac:dyDescent="0.25">
      <c r="H2561" t="s">
        <v>4431</v>
      </c>
    </row>
    <row r="2562" spans="1:21" x14ac:dyDescent="0.25">
      <c r="A2562">
        <v>1278</v>
      </c>
      <c r="B2562">
        <v>4800</v>
      </c>
      <c r="C2562" t="s">
        <v>4432</v>
      </c>
      <c r="D2562" t="s">
        <v>2375</v>
      </c>
      <c r="E2562" t="s">
        <v>36</v>
      </c>
      <c r="F2562" t="s">
        <v>4433</v>
      </c>
      <c r="G2562" t="str">
        <f>"00080182"</f>
        <v>00080182</v>
      </c>
      <c r="H2562">
        <v>825</v>
      </c>
      <c r="I2562">
        <v>0</v>
      </c>
      <c r="J2562">
        <v>0</v>
      </c>
      <c r="K2562">
        <v>0</v>
      </c>
      <c r="L2562">
        <v>0</v>
      </c>
      <c r="M2562">
        <v>0</v>
      </c>
      <c r="N2562">
        <v>0</v>
      </c>
      <c r="O2562">
        <v>0</v>
      </c>
      <c r="P2562">
        <v>0</v>
      </c>
      <c r="Q2562">
        <v>0</v>
      </c>
      <c r="T2562">
        <v>0</v>
      </c>
      <c r="U2562">
        <v>825</v>
      </c>
    </row>
    <row r="2563" spans="1:21" x14ac:dyDescent="0.25">
      <c r="H2563" t="s">
        <v>4434</v>
      </c>
    </row>
    <row r="2564" spans="1:21" x14ac:dyDescent="0.25">
      <c r="A2564">
        <v>1279</v>
      </c>
      <c r="B2564">
        <v>8127</v>
      </c>
      <c r="C2564" t="s">
        <v>4435</v>
      </c>
      <c r="D2564" t="s">
        <v>331</v>
      </c>
      <c r="E2564" t="s">
        <v>4436</v>
      </c>
      <c r="F2564" t="s">
        <v>4437</v>
      </c>
      <c r="G2564" t="str">
        <f>"201510000840"</f>
        <v>201510000840</v>
      </c>
      <c r="H2564">
        <v>825</v>
      </c>
      <c r="I2564">
        <v>0</v>
      </c>
      <c r="J2564">
        <v>0</v>
      </c>
      <c r="K2564">
        <v>0</v>
      </c>
      <c r="L2564">
        <v>0</v>
      </c>
      <c r="M2564">
        <v>0</v>
      </c>
      <c r="N2564">
        <v>0</v>
      </c>
      <c r="O2564">
        <v>0</v>
      </c>
      <c r="P2564">
        <v>0</v>
      </c>
      <c r="Q2564">
        <v>0</v>
      </c>
      <c r="T2564">
        <v>2</v>
      </c>
      <c r="U2564">
        <v>825</v>
      </c>
    </row>
    <row r="2565" spans="1:21" x14ac:dyDescent="0.25">
      <c r="H2565" t="s">
        <v>4438</v>
      </c>
    </row>
    <row r="2566" spans="1:21" x14ac:dyDescent="0.25">
      <c r="A2566">
        <v>1280</v>
      </c>
      <c r="B2566">
        <v>6194</v>
      </c>
      <c r="C2566" t="s">
        <v>4439</v>
      </c>
      <c r="D2566" t="s">
        <v>57</v>
      </c>
      <c r="E2566" t="s">
        <v>27</v>
      </c>
      <c r="F2566" t="s">
        <v>4440</v>
      </c>
      <c r="G2566" t="str">
        <f>"00026618"</f>
        <v>00026618</v>
      </c>
      <c r="H2566" t="s">
        <v>3103</v>
      </c>
      <c r="I2566">
        <v>0</v>
      </c>
      <c r="J2566">
        <v>30</v>
      </c>
      <c r="K2566">
        <v>0</v>
      </c>
      <c r="L2566">
        <v>0</v>
      </c>
      <c r="M2566">
        <v>0</v>
      </c>
      <c r="N2566">
        <v>0</v>
      </c>
      <c r="O2566">
        <v>0</v>
      </c>
      <c r="P2566">
        <v>0</v>
      </c>
      <c r="Q2566">
        <v>0</v>
      </c>
      <c r="T2566">
        <v>0</v>
      </c>
      <c r="U2566" t="s">
        <v>4441</v>
      </c>
    </row>
    <row r="2567" spans="1:21" x14ac:dyDescent="0.25">
      <c r="H2567" t="s">
        <v>4442</v>
      </c>
    </row>
    <row r="2568" spans="1:21" x14ac:dyDescent="0.25">
      <c r="A2568">
        <v>1281</v>
      </c>
      <c r="B2568">
        <v>2680</v>
      </c>
      <c r="C2568" t="s">
        <v>4443</v>
      </c>
      <c r="D2568" t="s">
        <v>4444</v>
      </c>
      <c r="E2568" t="s">
        <v>1136</v>
      </c>
      <c r="F2568" t="s">
        <v>4445</v>
      </c>
      <c r="G2568" t="str">
        <f>"00029792"</f>
        <v>00029792</v>
      </c>
      <c r="H2568">
        <v>792</v>
      </c>
      <c r="I2568">
        <v>0</v>
      </c>
      <c r="J2568">
        <v>30</v>
      </c>
      <c r="K2568">
        <v>0</v>
      </c>
      <c r="L2568">
        <v>0</v>
      </c>
      <c r="M2568">
        <v>0</v>
      </c>
      <c r="N2568">
        <v>0</v>
      </c>
      <c r="O2568">
        <v>0</v>
      </c>
      <c r="P2568">
        <v>0</v>
      </c>
      <c r="Q2568">
        <v>0</v>
      </c>
      <c r="T2568">
        <v>0</v>
      </c>
      <c r="U2568">
        <v>822</v>
      </c>
    </row>
    <row r="2569" spans="1:21" x14ac:dyDescent="0.25">
      <c r="H2569" t="s">
        <v>4446</v>
      </c>
    </row>
    <row r="2570" spans="1:21" x14ac:dyDescent="0.25">
      <c r="A2570">
        <v>1282</v>
      </c>
      <c r="B2570">
        <v>368</v>
      </c>
      <c r="C2570" t="s">
        <v>4447</v>
      </c>
      <c r="D2570" t="s">
        <v>64</v>
      </c>
      <c r="E2570" t="s">
        <v>135</v>
      </c>
      <c r="F2570" t="s">
        <v>4448</v>
      </c>
      <c r="G2570" t="str">
        <f>"200812000449"</f>
        <v>200812000449</v>
      </c>
      <c r="H2570" t="s">
        <v>3750</v>
      </c>
      <c r="I2570">
        <v>0</v>
      </c>
      <c r="J2570">
        <v>0</v>
      </c>
      <c r="K2570">
        <v>0</v>
      </c>
      <c r="L2570">
        <v>0</v>
      </c>
      <c r="M2570">
        <v>0</v>
      </c>
      <c r="N2570">
        <v>0</v>
      </c>
      <c r="O2570">
        <v>0</v>
      </c>
      <c r="P2570">
        <v>0</v>
      </c>
      <c r="Q2570">
        <v>0</v>
      </c>
      <c r="T2570">
        <v>0</v>
      </c>
      <c r="U2570" t="s">
        <v>3750</v>
      </c>
    </row>
    <row r="2571" spans="1:21" x14ac:dyDescent="0.25">
      <c r="H2571" t="s">
        <v>4449</v>
      </c>
    </row>
    <row r="2572" spans="1:21" x14ac:dyDescent="0.25">
      <c r="A2572">
        <v>1283</v>
      </c>
      <c r="B2572">
        <v>955</v>
      </c>
      <c r="C2572" t="s">
        <v>4450</v>
      </c>
      <c r="D2572" t="s">
        <v>858</v>
      </c>
      <c r="E2572" t="s">
        <v>70</v>
      </c>
      <c r="F2572" t="s">
        <v>4451</v>
      </c>
      <c r="G2572" t="str">
        <f>"00018403"</f>
        <v>00018403</v>
      </c>
      <c r="H2572" t="s">
        <v>3750</v>
      </c>
      <c r="I2572">
        <v>0</v>
      </c>
      <c r="J2572">
        <v>0</v>
      </c>
      <c r="K2572">
        <v>0</v>
      </c>
      <c r="L2572">
        <v>0</v>
      </c>
      <c r="M2572">
        <v>0</v>
      </c>
      <c r="N2572">
        <v>0</v>
      </c>
      <c r="O2572">
        <v>0</v>
      </c>
      <c r="P2572">
        <v>0</v>
      </c>
      <c r="Q2572">
        <v>0</v>
      </c>
      <c r="T2572">
        <v>0</v>
      </c>
      <c r="U2572" t="s">
        <v>3750</v>
      </c>
    </row>
    <row r="2573" spans="1:21" x14ac:dyDescent="0.25">
      <c r="H2573" t="s">
        <v>4452</v>
      </c>
    </row>
    <row r="2574" spans="1:21" x14ac:dyDescent="0.25">
      <c r="A2574">
        <v>1284</v>
      </c>
      <c r="B2574">
        <v>8669</v>
      </c>
      <c r="C2574" t="s">
        <v>4453</v>
      </c>
      <c r="D2574" t="s">
        <v>164</v>
      </c>
      <c r="E2574" t="s">
        <v>533</v>
      </c>
      <c r="F2574" t="s">
        <v>4454</v>
      </c>
      <c r="G2574" t="str">
        <f>"00030284"</f>
        <v>00030284</v>
      </c>
      <c r="H2574">
        <v>770</v>
      </c>
      <c r="I2574">
        <v>0</v>
      </c>
      <c r="J2574">
        <v>50</v>
      </c>
      <c r="K2574">
        <v>0</v>
      </c>
      <c r="L2574">
        <v>0</v>
      </c>
      <c r="M2574">
        <v>0</v>
      </c>
      <c r="N2574">
        <v>0</v>
      </c>
      <c r="O2574">
        <v>0</v>
      </c>
      <c r="P2574">
        <v>0</v>
      </c>
      <c r="Q2574">
        <v>0</v>
      </c>
      <c r="T2574">
        <v>0</v>
      </c>
      <c r="U2574">
        <v>820</v>
      </c>
    </row>
    <row r="2575" spans="1:21" x14ac:dyDescent="0.25">
      <c r="H2575" t="s">
        <v>4455</v>
      </c>
    </row>
    <row r="2576" spans="1:21" x14ac:dyDescent="0.25">
      <c r="A2576">
        <v>1285</v>
      </c>
      <c r="B2576">
        <v>3098</v>
      </c>
      <c r="C2576" t="s">
        <v>4456</v>
      </c>
      <c r="D2576" t="s">
        <v>1136</v>
      </c>
      <c r="E2576" t="s">
        <v>231</v>
      </c>
      <c r="F2576" t="s">
        <v>4457</v>
      </c>
      <c r="G2576" t="str">
        <f>"201511032174"</f>
        <v>201511032174</v>
      </c>
      <c r="H2576">
        <v>770</v>
      </c>
      <c r="I2576">
        <v>0</v>
      </c>
      <c r="J2576">
        <v>50</v>
      </c>
      <c r="K2576">
        <v>0</v>
      </c>
      <c r="L2576">
        <v>0</v>
      </c>
      <c r="M2576">
        <v>0</v>
      </c>
      <c r="N2576">
        <v>0</v>
      </c>
      <c r="O2576">
        <v>0</v>
      </c>
      <c r="P2576">
        <v>0</v>
      </c>
      <c r="Q2576">
        <v>0</v>
      </c>
      <c r="T2576">
        <v>0</v>
      </c>
      <c r="U2576">
        <v>820</v>
      </c>
    </row>
    <row r="2577" spans="1:21" x14ac:dyDescent="0.25">
      <c r="H2577" t="s">
        <v>4458</v>
      </c>
    </row>
    <row r="2578" spans="1:21" x14ac:dyDescent="0.25">
      <c r="A2578">
        <v>1286</v>
      </c>
      <c r="B2578">
        <v>179</v>
      </c>
      <c r="C2578" t="s">
        <v>1944</v>
      </c>
      <c r="D2578" t="s">
        <v>116</v>
      </c>
      <c r="E2578" t="s">
        <v>533</v>
      </c>
      <c r="F2578" t="s">
        <v>4459</v>
      </c>
      <c r="G2578" t="str">
        <f>"00025267"</f>
        <v>00025267</v>
      </c>
      <c r="H2578" t="s">
        <v>3755</v>
      </c>
      <c r="I2578">
        <v>0</v>
      </c>
      <c r="J2578">
        <v>0</v>
      </c>
      <c r="K2578">
        <v>0</v>
      </c>
      <c r="L2578">
        <v>0</v>
      </c>
      <c r="M2578">
        <v>0</v>
      </c>
      <c r="N2578">
        <v>0</v>
      </c>
      <c r="O2578">
        <v>0</v>
      </c>
      <c r="P2578">
        <v>0</v>
      </c>
      <c r="Q2578">
        <v>0</v>
      </c>
      <c r="T2578">
        <v>0</v>
      </c>
      <c r="U2578" t="s">
        <v>3755</v>
      </c>
    </row>
    <row r="2579" spans="1:21" x14ac:dyDescent="0.25">
      <c r="H2579" t="s">
        <v>114</v>
      </c>
    </row>
    <row r="2580" spans="1:21" x14ac:dyDescent="0.25">
      <c r="A2580">
        <v>1287</v>
      </c>
      <c r="B2580">
        <v>5428</v>
      </c>
      <c r="C2580" t="s">
        <v>4460</v>
      </c>
      <c r="D2580" t="s">
        <v>116</v>
      </c>
      <c r="E2580" t="s">
        <v>561</v>
      </c>
      <c r="F2580" t="s">
        <v>4461</v>
      </c>
      <c r="G2580" t="str">
        <f>"00079148"</f>
        <v>00079148</v>
      </c>
      <c r="H2580" t="s">
        <v>3755</v>
      </c>
      <c r="I2580">
        <v>0</v>
      </c>
      <c r="J2580">
        <v>0</v>
      </c>
      <c r="K2580">
        <v>0</v>
      </c>
      <c r="L2580">
        <v>0</v>
      </c>
      <c r="M2580">
        <v>0</v>
      </c>
      <c r="N2580">
        <v>0</v>
      </c>
      <c r="O2580">
        <v>0</v>
      </c>
      <c r="P2580">
        <v>0</v>
      </c>
      <c r="Q2580">
        <v>0</v>
      </c>
      <c r="T2580">
        <v>3</v>
      </c>
      <c r="U2580" t="s">
        <v>3755</v>
      </c>
    </row>
    <row r="2581" spans="1:21" x14ac:dyDescent="0.25">
      <c r="H2581" t="s">
        <v>4462</v>
      </c>
    </row>
    <row r="2582" spans="1:21" x14ac:dyDescent="0.25">
      <c r="A2582">
        <v>1288</v>
      </c>
      <c r="B2582">
        <v>8581</v>
      </c>
      <c r="C2582" t="s">
        <v>4463</v>
      </c>
      <c r="D2582" t="s">
        <v>394</v>
      </c>
      <c r="E2582" t="s">
        <v>122</v>
      </c>
      <c r="F2582" t="s">
        <v>4464</v>
      </c>
      <c r="G2582" t="str">
        <f>"00046365"</f>
        <v>00046365</v>
      </c>
      <c r="H2582" t="s">
        <v>3755</v>
      </c>
      <c r="I2582">
        <v>0</v>
      </c>
      <c r="J2582">
        <v>0</v>
      </c>
      <c r="K2582">
        <v>0</v>
      </c>
      <c r="L2582">
        <v>0</v>
      </c>
      <c r="M2582">
        <v>0</v>
      </c>
      <c r="N2582">
        <v>0</v>
      </c>
      <c r="O2582">
        <v>0</v>
      </c>
      <c r="P2582">
        <v>0</v>
      </c>
      <c r="Q2582">
        <v>0</v>
      </c>
      <c r="T2582">
        <v>1</v>
      </c>
      <c r="U2582" t="s">
        <v>3755</v>
      </c>
    </row>
    <row r="2583" spans="1:21" x14ac:dyDescent="0.25">
      <c r="H2583">
        <v>756</v>
      </c>
    </row>
    <row r="2584" spans="1:21" x14ac:dyDescent="0.25">
      <c r="A2584">
        <v>1289</v>
      </c>
      <c r="B2584">
        <v>5565</v>
      </c>
      <c r="C2584" t="s">
        <v>699</v>
      </c>
      <c r="D2584" t="s">
        <v>121</v>
      </c>
      <c r="E2584" t="s">
        <v>533</v>
      </c>
      <c r="F2584" t="s">
        <v>4465</v>
      </c>
      <c r="G2584" t="str">
        <f>"201510003157"</f>
        <v>201510003157</v>
      </c>
      <c r="H2584" t="s">
        <v>3755</v>
      </c>
      <c r="I2584">
        <v>0</v>
      </c>
      <c r="J2584">
        <v>0</v>
      </c>
      <c r="K2584">
        <v>0</v>
      </c>
      <c r="L2584">
        <v>0</v>
      </c>
      <c r="M2584">
        <v>0</v>
      </c>
      <c r="N2584">
        <v>0</v>
      </c>
      <c r="O2584">
        <v>0</v>
      </c>
      <c r="P2584">
        <v>0</v>
      </c>
      <c r="Q2584">
        <v>0</v>
      </c>
      <c r="T2584">
        <v>0</v>
      </c>
      <c r="U2584" t="s">
        <v>3755</v>
      </c>
    </row>
    <row r="2585" spans="1:21" x14ac:dyDescent="0.25">
      <c r="H2585" t="s">
        <v>4466</v>
      </c>
    </row>
    <row r="2586" spans="1:21" x14ac:dyDescent="0.25">
      <c r="A2586">
        <v>1290</v>
      </c>
      <c r="B2586">
        <v>264</v>
      </c>
      <c r="C2586" t="s">
        <v>4467</v>
      </c>
      <c r="D2586" t="s">
        <v>4468</v>
      </c>
      <c r="E2586" t="s">
        <v>191</v>
      </c>
      <c r="F2586" t="s">
        <v>4469</v>
      </c>
      <c r="G2586" t="str">
        <f>"201511022561"</f>
        <v>201511022561</v>
      </c>
      <c r="H2586" t="s">
        <v>3755</v>
      </c>
      <c r="I2586">
        <v>0</v>
      </c>
      <c r="J2586">
        <v>0</v>
      </c>
      <c r="K2586">
        <v>0</v>
      </c>
      <c r="L2586">
        <v>0</v>
      </c>
      <c r="M2586">
        <v>0</v>
      </c>
      <c r="N2586">
        <v>0</v>
      </c>
      <c r="O2586">
        <v>0</v>
      </c>
      <c r="P2586">
        <v>0</v>
      </c>
      <c r="Q2586">
        <v>0</v>
      </c>
      <c r="T2586">
        <v>0</v>
      </c>
      <c r="U2586" t="s">
        <v>3755</v>
      </c>
    </row>
    <row r="2587" spans="1:21" x14ac:dyDescent="0.25">
      <c r="H2587" t="s">
        <v>4470</v>
      </c>
    </row>
    <row r="2588" spans="1:21" x14ac:dyDescent="0.25">
      <c r="A2588">
        <v>1291</v>
      </c>
      <c r="B2588">
        <v>8580</v>
      </c>
      <c r="C2588" t="s">
        <v>4471</v>
      </c>
      <c r="D2588" t="s">
        <v>4472</v>
      </c>
      <c r="E2588" t="s">
        <v>4473</v>
      </c>
      <c r="F2588" t="s">
        <v>4474</v>
      </c>
      <c r="G2588" t="str">
        <f>"00101227"</f>
        <v>00101227</v>
      </c>
      <c r="H2588" t="s">
        <v>4475</v>
      </c>
      <c r="I2588">
        <v>0</v>
      </c>
      <c r="J2588">
        <v>30</v>
      </c>
      <c r="K2588">
        <v>0</v>
      </c>
      <c r="L2588">
        <v>0</v>
      </c>
      <c r="M2588">
        <v>0</v>
      </c>
      <c r="N2588">
        <v>0</v>
      </c>
      <c r="O2588">
        <v>0</v>
      </c>
      <c r="P2588">
        <v>0</v>
      </c>
      <c r="Q2588">
        <v>0</v>
      </c>
      <c r="T2588">
        <v>2</v>
      </c>
      <c r="U2588" t="s">
        <v>4476</v>
      </c>
    </row>
    <row r="2589" spans="1:21" x14ac:dyDescent="0.25">
      <c r="H2589" t="s">
        <v>4477</v>
      </c>
    </row>
    <row r="2590" spans="1:21" x14ac:dyDescent="0.25">
      <c r="A2590">
        <v>1292</v>
      </c>
      <c r="B2590">
        <v>2627</v>
      </c>
      <c r="C2590" t="s">
        <v>4478</v>
      </c>
      <c r="D2590" t="s">
        <v>4479</v>
      </c>
      <c r="E2590" t="s">
        <v>533</v>
      </c>
      <c r="F2590" t="s">
        <v>4480</v>
      </c>
      <c r="G2590" t="str">
        <f>"00018546"</f>
        <v>00018546</v>
      </c>
      <c r="H2590" t="s">
        <v>4481</v>
      </c>
      <c r="I2590">
        <v>0</v>
      </c>
      <c r="J2590">
        <v>0</v>
      </c>
      <c r="K2590">
        <v>0</v>
      </c>
      <c r="L2590">
        <v>0</v>
      </c>
      <c r="M2590">
        <v>0</v>
      </c>
      <c r="N2590">
        <v>0</v>
      </c>
      <c r="O2590">
        <v>0</v>
      </c>
      <c r="P2590">
        <v>0</v>
      </c>
      <c r="Q2590">
        <v>0</v>
      </c>
      <c r="T2590">
        <v>0</v>
      </c>
      <c r="U2590" t="s">
        <v>4481</v>
      </c>
    </row>
    <row r="2591" spans="1:21" x14ac:dyDescent="0.25">
      <c r="H2591" t="s">
        <v>4482</v>
      </c>
    </row>
    <row r="2592" spans="1:21" x14ac:dyDescent="0.25">
      <c r="A2592">
        <v>1293</v>
      </c>
      <c r="B2592">
        <v>4535</v>
      </c>
      <c r="C2592" t="s">
        <v>4483</v>
      </c>
      <c r="D2592" t="s">
        <v>185</v>
      </c>
      <c r="E2592" t="s">
        <v>122</v>
      </c>
      <c r="F2592" t="s">
        <v>4484</v>
      </c>
      <c r="G2592" t="str">
        <f>"201511024690"</f>
        <v>201511024690</v>
      </c>
      <c r="H2592" t="s">
        <v>4481</v>
      </c>
      <c r="I2592">
        <v>0</v>
      </c>
      <c r="J2592">
        <v>0</v>
      </c>
      <c r="K2592">
        <v>0</v>
      </c>
      <c r="L2592">
        <v>0</v>
      </c>
      <c r="M2592">
        <v>0</v>
      </c>
      <c r="N2592">
        <v>0</v>
      </c>
      <c r="O2592">
        <v>0</v>
      </c>
      <c r="P2592">
        <v>0</v>
      </c>
      <c r="Q2592">
        <v>0</v>
      </c>
      <c r="T2592">
        <v>2</v>
      </c>
      <c r="U2592" t="s">
        <v>4481</v>
      </c>
    </row>
    <row r="2593" spans="1:21" x14ac:dyDescent="0.25">
      <c r="H2593" t="s">
        <v>4485</v>
      </c>
    </row>
    <row r="2594" spans="1:21" x14ac:dyDescent="0.25">
      <c r="A2594">
        <v>1294</v>
      </c>
      <c r="B2594">
        <v>4367</v>
      </c>
      <c r="C2594" t="s">
        <v>4486</v>
      </c>
      <c r="D2594" t="s">
        <v>528</v>
      </c>
      <c r="E2594" t="s">
        <v>773</v>
      </c>
      <c r="F2594" t="s">
        <v>4487</v>
      </c>
      <c r="G2594" t="str">
        <f>"201511033385"</f>
        <v>201511033385</v>
      </c>
      <c r="H2594" t="s">
        <v>2617</v>
      </c>
      <c r="I2594">
        <v>0</v>
      </c>
      <c r="J2594">
        <v>30</v>
      </c>
      <c r="K2594">
        <v>0</v>
      </c>
      <c r="L2594">
        <v>0</v>
      </c>
      <c r="M2594">
        <v>0</v>
      </c>
      <c r="N2594">
        <v>0</v>
      </c>
      <c r="O2594">
        <v>0</v>
      </c>
      <c r="P2594">
        <v>0</v>
      </c>
      <c r="Q2594">
        <v>0</v>
      </c>
      <c r="T2594">
        <v>3</v>
      </c>
      <c r="U2594" t="s">
        <v>4488</v>
      </c>
    </row>
    <row r="2595" spans="1:21" x14ac:dyDescent="0.25">
      <c r="H2595" t="s">
        <v>4489</v>
      </c>
    </row>
    <row r="2596" spans="1:21" x14ac:dyDescent="0.25">
      <c r="A2596">
        <v>1295</v>
      </c>
      <c r="B2596">
        <v>9884</v>
      </c>
      <c r="C2596" t="s">
        <v>1979</v>
      </c>
      <c r="D2596" t="s">
        <v>4490</v>
      </c>
      <c r="E2596" t="s">
        <v>122</v>
      </c>
      <c r="F2596" t="s">
        <v>4491</v>
      </c>
      <c r="G2596" t="str">
        <f>"201511018417"</f>
        <v>201511018417</v>
      </c>
      <c r="H2596" t="s">
        <v>2870</v>
      </c>
      <c r="I2596">
        <v>0</v>
      </c>
      <c r="J2596">
        <v>0</v>
      </c>
      <c r="K2596">
        <v>0</v>
      </c>
      <c r="L2596">
        <v>0</v>
      </c>
      <c r="M2596">
        <v>0</v>
      </c>
      <c r="N2596">
        <v>0</v>
      </c>
      <c r="O2596">
        <v>0</v>
      </c>
      <c r="P2596">
        <v>0</v>
      </c>
      <c r="Q2596">
        <v>0</v>
      </c>
      <c r="T2596">
        <v>2</v>
      </c>
      <c r="U2596" t="s">
        <v>2870</v>
      </c>
    </row>
    <row r="2597" spans="1:21" x14ac:dyDescent="0.25">
      <c r="H2597" t="s">
        <v>4492</v>
      </c>
    </row>
    <row r="2598" spans="1:21" x14ac:dyDescent="0.25">
      <c r="A2598">
        <v>1296</v>
      </c>
      <c r="B2598">
        <v>7502</v>
      </c>
      <c r="C2598" t="s">
        <v>4493</v>
      </c>
      <c r="D2598" t="s">
        <v>70</v>
      </c>
      <c r="E2598" t="s">
        <v>449</v>
      </c>
      <c r="F2598" t="s">
        <v>4494</v>
      </c>
      <c r="G2598" t="str">
        <f>"00081065"</f>
        <v>00081065</v>
      </c>
      <c r="H2598" t="s">
        <v>2870</v>
      </c>
      <c r="I2598">
        <v>0</v>
      </c>
      <c r="J2598">
        <v>0</v>
      </c>
      <c r="K2598">
        <v>0</v>
      </c>
      <c r="L2598">
        <v>0</v>
      </c>
      <c r="M2598">
        <v>0</v>
      </c>
      <c r="N2598">
        <v>0</v>
      </c>
      <c r="O2598">
        <v>0</v>
      </c>
      <c r="P2598">
        <v>0</v>
      </c>
      <c r="Q2598">
        <v>0</v>
      </c>
      <c r="T2598">
        <v>0</v>
      </c>
      <c r="U2598" t="s">
        <v>2870</v>
      </c>
    </row>
    <row r="2599" spans="1:21" x14ac:dyDescent="0.25">
      <c r="H2599" t="s">
        <v>4495</v>
      </c>
    </row>
    <row r="2600" spans="1:21" x14ac:dyDescent="0.25">
      <c r="A2600">
        <v>1297</v>
      </c>
      <c r="B2600">
        <v>2897</v>
      </c>
      <c r="C2600" t="s">
        <v>4496</v>
      </c>
      <c r="D2600" t="s">
        <v>85</v>
      </c>
      <c r="E2600" t="s">
        <v>27</v>
      </c>
      <c r="F2600" t="s">
        <v>4497</v>
      </c>
      <c r="G2600" t="str">
        <f>"00025516"</f>
        <v>00025516</v>
      </c>
      <c r="H2600" t="s">
        <v>2870</v>
      </c>
      <c r="I2600">
        <v>0</v>
      </c>
      <c r="J2600">
        <v>0</v>
      </c>
      <c r="K2600">
        <v>0</v>
      </c>
      <c r="L2600">
        <v>0</v>
      </c>
      <c r="M2600">
        <v>0</v>
      </c>
      <c r="N2600">
        <v>0</v>
      </c>
      <c r="O2600">
        <v>0</v>
      </c>
      <c r="P2600">
        <v>0</v>
      </c>
      <c r="Q2600">
        <v>0</v>
      </c>
      <c r="T2600">
        <v>0</v>
      </c>
      <c r="U2600" t="s">
        <v>2870</v>
      </c>
    </row>
    <row r="2601" spans="1:21" x14ac:dyDescent="0.25">
      <c r="H2601" t="s">
        <v>4498</v>
      </c>
    </row>
    <row r="2602" spans="1:21" x14ac:dyDescent="0.25">
      <c r="A2602">
        <v>1298</v>
      </c>
      <c r="B2602">
        <v>10389</v>
      </c>
      <c r="C2602" t="s">
        <v>4499</v>
      </c>
      <c r="D2602" t="s">
        <v>502</v>
      </c>
      <c r="E2602" t="s">
        <v>4500</v>
      </c>
      <c r="F2602" t="s">
        <v>4501</v>
      </c>
      <c r="G2602" t="str">
        <f>"00051305"</f>
        <v>00051305</v>
      </c>
      <c r="H2602" t="s">
        <v>2870</v>
      </c>
      <c r="I2602">
        <v>0</v>
      </c>
      <c r="J2602">
        <v>0</v>
      </c>
      <c r="K2602">
        <v>0</v>
      </c>
      <c r="L2602">
        <v>0</v>
      </c>
      <c r="M2602">
        <v>0</v>
      </c>
      <c r="N2602">
        <v>0</v>
      </c>
      <c r="O2602">
        <v>0</v>
      </c>
      <c r="P2602">
        <v>0</v>
      </c>
      <c r="Q2602">
        <v>0</v>
      </c>
      <c r="T2602">
        <v>0</v>
      </c>
      <c r="U2602" t="s">
        <v>2870</v>
      </c>
    </row>
    <row r="2603" spans="1:21" x14ac:dyDescent="0.25">
      <c r="H2603" t="s">
        <v>4502</v>
      </c>
    </row>
    <row r="2604" spans="1:21" x14ac:dyDescent="0.25">
      <c r="A2604">
        <v>1299</v>
      </c>
      <c r="B2604">
        <v>8500</v>
      </c>
      <c r="C2604" t="s">
        <v>4503</v>
      </c>
      <c r="D2604" t="s">
        <v>372</v>
      </c>
      <c r="E2604" t="s">
        <v>366</v>
      </c>
      <c r="F2604" t="s">
        <v>4504</v>
      </c>
      <c r="G2604" t="str">
        <f>"201511036641"</f>
        <v>201511036641</v>
      </c>
      <c r="H2604" t="s">
        <v>4247</v>
      </c>
      <c r="I2604">
        <v>0</v>
      </c>
      <c r="J2604">
        <v>0</v>
      </c>
      <c r="K2604">
        <v>0</v>
      </c>
      <c r="L2604">
        <v>0</v>
      </c>
      <c r="M2604">
        <v>0</v>
      </c>
      <c r="N2604">
        <v>0</v>
      </c>
      <c r="O2604">
        <v>0</v>
      </c>
      <c r="P2604">
        <v>0</v>
      </c>
      <c r="Q2604">
        <v>0</v>
      </c>
      <c r="T2604">
        <v>1</v>
      </c>
      <c r="U2604" t="s">
        <v>4247</v>
      </c>
    </row>
    <row r="2605" spans="1:21" x14ac:dyDescent="0.25">
      <c r="H2605" t="s">
        <v>4505</v>
      </c>
    </row>
    <row r="2606" spans="1:21" x14ac:dyDescent="0.25">
      <c r="A2606">
        <v>1300</v>
      </c>
      <c r="B2606">
        <v>5520</v>
      </c>
      <c r="C2606" t="s">
        <v>4506</v>
      </c>
      <c r="D2606" t="s">
        <v>135</v>
      </c>
      <c r="E2606" t="s">
        <v>122</v>
      </c>
      <c r="F2606" t="s">
        <v>4507</v>
      </c>
      <c r="G2606" t="str">
        <f>"00092445"</f>
        <v>00092445</v>
      </c>
      <c r="H2606">
        <v>814</v>
      </c>
      <c r="I2606">
        <v>0</v>
      </c>
      <c r="J2606">
        <v>0</v>
      </c>
      <c r="K2606">
        <v>0</v>
      </c>
      <c r="L2606">
        <v>0</v>
      </c>
      <c r="M2606">
        <v>0</v>
      </c>
      <c r="N2606">
        <v>0</v>
      </c>
      <c r="O2606">
        <v>0</v>
      </c>
      <c r="P2606">
        <v>0</v>
      </c>
      <c r="Q2606">
        <v>0</v>
      </c>
      <c r="T2606">
        <v>0</v>
      </c>
      <c r="U2606">
        <v>814</v>
      </c>
    </row>
    <row r="2607" spans="1:21" x14ac:dyDescent="0.25">
      <c r="H2607" t="s">
        <v>4508</v>
      </c>
    </row>
    <row r="2608" spans="1:21" x14ac:dyDescent="0.25">
      <c r="A2608">
        <v>1301</v>
      </c>
      <c r="B2608">
        <v>6023</v>
      </c>
      <c r="C2608" t="s">
        <v>4509</v>
      </c>
      <c r="D2608" t="s">
        <v>78</v>
      </c>
      <c r="E2608" t="s">
        <v>259</v>
      </c>
      <c r="F2608" t="s">
        <v>4510</v>
      </c>
      <c r="G2608" t="str">
        <f>"00098260"</f>
        <v>00098260</v>
      </c>
      <c r="H2608" t="s">
        <v>4511</v>
      </c>
      <c r="I2608">
        <v>0</v>
      </c>
      <c r="J2608">
        <v>0</v>
      </c>
      <c r="K2608">
        <v>0</v>
      </c>
      <c r="L2608">
        <v>0</v>
      </c>
      <c r="M2608">
        <v>0</v>
      </c>
      <c r="N2608">
        <v>0</v>
      </c>
      <c r="O2608">
        <v>0</v>
      </c>
      <c r="P2608">
        <v>0</v>
      </c>
      <c r="Q2608">
        <v>0</v>
      </c>
      <c r="T2608">
        <v>1</v>
      </c>
      <c r="U2608" t="s">
        <v>4511</v>
      </c>
    </row>
    <row r="2609" spans="1:21" x14ac:dyDescent="0.25">
      <c r="H2609" t="s">
        <v>1138</v>
      </c>
    </row>
    <row r="2610" spans="1:21" x14ac:dyDescent="0.25">
      <c r="A2610">
        <v>1302</v>
      </c>
      <c r="B2610">
        <v>1791</v>
      </c>
      <c r="C2610" t="s">
        <v>4512</v>
      </c>
      <c r="D2610" t="s">
        <v>3510</v>
      </c>
      <c r="E2610" t="s">
        <v>533</v>
      </c>
      <c r="F2610" t="s">
        <v>4513</v>
      </c>
      <c r="G2610" t="str">
        <f>"201510002216"</f>
        <v>201510002216</v>
      </c>
      <c r="H2610" t="s">
        <v>4514</v>
      </c>
      <c r="I2610">
        <v>0</v>
      </c>
      <c r="J2610">
        <v>0</v>
      </c>
      <c r="K2610">
        <v>0</v>
      </c>
      <c r="L2610">
        <v>0</v>
      </c>
      <c r="M2610">
        <v>0</v>
      </c>
      <c r="N2610">
        <v>0</v>
      </c>
      <c r="O2610">
        <v>0</v>
      </c>
      <c r="P2610">
        <v>0</v>
      </c>
      <c r="Q2610">
        <v>0</v>
      </c>
      <c r="T2610">
        <v>0</v>
      </c>
      <c r="U2610" t="s">
        <v>4514</v>
      </c>
    </row>
    <row r="2611" spans="1:21" x14ac:dyDescent="0.25">
      <c r="H2611" t="s">
        <v>4515</v>
      </c>
    </row>
    <row r="2612" spans="1:21" x14ac:dyDescent="0.25">
      <c r="A2612">
        <v>1303</v>
      </c>
      <c r="B2612">
        <v>3107</v>
      </c>
      <c r="C2612" t="s">
        <v>4516</v>
      </c>
      <c r="D2612" t="s">
        <v>2716</v>
      </c>
      <c r="E2612" t="s">
        <v>1242</v>
      </c>
      <c r="F2612" t="s">
        <v>4517</v>
      </c>
      <c r="G2612" t="str">
        <f>"00023596"</f>
        <v>00023596</v>
      </c>
      <c r="H2612" t="s">
        <v>4514</v>
      </c>
      <c r="I2612">
        <v>0</v>
      </c>
      <c r="J2612">
        <v>0</v>
      </c>
      <c r="K2612">
        <v>0</v>
      </c>
      <c r="L2612">
        <v>0</v>
      </c>
      <c r="M2612">
        <v>0</v>
      </c>
      <c r="N2612">
        <v>0</v>
      </c>
      <c r="O2612">
        <v>0</v>
      </c>
      <c r="P2612">
        <v>0</v>
      </c>
      <c r="Q2612">
        <v>0</v>
      </c>
      <c r="T2612">
        <v>0</v>
      </c>
      <c r="U2612" t="s">
        <v>4514</v>
      </c>
    </row>
    <row r="2613" spans="1:21" x14ac:dyDescent="0.25">
      <c r="H2613" t="s">
        <v>4518</v>
      </c>
    </row>
    <row r="2614" spans="1:21" x14ac:dyDescent="0.25">
      <c r="A2614">
        <v>1304</v>
      </c>
      <c r="B2614">
        <v>9955</v>
      </c>
      <c r="C2614" t="s">
        <v>1123</v>
      </c>
      <c r="D2614" t="s">
        <v>116</v>
      </c>
      <c r="E2614" t="s">
        <v>373</v>
      </c>
      <c r="F2614" t="s">
        <v>4519</v>
      </c>
      <c r="G2614" t="str">
        <f>"201511028661"</f>
        <v>201511028661</v>
      </c>
      <c r="H2614">
        <v>781</v>
      </c>
      <c r="I2614">
        <v>0</v>
      </c>
      <c r="J2614">
        <v>30</v>
      </c>
      <c r="K2614">
        <v>0</v>
      </c>
      <c r="L2614">
        <v>0</v>
      </c>
      <c r="M2614">
        <v>0</v>
      </c>
      <c r="N2614">
        <v>0</v>
      </c>
      <c r="O2614">
        <v>0</v>
      </c>
      <c r="P2614">
        <v>0</v>
      </c>
      <c r="Q2614">
        <v>0</v>
      </c>
      <c r="T2614">
        <v>0</v>
      </c>
      <c r="U2614">
        <v>811</v>
      </c>
    </row>
    <row r="2615" spans="1:21" x14ac:dyDescent="0.25">
      <c r="H2615" t="s">
        <v>4520</v>
      </c>
    </row>
    <row r="2616" spans="1:21" x14ac:dyDescent="0.25">
      <c r="A2616">
        <v>1305</v>
      </c>
      <c r="B2616">
        <v>382</v>
      </c>
      <c r="C2616" t="s">
        <v>4521</v>
      </c>
      <c r="D2616" t="s">
        <v>4522</v>
      </c>
      <c r="E2616" t="s">
        <v>27</v>
      </c>
      <c r="F2616" t="s">
        <v>4523</v>
      </c>
      <c r="G2616" t="str">
        <f>"201512002042"</f>
        <v>201512002042</v>
      </c>
      <c r="H2616">
        <v>781</v>
      </c>
      <c r="I2616">
        <v>0</v>
      </c>
      <c r="J2616">
        <v>30</v>
      </c>
      <c r="K2616">
        <v>0</v>
      </c>
      <c r="L2616">
        <v>0</v>
      </c>
      <c r="M2616">
        <v>0</v>
      </c>
      <c r="N2616">
        <v>0</v>
      </c>
      <c r="O2616">
        <v>0</v>
      </c>
      <c r="P2616">
        <v>0</v>
      </c>
      <c r="Q2616">
        <v>0</v>
      </c>
      <c r="T2616">
        <v>0</v>
      </c>
      <c r="U2616">
        <v>811</v>
      </c>
    </row>
    <row r="2617" spans="1:21" x14ac:dyDescent="0.25">
      <c r="H2617" t="s">
        <v>4524</v>
      </c>
    </row>
    <row r="2618" spans="1:21" x14ac:dyDescent="0.25">
      <c r="A2618">
        <v>1306</v>
      </c>
      <c r="B2618">
        <v>5546</v>
      </c>
      <c r="C2618" t="s">
        <v>4525</v>
      </c>
      <c r="D2618" t="s">
        <v>36</v>
      </c>
      <c r="E2618" t="s">
        <v>366</v>
      </c>
      <c r="F2618" t="s">
        <v>4526</v>
      </c>
      <c r="G2618" t="str">
        <f>"00014530"</f>
        <v>00014530</v>
      </c>
      <c r="H2618">
        <v>781</v>
      </c>
      <c r="I2618">
        <v>0</v>
      </c>
      <c r="J2618">
        <v>30</v>
      </c>
      <c r="K2618">
        <v>0</v>
      </c>
      <c r="L2618">
        <v>0</v>
      </c>
      <c r="M2618">
        <v>0</v>
      </c>
      <c r="N2618">
        <v>0</v>
      </c>
      <c r="O2618">
        <v>0</v>
      </c>
      <c r="P2618">
        <v>0</v>
      </c>
      <c r="Q2618">
        <v>0</v>
      </c>
      <c r="T2618">
        <v>2</v>
      </c>
      <c r="U2618">
        <v>811</v>
      </c>
    </row>
    <row r="2619" spans="1:21" x14ac:dyDescent="0.25">
      <c r="H2619" t="s">
        <v>4527</v>
      </c>
    </row>
    <row r="2620" spans="1:21" x14ac:dyDescent="0.25">
      <c r="A2620">
        <v>1307</v>
      </c>
      <c r="B2620">
        <v>93</v>
      </c>
      <c r="C2620" t="s">
        <v>4528</v>
      </c>
      <c r="D2620" t="s">
        <v>366</v>
      </c>
      <c r="E2620" t="s">
        <v>449</v>
      </c>
      <c r="F2620" t="s">
        <v>4529</v>
      </c>
      <c r="G2620" t="str">
        <f>"201511036987"</f>
        <v>201511036987</v>
      </c>
      <c r="H2620" t="s">
        <v>2952</v>
      </c>
      <c r="I2620">
        <v>0</v>
      </c>
      <c r="J2620">
        <v>0</v>
      </c>
      <c r="K2620">
        <v>0</v>
      </c>
      <c r="L2620">
        <v>0</v>
      </c>
      <c r="M2620">
        <v>0</v>
      </c>
      <c r="N2620">
        <v>0</v>
      </c>
      <c r="O2620">
        <v>0</v>
      </c>
      <c r="P2620">
        <v>0</v>
      </c>
      <c r="Q2620">
        <v>0</v>
      </c>
      <c r="T2620">
        <v>0</v>
      </c>
      <c r="U2620" t="s">
        <v>2952</v>
      </c>
    </row>
    <row r="2621" spans="1:21" x14ac:dyDescent="0.25">
      <c r="H2621" t="s">
        <v>4530</v>
      </c>
    </row>
    <row r="2622" spans="1:21" x14ac:dyDescent="0.25">
      <c r="A2622">
        <v>1308</v>
      </c>
      <c r="B2622">
        <v>1982</v>
      </c>
      <c r="C2622" t="s">
        <v>4531</v>
      </c>
      <c r="D2622" t="s">
        <v>528</v>
      </c>
      <c r="E2622" t="s">
        <v>1477</v>
      </c>
      <c r="F2622" t="s">
        <v>4532</v>
      </c>
      <c r="G2622" t="str">
        <f>"201511028649"</f>
        <v>201511028649</v>
      </c>
      <c r="H2622" t="s">
        <v>2952</v>
      </c>
      <c r="I2622">
        <v>0</v>
      </c>
      <c r="J2622">
        <v>0</v>
      </c>
      <c r="K2622">
        <v>0</v>
      </c>
      <c r="L2622">
        <v>0</v>
      </c>
      <c r="M2622">
        <v>0</v>
      </c>
      <c r="N2622">
        <v>0</v>
      </c>
      <c r="O2622">
        <v>0</v>
      </c>
      <c r="P2622">
        <v>0</v>
      </c>
      <c r="Q2622">
        <v>0</v>
      </c>
      <c r="T2622">
        <v>0</v>
      </c>
      <c r="U2622" t="s">
        <v>2952</v>
      </c>
    </row>
    <row r="2623" spans="1:21" x14ac:dyDescent="0.25">
      <c r="H2623" t="s">
        <v>4533</v>
      </c>
    </row>
    <row r="2624" spans="1:21" x14ac:dyDescent="0.25">
      <c r="A2624">
        <v>1309</v>
      </c>
      <c r="B2624">
        <v>688</v>
      </c>
      <c r="C2624" t="s">
        <v>4534</v>
      </c>
      <c r="D2624" t="s">
        <v>95</v>
      </c>
      <c r="E2624" t="s">
        <v>533</v>
      </c>
      <c r="F2624" t="s">
        <v>4535</v>
      </c>
      <c r="G2624" t="str">
        <f>"00023146"</f>
        <v>00023146</v>
      </c>
      <c r="H2624" t="s">
        <v>2952</v>
      </c>
      <c r="I2624">
        <v>0</v>
      </c>
      <c r="J2624">
        <v>0</v>
      </c>
      <c r="K2624">
        <v>0</v>
      </c>
      <c r="L2624">
        <v>0</v>
      </c>
      <c r="M2624">
        <v>0</v>
      </c>
      <c r="N2624">
        <v>0</v>
      </c>
      <c r="O2624">
        <v>0</v>
      </c>
      <c r="P2624">
        <v>0</v>
      </c>
      <c r="Q2624">
        <v>0</v>
      </c>
      <c r="T2624">
        <v>0</v>
      </c>
      <c r="U2624" t="s">
        <v>2952</v>
      </c>
    </row>
    <row r="2625" spans="1:21" x14ac:dyDescent="0.25">
      <c r="H2625" t="s">
        <v>4536</v>
      </c>
    </row>
    <row r="2626" spans="1:21" x14ac:dyDescent="0.25">
      <c r="A2626">
        <v>1310</v>
      </c>
      <c r="B2626">
        <v>688</v>
      </c>
      <c r="C2626" t="s">
        <v>4534</v>
      </c>
      <c r="D2626" t="s">
        <v>95</v>
      </c>
      <c r="E2626" t="s">
        <v>533</v>
      </c>
      <c r="F2626" t="s">
        <v>4535</v>
      </c>
      <c r="G2626" t="str">
        <f>"00023146"</f>
        <v>00023146</v>
      </c>
      <c r="H2626" t="s">
        <v>2952</v>
      </c>
      <c r="I2626">
        <v>0</v>
      </c>
      <c r="J2626">
        <v>0</v>
      </c>
      <c r="K2626">
        <v>0</v>
      </c>
      <c r="L2626">
        <v>0</v>
      </c>
      <c r="M2626">
        <v>0</v>
      </c>
      <c r="N2626">
        <v>0</v>
      </c>
      <c r="O2626">
        <v>0</v>
      </c>
      <c r="P2626">
        <v>0</v>
      </c>
      <c r="Q2626">
        <v>0</v>
      </c>
      <c r="R2626">
        <v>6</v>
      </c>
      <c r="S2626" t="s">
        <v>4537</v>
      </c>
      <c r="T2626">
        <v>0</v>
      </c>
      <c r="U2626" t="s">
        <v>2952</v>
      </c>
    </row>
    <row r="2627" spans="1:21" x14ac:dyDescent="0.25">
      <c r="H2627" t="s">
        <v>4536</v>
      </c>
    </row>
    <row r="2628" spans="1:21" x14ac:dyDescent="0.25">
      <c r="A2628">
        <v>1311</v>
      </c>
      <c r="B2628">
        <v>8401</v>
      </c>
      <c r="C2628" t="s">
        <v>4538</v>
      </c>
      <c r="D2628" t="s">
        <v>372</v>
      </c>
      <c r="E2628" t="s">
        <v>614</v>
      </c>
      <c r="F2628" t="s">
        <v>4539</v>
      </c>
      <c r="G2628" t="str">
        <f>"00102784"</f>
        <v>00102784</v>
      </c>
      <c r="H2628">
        <v>660</v>
      </c>
      <c r="I2628">
        <v>150</v>
      </c>
      <c r="J2628">
        <v>0</v>
      </c>
      <c r="K2628">
        <v>0</v>
      </c>
      <c r="L2628">
        <v>0</v>
      </c>
      <c r="M2628">
        <v>0</v>
      </c>
      <c r="N2628">
        <v>0</v>
      </c>
      <c r="O2628">
        <v>0</v>
      </c>
      <c r="P2628">
        <v>0</v>
      </c>
      <c r="Q2628">
        <v>0</v>
      </c>
      <c r="T2628">
        <v>0</v>
      </c>
      <c r="U2628">
        <v>810</v>
      </c>
    </row>
    <row r="2629" spans="1:21" x14ac:dyDescent="0.25">
      <c r="H2629" t="s">
        <v>4540</v>
      </c>
    </row>
    <row r="2630" spans="1:21" x14ac:dyDescent="0.25">
      <c r="A2630">
        <v>1312</v>
      </c>
      <c r="B2630">
        <v>8450</v>
      </c>
      <c r="C2630" t="s">
        <v>4541</v>
      </c>
      <c r="D2630" t="s">
        <v>2234</v>
      </c>
      <c r="E2630" t="s">
        <v>42</v>
      </c>
      <c r="F2630" t="s">
        <v>4542</v>
      </c>
      <c r="G2630" t="str">
        <f>"201511009567"</f>
        <v>201511009567</v>
      </c>
      <c r="H2630">
        <v>660</v>
      </c>
      <c r="I2630">
        <v>150</v>
      </c>
      <c r="J2630">
        <v>0</v>
      </c>
      <c r="K2630">
        <v>0</v>
      </c>
      <c r="L2630">
        <v>0</v>
      </c>
      <c r="M2630">
        <v>0</v>
      </c>
      <c r="N2630">
        <v>0</v>
      </c>
      <c r="O2630">
        <v>0</v>
      </c>
      <c r="P2630">
        <v>0</v>
      </c>
      <c r="Q2630">
        <v>0</v>
      </c>
      <c r="T2630">
        <v>0</v>
      </c>
      <c r="U2630">
        <v>810</v>
      </c>
    </row>
    <row r="2631" spans="1:21" x14ac:dyDescent="0.25">
      <c r="H2631" t="s">
        <v>4543</v>
      </c>
    </row>
    <row r="2632" spans="1:21" x14ac:dyDescent="0.25">
      <c r="A2632">
        <v>1313</v>
      </c>
      <c r="B2632">
        <v>6514</v>
      </c>
      <c r="C2632" t="s">
        <v>4544</v>
      </c>
      <c r="D2632" t="s">
        <v>4545</v>
      </c>
      <c r="E2632" t="s">
        <v>225</v>
      </c>
      <c r="F2632" t="s">
        <v>4546</v>
      </c>
      <c r="G2632" t="str">
        <f>"201511026416"</f>
        <v>201511026416</v>
      </c>
      <c r="H2632">
        <v>660</v>
      </c>
      <c r="I2632">
        <v>150</v>
      </c>
      <c r="J2632">
        <v>0</v>
      </c>
      <c r="K2632">
        <v>0</v>
      </c>
      <c r="L2632">
        <v>0</v>
      </c>
      <c r="M2632">
        <v>0</v>
      </c>
      <c r="N2632">
        <v>0</v>
      </c>
      <c r="O2632">
        <v>0</v>
      </c>
      <c r="P2632">
        <v>0</v>
      </c>
      <c r="Q2632">
        <v>0</v>
      </c>
      <c r="T2632">
        <v>1</v>
      </c>
      <c r="U2632">
        <v>810</v>
      </c>
    </row>
    <row r="2633" spans="1:21" x14ac:dyDescent="0.25">
      <c r="H2633" t="s">
        <v>4547</v>
      </c>
    </row>
    <row r="2634" spans="1:21" x14ac:dyDescent="0.25">
      <c r="A2634">
        <v>1314</v>
      </c>
      <c r="B2634">
        <v>4161</v>
      </c>
      <c r="C2634" t="s">
        <v>154</v>
      </c>
      <c r="D2634" t="s">
        <v>4548</v>
      </c>
      <c r="E2634" t="s">
        <v>975</v>
      </c>
      <c r="F2634" t="s">
        <v>4549</v>
      </c>
      <c r="G2634" t="str">
        <f>"00029803"</f>
        <v>00029803</v>
      </c>
      <c r="H2634" t="s">
        <v>2606</v>
      </c>
      <c r="I2634">
        <v>0</v>
      </c>
      <c r="J2634">
        <v>0</v>
      </c>
      <c r="K2634">
        <v>0</v>
      </c>
      <c r="L2634">
        <v>0</v>
      </c>
      <c r="M2634">
        <v>0</v>
      </c>
      <c r="N2634">
        <v>0</v>
      </c>
      <c r="O2634">
        <v>0</v>
      </c>
      <c r="P2634">
        <v>0</v>
      </c>
      <c r="Q2634">
        <v>0</v>
      </c>
      <c r="T2634">
        <v>2</v>
      </c>
      <c r="U2634" t="s">
        <v>2606</v>
      </c>
    </row>
    <row r="2635" spans="1:21" x14ac:dyDescent="0.25">
      <c r="H2635" t="s">
        <v>4550</v>
      </c>
    </row>
    <row r="2636" spans="1:21" x14ac:dyDescent="0.25">
      <c r="A2636">
        <v>1315</v>
      </c>
      <c r="B2636">
        <v>4752</v>
      </c>
      <c r="C2636" t="s">
        <v>4551</v>
      </c>
      <c r="D2636" t="s">
        <v>121</v>
      </c>
      <c r="E2636" t="s">
        <v>42</v>
      </c>
      <c r="F2636" t="s">
        <v>4552</v>
      </c>
      <c r="G2636" t="str">
        <f>"00037921"</f>
        <v>00037921</v>
      </c>
      <c r="H2636" t="s">
        <v>2606</v>
      </c>
      <c r="I2636">
        <v>0</v>
      </c>
      <c r="J2636">
        <v>0</v>
      </c>
      <c r="K2636">
        <v>0</v>
      </c>
      <c r="L2636">
        <v>0</v>
      </c>
      <c r="M2636">
        <v>0</v>
      </c>
      <c r="N2636">
        <v>0</v>
      </c>
      <c r="O2636">
        <v>0</v>
      </c>
      <c r="P2636">
        <v>0</v>
      </c>
      <c r="Q2636">
        <v>0</v>
      </c>
      <c r="T2636">
        <v>0</v>
      </c>
      <c r="U2636" t="s">
        <v>2606</v>
      </c>
    </row>
    <row r="2637" spans="1:21" x14ac:dyDescent="0.25">
      <c r="H2637" t="s">
        <v>4553</v>
      </c>
    </row>
    <row r="2638" spans="1:21" x14ac:dyDescent="0.25">
      <c r="A2638">
        <v>1316</v>
      </c>
      <c r="B2638">
        <v>4110</v>
      </c>
      <c r="C2638" t="s">
        <v>4554</v>
      </c>
      <c r="D2638" t="s">
        <v>304</v>
      </c>
      <c r="E2638" t="s">
        <v>155</v>
      </c>
      <c r="F2638" t="s">
        <v>4555</v>
      </c>
      <c r="G2638" t="str">
        <f>"201511030173"</f>
        <v>201511030173</v>
      </c>
      <c r="H2638" t="s">
        <v>2606</v>
      </c>
      <c r="I2638">
        <v>0</v>
      </c>
      <c r="J2638">
        <v>0</v>
      </c>
      <c r="K2638">
        <v>0</v>
      </c>
      <c r="L2638">
        <v>0</v>
      </c>
      <c r="M2638">
        <v>0</v>
      </c>
      <c r="N2638">
        <v>0</v>
      </c>
      <c r="O2638">
        <v>0</v>
      </c>
      <c r="P2638">
        <v>0</v>
      </c>
      <c r="Q2638">
        <v>0</v>
      </c>
      <c r="T2638">
        <v>0</v>
      </c>
      <c r="U2638" t="s">
        <v>2606</v>
      </c>
    </row>
    <row r="2639" spans="1:21" x14ac:dyDescent="0.25">
      <c r="H2639" t="s">
        <v>4556</v>
      </c>
    </row>
    <row r="2640" spans="1:21" x14ac:dyDescent="0.25">
      <c r="A2640">
        <v>1317</v>
      </c>
      <c r="B2640">
        <v>459</v>
      </c>
      <c r="C2640" t="s">
        <v>4557</v>
      </c>
      <c r="D2640" t="s">
        <v>78</v>
      </c>
      <c r="E2640" t="s">
        <v>36</v>
      </c>
      <c r="F2640" t="s">
        <v>4558</v>
      </c>
      <c r="G2640" t="str">
        <f>"201511007408"</f>
        <v>201511007408</v>
      </c>
      <c r="H2640" t="s">
        <v>2606</v>
      </c>
      <c r="I2640">
        <v>0</v>
      </c>
      <c r="J2640">
        <v>0</v>
      </c>
      <c r="K2640">
        <v>0</v>
      </c>
      <c r="L2640">
        <v>0</v>
      </c>
      <c r="M2640">
        <v>0</v>
      </c>
      <c r="N2640">
        <v>0</v>
      </c>
      <c r="O2640">
        <v>0</v>
      </c>
      <c r="P2640">
        <v>0</v>
      </c>
      <c r="Q2640">
        <v>0</v>
      </c>
      <c r="R2640">
        <v>6</v>
      </c>
      <c r="S2640">
        <v>804</v>
      </c>
      <c r="T2640">
        <v>2</v>
      </c>
      <c r="U2640" t="s">
        <v>2606</v>
      </c>
    </row>
    <row r="2641" spans="1:21" x14ac:dyDescent="0.25">
      <c r="H2641">
        <v>804</v>
      </c>
    </row>
    <row r="2642" spans="1:21" x14ac:dyDescent="0.25">
      <c r="A2642">
        <v>1318</v>
      </c>
      <c r="B2642">
        <v>5318</v>
      </c>
      <c r="C2642" t="s">
        <v>4559</v>
      </c>
      <c r="D2642" t="s">
        <v>692</v>
      </c>
      <c r="E2642" t="s">
        <v>366</v>
      </c>
      <c r="F2642" t="s">
        <v>4560</v>
      </c>
      <c r="G2642" t="str">
        <f>"201511038572"</f>
        <v>201511038572</v>
      </c>
      <c r="H2642" t="s">
        <v>4561</v>
      </c>
      <c r="I2642">
        <v>0</v>
      </c>
      <c r="J2642">
        <v>0</v>
      </c>
      <c r="K2642">
        <v>0</v>
      </c>
      <c r="L2642">
        <v>0</v>
      </c>
      <c r="M2642">
        <v>0</v>
      </c>
      <c r="N2642">
        <v>0</v>
      </c>
      <c r="O2642">
        <v>0</v>
      </c>
      <c r="P2642">
        <v>0</v>
      </c>
      <c r="Q2642">
        <v>0</v>
      </c>
      <c r="T2642">
        <v>0</v>
      </c>
      <c r="U2642" t="s">
        <v>4561</v>
      </c>
    </row>
    <row r="2643" spans="1:21" x14ac:dyDescent="0.25">
      <c r="H2643" t="s">
        <v>4562</v>
      </c>
    </row>
    <row r="2644" spans="1:21" x14ac:dyDescent="0.25">
      <c r="A2644">
        <v>1319</v>
      </c>
      <c r="B2644">
        <v>431</v>
      </c>
      <c r="C2644" t="s">
        <v>4563</v>
      </c>
      <c r="D2644" t="s">
        <v>74</v>
      </c>
      <c r="E2644" t="s">
        <v>36</v>
      </c>
      <c r="F2644" t="s">
        <v>4564</v>
      </c>
      <c r="G2644" t="str">
        <f>"00023237"</f>
        <v>00023237</v>
      </c>
      <c r="H2644" t="s">
        <v>4565</v>
      </c>
      <c r="I2644">
        <v>0</v>
      </c>
      <c r="J2644">
        <v>0</v>
      </c>
      <c r="K2644">
        <v>0</v>
      </c>
      <c r="L2644">
        <v>0</v>
      </c>
      <c r="M2644">
        <v>0</v>
      </c>
      <c r="N2644">
        <v>0</v>
      </c>
      <c r="O2644">
        <v>0</v>
      </c>
      <c r="P2644">
        <v>0</v>
      </c>
      <c r="Q2644">
        <v>0</v>
      </c>
      <c r="T2644">
        <v>0</v>
      </c>
      <c r="U2644" t="s">
        <v>4565</v>
      </c>
    </row>
    <row r="2645" spans="1:21" x14ac:dyDescent="0.25">
      <c r="H2645" t="s">
        <v>1346</v>
      </c>
    </row>
    <row r="2646" spans="1:21" x14ac:dyDescent="0.25">
      <c r="A2646">
        <v>1320</v>
      </c>
      <c r="B2646">
        <v>3720</v>
      </c>
      <c r="C2646" t="s">
        <v>4566</v>
      </c>
      <c r="D2646" t="s">
        <v>185</v>
      </c>
      <c r="E2646" t="s">
        <v>112</v>
      </c>
      <c r="F2646" t="s">
        <v>4567</v>
      </c>
      <c r="G2646" t="str">
        <f>"00044645"</f>
        <v>00044645</v>
      </c>
      <c r="H2646" t="s">
        <v>4565</v>
      </c>
      <c r="I2646">
        <v>0</v>
      </c>
      <c r="J2646">
        <v>0</v>
      </c>
      <c r="K2646">
        <v>0</v>
      </c>
      <c r="L2646">
        <v>0</v>
      </c>
      <c r="M2646">
        <v>0</v>
      </c>
      <c r="N2646">
        <v>0</v>
      </c>
      <c r="O2646">
        <v>0</v>
      </c>
      <c r="P2646">
        <v>0</v>
      </c>
      <c r="Q2646">
        <v>0</v>
      </c>
      <c r="T2646">
        <v>1</v>
      </c>
      <c r="U2646" t="s">
        <v>4565</v>
      </c>
    </row>
    <row r="2647" spans="1:21" x14ac:dyDescent="0.25">
      <c r="H2647" t="s">
        <v>4568</v>
      </c>
    </row>
    <row r="2648" spans="1:21" x14ac:dyDescent="0.25">
      <c r="A2648">
        <v>1321</v>
      </c>
      <c r="B2648">
        <v>9114</v>
      </c>
      <c r="C2648" t="s">
        <v>4569</v>
      </c>
      <c r="D2648" t="s">
        <v>1127</v>
      </c>
      <c r="E2648" t="s">
        <v>36</v>
      </c>
      <c r="F2648" t="s">
        <v>4570</v>
      </c>
      <c r="G2648" t="str">
        <f>"00021488"</f>
        <v>00021488</v>
      </c>
      <c r="H2648" t="s">
        <v>4571</v>
      </c>
      <c r="I2648">
        <v>150</v>
      </c>
      <c r="J2648">
        <v>0</v>
      </c>
      <c r="K2648">
        <v>0</v>
      </c>
      <c r="L2648">
        <v>0</v>
      </c>
      <c r="M2648">
        <v>0</v>
      </c>
      <c r="N2648">
        <v>0</v>
      </c>
      <c r="O2648">
        <v>0</v>
      </c>
      <c r="P2648">
        <v>0</v>
      </c>
      <c r="Q2648">
        <v>0</v>
      </c>
      <c r="T2648">
        <v>0</v>
      </c>
      <c r="U2648" t="s">
        <v>4572</v>
      </c>
    </row>
    <row r="2649" spans="1:21" x14ac:dyDescent="0.25">
      <c r="H2649" t="s">
        <v>4573</v>
      </c>
    </row>
    <row r="2650" spans="1:21" x14ac:dyDescent="0.25">
      <c r="A2650">
        <v>1322</v>
      </c>
      <c r="B2650">
        <v>8696</v>
      </c>
      <c r="C2650" t="s">
        <v>178</v>
      </c>
      <c r="D2650" t="s">
        <v>319</v>
      </c>
      <c r="E2650" t="s">
        <v>135</v>
      </c>
      <c r="F2650" t="s">
        <v>4574</v>
      </c>
      <c r="G2650" t="str">
        <f>"00049781"</f>
        <v>00049781</v>
      </c>
      <c r="H2650" t="s">
        <v>3323</v>
      </c>
      <c r="I2650">
        <v>0</v>
      </c>
      <c r="J2650">
        <v>30</v>
      </c>
      <c r="K2650">
        <v>0</v>
      </c>
      <c r="L2650">
        <v>0</v>
      </c>
      <c r="M2650">
        <v>0</v>
      </c>
      <c r="N2650">
        <v>0</v>
      </c>
      <c r="O2650">
        <v>0</v>
      </c>
      <c r="P2650">
        <v>0</v>
      </c>
      <c r="Q2650">
        <v>0</v>
      </c>
      <c r="T2650">
        <v>0</v>
      </c>
      <c r="U2650" t="s">
        <v>4575</v>
      </c>
    </row>
    <row r="2651" spans="1:21" x14ac:dyDescent="0.25">
      <c r="H2651" t="s">
        <v>4576</v>
      </c>
    </row>
    <row r="2652" spans="1:21" x14ac:dyDescent="0.25">
      <c r="A2652">
        <v>1323</v>
      </c>
      <c r="B2652">
        <v>6985</v>
      </c>
      <c r="C2652" t="s">
        <v>4577</v>
      </c>
      <c r="D2652" t="s">
        <v>185</v>
      </c>
      <c r="E2652" t="s">
        <v>112</v>
      </c>
      <c r="F2652" t="s">
        <v>4578</v>
      </c>
      <c r="G2652" t="str">
        <f>"201512000829"</f>
        <v>201512000829</v>
      </c>
      <c r="H2652" t="s">
        <v>4579</v>
      </c>
      <c r="I2652">
        <v>0</v>
      </c>
      <c r="J2652">
        <v>0</v>
      </c>
      <c r="K2652">
        <v>0</v>
      </c>
      <c r="L2652">
        <v>0</v>
      </c>
      <c r="M2652">
        <v>0</v>
      </c>
      <c r="N2652">
        <v>0</v>
      </c>
      <c r="O2652">
        <v>0</v>
      </c>
      <c r="P2652">
        <v>0</v>
      </c>
      <c r="Q2652">
        <v>0</v>
      </c>
      <c r="T2652">
        <v>0</v>
      </c>
      <c r="U2652" t="s">
        <v>4579</v>
      </c>
    </row>
    <row r="2653" spans="1:21" x14ac:dyDescent="0.25">
      <c r="H2653" t="s">
        <v>4580</v>
      </c>
    </row>
    <row r="2654" spans="1:21" x14ac:dyDescent="0.25">
      <c r="A2654">
        <v>1324</v>
      </c>
      <c r="B2654">
        <v>5629</v>
      </c>
      <c r="C2654" t="s">
        <v>1840</v>
      </c>
      <c r="D2654" t="s">
        <v>57</v>
      </c>
      <c r="E2654" t="s">
        <v>37</v>
      </c>
      <c r="F2654" t="s">
        <v>4581</v>
      </c>
      <c r="G2654" t="str">
        <f>"201510000578"</f>
        <v>201510000578</v>
      </c>
      <c r="H2654" t="s">
        <v>4579</v>
      </c>
      <c r="I2654">
        <v>0</v>
      </c>
      <c r="J2654">
        <v>0</v>
      </c>
      <c r="K2654">
        <v>0</v>
      </c>
      <c r="L2654">
        <v>0</v>
      </c>
      <c r="M2654">
        <v>0</v>
      </c>
      <c r="N2654">
        <v>0</v>
      </c>
      <c r="O2654">
        <v>0</v>
      </c>
      <c r="P2654">
        <v>0</v>
      </c>
      <c r="Q2654">
        <v>0</v>
      </c>
      <c r="T2654">
        <v>0</v>
      </c>
      <c r="U2654" t="s">
        <v>4579</v>
      </c>
    </row>
    <row r="2655" spans="1:21" x14ac:dyDescent="0.25">
      <c r="H2655" t="s">
        <v>4582</v>
      </c>
    </row>
    <row r="2656" spans="1:21" x14ac:dyDescent="0.25">
      <c r="A2656">
        <v>1325</v>
      </c>
      <c r="B2656">
        <v>5544</v>
      </c>
      <c r="C2656" t="s">
        <v>4583</v>
      </c>
      <c r="D2656" t="s">
        <v>95</v>
      </c>
      <c r="E2656" t="s">
        <v>647</v>
      </c>
      <c r="F2656" t="s">
        <v>4584</v>
      </c>
      <c r="G2656" t="str">
        <f>"00092632"</f>
        <v>00092632</v>
      </c>
      <c r="H2656" t="s">
        <v>2662</v>
      </c>
      <c r="I2656">
        <v>0</v>
      </c>
      <c r="J2656">
        <v>0</v>
      </c>
      <c r="K2656">
        <v>0</v>
      </c>
      <c r="L2656">
        <v>0</v>
      </c>
      <c r="M2656">
        <v>0</v>
      </c>
      <c r="N2656">
        <v>0</v>
      </c>
      <c r="O2656">
        <v>0</v>
      </c>
      <c r="P2656">
        <v>0</v>
      </c>
      <c r="Q2656">
        <v>0</v>
      </c>
      <c r="T2656">
        <v>0</v>
      </c>
      <c r="U2656" t="s">
        <v>2662</v>
      </c>
    </row>
    <row r="2657" spans="1:21" x14ac:dyDescent="0.25">
      <c r="H2657" t="s">
        <v>4585</v>
      </c>
    </row>
    <row r="2658" spans="1:21" x14ac:dyDescent="0.25">
      <c r="A2658">
        <v>1326</v>
      </c>
      <c r="B2658">
        <v>9694</v>
      </c>
      <c r="C2658" t="s">
        <v>3680</v>
      </c>
      <c r="D2658" t="s">
        <v>85</v>
      </c>
      <c r="E2658" t="s">
        <v>27</v>
      </c>
      <c r="F2658" t="s">
        <v>4586</v>
      </c>
      <c r="G2658" t="str">
        <f>"201102000641"</f>
        <v>201102000641</v>
      </c>
      <c r="H2658" t="s">
        <v>4587</v>
      </c>
      <c r="I2658">
        <v>0</v>
      </c>
      <c r="J2658">
        <v>30</v>
      </c>
      <c r="K2658">
        <v>0</v>
      </c>
      <c r="L2658">
        <v>0</v>
      </c>
      <c r="M2658">
        <v>0</v>
      </c>
      <c r="N2658">
        <v>0</v>
      </c>
      <c r="O2658">
        <v>0</v>
      </c>
      <c r="P2658">
        <v>0</v>
      </c>
      <c r="Q2658">
        <v>0</v>
      </c>
      <c r="T2658">
        <v>2</v>
      </c>
      <c r="U2658" t="s">
        <v>4588</v>
      </c>
    </row>
    <row r="2659" spans="1:21" x14ac:dyDescent="0.25">
      <c r="H2659" t="s">
        <v>4589</v>
      </c>
    </row>
    <row r="2660" spans="1:21" x14ac:dyDescent="0.25">
      <c r="A2660">
        <v>1327</v>
      </c>
      <c r="B2660">
        <v>9040</v>
      </c>
      <c r="C2660" t="s">
        <v>4590</v>
      </c>
      <c r="D2660" t="s">
        <v>27</v>
      </c>
      <c r="E2660" t="s">
        <v>4591</v>
      </c>
      <c r="F2660" t="s">
        <v>4592</v>
      </c>
      <c r="G2660" t="str">
        <f>"00095430"</f>
        <v>00095430</v>
      </c>
      <c r="H2660">
        <v>803</v>
      </c>
      <c r="I2660">
        <v>0</v>
      </c>
      <c r="J2660">
        <v>0</v>
      </c>
      <c r="K2660">
        <v>0</v>
      </c>
      <c r="L2660">
        <v>0</v>
      </c>
      <c r="M2660">
        <v>0</v>
      </c>
      <c r="N2660">
        <v>0</v>
      </c>
      <c r="O2660">
        <v>0</v>
      </c>
      <c r="P2660">
        <v>0</v>
      </c>
      <c r="Q2660">
        <v>0</v>
      </c>
      <c r="T2660">
        <v>0</v>
      </c>
      <c r="U2660">
        <v>803</v>
      </c>
    </row>
    <row r="2661" spans="1:21" x14ac:dyDescent="0.25">
      <c r="H2661" t="s">
        <v>4593</v>
      </c>
    </row>
    <row r="2662" spans="1:21" x14ac:dyDescent="0.25">
      <c r="A2662">
        <v>1328</v>
      </c>
      <c r="B2662">
        <v>3001</v>
      </c>
      <c r="C2662" t="s">
        <v>4594</v>
      </c>
      <c r="D2662" t="s">
        <v>185</v>
      </c>
      <c r="E2662" t="s">
        <v>112</v>
      </c>
      <c r="F2662" t="s">
        <v>4595</v>
      </c>
      <c r="G2662" t="str">
        <f>"201511012038"</f>
        <v>201511012038</v>
      </c>
      <c r="H2662">
        <v>803</v>
      </c>
      <c r="I2662">
        <v>0</v>
      </c>
      <c r="J2662">
        <v>0</v>
      </c>
      <c r="K2662">
        <v>0</v>
      </c>
      <c r="L2662">
        <v>0</v>
      </c>
      <c r="M2662">
        <v>0</v>
      </c>
      <c r="N2662">
        <v>0</v>
      </c>
      <c r="O2662">
        <v>0</v>
      </c>
      <c r="P2662">
        <v>0</v>
      </c>
      <c r="Q2662">
        <v>0</v>
      </c>
      <c r="T2662">
        <v>1</v>
      </c>
      <c r="U2662">
        <v>803</v>
      </c>
    </row>
    <row r="2663" spans="1:21" x14ac:dyDescent="0.25">
      <c r="H2663" t="s">
        <v>4596</v>
      </c>
    </row>
    <row r="2664" spans="1:21" x14ac:dyDescent="0.25">
      <c r="A2664">
        <v>1329</v>
      </c>
      <c r="B2664">
        <v>7302</v>
      </c>
      <c r="C2664" t="s">
        <v>4597</v>
      </c>
      <c r="D2664" t="s">
        <v>613</v>
      </c>
      <c r="E2664" t="s">
        <v>122</v>
      </c>
      <c r="F2664" t="s">
        <v>4598</v>
      </c>
      <c r="G2664" t="str">
        <f>"201511040096"</f>
        <v>201511040096</v>
      </c>
      <c r="H2664" t="s">
        <v>4599</v>
      </c>
      <c r="I2664">
        <v>0</v>
      </c>
      <c r="J2664">
        <v>50</v>
      </c>
      <c r="K2664">
        <v>0</v>
      </c>
      <c r="L2664">
        <v>0</v>
      </c>
      <c r="M2664">
        <v>0</v>
      </c>
      <c r="N2664">
        <v>0</v>
      </c>
      <c r="O2664">
        <v>0</v>
      </c>
      <c r="P2664">
        <v>0</v>
      </c>
      <c r="Q2664">
        <v>0</v>
      </c>
      <c r="T2664">
        <v>0</v>
      </c>
      <c r="U2664" t="s">
        <v>4600</v>
      </c>
    </row>
    <row r="2665" spans="1:21" x14ac:dyDescent="0.25">
      <c r="H2665" t="s">
        <v>4601</v>
      </c>
    </row>
    <row r="2666" spans="1:21" x14ac:dyDescent="0.25">
      <c r="A2666">
        <v>1330</v>
      </c>
      <c r="B2666">
        <v>9509</v>
      </c>
      <c r="C2666" t="s">
        <v>4602</v>
      </c>
      <c r="D2666" t="s">
        <v>74</v>
      </c>
      <c r="E2666" t="s">
        <v>36</v>
      </c>
      <c r="F2666" t="s">
        <v>4603</v>
      </c>
      <c r="G2666" t="str">
        <f>"00029113"</f>
        <v>00029113</v>
      </c>
      <c r="H2666" t="s">
        <v>3035</v>
      </c>
      <c r="I2666">
        <v>0</v>
      </c>
      <c r="J2666">
        <v>0</v>
      </c>
      <c r="K2666">
        <v>0</v>
      </c>
      <c r="L2666">
        <v>0</v>
      </c>
      <c r="M2666">
        <v>0</v>
      </c>
      <c r="N2666">
        <v>0</v>
      </c>
      <c r="O2666">
        <v>0</v>
      </c>
      <c r="P2666">
        <v>0</v>
      </c>
      <c r="Q2666">
        <v>0</v>
      </c>
      <c r="T2666">
        <v>0</v>
      </c>
      <c r="U2666" t="s">
        <v>3035</v>
      </c>
    </row>
    <row r="2667" spans="1:21" x14ac:dyDescent="0.25">
      <c r="H2667" t="s">
        <v>4604</v>
      </c>
    </row>
    <row r="2668" spans="1:21" x14ac:dyDescent="0.25">
      <c r="A2668">
        <v>1331</v>
      </c>
      <c r="B2668">
        <v>10090</v>
      </c>
      <c r="C2668" t="s">
        <v>3493</v>
      </c>
      <c r="D2668" t="s">
        <v>173</v>
      </c>
      <c r="E2668" t="s">
        <v>1136</v>
      </c>
      <c r="F2668" t="s">
        <v>4605</v>
      </c>
      <c r="G2668" t="str">
        <f>"201210000119"</f>
        <v>201210000119</v>
      </c>
      <c r="H2668">
        <v>770</v>
      </c>
      <c r="I2668">
        <v>0</v>
      </c>
      <c r="J2668">
        <v>0</v>
      </c>
      <c r="K2668">
        <v>0</v>
      </c>
      <c r="L2668">
        <v>30</v>
      </c>
      <c r="M2668">
        <v>0</v>
      </c>
      <c r="N2668">
        <v>0</v>
      </c>
      <c r="O2668">
        <v>0</v>
      </c>
      <c r="P2668">
        <v>0</v>
      </c>
      <c r="Q2668">
        <v>0</v>
      </c>
      <c r="T2668">
        <v>1</v>
      </c>
      <c r="U2668">
        <v>800</v>
      </c>
    </row>
    <row r="2669" spans="1:21" x14ac:dyDescent="0.25">
      <c r="H2669" t="s">
        <v>4606</v>
      </c>
    </row>
    <row r="2670" spans="1:21" x14ac:dyDescent="0.25">
      <c r="A2670">
        <v>1332</v>
      </c>
      <c r="B2670">
        <v>1148</v>
      </c>
      <c r="C2670" t="s">
        <v>4607</v>
      </c>
      <c r="D2670" t="s">
        <v>439</v>
      </c>
      <c r="E2670" t="s">
        <v>27</v>
      </c>
      <c r="F2670" t="s">
        <v>4608</v>
      </c>
      <c r="G2670" t="str">
        <f>"00024540"</f>
        <v>00024540</v>
      </c>
      <c r="H2670">
        <v>770</v>
      </c>
      <c r="I2670">
        <v>0</v>
      </c>
      <c r="J2670">
        <v>30</v>
      </c>
      <c r="K2670">
        <v>0</v>
      </c>
      <c r="L2670">
        <v>0</v>
      </c>
      <c r="M2670">
        <v>0</v>
      </c>
      <c r="N2670">
        <v>0</v>
      </c>
      <c r="O2670">
        <v>0</v>
      </c>
      <c r="P2670">
        <v>0</v>
      </c>
      <c r="Q2670">
        <v>0</v>
      </c>
      <c r="T2670">
        <v>0</v>
      </c>
      <c r="U2670">
        <v>800</v>
      </c>
    </row>
    <row r="2671" spans="1:21" x14ac:dyDescent="0.25">
      <c r="H2671">
        <v>801</v>
      </c>
    </row>
    <row r="2672" spans="1:21" x14ac:dyDescent="0.25">
      <c r="A2672">
        <v>1333</v>
      </c>
      <c r="B2672">
        <v>3738</v>
      </c>
      <c r="C2672" t="s">
        <v>3585</v>
      </c>
      <c r="D2672" t="s">
        <v>85</v>
      </c>
      <c r="E2672" t="s">
        <v>65</v>
      </c>
      <c r="F2672" t="s">
        <v>4609</v>
      </c>
      <c r="G2672" t="str">
        <f>"201406007018"</f>
        <v>201406007018</v>
      </c>
      <c r="H2672">
        <v>770</v>
      </c>
      <c r="I2672">
        <v>0</v>
      </c>
      <c r="J2672">
        <v>30</v>
      </c>
      <c r="K2672">
        <v>0</v>
      </c>
      <c r="L2672">
        <v>0</v>
      </c>
      <c r="M2672">
        <v>0</v>
      </c>
      <c r="N2672">
        <v>0</v>
      </c>
      <c r="O2672">
        <v>0</v>
      </c>
      <c r="P2672">
        <v>0</v>
      </c>
      <c r="Q2672">
        <v>0</v>
      </c>
      <c r="T2672">
        <v>0</v>
      </c>
      <c r="U2672">
        <v>800</v>
      </c>
    </row>
    <row r="2673" spans="1:21" x14ac:dyDescent="0.25">
      <c r="H2673" t="s">
        <v>4610</v>
      </c>
    </row>
    <row r="2674" spans="1:21" x14ac:dyDescent="0.25">
      <c r="A2674">
        <v>1334</v>
      </c>
      <c r="B2674">
        <v>1921</v>
      </c>
      <c r="C2674" t="s">
        <v>4611</v>
      </c>
      <c r="D2674" t="s">
        <v>85</v>
      </c>
      <c r="E2674" t="s">
        <v>36</v>
      </c>
      <c r="F2674" t="s">
        <v>4612</v>
      </c>
      <c r="G2674" t="str">
        <f>"00041074"</f>
        <v>00041074</v>
      </c>
      <c r="H2674">
        <v>770</v>
      </c>
      <c r="I2674">
        <v>0</v>
      </c>
      <c r="J2674">
        <v>30</v>
      </c>
      <c r="K2674">
        <v>0</v>
      </c>
      <c r="L2674">
        <v>0</v>
      </c>
      <c r="M2674">
        <v>0</v>
      </c>
      <c r="N2674">
        <v>0</v>
      </c>
      <c r="O2674">
        <v>0</v>
      </c>
      <c r="P2674">
        <v>0</v>
      </c>
      <c r="Q2674">
        <v>0</v>
      </c>
      <c r="T2674">
        <v>0</v>
      </c>
      <c r="U2674">
        <v>800</v>
      </c>
    </row>
    <row r="2675" spans="1:21" x14ac:dyDescent="0.25">
      <c r="H2675" t="s">
        <v>4613</v>
      </c>
    </row>
    <row r="2676" spans="1:21" x14ac:dyDescent="0.25">
      <c r="A2676">
        <v>1335</v>
      </c>
      <c r="B2676">
        <v>5286</v>
      </c>
      <c r="C2676" t="s">
        <v>4614</v>
      </c>
      <c r="D2676" t="s">
        <v>1131</v>
      </c>
      <c r="E2676" t="s">
        <v>366</v>
      </c>
      <c r="F2676" t="s">
        <v>4615</v>
      </c>
      <c r="G2676" t="str">
        <f>"00083492"</f>
        <v>00083492</v>
      </c>
      <c r="H2676">
        <v>770</v>
      </c>
      <c r="I2676">
        <v>0</v>
      </c>
      <c r="J2676">
        <v>30</v>
      </c>
      <c r="K2676">
        <v>0</v>
      </c>
      <c r="L2676">
        <v>0</v>
      </c>
      <c r="M2676">
        <v>0</v>
      </c>
      <c r="N2676">
        <v>0</v>
      </c>
      <c r="O2676">
        <v>0</v>
      </c>
      <c r="P2676">
        <v>0</v>
      </c>
      <c r="Q2676">
        <v>0</v>
      </c>
      <c r="T2676">
        <v>0</v>
      </c>
      <c r="U2676">
        <v>800</v>
      </c>
    </row>
    <row r="2677" spans="1:21" x14ac:dyDescent="0.25">
      <c r="H2677" t="s">
        <v>4616</v>
      </c>
    </row>
    <row r="2678" spans="1:21" x14ac:dyDescent="0.25">
      <c r="A2678">
        <v>1336</v>
      </c>
      <c r="B2678">
        <v>5635</v>
      </c>
      <c r="C2678" t="s">
        <v>4617</v>
      </c>
      <c r="D2678" t="s">
        <v>116</v>
      </c>
      <c r="E2678" t="s">
        <v>852</v>
      </c>
      <c r="F2678" t="s">
        <v>4618</v>
      </c>
      <c r="G2678" t="str">
        <f>"201406009270"</f>
        <v>201406009270</v>
      </c>
      <c r="H2678">
        <v>770</v>
      </c>
      <c r="I2678">
        <v>0</v>
      </c>
      <c r="J2678">
        <v>30</v>
      </c>
      <c r="K2678">
        <v>0</v>
      </c>
      <c r="L2678">
        <v>0</v>
      </c>
      <c r="M2678">
        <v>0</v>
      </c>
      <c r="N2678">
        <v>0</v>
      </c>
      <c r="O2678">
        <v>0</v>
      </c>
      <c r="P2678">
        <v>0</v>
      </c>
      <c r="Q2678">
        <v>0</v>
      </c>
      <c r="T2678">
        <v>0</v>
      </c>
      <c r="U2678">
        <v>800</v>
      </c>
    </row>
    <row r="2679" spans="1:21" x14ac:dyDescent="0.25">
      <c r="H2679" t="s">
        <v>4619</v>
      </c>
    </row>
    <row r="2680" spans="1:21" x14ac:dyDescent="0.25">
      <c r="A2680">
        <v>1337</v>
      </c>
      <c r="B2680">
        <v>2287</v>
      </c>
      <c r="C2680" t="s">
        <v>4620</v>
      </c>
      <c r="D2680" t="s">
        <v>64</v>
      </c>
      <c r="E2680" t="s">
        <v>449</v>
      </c>
      <c r="F2680" t="s">
        <v>4621</v>
      </c>
      <c r="G2680" t="str">
        <f>"00023466"</f>
        <v>00023466</v>
      </c>
      <c r="H2680">
        <v>770</v>
      </c>
      <c r="I2680">
        <v>0</v>
      </c>
      <c r="J2680">
        <v>30</v>
      </c>
      <c r="K2680">
        <v>0</v>
      </c>
      <c r="L2680">
        <v>0</v>
      </c>
      <c r="M2680">
        <v>0</v>
      </c>
      <c r="N2680">
        <v>0</v>
      </c>
      <c r="O2680">
        <v>0</v>
      </c>
      <c r="P2680">
        <v>0</v>
      </c>
      <c r="Q2680">
        <v>0</v>
      </c>
      <c r="T2680">
        <v>0</v>
      </c>
      <c r="U2680">
        <v>800</v>
      </c>
    </row>
    <row r="2681" spans="1:21" x14ac:dyDescent="0.25">
      <c r="H2681" t="s">
        <v>4622</v>
      </c>
    </row>
    <row r="2682" spans="1:21" x14ac:dyDescent="0.25">
      <c r="A2682">
        <v>1338</v>
      </c>
      <c r="B2682">
        <v>7791</v>
      </c>
      <c r="C2682" t="s">
        <v>4623</v>
      </c>
      <c r="D2682" t="s">
        <v>4624</v>
      </c>
      <c r="E2682" t="s">
        <v>37</v>
      </c>
      <c r="F2682" t="s">
        <v>4625</v>
      </c>
      <c r="G2682" t="str">
        <f>"201511037944"</f>
        <v>201511037944</v>
      </c>
      <c r="H2682">
        <v>770</v>
      </c>
      <c r="I2682">
        <v>0</v>
      </c>
      <c r="J2682">
        <v>30</v>
      </c>
      <c r="K2682">
        <v>0</v>
      </c>
      <c r="L2682">
        <v>0</v>
      </c>
      <c r="M2682">
        <v>0</v>
      </c>
      <c r="N2682">
        <v>0</v>
      </c>
      <c r="O2682">
        <v>0</v>
      </c>
      <c r="P2682">
        <v>0</v>
      </c>
      <c r="Q2682">
        <v>0</v>
      </c>
      <c r="T2682">
        <v>1</v>
      </c>
      <c r="U2682">
        <v>800</v>
      </c>
    </row>
    <row r="2683" spans="1:21" x14ac:dyDescent="0.25">
      <c r="H2683" t="s">
        <v>4626</v>
      </c>
    </row>
    <row r="2684" spans="1:21" x14ac:dyDescent="0.25">
      <c r="A2684">
        <v>1339</v>
      </c>
      <c r="B2684">
        <v>4817</v>
      </c>
      <c r="C2684" t="s">
        <v>4627</v>
      </c>
      <c r="D2684" t="s">
        <v>4628</v>
      </c>
      <c r="E2684" t="s">
        <v>332</v>
      </c>
      <c r="F2684" t="s">
        <v>4629</v>
      </c>
      <c r="G2684" t="str">
        <f>"201512000574"</f>
        <v>201512000574</v>
      </c>
      <c r="H2684">
        <v>770</v>
      </c>
      <c r="I2684">
        <v>0</v>
      </c>
      <c r="J2684">
        <v>30</v>
      </c>
      <c r="K2684">
        <v>0</v>
      </c>
      <c r="L2684">
        <v>0</v>
      </c>
      <c r="M2684">
        <v>0</v>
      </c>
      <c r="N2684">
        <v>0</v>
      </c>
      <c r="O2684">
        <v>0</v>
      </c>
      <c r="P2684">
        <v>0</v>
      </c>
      <c r="Q2684">
        <v>0</v>
      </c>
      <c r="T2684">
        <v>0</v>
      </c>
      <c r="U2684">
        <v>800</v>
      </c>
    </row>
    <row r="2685" spans="1:21" x14ac:dyDescent="0.25">
      <c r="H2685" t="s">
        <v>4630</v>
      </c>
    </row>
    <row r="2686" spans="1:21" x14ac:dyDescent="0.25">
      <c r="A2686">
        <v>1340</v>
      </c>
      <c r="B2686">
        <v>4078</v>
      </c>
      <c r="C2686" t="s">
        <v>4631</v>
      </c>
      <c r="D2686" t="s">
        <v>4632</v>
      </c>
      <c r="E2686" t="s">
        <v>36</v>
      </c>
      <c r="F2686" t="s">
        <v>4633</v>
      </c>
      <c r="G2686" t="str">
        <f>"00073890"</f>
        <v>00073890</v>
      </c>
      <c r="H2686" t="s">
        <v>4634</v>
      </c>
      <c r="I2686">
        <v>0</v>
      </c>
      <c r="J2686">
        <v>0</v>
      </c>
      <c r="K2686">
        <v>0</v>
      </c>
      <c r="L2686">
        <v>0</v>
      </c>
      <c r="M2686">
        <v>0</v>
      </c>
      <c r="N2686">
        <v>0</v>
      </c>
      <c r="O2686">
        <v>0</v>
      </c>
      <c r="P2686">
        <v>0</v>
      </c>
      <c r="Q2686">
        <v>0</v>
      </c>
      <c r="T2686">
        <v>0</v>
      </c>
      <c r="U2686" t="s">
        <v>4634</v>
      </c>
    </row>
    <row r="2687" spans="1:21" x14ac:dyDescent="0.25">
      <c r="H2687" t="s">
        <v>4635</v>
      </c>
    </row>
    <row r="2688" spans="1:21" x14ac:dyDescent="0.25">
      <c r="A2688">
        <v>1341</v>
      </c>
      <c r="B2688">
        <v>3939</v>
      </c>
      <c r="C2688" t="s">
        <v>4636</v>
      </c>
      <c r="D2688" t="s">
        <v>4637</v>
      </c>
      <c r="E2688" t="s">
        <v>65</v>
      </c>
      <c r="F2688" t="s">
        <v>4638</v>
      </c>
      <c r="G2688" t="str">
        <f>"00023228"</f>
        <v>00023228</v>
      </c>
      <c r="H2688" t="s">
        <v>4634</v>
      </c>
      <c r="I2688">
        <v>0</v>
      </c>
      <c r="J2688">
        <v>0</v>
      </c>
      <c r="K2688">
        <v>0</v>
      </c>
      <c r="L2688">
        <v>0</v>
      </c>
      <c r="M2688">
        <v>0</v>
      </c>
      <c r="N2688">
        <v>0</v>
      </c>
      <c r="O2688">
        <v>0</v>
      </c>
      <c r="P2688">
        <v>0</v>
      </c>
      <c r="Q2688">
        <v>0</v>
      </c>
      <c r="T2688">
        <v>0</v>
      </c>
      <c r="U2688" t="s">
        <v>4634</v>
      </c>
    </row>
    <row r="2689" spans="1:21" x14ac:dyDescent="0.25">
      <c r="H2689" t="s">
        <v>4639</v>
      </c>
    </row>
    <row r="2690" spans="1:21" x14ac:dyDescent="0.25">
      <c r="A2690">
        <v>1342</v>
      </c>
      <c r="B2690">
        <v>567</v>
      </c>
      <c r="C2690" t="s">
        <v>163</v>
      </c>
      <c r="D2690" t="s">
        <v>69</v>
      </c>
      <c r="E2690" t="s">
        <v>37</v>
      </c>
      <c r="F2690" t="s">
        <v>4640</v>
      </c>
      <c r="G2690" t="str">
        <f>"201406018148"</f>
        <v>201406018148</v>
      </c>
      <c r="H2690" t="s">
        <v>2737</v>
      </c>
      <c r="I2690">
        <v>0</v>
      </c>
      <c r="J2690">
        <v>0</v>
      </c>
      <c r="K2690">
        <v>0</v>
      </c>
      <c r="L2690">
        <v>0</v>
      </c>
      <c r="M2690">
        <v>0</v>
      </c>
      <c r="N2690">
        <v>0</v>
      </c>
      <c r="O2690">
        <v>0</v>
      </c>
      <c r="P2690">
        <v>0</v>
      </c>
      <c r="Q2690">
        <v>0</v>
      </c>
      <c r="R2690">
        <v>6</v>
      </c>
      <c r="S2690">
        <v>763</v>
      </c>
      <c r="T2690">
        <v>0</v>
      </c>
      <c r="U2690" t="s">
        <v>2737</v>
      </c>
    </row>
    <row r="2691" spans="1:21" x14ac:dyDescent="0.25">
      <c r="H2691" t="s">
        <v>4641</v>
      </c>
    </row>
    <row r="2692" spans="1:21" x14ac:dyDescent="0.25">
      <c r="A2692">
        <v>1343</v>
      </c>
      <c r="B2692">
        <v>567</v>
      </c>
      <c r="C2692" t="s">
        <v>163</v>
      </c>
      <c r="D2692" t="s">
        <v>69</v>
      </c>
      <c r="E2692" t="s">
        <v>37</v>
      </c>
      <c r="F2692" t="s">
        <v>4640</v>
      </c>
      <c r="G2692" t="str">
        <f>"201406018148"</f>
        <v>201406018148</v>
      </c>
      <c r="H2692" t="s">
        <v>2737</v>
      </c>
      <c r="I2692">
        <v>0</v>
      </c>
      <c r="J2692">
        <v>0</v>
      </c>
      <c r="K2692">
        <v>0</v>
      </c>
      <c r="L2692">
        <v>0</v>
      </c>
      <c r="M2692">
        <v>0</v>
      </c>
      <c r="N2692">
        <v>0</v>
      </c>
      <c r="O2692">
        <v>0</v>
      </c>
      <c r="P2692">
        <v>0</v>
      </c>
      <c r="Q2692">
        <v>0</v>
      </c>
      <c r="T2692">
        <v>0</v>
      </c>
      <c r="U2692" t="s">
        <v>2737</v>
      </c>
    </row>
    <row r="2693" spans="1:21" x14ac:dyDescent="0.25">
      <c r="H2693" t="s">
        <v>4641</v>
      </c>
    </row>
    <row r="2694" spans="1:21" x14ac:dyDescent="0.25">
      <c r="A2694">
        <v>1344</v>
      </c>
      <c r="B2694">
        <v>2905</v>
      </c>
      <c r="C2694" t="s">
        <v>4642</v>
      </c>
      <c r="D2694" t="s">
        <v>85</v>
      </c>
      <c r="E2694" t="s">
        <v>112</v>
      </c>
      <c r="F2694" t="s">
        <v>4643</v>
      </c>
      <c r="G2694" t="str">
        <f>"201510001794"</f>
        <v>201510001794</v>
      </c>
      <c r="H2694" t="s">
        <v>2737</v>
      </c>
      <c r="I2694">
        <v>0</v>
      </c>
      <c r="J2694">
        <v>0</v>
      </c>
      <c r="K2694">
        <v>0</v>
      </c>
      <c r="L2694">
        <v>0</v>
      </c>
      <c r="M2694">
        <v>0</v>
      </c>
      <c r="N2694">
        <v>0</v>
      </c>
      <c r="O2694">
        <v>0</v>
      </c>
      <c r="P2694">
        <v>0</v>
      </c>
      <c r="Q2694">
        <v>0</v>
      </c>
      <c r="T2694">
        <v>0</v>
      </c>
      <c r="U2694" t="s">
        <v>2737</v>
      </c>
    </row>
    <row r="2695" spans="1:21" x14ac:dyDescent="0.25">
      <c r="H2695">
        <v>794</v>
      </c>
    </row>
    <row r="2696" spans="1:21" x14ac:dyDescent="0.25">
      <c r="A2696">
        <v>1345</v>
      </c>
      <c r="B2696">
        <v>7421</v>
      </c>
      <c r="C2696" t="s">
        <v>4644</v>
      </c>
      <c r="D2696" t="s">
        <v>4645</v>
      </c>
      <c r="E2696" t="s">
        <v>533</v>
      </c>
      <c r="F2696" t="s">
        <v>4646</v>
      </c>
      <c r="G2696" t="str">
        <f>"00088684"</f>
        <v>00088684</v>
      </c>
      <c r="H2696" t="s">
        <v>2737</v>
      </c>
      <c r="I2696">
        <v>0</v>
      </c>
      <c r="J2696">
        <v>0</v>
      </c>
      <c r="K2696">
        <v>0</v>
      </c>
      <c r="L2696">
        <v>0</v>
      </c>
      <c r="M2696">
        <v>0</v>
      </c>
      <c r="N2696">
        <v>0</v>
      </c>
      <c r="O2696">
        <v>0</v>
      </c>
      <c r="P2696">
        <v>0</v>
      </c>
      <c r="Q2696">
        <v>0</v>
      </c>
      <c r="T2696">
        <v>0</v>
      </c>
      <c r="U2696" t="s">
        <v>2737</v>
      </c>
    </row>
    <row r="2697" spans="1:21" x14ac:dyDescent="0.25">
      <c r="H2697" t="s">
        <v>4647</v>
      </c>
    </row>
    <row r="2698" spans="1:21" x14ac:dyDescent="0.25">
      <c r="A2698">
        <v>1346</v>
      </c>
      <c r="B2698">
        <v>8431</v>
      </c>
      <c r="C2698" t="s">
        <v>4648</v>
      </c>
      <c r="D2698" t="s">
        <v>95</v>
      </c>
      <c r="E2698" t="s">
        <v>37</v>
      </c>
      <c r="F2698" t="s">
        <v>4649</v>
      </c>
      <c r="G2698" t="str">
        <f>"201511016973"</f>
        <v>201511016973</v>
      </c>
      <c r="H2698">
        <v>616</v>
      </c>
      <c r="I2698">
        <v>150</v>
      </c>
      <c r="J2698">
        <v>30</v>
      </c>
      <c r="K2698">
        <v>0</v>
      </c>
      <c r="L2698">
        <v>0</v>
      </c>
      <c r="M2698">
        <v>0</v>
      </c>
      <c r="N2698">
        <v>0</v>
      </c>
      <c r="O2698">
        <v>0</v>
      </c>
      <c r="P2698">
        <v>0</v>
      </c>
      <c r="Q2698">
        <v>0</v>
      </c>
      <c r="T2698">
        <v>0</v>
      </c>
      <c r="U2698">
        <v>796</v>
      </c>
    </row>
    <row r="2699" spans="1:21" x14ac:dyDescent="0.25">
      <c r="H2699" t="s">
        <v>4650</v>
      </c>
    </row>
    <row r="2700" spans="1:21" x14ac:dyDescent="0.25">
      <c r="A2700">
        <v>1347</v>
      </c>
      <c r="B2700">
        <v>7335</v>
      </c>
      <c r="C2700" t="s">
        <v>1413</v>
      </c>
      <c r="D2700" t="s">
        <v>641</v>
      </c>
      <c r="E2700" t="s">
        <v>1551</v>
      </c>
      <c r="F2700" t="s">
        <v>4651</v>
      </c>
      <c r="G2700" t="str">
        <f>"201511028881"</f>
        <v>201511028881</v>
      </c>
      <c r="H2700" t="s">
        <v>4652</v>
      </c>
      <c r="I2700">
        <v>0</v>
      </c>
      <c r="J2700">
        <v>30</v>
      </c>
      <c r="K2700">
        <v>0</v>
      </c>
      <c r="L2700">
        <v>0</v>
      </c>
      <c r="M2700">
        <v>0</v>
      </c>
      <c r="N2700">
        <v>0</v>
      </c>
      <c r="O2700">
        <v>0</v>
      </c>
      <c r="P2700">
        <v>0</v>
      </c>
      <c r="Q2700">
        <v>0</v>
      </c>
      <c r="T2700">
        <v>0</v>
      </c>
      <c r="U2700" t="s">
        <v>4653</v>
      </c>
    </row>
    <row r="2701" spans="1:21" x14ac:dyDescent="0.25">
      <c r="H2701" t="s">
        <v>4654</v>
      </c>
    </row>
    <row r="2702" spans="1:21" x14ac:dyDescent="0.25">
      <c r="A2702">
        <v>1348</v>
      </c>
      <c r="B2702">
        <v>4086</v>
      </c>
      <c r="C2702" t="s">
        <v>4655</v>
      </c>
      <c r="D2702" t="s">
        <v>57</v>
      </c>
      <c r="E2702" t="s">
        <v>4656</v>
      </c>
      <c r="F2702" t="s">
        <v>4657</v>
      </c>
      <c r="G2702" t="str">
        <f>"00033795"</f>
        <v>00033795</v>
      </c>
      <c r="H2702" t="s">
        <v>4370</v>
      </c>
      <c r="I2702">
        <v>0</v>
      </c>
      <c r="J2702">
        <v>0</v>
      </c>
      <c r="K2702">
        <v>0</v>
      </c>
      <c r="L2702">
        <v>0</v>
      </c>
      <c r="M2702">
        <v>0</v>
      </c>
      <c r="N2702">
        <v>0</v>
      </c>
      <c r="O2702">
        <v>0</v>
      </c>
      <c r="P2702">
        <v>0</v>
      </c>
      <c r="Q2702">
        <v>0</v>
      </c>
      <c r="T2702">
        <v>0</v>
      </c>
      <c r="U2702" t="s">
        <v>4370</v>
      </c>
    </row>
    <row r="2703" spans="1:21" x14ac:dyDescent="0.25">
      <c r="H2703" t="s">
        <v>4658</v>
      </c>
    </row>
    <row r="2704" spans="1:21" x14ac:dyDescent="0.25">
      <c r="A2704">
        <v>1349</v>
      </c>
      <c r="B2704">
        <v>1681</v>
      </c>
      <c r="C2704" t="s">
        <v>4659</v>
      </c>
      <c r="D2704" t="s">
        <v>121</v>
      </c>
      <c r="E2704" t="s">
        <v>225</v>
      </c>
      <c r="F2704" t="s">
        <v>4660</v>
      </c>
      <c r="G2704" t="str">
        <f>"00073861"</f>
        <v>00073861</v>
      </c>
      <c r="H2704" t="s">
        <v>4370</v>
      </c>
      <c r="I2704">
        <v>0</v>
      </c>
      <c r="J2704">
        <v>0</v>
      </c>
      <c r="K2704">
        <v>0</v>
      </c>
      <c r="L2704">
        <v>0</v>
      </c>
      <c r="M2704">
        <v>0</v>
      </c>
      <c r="N2704">
        <v>0</v>
      </c>
      <c r="O2704">
        <v>0</v>
      </c>
      <c r="P2704">
        <v>0</v>
      </c>
      <c r="Q2704">
        <v>0</v>
      </c>
      <c r="T2704">
        <v>0</v>
      </c>
      <c r="U2704" t="s">
        <v>4370</v>
      </c>
    </row>
    <row r="2705" spans="1:21" x14ac:dyDescent="0.25">
      <c r="H2705" t="s">
        <v>4661</v>
      </c>
    </row>
    <row r="2706" spans="1:21" x14ac:dyDescent="0.25">
      <c r="A2706">
        <v>1350</v>
      </c>
      <c r="B2706">
        <v>2836</v>
      </c>
      <c r="C2706" t="s">
        <v>4662</v>
      </c>
      <c r="D2706" t="s">
        <v>2852</v>
      </c>
      <c r="E2706" t="s">
        <v>135</v>
      </c>
      <c r="F2706" t="s">
        <v>4663</v>
      </c>
      <c r="G2706" t="str">
        <f>"201511010903"</f>
        <v>201511010903</v>
      </c>
      <c r="H2706" t="s">
        <v>4370</v>
      </c>
      <c r="I2706">
        <v>0</v>
      </c>
      <c r="J2706">
        <v>0</v>
      </c>
      <c r="K2706">
        <v>0</v>
      </c>
      <c r="L2706">
        <v>0</v>
      </c>
      <c r="M2706">
        <v>0</v>
      </c>
      <c r="N2706">
        <v>0</v>
      </c>
      <c r="O2706">
        <v>0</v>
      </c>
      <c r="P2706">
        <v>0</v>
      </c>
      <c r="Q2706">
        <v>0</v>
      </c>
      <c r="T2706">
        <v>0</v>
      </c>
      <c r="U2706" t="s">
        <v>4370</v>
      </c>
    </row>
    <row r="2707" spans="1:21" x14ac:dyDescent="0.25">
      <c r="H2707" t="s">
        <v>4664</v>
      </c>
    </row>
    <row r="2708" spans="1:21" x14ac:dyDescent="0.25">
      <c r="A2708">
        <v>1351</v>
      </c>
      <c r="B2708">
        <v>6869</v>
      </c>
      <c r="C2708" t="s">
        <v>110</v>
      </c>
      <c r="D2708" t="s">
        <v>145</v>
      </c>
      <c r="E2708" t="s">
        <v>42</v>
      </c>
      <c r="F2708" t="s">
        <v>4665</v>
      </c>
      <c r="G2708" t="str">
        <f>"201511041230"</f>
        <v>201511041230</v>
      </c>
      <c r="H2708" t="s">
        <v>4370</v>
      </c>
      <c r="I2708">
        <v>0</v>
      </c>
      <c r="J2708">
        <v>0</v>
      </c>
      <c r="K2708">
        <v>0</v>
      </c>
      <c r="L2708">
        <v>0</v>
      </c>
      <c r="M2708">
        <v>0</v>
      </c>
      <c r="N2708">
        <v>0</v>
      </c>
      <c r="O2708">
        <v>0</v>
      </c>
      <c r="P2708">
        <v>0</v>
      </c>
      <c r="Q2708">
        <v>0</v>
      </c>
      <c r="T2708">
        <v>0</v>
      </c>
      <c r="U2708" t="s">
        <v>4370</v>
      </c>
    </row>
    <row r="2709" spans="1:21" x14ac:dyDescent="0.25">
      <c r="H2709" t="s">
        <v>4666</v>
      </c>
    </row>
    <row r="2710" spans="1:21" x14ac:dyDescent="0.25">
      <c r="A2710">
        <v>1352</v>
      </c>
      <c r="B2710">
        <v>9602</v>
      </c>
      <c r="C2710" t="s">
        <v>4667</v>
      </c>
      <c r="D2710" t="s">
        <v>331</v>
      </c>
      <c r="E2710" t="s">
        <v>135</v>
      </c>
      <c r="F2710" t="s">
        <v>4668</v>
      </c>
      <c r="G2710" t="str">
        <f>"00103422"</f>
        <v>00103422</v>
      </c>
      <c r="H2710">
        <v>715</v>
      </c>
      <c r="I2710">
        <v>0</v>
      </c>
      <c r="J2710">
        <v>30</v>
      </c>
      <c r="K2710">
        <v>50</v>
      </c>
      <c r="L2710">
        <v>0</v>
      </c>
      <c r="M2710">
        <v>0</v>
      </c>
      <c r="N2710">
        <v>0</v>
      </c>
      <c r="O2710">
        <v>0</v>
      </c>
      <c r="P2710">
        <v>0</v>
      </c>
      <c r="Q2710">
        <v>0</v>
      </c>
      <c r="T2710">
        <v>0</v>
      </c>
      <c r="U2710">
        <v>795</v>
      </c>
    </row>
    <row r="2711" spans="1:21" x14ac:dyDescent="0.25">
      <c r="H2711" t="s">
        <v>4669</v>
      </c>
    </row>
    <row r="2712" spans="1:21" x14ac:dyDescent="0.25">
      <c r="A2712">
        <v>1353</v>
      </c>
      <c r="B2712">
        <v>2090</v>
      </c>
      <c r="C2712" t="s">
        <v>4670</v>
      </c>
      <c r="D2712" t="s">
        <v>164</v>
      </c>
      <c r="E2712" t="s">
        <v>36</v>
      </c>
      <c r="F2712" t="s">
        <v>4671</v>
      </c>
      <c r="G2712" t="str">
        <f>"201511039164"</f>
        <v>201511039164</v>
      </c>
      <c r="H2712" t="s">
        <v>4672</v>
      </c>
      <c r="I2712">
        <v>150</v>
      </c>
      <c r="J2712">
        <v>0</v>
      </c>
      <c r="K2712">
        <v>0</v>
      </c>
      <c r="L2712">
        <v>0</v>
      </c>
      <c r="M2712">
        <v>0</v>
      </c>
      <c r="N2712">
        <v>0</v>
      </c>
      <c r="O2712">
        <v>0</v>
      </c>
      <c r="P2712">
        <v>0</v>
      </c>
      <c r="Q2712">
        <v>0</v>
      </c>
      <c r="T2712">
        <v>0</v>
      </c>
      <c r="U2712" t="s">
        <v>4673</v>
      </c>
    </row>
    <row r="2713" spans="1:21" x14ac:dyDescent="0.25">
      <c r="H2713" t="s">
        <v>4674</v>
      </c>
    </row>
    <row r="2714" spans="1:21" x14ac:dyDescent="0.25">
      <c r="A2714">
        <v>1354</v>
      </c>
      <c r="B2714">
        <v>3464</v>
      </c>
      <c r="C2714" t="s">
        <v>4675</v>
      </c>
      <c r="D2714" t="s">
        <v>64</v>
      </c>
      <c r="E2714" t="s">
        <v>27</v>
      </c>
      <c r="F2714" t="s">
        <v>4676</v>
      </c>
      <c r="G2714" t="str">
        <f>"00082073"</f>
        <v>00082073</v>
      </c>
      <c r="H2714" t="s">
        <v>3097</v>
      </c>
      <c r="I2714">
        <v>0</v>
      </c>
      <c r="J2714">
        <v>30</v>
      </c>
      <c r="K2714">
        <v>0</v>
      </c>
      <c r="L2714">
        <v>0</v>
      </c>
      <c r="M2714">
        <v>0</v>
      </c>
      <c r="N2714">
        <v>0</v>
      </c>
      <c r="O2714">
        <v>0</v>
      </c>
      <c r="P2714">
        <v>0</v>
      </c>
      <c r="Q2714">
        <v>0</v>
      </c>
      <c r="T2714">
        <v>0</v>
      </c>
      <c r="U2714" t="s">
        <v>4677</v>
      </c>
    </row>
    <row r="2715" spans="1:21" x14ac:dyDescent="0.25">
      <c r="H2715" t="s">
        <v>4678</v>
      </c>
    </row>
    <row r="2716" spans="1:21" x14ac:dyDescent="0.25">
      <c r="A2716">
        <v>1355</v>
      </c>
      <c r="B2716">
        <v>10156</v>
      </c>
      <c r="C2716" t="s">
        <v>4679</v>
      </c>
      <c r="D2716" t="s">
        <v>207</v>
      </c>
      <c r="E2716" t="s">
        <v>614</v>
      </c>
      <c r="F2716" t="s">
        <v>4680</v>
      </c>
      <c r="G2716" t="str">
        <f>"00020512"</f>
        <v>00020512</v>
      </c>
      <c r="H2716" t="s">
        <v>3103</v>
      </c>
      <c r="I2716">
        <v>0</v>
      </c>
      <c r="J2716">
        <v>0</v>
      </c>
      <c r="K2716">
        <v>0</v>
      </c>
      <c r="L2716">
        <v>0</v>
      </c>
      <c r="M2716">
        <v>0</v>
      </c>
      <c r="N2716">
        <v>0</v>
      </c>
      <c r="O2716">
        <v>0</v>
      </c>
      <c r="P2716">
        <v>0</v>
      </c>
      <c r="Q2716">
        <v>0</v>
      </c>
      <c r="T2716">
        <v>0</v>
      </c>
      <c r="U2716" t="s">
        <v>3103</v>
      </c>
    </row>
    <row r="2717" spans="1:21" x14ac:dyDescent="0.25">
      <c r="H2717" t="s">
        <v>1511</v>
      </c>
    </row>
    <row r="2718" spans="1:21" x14ac:dyDescent="0.25">
      <c r="A2718">
        <v>1356</v>
      </c>
      <c r="B2718">
        <v>2642</v>
      </c>
      <c r="C2718" t="s">
        <v>1813</v>
      </c>
      <c r="D2718" t="s">
        <v>546</v>
      </c>
      <c r="E2718" t="s">
        <v>4681</v>
      </c>
      <c r="F2718" t="s">
        <v>4682</v>
      </c>
      <c r="G2718" t="str">
        <f>"00037291"</f>
        <v>00037291</v>
      </c>
      <c r="H2718">
        <v>792</v>
      </c>
      <c r="I2718">
        <v>0</v>
      </c>
      <c r="J2718">
        <v>0</v>
      </c>
      <c r="K2718">
        <v>0</v>
      </c>
      <c r="L2718">
        <v>0</v>
      </c>
      <c r="M2718">
        <v>0</v>
      </c>
      <c r="N2718">
        <v>0</v>
      </c>
      <c r="O2718">
        <v>0</v>
      </c>
      <c r="P2718">
        <v>0</v>
      </c>
      <c r="Q2718">
        <v>0</v>
      </c>
      <c r="T2718">
        <v>3</v>
      </c>
      <c r="U2718">
        <v>792</v>
      </c>
    </row>
    <row r="2719" spans="1:21" x14ac:dyDescent="0.25">
      <c r="H2719" t="s">
        <v>4683</v>
      </c>
    </row>
    <row r="2720" spans="1:21" x14ac:dyDescent="0.25">
      <c r="A2720">
        <v>1357</v>
      </c>
      <c r="B2720">
        <v>9554</v>
      </c>
      <c r="C2720" t="s">
        <v>4684</v>
      </c>
      <c r="D2720" t="s">
        <v>2290</v>
      </c>
      <c r="E2720" t="s">
        <v>27</v>
      </c>
      <c r="F2720" t="s">
        <v>4685</v>
      </c>
      <c r="G2720" t="str">
        <f>"00086598"</f>
        <v>00086598</v>
      </c>
      <c r="H2720">
        <v>792</v>
      </c>
      <c r="I2720">
        <v>0</v>
      </c>
      <c r="J2720">
        <v>0</v>
      </c>
      <c r="K2720">
        <v>0</v>
      </c>
      <c r="L2720">
        <v>0</v>
      </c>
      <c r="M2720">
        <v>0</v>
      </c>
      <c r="N2720">
        <v>0</v>
      </c>
      <c r="O2720">
        <v>0</v>
      </c>
      <c r="P2720">
        <v>0</v>
      </c>
      <c r="Q2720">
        <v>0</v>
      </c>
      <c r="T2720">
        <v>0</v>
      </c>
      <c r="U2720">
        <v>792</v>
      </c>
    </row>
    <row r="2721" spans="1:21" x14ac:dyDescent="0.25">
      <c r="H2721">
        <v>782</v>
      </c>
    </row>
    <row r="2722" spans="1:21" x14ac:dyDescent="0.25">
      <c r="A2722">
        <v>1358</v>
      </c>
      <c r="B2722">
        <v>4141</v>
      </c>
      <c r="C2722" t="s">
        <v>4686</v>
      </c>
      <c r="D2722" t="s">
        <v>4687</v>
      </c>
      <c r="E2722" t="s">
        <v>366</v>
      </c>
      <c r="F2722" t="s">
        <v>4688</v>
      </c>
      <c r="G2722" t="str">
        <f>"201511021059"</f>
        <v>201511021059</v>
      </c>
      <c r="H2722">
        <v>792</v>
      </c>
      <c r="I2722">
        <v>0</v>
      </c>
      <c r="J2722">
        <v>0</v>
      </c>
      <c r="K2722">
        <v>0</v>
      </c>
      <c r="L2722">
        <v>0</v>
      </c>
      <c r="M2722">
        <v>0</v>
      </c>
      <c r="N2722">
        <v>0</v>
      </c>
      <c r="O2722">
        <v>0</v>
      </c>
      <c r="P2722">
        <v>0</v>
      </c>
      <c r="Q2722">
        <v>0</v>
      </c>
      <c r="R2722">
        <v>6</v>
      </c>
      <c r="S2722">
        <v>804</v>
      </c>
      <c r="T2722">
        <v>1</v>
      </c>
      <c r="U2722">
        <v>792</v>
      </c>
    </row>
    <row r="2723" spans="1:21" x14ac:dyDescent="0.25">
      <c r="H2723" t="s">
        <v>507</v>
      </c>
    </row>
    <row r="2724" spans="1:21" x14ac:dyDescent="0.25">
      <c r="A2724">
        <v>1359</v>
      </c>
      <c r="B2724">
        <v>6526</v>
      </c>
      <c r="C2724" t="s">
        <v>4689</v>
      </c>
      <c r="D2724" t="s">
        <v>64</v>
      </c>
      <c r="E2724" t="s">
        <v>37</v>
      </c>
      <c r="F2724" t="s">
        <v>4690</v>
      </c>
      <c r="G2724" t="str">
        <f>"00091357"</f>
        <v>00091357</v>
      </c>
      <c r="H2724">
        <v>792</v>
      </c>
      <c r="I2724">
        <v>0</v>
      </c>
      <c r="J2724">
        <v>0</v>
      </c>
      <c r="K2724">
        <v>0</v>
      </c>
      <c r="L2724">
        <v>0</v>
      </c>
      <c r="M2724">
        <v>0</v>
      </c>
      <c r="N2724">
        <v>0</v>
      </c>
      <c r="O2724">
        <v>0</v>
      </c>
      <c r="P2724">
        <v>0</v>
      </c>
      <c r="Q2724">
        <v>0</v>
      </c>
      <c r="T2724">
        <v>2</v>
      </c>
      <c r="U2724">
        <v>792</v>
      </c>
    </row>
    <row r="2725" spans="1:21" x14ac:dyDescent="0.25">
      <c r="H2725" t="s">
        <v>4691</v>
      </c>
    </row>
    <row r="2726" spans="1:21" x14ac:dyDescent="0.25">
      <c r="A2726">
        <v>1360</v>
      </c>
      <c r="B2726">
        <v>1143</v>
      </c>
      <c r="C2726" t="s">
        <v>4692</v>
      </c>
      <c r="D2726" t="s">
        <v>85</v>
      </c>
      <c r="E2726" t="s">
        <v>37</v>
      </c>
      <c r="F2726" t="s">
        <v>4693</v>
      </c>
      <c r="G2726" t="str">
        <f>"201511019361"</f>
        <v>201511019361</v>
      </c>
      <c r="H2726">
        <v>792</v>
      </c>
      <c r="I2726">
        <v>0</v>
      </c>
      <c r="J2726">
        <v>0</v>
      </c>
      <c r="K2726">
        <v>0</v>
      </c>
      <c r="L2726">
        <v>0</v>
      </c>
      <c r="M2726">
        <v>0</v>
      </c>
      <c r="N2726">
        <v>0</v>
      </c>
      <c r="O2726">
        <v>0</v>
      </c>
      <c r="P2726">
        <v>0</v>
      </c>
      <c r="Q2726">
        <v>0</v>
      </c>
      <c r="T2726">
        <v>0</v>
      </c>
      <c r="U2726">
        <v>792</v>
      </c>
    </row>
    <row r="2727" spans="1:21" x14ac:dyDescent="0.25">
      <c r="H2727" t="s">
        <v>4694</v>
      </c>
    </row>
    <row r="2728" spans="1:21" x14ac:dyDescent="0.25">
      <c r="A2728">
        <v>1361</v>
      </c>
      <c r="B2728">
        <v>7462</v>
      </c>
      <c r="C2728" t="s">
        <v>4695</v>
      </c>
      <c r="D2728" t="s">
        <v>121</v>
      </c>
      <c r="E2728" t="s">
        <v>231</v>
      </c>
      <c r="F2728" t="s">
        <v>4696</v>
      </c>
      <c r="G2728" t="str">
        <f>"201511041324"</f>
        <v>201511041324</v>
      </c>
      <c r="H2728" t="s">
        <v>4697</v>
      </c>
      <c r="I2728">
        <v>150</v>
      </c>
      <c r="J2728">
        <v>0</v>
      </c>
      <c r="K2728">
        <v>0</v>
      </c>
      <c r="L2728">
        <v>0</v>
      </c>
      <c r="M2728">
        <v>0</v>
      </c>
      <c r="N2728">
        <v>0</v>
      </c>
      <c r="O2728">
        <v>0</v>
      </c>
      <c r="P2728">
        <v>0</v>
      </c>
      <c r="Q2728">
        <v>0</v>
      </c>
      <c r="T2728">
        <v>2</v>
      </c>
      <c r="U2728" t="s">
        <v>4698</v>
      </c>
    </row>
    <row r="2729" spans="1:21" x14ac:dyDescent="0.25">
      <c r="H2729" t="s">
        <v>4699</v>
      </c>
    </row>
    <row r="2730" spans="1:21" x14ac:dyDescent="0.25">
      <c r="A2730">
        <v>1362</v>
      </c>
      <c r="B2730">
        <v>2547</v>
      </c>
      <c r="C2730" t="s">
        <v>4700</v>
      </c>
      <c r="D2730" t="s">
        <v>667</v>
      </c>
      <c r="E2730" t="s">
        <v>36</v>
      </c>
      <c r="F2730" t="s">
        <v>4701</v>
      </c>
      <c r="G2730" t="str">
        <f>"200807000358"</f>
        <v>200807000358</v>
      </c>
      <c r="H2730" t="s">
        <v>3144</v>
      </c>
      <c r="I2730">
        <v>0</v>
      </c>
      <c r="J2730">
        <v>0</v>
      </c>
      <c r="K2730">
        <v>0</v>
      </c>
      <c r="L2730">
        <v>0</v>
      </c>
      <c r="M2730">
        <v>0</v>
      </c>
      <c r="N2730">
        <v>0</v>
      </c>
      <c r="O2730">
        <v>0</v>
      </c>
      <c r="P2730">
        <v>0</v>
      </c>
      <c r="Q2730">
        <v>0</v>
      </c>
      <c r="T2730">
        <v>0</v>
      </c>
      <c r="U2730" t="s">
        <v>3144</v>
      </c>
    </row>
    <row r="2731" spans="1:21" x14ac:dyDescent="0.25">
      <c r="H2731" t="s">
        <v>4702</v>
      </c>
    </row>
    <row r="2732" spans="1:21" x14ac:dyDescent="0.25">
      <c r="A2732">
        <v>1363</v>
      </c>
      <c r="B2732">
        <v>5013</v>
      </c>
      <c r="C2732" t="s">
        <v>4703</v>
      </c>
      <c r="D2732" t="s">
        <v>85</v>
      </c>
      <c r="E2732" t="s">
        <v>135</v>
      </c>
      <c r="F2732" t="s">
        <v>4704</v>
      </c>
      <c r="G2732" t="str">
        <f>"00043404"</f>
        <v>00043404</v>
      </c>
      <c r="H2732" t="s">
        <v>3144</v>
      </c>
      <c r="I2732">
        <v>0</v>
      </c>
      <c r="J2732">
        <v>0</v>
      </c>
      <c r="K2732">
        <v>0</v>
      </c>
      <c r="L2732">
        <v>0</v>
      </c>
      <c r="M2732">
        <v>0</v>
      </c>
      <c r="N2732">
        <v>0</v>
      </c>
      <c r="O2732">
        <v>0</v>
      </c>
      <c r="P2732">
        <v>0</v>
      </c>
      <c r="Q2732">
        <v>0</v>
      </c>
      <c r="T2732">
        <v>0</v>
      </c>
      <c r="U2732" t="s">
        <v>3144</v>
      </c>
    </row>
    <row r="2733" spans="1:21" x14ac:dyDescent="0.25">
      <c r="H2733" t="s">
        <v>4705</v>
      </c>
    </row>
    <row r="2734" spans="1:21" x14ac:dyDescent="0.25">
      <c r="A2734">
        <v>1364</v>
      </c>
      <c r="B2734">
        <v>9609</v>
      </c>
      <c r="C2734" t="s">
        <v>1023</v>
      </c>
      <c r="D2734" t="s">
        <v>134</v>
      </c>
      <c r="E2734" t="s">
        <v>36</v>
      </c>
      <c r="F2734" t="s">
        <v>4706</v>
      </c>
      <c r="G2734" t="str">
        <f>"201510003704"</f>
        <v>201510003704</v>
      </c>
      <c r="H2734" t="s">
        <v>3144</v>
      </c>
      <c r="I2734">
        <v>0</v>
      </c>
      <c r="J2734">
        <v>0</v>
      </c>
      <c r="K2734">
        <v>0</v>
      </c>
      <c r="L2734">
        <v>0</v>
      </c>
      <c r="M2734">
        <v>0</v>
      </c>
      <c r="N2734">
        <v>0</v>
      </c>
      <c r="O2734">
        <v>0</v>
      </c>
      <c r="P2734">
        <v>0</v>
      </c>
      <c r="Q2734">
        <v>0</v>
      </c>
      <c r="T2734">
        <v>0</v>
      </c>
      <c r="U2734" t="s">
        <v>3144</v>
      </c>
    </row>
    <row r="2735" spans="1:21" x14ac:dyDescent="0.25">
      <c r="H2735" t="s">
        <v>4707</v>
      </c>
    </row>
    <row r="2736" spans="1:21" x14ac:dyDescent="0.25">
      <c r="A2736">
        <v>1365</v>
      </c>
      <c r="B2736">
        <v>5885</v>
      </c>
      <c r="C2736" t="s">
        <v>1523</v>
      </c>
      <c r="D2736" t="s">
        <v>818</v>
      </c>
      <c r="E2736" t="s">
        <v>36</v>
      </c>
      <c r="F2736" t="s">
        <v>4708</v>
      </c>
      <c r="G2736" t="str">
        <f>"00028684"</f>
        <v>00028684</v>
      </c>
      <c r="H2736" t="s">
        <v>3144</v>
      </c>
      <c r="I2736">
        <v>0</v>
      </c>
      <c r="J2736">
        <v>0</v>
      </c>
      <c r="K2736">
        <v>0</v>
      </c>
      <c r="L2736">
        <v>0</v>
      </c>
      <c r="M2736">
        <v>0</v>
      </c>
      <c r="N2736">
        <v>0</v>
      </c>
      <c r="O2736">
        <v>0</v>
      </c>
      <c r="P2736">
        <v>0</v>
      </c>
      <c r="Q2736">
        <v>0</v>
      </c>
      <c r="T2736">
        <v>0</v>
      </c>
      <c r="U2736" t="s">
        <v>3144</v>
      </c>
    </row>
    <row r="2737" spans="1:21" x14ac:dyDescent="0.25">
      <c r="H2737" t="s">
        <v>4709</v>
      </c>
    </row>
    <row r="2738" spans="1:21" x14ac:dyDescent="0.25">
      <c r="A2738">
        <v>1366</v>
      </c>
      <c r="B2738">
        <v>5390</v>
      </c>
      <c r="C2738" t="s">
        <v>4710</v>
      </c>
      <c r="D2738" t="s">
        <v>453</v>
      </c>
      <c r="E2738" t="s">
        <v>122</v>
      </c>
      <c r="F2738" t="s">
        <v>4711</v>
      </c>
      <c r="G2738" t="str">
        <f>"00070656"</f>
        <v>00070656</v>
      </c>
      <c r="H2738" t="s">
        <v>3144</v>
      </c>
      <c r="I2738">
        <v>0</v>
      </c>
      <c r="J2738">
        <v>0</v>
      </c>
      <c r="K2738">
        <v>0</v>
      </c>
      <c r="L2738">
        <v>0</v>
      </c>
      <c r="M2738">
        <v>0</v>
      </c>
      <c r="N2738">
        <v>0</v>
      </c>
      <c r="O2738">
        <v>0</v>
      </c>
      <c r="P2738">
        <v>0</v>
      </c>
      <c r="Q2738">
        <v>0</v>
      </c>
      <c r="T2738">
        <v>0</v>
      </c>
      <c r="U2738" t="s">
        <v>3144</v>
      </c>
    </row>
    <row r="2739" spans="1:21" x14ac:dyDescent="0.25">
      <c r="H2739" t="s">
        <v>491</v>
      </c>
    </row>
    <row r="2740" spans="1:21" x14ac:dyDescent="0.25">
      <c r="A2740">
        <v>1367</v>
      </c>
      <c r="B2740">
        <v>1961</v>
      </c>
      <c r="C2740" t="s">
        <v>4712</v>
      </c>
      <c r="D2740" t="s">
        <v>1136</v>
      </c>
      <c r="E2740" t="s">
        <v>4713</v>
      </c>
      <c r="F2740" t="s">
        <v>4714</v>
      </c>
      <c r="G2740" t="str">
        <f>"201506002655"</f>
        <v>201506002655</v>
      </c>
      <c r="H2740" t="s">
        <v>4715</v>
      </c>
      <c r="I2740">
        <v>0</v>
      </c>
      <c r="J2740">
        <v>70</v>
      </c>
      <c r="K2740">
        <v>0</v>
      </c>
      <c r="L2740">
        <v>0</v>
      </c>
      <c r="M2740">
        <v>0</v>
      </c>
      <c r="N2740">
        <v>0</v>
      </c>
      <c r="O2740">
        <v>0</v>
      </c>
      <c r="P2740">
        <v>0</v>
      </c>
      <c r="Q2740">
        <v>0</v>
      </c>
      <c r="T2740">
        <v>0</v>
      </c>
      <c r="U2740" t="s">
        <v>4716</v>
      </c>
    </row>
    <row r="2741" spans="1:21" x14ac:dyDescent="0.25">
      <c r="H2741" t="s">
        <v>4717</v>
      </c>
    </row>
    <row r="2742" spans="1:21" x14ac:dyDescent="0.25">
      <c r="A2742">
        <v>1368</v>
      </c>
      <c r="B2742">
        <v>8694</v>
      </c>
      <c r="C2742" t="s">
        <v>4718</v>
      </c>
      <c r="D2742" t="s">
        <v>696</v>
      </c>
      <c r="E2742" t="s">
        <v>366</v>
      </c>
      <c r="F2742" t="s">
        <v>4719</v>
      </c>
      <c r="G2742" t="str">
        <f>"201512001733"</f>
        <v>201512001733</v>
      </c>
      <c r="H2742" t="s">
        <v>4720</v>
      </c>
      <c r="I2742">
        <v>150</v>
      </c>
      <c r="J2742">
        <v>0</v>
      </c>
      <c r="K2742">
        <v>0</v>
      </c>
      <c r="L2742">
        <v>0</v>
      </c>
      <c r="M2742">
        <v>0</v>
      </c>
      <c r="N2742">
        <v>0</v>
      </c>
      <c r="O2742">
        <v>0</v>
      </c>
      <c r="P2742">
        <v>0</v>
      </c>
      <c r="Q2742">
        <v>0</v>
      </c>
      <c r="T2742">
        <v>0</v>
      </c>
      <c r="U2742" t="s">
        <v>4721</v>
      </c>
    </row>
    <row r="2743" spans="1:21" x14ac:dyDescent="0.25">
      <c r="H2743" t="s">
        <v>4722</v>
      </c>
    </row>
    <row r="2744" spans="1:21" x14ac:dyDescent="0.25">
      <c r="A2744">
        <v>1369</v>
      </c>
      <c r="B2744">
        <v>6873</v>
      </c>
      <c r="C2744" t="s">
        <v>4723</v>
      </c>
      <c r="D2744" t="s">
        <v>4724</v>
      </c>
      <c r="E2744" t="s">
        <v>3905</v>
      </c>
      <c r="F2744">
        <v>209953</v>
      </c>
      <c r="G2744" t="str">
        <f>"00080963"</f>
        <v>00080963</v>
      </c>
      <c r="H2744" t="s">
        <v>4725</v>
      </c>
      <c r="I2744">
        <v>0</v>
      </c>
      <c r="J2744">
        <v>0</v>
      </c>
      <c r="K2744">
        <v>0</v>
      </c>
      <c r="L2744">
        <v>0</v>
      </c>
      <c r="M2744">
        <v>0</v>
      </c>
      <c r="N2744">
        <v>0</v>
      </c>
      <c r="O2744">
        <v>0</v>
      </c>
      <c r="P2744">
        <v>0</v>
      </c>
      <c r="Q2744">
        <v>0</v>
      </c>
      <c r="T2744">
        <v>0</v>
      </c>
      <c r="U2744" t="s">
        <v>4725</v>
      </c>
    </row>
    <row r="2745" spans="1:21" x14ac:dyDescent="0.25">
      <c r="H2745" t="s">
        <v>4726</v>
      </c>
    </row>
    <row r="2746" spans="1:21" x14ac:dyDescent="0.25">
      <c r="A2746">
        <v>1370</v>
      </c>
      <c r="B2746">
        <v>7465</v>
      </c>
      <c r="C2746" t="s">
        <v>4727</v>
      </c>
      <c r="D2746" t="s">
        <v>696</v>
      </c>
      <c r="E2746" t="s">
        <v>474</v>
      </c>
      <c r="F2746" t="s">
        <v>4728</v>
      </c>
      <c r="G2746" t="str">
        <f>"201604002779"</f>
        <v>201604002779</v>
      </c>
      <c r="H2746">
        <v>759</v>
      </c>
      <c r="I2746">
        <v>0</v>
      </c>
      <c r="J2746">
        <v>30</v>
      </c>
      <c r="K2746">
        <v>0</v>
      </c>
      <c r="L2746">
        <v>0</v>
      </c>
      <c r="M2746">
        <v>0</v>
      </c>
      <c r="N2746">
        <v>0</v>
      </c>
      <c r="O2746">
        <v>0</v>
      </c>
      <c r="P2746">
        <v>0</v>
      </c>
      <c r="Q2746">
        <v>0</v>
      </c>
      <c r="T2746">
        <v>2</v>
      </c>
      <c r="U2746">
        <v>789</v>
      </c>
    </row>
    <row r="2747" spans="1:21" x14ac:dyDescent="0.25">
      <c r="H2747" t="s">
        <v>4729</v>
      </c>
    </row>
    <row r="2748" spans="1:21" x14ac:dyDescent="0.25">
      <c r="A2748">
        <v>1371</v>
      </c>
      <c r="B2748">
        <v>10023</v>
      </c>
      <c r="C2748" t="s">
        <v>4730</v>
      </c>
      <c r="D2748" t="s">
        <v>1065</v>
      </c>
      <c r="E2748" t="s">
        <v>4731</v>
      </c>
      <c r="F2748" t="s">
        <v>4732</v>
      </c>
      <c r="G2748" t="str">
        <f>"201511036137"</f>
        <v>201511036137</v>
      </c>
      <c r="H2748" t="s">
        <v>4733</v>
      </c>
      <c r="I2748">
        <v>150</v>
      </c>
      <c r="J2748">
        <v>0</v>
      </c>
      <c r="K2748">
        <v>0</v>
      </c>
      <c r="L2748">
        <v>0</v>
      </c>
      <c r="M2748">
        <v>0</v>
      </c>
      <c r="N2748">
        <v>0</v>
      </c>
      <c r="O2748">
        <v>0</v>
      </c>
      <c r="P2748">
        <v>0</v>
      </c>
      <c r="Q2748">
        <v>0</v>
      </c>
      <c r="T2748">
        <v>0</v>
      </c>
      <c r="U2748" t="s">
        <v>4734</v>
      </c>
    </row>
    <row r="2749" spans="1:21" x14ac:dyDescent="0.25">
      <c r="H2749" t="s">
        <v>4735</v>
      </c>
    </row>
    <row r="2750" spans="1:21" x14ac:dyDescent="0.25">
      <c r="A2750">
        <v>1372</v>
      </c>
      <c r="B2750">
        <v>7536</v>
      </c>
      <c r="C2750" t="s">
        <v>253</v>
      </c>
      <c r="D2750" t="s">
        <v>173</v>
      </c>
      <c r="E2750" t="s">
        <v>474</v>
      </c>
      <c r="F2750" t="s">
        <v>4736</v>
      </c>
      <c r="G2750" t="str">
        <f>"00029830"</f>
        <v>00029830</v>
      </c>
      <c r="H2750" t="s">
        <v>2617</v>
      </c>
      <c r="I2750">
        <v>0</v>
      </c>
      <c r="J2750">
        <v>0</v>
      </c>
      <c r="K2750">
        <v>0</v>
      </c>
      <c r="L2750">
        <v>0</v>
      </c>
      <c r="M2750">
        <v>0</v>
      </c>
      <c r="N2750">
        <v>0</v>
      </c>
      <c r="O2750">
        <v>0</v>
      </c>
      <c r="P2750">
        <v>0</v>
      </c>
      <c r="Q2750">
        <v>0</v>
      </c>
      <c r="T2750">
        <v>0</v>
      </c>
      <c r="U2750" t="s">
        <v>2617</v>
      </c>
    </row>
    <row r="2751" spans="1:21" x14ac:dyDescent="0.25">
      <c r="H2751" t="s">
        <v>2280</v>
      </c>
    </row>
    <row r="2752" spans="1:21" x14ac:dyDescent="0.25">
      <c r="A2752">
        <v>1373</v>
      </c>
      <c r="B2752">
        <v>8526</v>
      </c>
      <c r="C2752" t="s">
        <v>4645</v>
      </c>
      <c r="D2752" t="s">
        <v>4737</v>
      </c>
      <c r="E2752" t="s">
        <v>36</v>
      </c>
      <c r="F2752" t="s">
        <v>4738</v>
      </c>
      <c r="G2752" t="str">
        <f>"00100512"</f>
        <v>00100512</v>
      </c>
      <c r="H2752" t="s">
        <v>2617</v>
      </c>
      <c r="I2752">
        <v>0</v>
      </c>
      <c r="J2752">
        <v>0</v>
      </c>
      <c r="K2752">
        <v>0</v>
      </c>
      <c r="L2752">
        <v>0</v>
      </c>
      <c r="M2752">
        <v>0</v>
      </c>
      <c r="N2752">
        <v>0</v>
      </c>
      <c r="O2752">
        <v>0</v>
      </c>
      <c r="P2752">
        <v>0</v>
      </c>
      <c r="Q2752">
        <v>0</v>
      </c>
      <c r="T2752">
        <v>0</v>
      </c>
      <c r="U2752" t="s">
        <v>2617</v>
      </c>
    </row>
    <row r="2753" spans="1:21" x14ac:dyDescent="0.25">
      <c r="H2753" t="s">
        <v>4739</v>
      </c>
    </row>
    <row r="2754" spans="1:21" x14ac:dyDescent="0.25">
      <c r="A2754">
        <v>1374</v>
      </c>
      <c r="B2754">
        <v>9751</v>
      </c>
      <c r="C2754" t="s">
        <v>4740</v>
      </c>
      <c r="D2754" t="s">
        <v>4741</v>
      </c>
      <c r="E2754" t="s">
        <v>37</v>
      </c>
      <c r="F2754" t="s">
        <v>4742</v>
      </c>
      <c r="G2754" t="str">
        <f>"00039787"</f>
        <v>00039787</v>
      </c>
      <c r="H2754" t="s">
        <v>2617</v>
      </c>
      <c r="I2754">
        <v>0</v>
      </c>
      <c r="J2754">
        <v>0</v>
      </c>
      <c r="K2754">
        <v>0</v>
      </c>
      <c r="L2754">
        <v>0</v>
      </c>
      <c r="M2754">
        <v>0</v>
      </c>
      <c r="N2754">
        <v>0</v>
      </c>
      <c r="O2754">
        <v>0</v>
      </c>
      <c r="P2754">
        <v>0</v>
      </c>
      <c r="Q2754">
        <v>0</v>
      </c>
      <c r="T2754">
        <v>0</v>
      </c>
      <c r="U2754" t="s">
        <v>2617</v>
      </c>
    </row>
    <row r="2755" spans="1:21" x14ac:dyDescent="0.25">
      <c r="H2755" t="s">
        <v>4743</v>
      </c>
    </row>
    <row r="2756" spans="1:21" x14ac:dyDescent="0.25">
      <c r="A2756">
        <v>1375</v>
      </c>
      <c r="B2756">
        <v>6129</v>
      </c>
      <c r="C2756" t="s">
        <v>4744</v>
      </c>
      <c r="D2756" t="s">
        <v>64</v>
      </c>
      <c r="E2756" t="s">
        <v>350</v>
      </c>
      <c r="F2756" t="s">
        <v>4745</v>
      </c>
      <c r="G2756" t="str">
        <f>"201511040267"</f>
        <v>201511040267</v>
      </c>
      <c r="H2756" t="s">
        <v>4746</v>
      </c>
      <c r="I2756">
        <v>0</v>
      </c>
      <c r="J2756">
        <v>30</v>
      </c>
      <c r="K2756">
        <v>0</v>
      </c>
      <c r="L2756">
        <v>0</v>
      </c>
      <c r="M2756">
        <v>0</v>
      </c>
      <c r="N2756">
        <v>0</v>
      </c>
      <c r="O2756">
        <v>0</v>
      </c>
      <c r="P2756">
        <v>0</v>
      </c>
      <c r="Q2756">
        <v>0</v>
      </c>
      <c r="T2756">
        <v>0</v>
      </c>
      <c r="U2756" t="s">
        <v>4747</v>
      </c>
    </row>
    <row r="2757" spans="1:21" x14ac:dyDescent="0.25">
      <c r="H2757" t="s">
        <v>4748</v>
      </c>
    </row>
    <row r="2758" spans="1:21" x14ac:dyDescent="0.25">
      <c r="A2758">
        <v>1376</v>
      </c>
      <c r="B2758">
        <v>2863</v>
      </c>
      <c r="C2758" t="s">
        <v>4749</v>
      </c>
      <c r="D2758" t="s">
        <v>1636</v>
      </c>
      <c r="E2758" t="s">
        <v>281</v>
      </c>
      <c r="F2758" t="s">
        <v>4750</v>
      </c>
      <c r="G2758" t="str">
        <f>"00040633"</f>
        <v>00040633</v>
      </c>
      <c r="H2758" t="s">
        <v>2633</v>
      </c>
      <c r="I2758">
        <v>0</v>
      </c>
      <c r="J2758">
        <v>0</v>
      </c>
      <c r="K2758">
        <v>0</v>
      </c>
      <c r="L2758">
        <v>0</v>
      </c>
      <c r="M2758">
        <v>0</v>
      </c>
      <c r="N2758">
        <v>0</v>
      </c>
      <c r="O2758">
        <v>0</v>
      </c>
      <c r="P2758">
        <v>0</v>
      </c>
      <c r="Q2758">
        <v>0</v>
      </c>
      <c r="T2758">
        <v>1</v>
      </c>
      <c r="U2758" t="s">
        <v>2633</v>
      </c>
    </row>
    <row r="2759" spans="1:21" x14ac:dyDescent="0.25">
      <c r="H2759" t="s">
        <v>4751</v>
      </c>
    </row>
    <row r="2760" spans="1:21" x14ac:dyDescent="0.25">
      <c r="A2760">
        <v>1377</v>
      </c>
      <c r="B2760">
        <v>159</v>
      </c>
      <c r="C2760" t="s">
        <v>4752</v>
      </c>
      <c r="D2760" t="s">
        <v>64</v>
      </c>
      <c r="E2760" t="s">
        <v>36</v>
      </c>
      <c r="F2760" t="s">
        <v>4753</v>
      </c>
      <c r="G2760" t="str">
        <f>"201511024962"</f>
        <v>201511024962</v>
      </c>
      <c r="H2760">
        <v>605</v>
      </c>
      <c r="I2760">
        <v>150</v>
      </c>
      <c r="J2760">
        <v>30</v>
      </c>
      <c r="K2760">
        <v>0</v>
      </c>
      <c r="L2760">
        <v>0</v>
      </c>
      <c r="M2760">
        <v>0</v>
      </c>
      <c r="N2760">
        <v>0</v>
      </c>
      <c r="O2760">
        <v>0</v>
      </c>
      <c r="P2760">
        <v>0</v>
      </c>
      <c r="Q2760">
        <v>0</v>
      </c>
      <c r="T2760">
        <v>0</v>
      </c>
      <c r="U2760">
        <v>785</v>
      </c>
    </row>
    <row r="2761" spans="1:21" x14ac:dyDescent="0.25">
      <c r="H2761" t="s">
        <v>4754</v>
      </c>
    </row>
    <row r="2762" spans="1:21" x14ac:dyDescent="0.25">
      <c r="A2762">
        <v>1378</v>
      </c>
      <c r="B2762">
        <v>7324</v>
      </c>
      <c r="C2762" t="s">
        <v>4755</v>
      </c>
      <c r="D2762" t="s">
        <v>4756</v>
      </c>
      <c r="E2762" t="s">
        <v>42</v>
      </c>
      <c r="F2762" t="s">
        <v>4757</v>
      </c>
      <c r="G2762" t="str">
        <f>"201511038107"</f>
        <v>201511038107</v>
      </c>
      <c r="H2762">
        <v>605</v>
      </c>
      <c r="I2762">
        <v>150</v>
      </c>
      <c r="J2762">
        <v>30</v>
      </c>
      <c r="K2762">
        <v>0</v>
      </c>
      <c r="L2762">
        <v>0</v>
      </c>
      <c r="M2762">
        <v>0</v>
      </c>
      <c r="N2762">
        <v>0</v>
      </c>
      <c r="O2762">
        <v>0</v>
      </c>
      <c r="P2762">
        <v>0</v>
      </c>
      <c r="Q2762">
        <v>0</v>
      </c>
      <c r="T2762">
        <v>0</v>
      </c>
      <c r="U2762">
        <v>785</v>
      </c>
    </row>
    <row r="2763" spans="1:21" x14ac:dyDescent="0.25">
      <c r="H2763" t="s">
        <v>4758</v>
      </c>
    </row>
    <row r="2764" spans="1:21" x14ac:dyDescent="0.25">
      <c r="A2764">
        <v>1379</v>
      </c>
      <c r="B2764">
        <v>5313</v>
      </c>
      <c r="C2764" t="s">
        <v>4759</v>
      </c>
      <c r="D2764" t="s">
        <v>2375</v>
      </c>
      <c r="E2764" t="s">
        <v>582</v>
      </c>
      <c r="F2764" t="s">
        <v>4760</v>
      </c>
      <c r="G2764" t="str">
        <f>"201406006161"</f>
        <v>201406006161</v>
      </c>
      <c r="H2764">
        <v>605</v>
      </c>
      <c r="I2764">
        <v>150</v>
      </c>
      <c r="J2764">
        <v>30</v>
      </c>
      <c r="K2764">
        <v>0</v>
      </c>
      <c r="L2764">
        <v>0</v>
      </c>
      <c r="M2764">
        <v>0</v>
      </c>
      <c r="N2764">
        <v>0</v>
      </c>
      <c r="O2764">
        <v>0</v>
      </c>
      <c r="P2764">
        <v>0</v>
      </c>
      <c r="Q2764">
        <v>0</v>
      </c>
      <c r="T2764">
        <v>0</v>
      </c>
      <c r="U2764">
        <v>785</v>
      </c>
    </row>
    <row r="2765" spans="1:21" x14ac:dyDescent="0.25">
      <c r="H2765" t="s">
        <v>4761</v>
      </c>
    </row>
    <row r="2766" spans="1:21" x14ac:dyDescent="0.25">
      <c r="A2766">
        <v>1380</v>
      </c>
      <c r="B2766">
        <v>464</v>
      </c>
      <c r="C2766" t="s">
        <v>1832</v>
      </c>
      <c r="D2766" t="s">
        <v>116</v>
      </c>
      <c r="E2766" t="s">
        <v>155</v>
      </c>
      <c r="F2766" t="s">
        <v>4762</v>
      </c>
      <c r="G2766" t="str">
        <f>"00045271"</f>
        <v>00045271</v>
      </c>
      <c r="H2766" t="s">
        <v>3245</v>
      </c>
      <c r="I2766">
        <v>0</v>
      </c>
      <c r="J2766">
        <v>0</v>
      </c>
      <c r="K2766">
        <v>0</v>
      </c>
      <c r="L2766">
        <v>0</v>
      </c>
      <c r="M2766">
        <v>0</v>
      </c>
      <c r="N2766">
        <v>0</v>
      </c>
      <c r="O2766">
        <v>0</v>
      </c>
      <c r="P2766">
        <v>0</v>
      </c>
      <c r="Q2766">
        <v>0</v>
      </c>
      <c r="T2766">
        <v>0</v>
      </c>
      <c r="U2766" t="s">
        <v>3245</v>
      </c>
    </row>
    <row r="2767" spans="1:21" x14ac:dyDescent="0.25">
      <c r="H2767" t="s">
        <v>4763</v>
      </c>
    </row>
    <row r="2768" spans="1:21" x14ac:dyDescent="0.25">
      <c r="A2768">
        <v>1381</v>
      </c>
      <c r="B2768">
        <v>527</v>
      </c>
      <c r="C2768" t="s">
        <v>4764</v>
      </c>
      <c r="D2768" t="s">
        <v>319</v>
      </c>
      <c r="E2768" t="s">
        <v>449</v>
      </c>
      <c r="F2768" t="s">
        <v>4765</v>
      </c>
      <c r="G2768" t="str">
        <f>"00021428"</f>
        <v>00021428</v>
      </c>
      <c r="H2768" t="s">
        <v>4766</v>
      </c>
      <c r="I2768">
        <v>0</v>
      </c>
      <c r="J2768">
        <v>30</v>
      </c>
      <c r="K2768">
        <v>0</v>
      </c>
      <c r="L2768">
        <v>0</v>
      </c>
      <c r="M2768">
        <v>0</v>
      </c>
      <c r="N2768">
        <v>0</v>
      </c>
      <c r="O2768">
        <v>0</v>
      </c>
      <c r="P2768">
        <v>0</v>
      </c>
      <c r="Q2768">
        <v>0</v>
      </c>
      <c r="T2768">
        <v>0</v>
      </c>
      <c r="U2768" t="s">
        <v>4767</v>
      </c>
    </row>
    <row r="2769" spans="1:21" x14ac:dyDescent="0.25">
      <c r="H2769" t="s">
        <v>4768</v>
      </c>
    </row>
    <row r="2770" spans="1:21" x14ac:dyDescent="0.25">
      <c r="A2770">
        <v>1382</v>
      </c>
      <c r="B2770">
        <v>8650</v>
      </c>
      <c r="C2770" t="s">
        <v>4769</v>
      </c>
      <c r="D2770" t="s">
        <v>4770</v>
      </c>
      <c r="E2770" t="s">
        <v>2131</v>
      </c>
      <c r="F2770" t="s">
        <v>4771</v>
      </c>
      <c r="G2770" t="str">
        <f>"201511022299"</f>
        <v>201511022299</v>
      </c>
      <c r="H2770" t="s">
        <v>4766</v>
      </c>
      <c r="I2770">
        <v>0</v>
      </c>
      <c r="J2770">
        <v>30</v>
      </c>
      <c r="K2770">
        <v>0</v>
      </c>
      <c r="L2770">
        <v>0</v>
      </c>
      <c r="M2770">
        <v>0</v>
      </c>
      <c r="N2770">
        <v>0</v>
      </c>
      <c r="O2770">
        <v>0</v>
      </c>
      <c r="P2770">
        <v>0</v>
      </c>
      <c r="Q2770">
        <v>0</v>
      </c>
      <c r="T2770">
        <v>0</v>
      </c>
      <c r="U2770" t="s">
        <v>4767</v>
      </c>
    </row>
    <row r="2771" spans="1:21" x14ac:dyDescent="0.25">
      <c r="H2771" t="s">
        <v>4772</v>
      </c>
    </row>
    <row r="2772" spans="1:21" x14ac:dyDescent="0.25">
      <c r="A2772">
        <v>1383</v>
      </c>
      <c r="B2772">
        <v>2730</v>
      </c>
      <c r="C2772" t="s">
        <v>4773</v>
      </c>
      <c r="D2772" t="s">
        <v>614</v>
      </c>
      <c r="E2772" t="s">
        <v>36</v>
      </c>
      <c r="F2772" t="s">
        <v>4774</v>
      </c>
      <c r="G2772" t="str">
        <f>"201511028450"</f>
        <v>201511028450</v>
      </c>
      <c r="H2772" t="s">
        <v>4775</v>
      </c>
      <c r="I2772">
        <v>0</v>
      </c>
      <c r="J2772">
        <v>0</v>
      </c>
      <c r="K2772">
        <v>0</v>
      </c>
      <c r="L2772">
        <v>0</v>
      </c>
      <c r="M2772">
        <v>0</v>
      </c>
      <c r="N2772">
        <v>0</v>
      </c>
      <c r="O2772">
        <v>0</v>
      </c>
      <c r="P2772">
        <v>0</v>
      </c>
      <c r="Q2772">
        <v>0</v>
      </c>
      <c r="T2772">
        <v>0</v>
      </c>
      <c r="U2772" t="s">
        <v>4775</v>
      </c>
    </row>
    <row r="2773" spans="1:21" x14ac:dyDescent="0.25">
      <c r="H2773" t="s">
        <v>4776</v>
      </c>
    </row>
    <row r="2774" spans="1:21" x14ac:dyDescent="0.25">
      <c r="A2774">
        <v>1384</v>
      </c>
      <c r="B2774">
        <v>4436</v>
      </c>
      <c r="C2774" t="s">
        <v>4777</v>
      </c>
      <c r="D2774" t="s">
        <v>4778</v>
      </c>
      <c r="E2774" t="s">
        <v>4779</v>
      </c>
      <c r="F2774" t="s">
        <v>4780</v>
      </c>
      <c r="G2774" t="str">
        <f>"00030206"</f>
        <v>00030206</v>
      </c>
      <c r="H2774" t="s">
        <v>4775</v>
      </c>
      <c r="I2774">
        <v>0</v>
      </c>
      <c r="J2774">
        <v>0</v>
      </c>
      <c r="K2774">
        <v>0</v>
      </c>
      <c r="L2774">
        <v>0</v>
      </c>
      <c r="M2774">
        <v>0</v>
      </c>
      <c r="N2774">
        <v>0</v>
      </c>
      <c r="O2774">
        <v>0</v>
      </c>
      <c r="P2774">
        <v>0</v>
      </c>
      <c r="Q2774">
        <v>0</v>
      </c>
      <c r="T2774">
        <v>0</v>
      </c>
      <c r="U2774" t="s">
        <v>4775</v>
      </c>
    </row>
    <row r="2775" spans="1:21" x14ac:dyDescent="0.25">
      <c r="H2775" t="s">
        <v>4781</v>
      </c>
    </row>
    <row r="2776" spans="1:21" x14ac:dyDescent="0.25">
      <c r="A2776">
        <v>1385</v>
      </c>
      <c r="B2776">
        <v>7476</v>
      </c>
      <c r="C2776" t="s">
        <v>452</v>
      </c>
      <c r="D2776" t="s">
        <v>394</v>
      </c>
      <c r="E2776" t="s">
        <v>764</v>
      </c>
      <c r="F2776" t="s">
        <v>4782</v>
      </c>
      <c r="G2776" t="str">
        <f>"00021744"</f>
        <v>00021744</v>
      </c>
      <c r="H2776" t="s">
        <v>4783</v>
      </c>
      <c r="I2776">
        <v>0</v>
      </c>
      <c r="J2776">
        <v>0</v>
      </c>
      <c r="K2776">
        <v>0</v>
      </c>
      <c r="L2776">
        <v>0</v>
      </c>
      <c r="M2776">
        <v>0</v>
      </c>
      <c r="N2776">
        <v>0</v>
      </c>
      <c r="O2776">
        <v>0</v>
      </c>
      <c r="P2776">
        <v>0</v>
      </c>
      <c r="Q2776">
        <v>0</v>
      </c>
      <c r="T2776">
        <v>0</v>
      </c>
      <c r="U2776" t="s">
        <v>4783</v>
      </c>
    </row>
    <row r="2777" spans="1:21" x14ac:dyDescent="0.25">
      <c r="H2777" t="s">
        <v>4784</v>
      </c>
    </row>
    <row r="2778" spans="1:21" x14ac:dyDescent="0.25">
      <c r="A2778">
        <v>1386</v>
      </c>
      <c r="B2778">
        <v>6541</v>
      </c>
      <c r="C2778" t="s">
        <v>4785</v>
      </c>
      <c r="D2778" t="s">
        <v>95</v>
      </c>
      <c r="E2778" t="s">
        <v>37</v>
      </c>
      <c r="F2778" t="s">
        <v>4786</v>
      </c>
      <c r="G2778" t="str">
        <f>"201511024196"</f>
        <v>201511024196</v>
      </c>
      <c r="H2778" t="s">
        <v>4783</v>
      </c>
      <c r="I2778">
        <v>0</v>
      </c>
      <c r="J2778">
        <v>0</v>
      </c>
      <c r="K2778">
        <v>0</v>
      </c>
      <c r="L2778">
        <v>0</v>
      </c>
      <c r="M2778">
        <v>0</v>
      </c>
      <c r="N2778">
        <v>0</v>
      </c>
      <c r="O2778">
        <v>0</v>
      </c>
      <c r="P2778">
        <v>0</v>
      </c>
      <c r="Q2778">
        <v>0</v>
      </c>
      <c r="T2778">
        <v>0</v>
      </c>
      <c r="U2778" t="s">
        <v>4783</v>
      </c>
    </row>
    <row r="2779" spans="1:21" x14ac:dyDescent="0.25">
      <c r="H2779" t="s">
        <v>710</v>
      </c>
    </row>
    <row r="2780" spans="1:21" x14ac:dyDescent="0.25">
      <c r="A2780">
        <v>1387</v>
      </c>
      <c r="B2780">
        <v>8354</v>
      </c>
      <c r="C2780" t="s">
        <v>4787</v>
      </c>
      <c r="D2780" t="s">
        <v>64</v>
      </c>
      <c r="E2780" t="s">
        <v>42</v>
      </c>
      <c r="F2780" t="s">
        <v>4788</v>
      </c>
      <c r="G2780" t="str">
        <f>"00047532"</f>
        <v>00047532</v>
      </c>
      <c r="H2780" t="s">
        <v>4783</v>
      </c>
      <c r="I2780">
        <v>0</v>
      </c>
      <c r="J2780">
        <v>0</v>
      </c>
      <c r="K2780">
        <v>0</v>
      </c>
      <c r="L2780">
        <v>0</v>
      </c>
      <c r="M2780">
        <v>0</v>
      </c>
      <c r="N2780">
        <v>0</v>
      </c>
      <c r="O2780">
        <v>0</v>
      </c>
      <c r="P2780">
        <v>0</v>
      </c>
      <c r="Q2780">
        <v>0</v>
      </c>
      <c r="T2780">
        <v>0</v>
      </c>
      <c r="U2780" t="s">
        <v>4783</v>
      </c>
    </row>
    <row r="2781" spans="1:21" x14ac:dyDescent="0.25">
      <c r="H2781" t="s">
        <v>710</v>
      </c>
    </row>
    <row r="2782" spans="1:21" x14ac:dyDescent="0.25">
      <c r="A2782">
        <v>1388</v>
      </c>
      <c r="B2782">
        <v>7721</v>
      </c>
      <c r="C2782" t="s">
        <v>4789</v>
      </c>
      <c r="D2782" t="s">
        <v>4790</v>
      </c>
      <c r="E2782" t="s">
        <v>332</v>
      </c>
      <c r="F2782" t="s">
        <v>4791</v>
      </c>
      <c r="G2782" t="str">
        <f>"00086031"</f>
        <v>00086031</v>
      </c>
      <c r="H2782" t="s">
        <v>4783</v>
      </c>
      <c r="I2782">
        <v>0</v>
      </c>
      <c r="J2782">
        <v>0</v>
      </c>
      <c r="K2782">
        <v>0</v>
      </c>
      <c r="L2782">
        <v>0</v>
      </c>
      <c r="M2782">
        <v>0</v>
      </c>
      <c r="N2782">
        <v>0</v>
      </c>
      <c r="O2782">
        <v>0</v>
      </c>
      <c r="P2782">
        <v>0</v>
      </c>
      <c r="Q2782">
        <v>0</v>
      </c>
      <c r="T2782">
        <v>0</v>
      </c>
      <c r="U2782" t="s">
        <v>4783</v>
      </c>
    </row>
    <row r="2783" spans="1:21" x14ac:dyDescent="0.25">
      <c r="H2783" t="s">
        <v>4792</v>
      </c>
    </row>
    <row r="2784" spans="1:21" x14ac:dyDescent="0.25">
      <c r="A2784">
        <v>1389</v>
      </c>
      <c r="B2784">
        <v>5238</v>
      </c>
      <c r="C2784" t="s">
        <v>4793</v>
      </c>
      <c r="D2784" t="s">
        <v>64</v>
      </c>
      <c r="E2784" t="s">
        <v>36</v>
      </c>
      <c r="F2784" t="s">
        <v>4794</v>
      </c>
      <c r="G2784" t="str">
        <f>"201511017430"</f>
        <v>201511017430</v>
      </c>
      <c r="H2784">
        <v>781</v>
      </c>
      <c r="I2784">
        <v>0</v>
      </c>
      <c r="J2784">
        <v>0</v>
      </c>
      <c r="K2784">
        <v>0</v>
      </c>
      <c r="L2784">
        <v>0</v>
      </c>
      <c r="M2784">
        <v>0</v>
      </c>
      <c r="N2784">
        <v>0</v>
      </c>
      <c r="O2784">
        <v>0</v>
      </c>
      <c r="P2784">
        <v>0</v>
      </c>
      <c r="Q2784">
        <v>0</v>
      </c>
      <c r="T2784">
        <v>0</v>
      </c>
      <c r="U2784">
        <v>781</v>
      </c>
    </row>
    <row r="2785" spans="1:21" x14ac:dyDescent="0.25">
      <c r="H2785" t="s">
        <v>4795</v>
      </c>
    </row>
    <row r="2786" spans="1:21" x14ac:dyDescent="0.25">
      <c r="A2786">
        <v>1390</v>
      </c>
      <c r="B2786">
        <v>8065</v>
      </c>
      <c r="C2786" t="s">
        <v>4796</v>
      </c>
      <c r="D2786" t="s">
        <v>512</v>
      </c>
      <c r="E2786" t="s">
        <v>4797</v>
      </c>
      <c r="F2786" t="s">
        <v>4798</v>
      </c>
      <c r="G2786" t="str">
        <f>"00021506"</f>
        <v>00021506</v>
      </c>
      <c r="H2786">
        <v>781</v>
      </c>
      <c r="I2786">
        <v>0</v>
      </c>
      <c r="J2786">
        <v>0</v>
      </c>
      <c r="K2786">
        <v>0</v>
      </c>
      <c r="L2786">
        <v>0</v>
      </c>
      <c r="M2786">
        <v>0</v>
      </c>
      <c r="N2786">
        <v>0</v>
      </c>
      <c r="O2786">
        <v>0</v>
      </c>
      <c r="P2786">
        <v>0</v>
      </c>
      <c r="Q2786">
        <v>0</v>
      </c>
      <c r="T2786">
        <v>0</v>
      </c>
      <c r="U2786">
        <v>781</v>
      </c>
    </row>
    <row r="2787" spans="1:21" x14ac:dyDescent="0.25">
      <c r="H2787" t="s">
        <v>4799</v>
      </c>
    </row>
    <row r="2788" spans="1:21" x14ac:dyDescent="0.25">
      <c r="A2788">
        <v>1391</v>
      </c>
      <c r="B2788">
        <v>5322</v>
      </c>
      <c r="C2788" t="s">
        <v>4800</v>
      </c>
      <c r="D2788" t="s">
        <v>313</v>
      </c>
      <c r="E2788" t="s">
        <v>1904</v>
      </c>
      <c r="F2788" t="s">
        <v>4801</v>
      </c>
      <c r="G2788" t="str">
        <f>"00084509"</f>
        <v>00084509</v>
      </c>
      <c r="H2788" t="s">
        <v>4802</v>
      </c>
      <c r="I2788">
        <v>0</v>
      </c>
      <c r="J2788">
        <v>30</v>
      </c>
      <c r="K2788">
        <v>0</v>
      </c>
      <c r="L2788">
        <v>0</v>
      </c>
      <c r="M2788">
        <v>0</v>
      </c>
      <c r="N2788">
        <v>0</v>
      </c>
      <c r="O2788">
        <v>0</v>
      </c>
      <c r="P2788">
        <v>0</v>
      </c>
      <c r="Q2788">
        <v>0</v>
      </c>
      <c r="T2788">
        <v>0</v>
      </c>
      <c r="U2788" t="s">
        <v>4803</v>
      </c>
    </row>
    <row r="2789" spans="1:21" x14ac:dyDescent="0.25">
      <c r="H2789" t="s">
        <v>1035</v>
      </c>
    </row>
    <row r="2790" spans="1:21" x14ac:dyDescent="0.25">
      <c r="A2790">
        <v>1392</v>
      </c>
      <c r="B2790">
        <v>5622</v>
      </c>
      <c r="C2790" t="s">
        <v>4804</v>
      </c>
      <c r="D2790" t="s">
        <v>78</v>
      </c>
      <c r="E2790" t="s">
        <v>112</v>
      </c>
      <c r="F2790" t="s">
        <v>4805</v>
      </c>
      <c r="G2790" t="str">
        <f>"201511010819"</f>
        <v>201511010819</v>
      </c>
      <c r="H2790" t="s">
        <v>3289</v>
      </c>
      <c r="I2790">
        <v>0</v>
      </c>
      <c r="J2790">
        <v>0</v>
      </c>
      <c r="K2790">
        <v>0</v>
      </c>
      <c r="L2790">
        <v>0</v>
      </c>
      <c r="M2790">
        <v>0</v>
      </c>
      <c r="N2790">
        <v>0</v>
      </c>
      <c r="O2790">
        <v>0</v>
      </c>
      <c r="P2790">
        <v>0</v>
      </c>
      <c r="Q2790">
        <v>0</v>
      </c>
      <c r="T2790">
        <v>0</v>
      </c>
      <c r="U2790" t="s">
        <v>3289</v>
      </c>
    </row>
    <row r="2791" spans="1:21" x14ac:dyDescent="0.25">
      <c r="H2791" t="s">
        <v>4806</v>
      </c>
    </row>
    <row r="2792" spans="1:21" x14ac:dyDescent="0.25">
      <c r="A2792">
        <v>1393</v>
      </c>
      <c r="B2792">
        <v>9304</v>
      </c>
      <c r="C2792" t="s">
        <v>279</v>
      </c>
      <c r="D2792" t="s">
        <v>74</v>
      </c>
      <c r="E2792" t="s">
        <v>122</v>
      </c>
      <c r="F2792" t="s">
        <v>4807</v>
      </c>
      <c r="G2792" t="str">
        <f>"201511038179"</f>
        <v>201511038179</v>
      </c>
      <c r="H2792" t="s">
        <v>4808</v>
      </c>
      <c r="I2792">
        <v>0</v>
      </c>
      <c r="J2792">
        <v>0</v>
      </c>
      <c r="K2792">
        <v>0</v>
      </c>
      <c r="L2792">
        <v>0</v>
      </c>
      <c r="M2792">
        <v>0</v>
      </c>
      <c r="N2792">
        <v>0</v>
      </c>
      <c r="O2792">
        <v>0</v>
      </c>
      <c r="P2792">
        <v>0</v>
      </c>
      <c r="Q2792">
        <v>0</v>
      </c>
      <c r="T2792">
        <v>0</v>
      </c>
      <c r="U2792" t="s">
        <v>4808</v>
      </c>
    </row>
    <row r="2793" spans="1:21" x14ac:dyDescent="0.25">
      <c r="H2793" t="s">
        <v>4809</v>
      </c>
    </row>
    <row r="2794" spans="1:21" x14ac:dyDescent="0.25">
      <c r="A2794">
        <v>1394</v>
      </c>
      <c r="B2794">
        <v>7204</v>
      </c>
      <c r="C2794" t="s">
        <v>4810</v>
      </c>
      <c r="D2794" t="s">
        <v>524</v>
      </c>
      <c r="E2794" t="s">
        <v>42</v>
      </c>
      <c r="F2794" t="s">
        <v>4811</v>
      </c>
      <c r="G2794" t="str">
        <f>"201102000663"</f>
        <v>201102000663</v>
      </c>
      <c r="H2794" t="s">
        <v>4808</v>
      </c>
      <c r="I2794">
        <v>0</v>
      </c>
      <c r="J2794">
        <v>0</v>
      </c>
      <c r="K2794">
        <v>0</v>
      </c>
      <c r="L2794">
        <v>0</v>
      </c>
      <c r="M2794">
        <v>0</v>
      </c>
      <c r="N2794">
        <v>0</v>
      </c>
      <c r="O2794">
        <v>0</v>
      </c>
      <c r="P2794">
        <v>0</v>
      </c>
      <c r="Q2794">
        <v>0</v>
      </c>
      <c r="T2794">
        <v>0</v>
      </c>
      <c r="U2794" t="s">
        <v>4808</v>
      </c>
    </row>
    <row r="2795" spans="1:21" x14ac:dyDescent="0.25">
      <c r="H2795" t="s">
        <v>4812</v>
      </c>
    </row>
    <row r="2796" spans="1:21" x14ac:dyDescent="0.25">
      <c r="A2796">
        <v>1395</v>
      </c>
      <c r="B2796">
        <v>3271</v>
      </c>
      <c r="C2796" t="s">
        <v>4813</v>
      </c>
      <c r="D2796" t="s">
        <v>57</v>
      </c>
      <c r="E2796" t="s">
        <v>112</v>
      </c>
      <c r="F2796" t="s">
        <v>4814</v>
      </c>
      <c r="G2796" t="str">
        <f>"201511006952"</f>
        <v>201511006952</v>
      </c>
      <c r="H2796" t="s">
        <v>4808</v>
      </c>
      <c r="I2796">
        <v>0</v>
      </c>
      <c r="J2796">
        <v>0</v>
      </c>
      <c r="K2796">
        <v>0</v>
      </c>
      <c r="L2796">
        <v>0</v>
      </c>
      <c r="M2796">
        <v>0</v>
      </c>
      <c r="N2796">
        <v>0</v>
      </c>
      <c r="O2796">
        <v>0</v>
      </c>
      <c r="P2796">
        <v>0</v>
      </c>
      <c r="Q2796">
        <v>0</v>
      </c>
      <c r="T2796">
        <v>0</v>
      </c>
      <c r="U2796" t="s">
        <v>4808</v>
      </c>
    </row>
    <row r="2797" spans="1:21" x14ac:dyDescent="0.25">
      <c r="H2797" t="s">
        <v>4815</v>
      </c>
    </row>
    <row r="2798" spans="1:21" x14ac:dyDescent="0.25">
      <c r="A2798">
        <v>1396</v>
      </c>
      <c r="B2798">
        <v>9475</v>
      </c>
      <c r="C2798" t="s">
        <v>4816</v>
      </c>
      <c r="D2798" t="s">
        <v>1605</v>
      </c>
      <c r="E2798" t="s">
        <v>231</v>
      </c>
      <c r="F2798" t="s">
        <v>4817</v>
      </c>
      <c r="G2798" t="str">
        <f>"201511037711"</f>
        <v>201511037711</v>
      </c>
      <c r="H2798" t="s">
        <v>4808</v>
      </c>
      <c r="I2798">
        <v>0</v>
      </c>
      <c r="J2798">
        <v>0</v>
      </c>
      <c r="K2798">
        <v>0</v>
      </c>
      <c r="L2798">
        <v>0</v>
      </c>
      <c r="M2798">
        <v>0</v>
      </c>
      <c r="N2798">
        <v>0</v>
      </c>
      <c r="O2798">
        <v>0</v>
      </c>
      <c r="P2798">
        <v>0</v>
      </c>
      <c r="Q2798">
        <v>0</v>
      </c>
      <c r="T2798">
        <v>1</v>
      </c>
      <c r="U2798" t="s">
        <v>4808</v>
      </c>
    </row>
    <row r="2799" spans="1:21" x14ac:dyDescent="0.25">
      <c r="H2799" t="s">
        <v>4818</v>
      </c>
    </row>
    <row r="2800" spans="1:21" x14ac:dyDescent="0.25">
      <c r="A2800">
        <v>1397</v>
      </c>
      <c r="B2800">
        <v>3791</v>
      </c>
      <c r="C2800" t="s">
        <v>4819</v>
      </c>
      <c r="D2800" t="s">
        <v>1483</v>
      </c>
      <c r="E2800" t="s">
        <v>614</v>
      </c>
      <c r="F2800" t="s">
        <v>4820</v>
      </c>
      <c r="G2800" t="str">
        <f>"200802000324"</f>
        <v>200802000324</v>
      </c>
      <c r="H2800" t="s">
        <v>4808</v>
      </c>
      <c r="I2800">
        <v>0</v>
      </c>
      <c r="J2800">
        <v>0</v>
      </c>
      <c r="K2800">
        <v>0</v>
      </c>
      <c r="L2800">
        <v>0</v>
      </c>
      <c r="M2800">
        <v>0</v>
      </c>
      <c r="N2800">
        <v>0</v>
      </c>
      <c r="O2800">
        <v>0</v>
      </c>
      <c r="P2800">
        <v>0</v>
      </c>
      <c r="Q2800">
        <v>0</v>
      </c>
      <c r="T2800">
        <v>0</v>
      </c>
      <c r="U2800" t="s">
        <v>4808</v>
      </c>
    </row>
    <row r="2801" spans="1:21" x14ac:dyDescent="0.25">
      <c r="H2801" t="s">
        <v>4821</v>
      </c>
    </row>
    <row r="2802" spans="1:21" x14ac:dyDescent="0.25">
      <c r="A2802">
        <v>1398</v>
      </c>
      <c r="B2802">
        <v>10267</v>
      </c>
      <c r="C2802" t="s">
        <v>2207</v>
      </c>
      <c r="D2802" t="s">
        <v>572</v>
      </c>
      <c r="E2802" t="s">
        <v>859</v>
      </c>
      <c r="F2802" t="s">
        <v>4822</v>
      </c>
      <c r="G2802" t="str">
        <f>"201511019296"</f>
        <v>201511019296</v>
      </c>
      <c r="H2802" t="s">
        <v>4808</v>
      </c>
      <c r="I2802">
        <v>0</v>
      </c>
      <c r="J2802">
        <v>0</v>
      </c>
      <c r="K2802">
        <v>0</v>
      </c>
      <c r="L2802">
        <v>0</v>
      </c>
      <c r="M2802">
        <v>0</v>
      </c>
      <c r="N2802">
        <v>0</v>
      </c>
      <c r="O2802">
        <v>0</v>
      </c>
      <c r="P2802">
        <v>0</v>
      </c>
      <c r="Q2802">
        <v>0</v>
      </c>
      <c r="T2802">
        <v>0</v>
      </c>
      <c r="U2802" t="s">
        <v>4808</v>
      </c>
    </row>
    <row r="2803" spans="1:21" x14ac:dyDescent="0.25">
      <c r="H2803" t="s">
        <v>4823</v>
      </c>
    </row>
    <row r="2804" spans="1:21" x14ac:dyDescent="0.25">
      <c r="A2804">
        <v>1399</v>
      </c>
      <c r="B2804">
        <v>6393</v>
      </c>
      <c r="C2804" t="s">
        <v>4824</v>
      </c>
      <c r="D2804" t="s">
        <v>1385</v>
      </c>
      <c r="E2804" t="s">
        <v>582</v>
      </c>
      <c r="F2804" t="s">
        <v>4825</v>
      </c>
      <c r="G2804" t="str">
        <f>"00025198"</f>
        <v>00025198</v>
      </c>
      <c r="H2804" t="s">
        <v>4826</v>
      </c>
      <c r="I2804">
        <v>0</v>
      </c>
      <c r="J2804">
        <v>0</v>
      </c>
      <c r="K2804">
        <v>0</v>
      </c>
      <c r="L2804">
        <v>0</v>
      </c>
      <c r="M2804">
        <v>0</v>
      </c>
      <c r="N2804">
        <v>0</v>
      </c>
      <c r="O2804">
        <v>0</v>
      </c>
      <c r="P2804">
        <v>0</v>
      </c>
      <c r="Q2804">
        <v>0</v>
      </c>
      <c r="T2804">
        <v>0</v>
      </c>
      <c r="U2804" t="s">
        <v>4826</v>
      </c>
    </row>
    <row r="2805" spans="1:21" x14ac:dyDescent="0.25">
      <c r="H2805" t="s">
        <v>4827</v>
      </c>
    </row>
    <row r="2806" spans="1:21" x14ac:dyDescent="0.25">
      <c r="A2806">
        <v>1400</v>
      </c>
      <c r="B2806">
        <v>10216</v>
      </c>
      <c r="C2806" t="s">
        <v>4828</v>
      </c>
      <c r="D2806" t="s">
        <v>285</v>
      </c>
      <c r="E2806" t="s">
        <v>449</v>
      </c>
      <c r="F2806" t="s">
        <v>4829</v>
      </c>
      <c r="G2806" t="str">
        <f>"201511023145"</f>
        <v>201511023145</v>
      </c>
      <c r="H2806" t="s">
        <v>4830</v>
      </c>
      <c r="I2806">
        <v>150</v>
      </c>
      <c r="J2806">
        <v>0</v>
      </c>
      <c r="K2806">
        <v>0</v>
      </c>
      <c r="L2806">
        <v>0</v>
      </c>
      <c r="M2806">
        <v>0</v>
      </c>
      <c r="N2806">
        <v>0</v>
      </c>
      <c r="O2806">
        <v>0</v>
      </c>
      <c r="P2806">
        <v>0</v>
      </c>
      <c r="Q2806">
        <v>0</v>
      </c>
      <c r="T2806">
        <v>1</v>
      </c>
      <c r="U2806" t="s">
        <v>4831</v>
      </c>
    </row>
    <row r="2807" spans="1:21" x14ac:dyDescent="0.25">
      <c r="H2807" t="s">
        <v>4832</v>
      </c>
    </row>
    <row r="2808" spans="1:21" x14ac:dyDescent="0.25">
      <c r="A2808">
        <v>1401</v>
      </c>
      <c r="B2808">
        <v>10604</v>
      </c>
      <c r="C2808" t="s">
        <v>800</v>
      </c>
      <c r="D2808" t="s">
        <v>85</v>
      </c>
      <c r="E2808" t="s">
        <v>42</v>
      </c>
      <c r="F2808" t="s">
        <v>4833</v>
      </c>
      <c r="G2808" t="str">
        <f>"00020897"</f>
        <v>00020897</v>
      </c>
      <c r="H2808" t="s">
        <v>4834</v>
      </c>
      <c r="I2808">
        <v>0</v>
      </c>
      <c r="J2808">
        <v>0</v>
      </c>
      <c r="K2808">
        <v>0</v>
      </c>
      <c r="L2808">
        <v>0</v>
      </c>
      <c r="M2808">
        <v>0</v>
      </c>
      <c r="N2808">
        <v>0</v>
      </c>
      <c r="O2808">
        <v>0</v>
      </c>
      <c r="P2808">
        <v>0</v>
      </c>
      <c r="Q2808">
        <v>0</v>
      </c>
      <c r="T2808">
        <v>0</v>
      </c>
      <c r="U2808" t="s">
        <v>4834</v>
      </c>
    </row>
    <row r="2809" spans="1:21" x14ac:dyDescent="0.25">
      <c r="H2809" t="s">
        <v>4835</v>
      </c>
    </row>
    <row r="2810" spans="1:21" x14ac:dyDescent="0.25">
      <c r="A2810">
        <v>1402</v>
      </c>
      <c r="B2810">
        <v>7005</v>
      </c>
      <c r="C2810" t="s">
        <v>4836</v>
      </c>
      <c r="D2810" t="s">
        <v>164</v>
      </c>
      <c r="E2810" t="s">
        <v>36</v>
      </c>
      <c r="F2810" t="s">
        <v>4837</v>
      </c>
      <c r="G2810" t="str">
        <f>"201511039776"</f>
        <v>201511039776</v>
      </c>
      <c r="H2810" t="s">
        <v>4834</v>
      </c>
      <c r="I2810">
        <v>0</v>
      </c>
      <c r="J2810">
        <v>0</v>
      </c>
      <c r="K2810">
        <v>0</v>
      </c>
      <c r="L2810">
        <v>0</v>
      </c>
      <c r="M2810">
        <v>0</v>
      </c>
      <c r="N2810">
        <v>0</v>
      </c>
      <c r="O2810">
        <v>0</v>
      </c>
      <c r="P2810">
        <v>0</v>
      </c>
      <c r="Q2810">
        <v>0</v>
      </c>
      <c r="T2810">
        <v>1</v>
      </c>
      <c r="U2810" t="s">
        <v>4834</v>
      </c>
    </row>
    <row r="2811" spans="1:21" x14ac:dyDescent="0.25">
      <c r="H2811">
        <v>794</v>
      </c>
    </row>
    <row r="2812" spans="1:21" x14ac:dyDescent="0.25">
      <c r="A2812">
        <v>1403</v>
      </c>
      <c r="B2812">
        <v>5800</v>
      </c>
      <c r="C2812" t="s">
        <v>4838</v>
      </c>
      <c r="D2812" t="s">
        <v>42</v>
      </c>
      <c r="E2812" t="s">
        <v>533</v>
      </c>
      <c r="F2812" t="s">
        <v>4839</v>
      </c>
      <c r="G2812" t="str">
        <f>"00094483"</f>
        <v>00094483</v>
      </c>
      <c r="H2812" t="s">
        <v>4587</v>
      </c>
      <c r="I2812">
        <v>0</v>
      </c>
      <c r="J2812">
        <v>0</v>
      </c>
      <c r="K2812">
        <v>0</v>
      </c>
      <c r="L2812">
        <v>0</v>
      </c>
      <c r="M2812">
        <v>0</v>
      </c>
      <c r="N2812">
        <v>0</v>
      </c>
      <c r="O2812">
        <v>0</v>
      </c>
      <c r="P2812">
        <v>0</v>
      </c>
      <c r="Q2812">
        <v>0</v>
      </c>
      <c r="T2812">
        <v>2</v>
      </c>
      <c r="U2812" t="s">
        <v>4587</v>
      </c>
    </row>
    <row r="2813" spans="1:21" x14ac:dyDescent="0.25">
      <c r="H2813" t="s">
        <v>3791</v>
      </c>
    </row>
    <row r="2814" spans="1:21" x14ac:dyDescent="0.25">
      <c r="A2814">
        <v>1404</v>
      </c>
      <c r="B2814">
        <v>2527</v>
      </c>
      <c r="C2814" t="s">
        <v>4840</v>
      </c>
      <c r="D2814" t="s">
        <v>1326</v>
      </c>
      <c r="E2814" t="s">
        <v>1820</v>
      </c>
      <c r="F2814" t="s">
        <v>4841</v>
      </c>
      <c r="G2814" t="str">
        <f>"00034861"</f>
        <v>00034861</v>
      </c>
      <c r="H2814" t="s">
        <v>4587</v>
      </c>
      <c r="I2814">
        <v>0</v>
      </c>
      <c r="J2814">
        <v>0</v>
      </c>
      <c r="K2814">
        <v>0</v>
      </c>
      <c r="L2814">
        <v>0</v>
      </c>
      <c r="M2814">
        <v>0</v>
      </c>
      <c r="N2814">
        <v>0</v>
      </c>
      <c r="O2814">
        <v>0</v>
      </c>
      <c r="P2814">
        <v>0</v>
      </c>
      <c r="Q2814">
        <v>0</v>
      </c>
      <c r="T2814">
        <v>0</v>
      </c>
      <c r="U2814" t="s">
        <v>4587</v>
      </c>
    </row>
    <row r="2815" spans="1:21" x14ac:dyDescent="0.25">
      <c r="H2815" t="s">
        <v>4842</v>
      </c>
    </row>
    <row r="2816" spans="1:21" x14ac:dyDescent="0.25">
      <c r="A2816">
        <v>1405</v>
      </c>
      <c r="B2816">
        <v>2879</v>
      </c>
      <c r="C2816" t="s">
        <v>4843</v>
      </c>
      <c r="D2816" t="s">
        <v>64</v>
      </c>
      <c r="E2816" t="s">
        <v>4420</v>
      </c>
      <c r="F2816" t="s">
        <v>4844</v>
      </c>
      <c r="G2816" t="str">
        <f>"201511039209"</f>
        <v>201511039209</v>
      </c>
      <c r="H2816" t="s">
        <v>4587</v>
      </c>
      <c r="I2816">
        <v>0</v>
      </c>
      <c r="J2816">
        <v>0</v>
      </c>
      <c r="K2816">
        <v>0</v>
      </c>
      <c r="L2816">
        <v>0</v>
      </c>
      <c r="M2816">
        <v>0</v>
      </c>
      <c r="N2816">
        <v>0</v>
      </c>
      <c r="O2816">
        <v>0</v>
      </c>
      <c r="P2816">
        <v>0</v>
      </c>
      <c r="Q2816">
        <v>0</v>
      </c>
      <c r="T2816">
        <v>0</v>
      </c>
      <c r="U2816" t="s">
        <v>4587</v>
      </c>
    </row>
    <row r="2817" spans="1:21" x14ac:dyDescent="0.25">
      <c r="H2817" t="s">
        <v>4845</v>
      </c>
    </row>
    <row r="2818" spans="1:21" x14ac:dyDescent="0.25">
      <c r="A2818">
        <v>1406</v>
      </c>
      <c r="B2818">
        <v>3949</v>
      </c>
      <c r="C2818" t="s">
        <v>4846</v>
      </c>
      <c r="D2818" t="s">
        <v>1597</v>
      </c>
      <c r="E2818" t="s">
        <v>366</v>
      </c>
      <c r="F2818" t="s">
        <v>4847</v>
      </c>
      <c r="G2818" t="str">
        <f>"00020414"</f>
        <v>00020414</v>
      </c>
      <c r="H2818" t="s">
        <v>3719</v>
      </c>
      <c r="I2818">
        <v>0</v>
      </c>
      <c r="J2818">
        <v>30</v>
      </c>
      <c r="K2818">
        <v>0</v>
      </c>
      <c r="L2818">
        <v>0</v>
      </c>
      <c r="M2818">
        <v>0</v>
      </c>
      <c r="N2818">
        <v>0</v>
      </c>
      <c r="O2818">
        <v>0</v>
      </c>
      <c r="P2818">
        <v>0</v>
      </c>
      <c r="Q2818">
        <v>0</v>
      </c>
      <c r="T2818">
        <v>0</v>
      </c>
      <c r="U2818" t="s">
        <v>4848</v>
      </c>
    </row>
    <row r="2819" spans="1:21" x14ac:dyDescent="0.25">
      <c r="H2819" t="s">
        <v>4849</v>
      </c>
    </row>
    <row r="2820" spans="1:21" x14ac:dyDescent="0.25">
      <c r="A2820">
        <v>1407</v>
      </c>
      <c r="B2820">
        <v>7532</v>
      </c>
      <c r="C2820" t="s">
        <v>4850</v>
      </c>
      <c r="D2820" t="s">
        <v>46</v>
      </c>
      <c r="E2820" t="s">
        <v>225</v>
      </c>
      <c r="F2820" t="s">
        <v>4851</v>
      </c>
      <c r="G2820" t="str">
        <f>"00033159"</f>
        <v>00033159</v>
      </c>
      <c r="H2820">
        <v>770</v>
      </c>
      <c r="I2820">
        <v>0</v>
      </c>
      <c r="J2820">
        <v>0</v>
      </c>
      <c r="K2820">
        <v>0</v>
      </c>
      <c r="L2820">
        <v>0</v>
      </c>
      <c r="M2820">
        <v>0</v>
      </c>
      <c r="N2820">
        <v>0</v>
      </c>
      <c r="O2820">
        <v>0</v>
      </c>
      <c r="P2820">
        <v>0</v>
      </c>
      <c r="Q2820">
        <v>0</v>
      </c>
      <c r="T2820">
        <v>0</v>
      </c>
      <c r="U2820">
        <v>770</v>
      </c>
    </row>
    <row r="2821" spans="1:21" x14ac:dyDescent="0.25">
      <c r="H2821" t="s">
        <v>4852</v>
      </c>
    </row>
    <row r="2822" spans="1:21" x14ac:dyDescent="0.25">
      <c r="A2822">
        <v>1408</v>
      </c>
      <c r="B2822">
        <v>10543</v>
      </c>
      <c r="C2822" t="s">
        <v>803</v>
      </c>
      <c r="D2822" t="s">
        <v>121</v>
      </c>
      <c r="E2822" t="s">
        <v>37</v>
      </c>
      <c r="F2822" t="s">
        <v>4853</v>
      </c>
      <c r="G2822" t="str">
        <f>"00022724"</f>
        <v>00022724</v>
      </c>
      <c r="H2822">
        <v>770</v>
      </c>
      <c r="I2822">
        <v>0</v>
      </c>
      <c r="J2822">
        <v>0</v>
      </c>
      <c r="K2822">
        <v>0</v>
      </c>
      <c r="L2822">
        <v>0</v>
      </c>
      <c r="M2822">
        <v>0</v>
      </c>
      <c r="N2822">
        <v>0</v>
      </c>
      <c r="O2822">
        <v>0</v>
      </c>
      <c r="P2822">
        <v>0</v>
      </c>
      <c r="Q2822">
        <v>0</v>
      </c>
      <c r="T2822">
        <v>0</v>
      </c>
      <c r="U2822">
        <v>770</v>
      </c>
    </row>
    <row r="2823" spans="1:21" x14ac:dyDescent="0.25">
      <c r="H2823" t="s">
        <v>4854</v>
      </c>
    </row>
    <row r="2824" spans="1:21" x14ac:dyDescent="0.25">
      <c r="A2824">
        <v>1409</v>
      </c>
      <c r="B2824">
        <v>3975</v>
      </c>
      <c r="C2824" t="s">
        <v>4855</v>
      </c>
      <c r="D2824" t="s">
        <v>95</v>
      </c>
      <c r="E2824" t="s">
        <v>366</v>
      </c>
      <c r="F2824" t="s">
        <v>4856</v>
      </c>
      <c r="G2824" t="str">
        <f>"201511005369"</f>
        <v>201511005369</v>
      </c>
      <c r="H2824">
        <v>770</v>
      </c>
      <c r="I2824">
        <v>0</v>
      </c>
      <c r="J2824">
        <v>0</v>
      </c>
      <c r="K2824">
        <v>0</v>
      </c>
      <c r="L2824">
        <v>0</v>
      </c>
      <c r="M2824">
        <v>0</v>
      </c>
      <c r="N2824">
        <v>0</v>
      </c>
      <c r="O2824">
        <v>0</v>
      </c>
      <c r="P2824">
        <v>0</v>
      </c>
      <c r="Q2824">
        <v>0</v>
      </c>
      <c r="T2824">
        <v>0</v>
      </c>
      <c r="U2824">
        <v>770</v>
      </c>
    </row>
    <row r="2825" spans="1:21" x14ac:dyDescent="0.25">
      <c r="H2825" t="s">
        <v>4857</v>
      </c>
    </row>
    <row r="2826" spans="1:21" x14ac:dyDescent="0.25">
      <c r="A2826">
        <v>1410</v>
      </c>
      <c r="B2826">
        <v>2375</v>
      </c>
      <c r="C2826" t="s">
        <v>4858</v>
      </c>
      <c r="D2826" t="s">
        <v>64</v>
      </c>
      <c r="E2826" t="s">
        <v>696</v>
      </c>
      <c r="F2826" t="s">
        <v>4859</v>
      </c>
      <c r="G2826" t="str">
        <f>"00046429"</f>
        <v>00046429</v>
      </c>
      <c r="H2826">
        <v>770</v>
      </c>
      <c r="I2826">
        <v>0</v>
      </c>
      <c r="J2826">
        <v>0</v>
      </c>
      <c r="K2826">
        <v>0</v>
      </c>
      <c r="L2826">
        <v>0</v>
      </c>
      <c r="M2826">
        <v>0</v>
      </c>
      <c r="N2826">
        <v>0</v>
      </c>
      <c r="O2826">
        <v>0</v>
      </c>
      <c r="P2826">
        <v>0</v>
      </c>
      <c r="Q2826">
        <v>0</v>
      </c>
      <c r="T2826">
        <v>2</v>
      </c>
      <c r="U2826">
        <v>770</v>
      </c>
    </row>
    <row r="2827" spans="1:21" x14ac:dyDescent="0.25">
      <c r="H2827" t="s">
        <v>4860</v>
      </c>
    </row>
    <row r="2828" spans="1:21" x14ac:dyDescent="0.25">
      <c r="A2828">
        <v>1411</v>
      </c>
      <c r="B2828">
        <v>8831</v>
      </c>
      <c r="C2828" t="s">
        <v>4861</v>
      </c>
      <c r="D2828" t="s">
        <v>474</v>
      </c>
      <c r="E2828" t="s">
        <v>764</v>
      </c>
      <c r="F2828" t="s">
        <v>4862</v>
      </c>
      <c r="G2828" t="str">
        <f>"00036032"</f>
        <v>00036032</v>
      </c>
      <c r="H2828">
        <v>770</v>
      </c>
      <c r="I2828">
        <v>0</v>
      </c>
      <c r="J2828">
        <v>0</v>
      </c>
      <c r="K2828">
        <v>0</v>
      </c>
      <c r="L2828">
        <v>0</v>
      </c>
      <c r="M2828">
        <v>0</v>
      </c>
      <c r="N2828">
        <v>0</v>
      </c>
      <c r="O2828">
        <v>0</v>
      </c>
      <c r="P2828">
        <v>0</v>
      </c>
      <c r="Q2828">
        <v>0</v>
      </c>
      <c r="T2828">
        <v>0</v>
      </c>
      <c r="U2828">
        <v>770</v>
      </c>
    </row>
    <row r="2829" spans="1:21" x14ac:dyDescent="0.25">
      <c r="H2829" t="s">
        <v>4863</v>
      </c>
    </row>
    <row r="2830" spans="1:21" x14ac:dyDescent="0.25">
      <c r="A2830">
        <v>1412</v>
      </c>
      <c r="B2830">
        <v>4145</v>
      </c>
      <c r="C2830" t="s">
        <v>4864</v>
      </c>
      <c r="D2830" t="s">
        <v>95</v>
      </c>
      <c r="E2830" t="s">
        <v>373</v>
      </c>
      <c r="F2830" t="s">
        <v>4865</v>
      </c>
      <c r="G2830" t="str">
        <f>"201511027940"</f>
        <v>201511027940</v>
      </c>
      <c r="H2830">
        <v>770</v>
      </c>
      <c r="I2830">
        <v>0</v>
      </c>
      <c r="J2830">
        <v>0</v>
      </c>
      <c r="K2830">
        <v>0</v>
      </c>
      <c r="L2830">
        <v>0</v>
      </c>
      <c r="M2830">
        <v>0</v>
      </c>
      <c r="N2830">
        <v>0</v>
      </c>
      <c r="O2830">
        <v>0</v>
      </c>
      <c r="P2830">
        <v>0</v>
      </c>
      <c r="Q2830">
        <v>0</v>
      </c>
      <c r="T2830">
        <v>0</v>
      </c>
      <c r="U2830">
        <v>770</v>
      </c>
    </row>
    <row r="2831" spans="1:21" x14ac:dyDescent="0.25">
      <c r="H2831" t="s">
        <v>4866</v>
      </c>
    </row>
    <row r="2832" spans="1:21" x14ac:dyDescent="0.25">
      <c r="A2832">
        <v>1413</v>
      </c>
      <c r="B2832">
        <v>7250</v>
      </c>
      <c r="C2832" t="s">
        <v>4867</v>
      </c>
      <c r="D2832" t="s">
        <v>128</v>
      </c>
      <c r="E2832" t="s">
        <v>773</v>
      </c>
      <c r="F2832" t="s">
        <v>4868</v>
      </c>
      <c r="G2832" t="str">
        <f>"00031583"</f>
        <v>00031583</v>
      </c>
      <c r="H2832">
        <v>770</v>
      </c>
      <c r="I2832">
        <v>0</v>
      </c>
      <c r="J2832">
        <v>0</v>
      </c>
      <c r="K2832">
        <v>0</v>
      </c>
      <c r="L2832">
        <v>0</v>
      </c>
      <c r="M2832">
        <v>0</v>
      </c>
      <c r="N2832">
        <v>0</v>
      </c>
      <c r="O2832">
        <v>0</v>
      </c>
      <c r="P2832">
        <v>0</v>
      </c>
      <c r="Q2832">
        <v>0</v>
      </c>
      <c r="T2832">
        <v>1</v>
      </c>
      <c r="U2832">
        <v>770</v>
      </c>
    </row>
    <row r="2833" spans="1:21" x14ac:dyDescent="0.25">
      <c r="H2833" t="s">
        <v>3791</v>
      </c>
    </row>
    <row r="2834" spans="1:21" x14ac:dyDescent="0.25">
      <c r="A2834">
        <v>1414</v>
      </c>
      <c r="B2834">
        <v>7411</v>
      </c>
      <c r="C2834" t="s">
        <v>4869</v>
      </c>
      <c r="D2834" t="s">
        <v>85</v>
      </c>
      <c r="E2834" t="s">
        <v>773</v>
      </c>
      <c r="F2834" t="s">
        <v>4870</v>
      </c>
      <c r="G2834" t="str">
        <f>"00093489"</f>
        <v>00093489</v>
      </c>
      <c r="H2834">
        <v>770</v>
      </c>
      <c r="I2834">
        <v>0</v>
      </c>
      <c r="J2834">
        <v>0</v>
      </c>
      <c r="K2834">
        <v>0</v>
      </c>
      <c r="L2834">
        <v>0</v>
      </c>
      <c r="M2834">
        <v>0</v>
      </c>
      <c r="N2834">
        <v>0</v>
      </c>
      <c r="O2834">
        <v>0</v>
      </c>
      <c r="P2834">
        <v>0</v>
      </c>
      <c r="Q2834">
        <v>0</v>
      </c>
      <c r="T2834">
        <v>2</v>
      </c>
      <c r="U2834">
        <v>770</v>
      </c>
    </row>
    <row r="2835" spans="1:21" x14ac:dyDescent="0.25">
      <c r="H2835" t="s">
        <v>4871</v>
      </c>
    </row>
    <row r="2836" spans="1:21" x14ac:dyDescent="0.25">
      <c r="A2836">
        <v>1415</v>
      </c>
      <c r="B2836">
        <v>6760</v>
      </c>
      <c r="C2836" t="s">
        <v>4872</v>
      </c>
      <c r="D2836" t="s">
        <v>173</v>
      </c>
      <c r="E2836" t="s">
        <v>112</v>
      </c>
      <c r="F2836" t="s">
        <v>4873</v>
      </c>
      <c r="G2836" t="str">
        <f>"00029682"</f>
        <v>00029682</v>
      </c>
      <c r="H2836">
        <v>770</v>
      </c>
      <c r="I2836">
        <v>0</v>
      </c>
      <c r="J2836">
        <v>0</v>
      </c>
      <c r="K2836">
        <v>0</v>
      </c>
      <c r="L2836">
        <v>0</v>
      </c>
      <c r="M2836">
        <v>0</v>
      </c>
      <c r="N2836">
        <v>0</v>
      </c>
      <c r="O2836">
        <v>0</v>
      </c>
      <c r="P2836">
        <v>0</v>
      </c>
      <c r="Q2836">
        <v>0</v>
      </c>
      <c r="T2836">
        <v>0</v>
      </c>
      <c r="U2836">
        <v>770</v>
      </c>
    </row>
    <row r="2837" spans="1:21" x14ac:dyDescent="0.25">
      <c r="H2837" t="s">
        <v>114</v>
      </c>
    </row>
    <row r="2838" spans="1:21" x14ac:dyDescent="0.25">
      <c r="A2838">
        <v>1416</v>
      </c>
      <c r="B2838">
        <v>5912</v>
      </c>
      <c r="C2838" t="s">
        <v>4874</v>
      </c>
      <c r="D2838" t="s">
        <v>64</v>
      </c>
      <c r="E2838" t="s">
        <v>339</v>
      </c>
      <c r="F2838" t="s">
        <v>4875</v>
      </c>
      <c r="G2838" t="str">
        <f>"00095871"</f>
        <v>00095871</v>
      </c>
      <c r="H2838">
        <v>770</v>
      </c>
      <c r="I2838">
        <v>0</v>
      </c>
      <c r="J2838">
        <v>0</v>
      </c>
      <c r="K2838">
        <v>0</v>
      </c>
      <c r="L2838">
        <v>0</v>
      </c>
      <c r="M2838">
        <v>0</v>
      </c>
      <c r="N2838">
        <v>0</v>
      </c>
      <c r="O2838">
        <v>0</v>
      </c>
      <c r="P2838">
        <v>0</v>
      </c>
      <c r="Q2838">
        <v>0</v>
      </c>
      <c r="T2838">
        <v>0</v>
      </c>
      <c r="U2838">
        <v>770</v>
      </c>
    </row>
    <row r="2839" spans="1:21" x14ac:dyDescent="0.25">
      <c r="H2839" t="s">
        <v>4876</v>
      </c>
    </row>
    <row r="2840" spans="1:21" x14ac:dyDescent="0.25">
      <c r="A2840">
        <v>1417</v>
      </c>
      <c r="B2840">
        <v>10383</v>
      </c>
      <c r="C2840" t="s">
        <v>4877</v>
      </c>
      <c r="D2840" t="s">
        <v>4878</v>
      </c>
      <c r="E2840" t="s">
        <v>259</v>
      </c>
      <c r="F2840" t="s">
        <v>4879</v>
      </c>
      <c r="G2840" t="str">
        <f>"201511011338"</f>
        <v>201511011338</v>
      </c>
      <c r="H2840">
        <v>770</v>
      </c>
      <c r="I2840">
        <v>0</v>
      </c>
      <c r="J2840">
        <v>0</v>
      </c>
      <c r="K2840">
        <v>0</v>
      </c>
      <c r="L2840">
        <v>0</v>
      </c>
      <c r="M2840">
        <v>0</v>
      </c>
      <c r="N2840">
        <v>0</v>
      </c>
      <c r="O2840">
        <v>0</v>
      </c>
      <c r="P2840">
        <v>0</v>
      </c>
      <c r="Q2840">
        <v>0</v>
      </c>
      <c r="T2840">
        <v>0</v>
      </c>
      <c r="U2840">
        <v>770</v>
      </c>
    </row>
    <row r="2841" spans="1:21" x14ac:dyDescent="0.25">
      <c r="H2841" t="s">
        <v>4880</v>
      </c>
    </row>
    <row r="2842" spans="1:21" x14ac:dyDescent="0.25">
      <c r="A2842">
        <v>1418</v>
      </c>
      <c r="B2842">
        <v>1575</v>
      </c>
      <c r="C2842" t="s">
        <v>3326</v>
      </c>
      <c r="D2842" t="s">
        <v>4881</v>
      </c>
      <c r="E2842" t="s">
        <v>27</v>
      </c>
      <c r="F2842" t="s">
        <v>4882</v>
      </c>
      <c r="G2842" t="str">
        <f>"201511028170"</f>
        <v>201511028170</v>
      </c>
      <c r="H2842">
        <v>770</v>
      </c>
      <c r="I2842">
        <v>0</v>
      </c>
      <c r="J2842">
        <v>0</v>
      </c>
      <c r="K2842">
        <v>0</v>
      </c>
      <c r="L2842">
        <v>0</v>
      </c>
      <c r="M2842">
        <v>0</v>
      </c>
      <c r="N2842">
        <v>0</v>
      </c>
      <c r="O2842">
        <v>0</v>
      </c>
      <c r="P2842">
        <v>0</v>
      </c>
      <c r="Q2842">
        <v>0</v>
      </c>
      <c r="T2842">
        <v>0</v>
      </c>
      <c r="U2842">
        <v>770</v>
      </c>
    </row>
    <row r="2843" spans="1:21" x14ac:dyDescent="0.25">
      <c r="H2843" t="s">
        <v>4883</v>
      </c>
    </row>
    <row r="2844" spans="1:21" x14ac:dyDescent="0.25">
      <c r="A2844">
        <v>1419</v>
      </c>
      <c r="B2844">
        <v>4596</v>
      </c>
      <c r="C2844" t="s">
        <v>3565</v>
      </c>
      <c r="D2844" t="s">
        <v>64</v>
      </c>
      <c r="E2844" t="s">
        <v>696</v>
      </c>
      <c r="F2844" t="s">
        <v>4884</v>
      </c>
      <c r="G2844" t="str">
        <f>"201512000332"</f>
        <v>201512000332</v>
      </c>
      <c r="H2844">
        <v>770</v>
      </c>
      <c r="I2844">
        <v>0</v>
      </c>
      <c r="J2844">
        <v>0</v>
      </c>
      <c r="K2844">
        <v>0</v>
      </c>
      <c r="L2844">
        <v>0</v>
      </c>
      <c r="M2844">
        <v>0</v>
      </c>
      <c r="N2844">
        <v>0</v>
      </c>
      <c r="O2844">
        <v>0</v>
      </c>
      <c r="P2844">
        <v>0</v>
      </c>
      <c r="Q2844">
        <v>0</v>
      </c>
      <c r="T2844">
        <v>2</v>
      </c>
      <c r="U2844">
        <v>770</v>
      </c>
    </row>
    <row r="2845" spans="1:21" x14ac:dyDescent="0.25">
      <c r="H2845" t="s">
        <v>4885</v>
      </c>
    </row>
    <row r="2846" spans="1:21" x14ac:dyDescent="0.25">
      <c r="A2846">
        <v>1420</v>
      </c>
      <c r="B2846">
        <v>1110</v>
      </c>
      <c r="C2846" t="s">
        <v>4886</v>
      </c>
      <c r="D2846" t="s">
        <v>36</v>
      </c>
      <c r="E2846" t="s">
        <v>135</v>
      </c>
      <c r="F2846" t="s">
        <v>4887</v>
      </c>
      <c r="G2846" t="str">
        <f>"00026098"</f>
        <v>00026098</v>
      </c>
      <c r="H2846">
        <v>770</v>
      </c>
      <c r="I2846">
        <v>0</v>
      </c>
      <c r="J2846">
        <v>0</v>
      </c>
      <c r="K2846">
        <v>0</v>
      </c>
      <c r="L2846">
        <v>0</v>
      </c>
      <c r="M2846">
        <v>0</v>
      </c>
      <c r="N2846">
        <v>0</v>
      </c>
      <c r="O2846">
        <v>0</v>
      </c>
      <c r="P2846">
        <v>0</v>
      </c>
      <c r="Q2846">
        <v>0</v>
      </c>
      <c r="T2846">
        <v>0</v>
      </c>
      <c r="U2846">
        <v>770</v>
      </c>
    </row>
    <row r="2847" spans="1:21" x14ac:dyDescent="0.25">
      <c r="H2847" t="s">
        <v>4888</v>
      </c>
    </row>
    <row r="2848" spans="1:21" x14ac:dyDescent="0.25">
      <c r="A2848">
        <v>1421</v>
      </c>
      <c r="B2848">
        <v>2694</v>
      </c>
      <c r="C2848" t="s">
        <v>4889</v>
      </c>
      <c r="D2848" t="s">
        <v>121</v>
      </c>
      <c r="E2848" t="s">
        <v>42</v>
      </c>
      <c r="F2848" t="s">
        <v>4890</v>
      </c>
      <c r="G2848" t="str">
        <f>"00068922"</f>
        <v>00068922</v>
      </c>
      <c r="H2848">
        <v>770</v>
      </c>
      <c r="I2848">
        <v>0</v>
      </c>
      <c r="J2848">
        <v>0</v>
      </c>
      <c r="K2848">
        <v>0</v>
      </c>
      <c r="L2848">
        <v>0</v>
      </c>
      <c r="M2848">
        <v>0</v>
      </c>
      <c r="N2848">
        <v>0</v>
      </c>
      <c r="O2848">
        <v>0</v>
      </c>
      <c r="P2848">
        <v>0</v>
      </c>
      <c r="Q2848">
        <v>0</v>
      </c>
      <c r="T2848">
        <v>0</v>
      </c>
      <c r="U2848">
        <v>770</v>
      </c>
    </row>
    <row r="2849" spans="1:21" x14ac:dyDescent="0.25">
      <c r="H2849" t="s">
        <v>189</v>
      </c>
    </row>
    <row r="2850" spans="1:21" x14ac:dyDescent="0.25">
      <c r="A2850">
        <v>1422</v>
      </c>
      <c r="B2850">
        <v>497</v>
      </c>
      <c r="C2850" t="s">
        <v>4891</v>
      </c>
      <c r="D2850" t="s">
        <v>116</v>
      </c>
      <c r="E2850" t="s">
        <v>135</v>
      </c>
      <c r="F2850" t="s">
        <v>4892</v>
      </c>
      <c r="G2850" t="str">
        <f>"00022842"</f>
        <v>00022842</v>
      </c>
      <c r="H2850">
        <v>770</v>
      </c>
      <c r="I2850">
        <v>0</v>
      </c>
      <c r="J2850">
        <v>0</v>
      </c>
      <c r="K2850">
        <v>0</v>
      </c>
      <c r="L2850">
        <v>0</v>
      </c>
      <c r="M2850">
        <v>0</v>
      </c>
      <c r="N2850">
        <v>0</v>
      </c>
      <c r="O2850">
        <v>0</v>
      </c>
      <c r="P2850">
        <v>0</v>
      </c>
      <c r="Q2850">
        <v>0</v>
      </c>
      <c r="T2850">
        <v>0</v>
      </c>
      <c r="U2850">
        <v>770</v>
      </c>
    </row>
    <row r="2851" spans="1:21" x14ac:dyDescent="0.25">
      <c r="H2851" t="s">
        <v>4893</v>
      </c>
    </row>
    <row r="2852" spans="1:21" x14ac:dyDescent="0.25">
      <c r="A2852">
        <v>1423</v>
      </c>
      <c r="B2852">
        <v>497</v>
      </c>
      <c r="C2852" t="s">
        <v>4891</v>
      </c>
      <c r="D2852" t="s">
        <v>116</v>
      </c>
      <c r="E2852" t="s">
        <v>135</v>
      </c>
      <c r="F2852" t="s">
        <v>4892</v>
      </c>
      <c r="G2852" t="str">
        <f>"00022842"</f>
        <v>00022842</v>
      </c>
      <c r="H2852">
        <v>770</v>
      </c>
      <c r="I2852">
        <v>0</v>
      </c>
      <c r="J2852">
        <v>0</v>
      </c>
      <c r="K2852">
        <v>0</v>
      </c>
      <c r="L2852">
        <v>0</v>
      </c>
      <c r="M2852">
        <v>0</v>
      </c>
      <c r="N2852">
        <v>0</v>
      </c>
      <c r="O2852">
        <v>0</v>
      </c>
      <c r="P2852">
        <v>0</v>
      </c>
      <c r="Q2852">
        <v>0</v>
      </c>
      <c r="R2852">
        <v>6</v>
      </c>
      <c r="S2852">
        <v>809</v>
      </c>
      <c r="T2852">
        <v>0</v>
      </c>
      <c r="U2852">
        <v>770</v>
      </c>
    </row>
    <row r="2853" spans="1:21" x14ac:dyDescent="0.25">
      <c r="H2853" t="s">
        <v>4893</v>
      </c>
    </row>
    <row r="2854" spans="1:21" x14ac:dyDescent="0.25">
      <c r="A2854">
        <v>1424</v>
      </c>
      <c r="B2854">
        <v>6530</v>
      </c>
      <c r="C2854" t="s">
        <v>4894</v>
      </c>
      <c r="D2854" t="s">
        <v>57</v>
      </c>
      <c r="E2854" t="s">
        <v>42</v>
      </c>
      <c r="F2854" t="s">
        <v>4895</v>
      </c>
      <c r="G2854" t="str">
        <f>"00036207"</f>
        <v>00036207</v>
      </c>
      <c r="H2854">
        <v>770</v>
      </c>
      <c r="I2854">
        <v>0</v>
      </c>
      <c r="J2854">
        <v>0</v>
      </c>
      <c r="K2854">
        <v>0</v>
      </c>
      <c r="L2854">
        <v>0</v>
      </c>
      <c r="M2854">
        <v>0</v>
      </c>
      <c r="N2854">
        <v>0</v>
      </c>
      <c r="O2854">
        <v>0</v>
      </c>
      <c r="P2854">
        <v>0</v>
      </c>
      <c r="Q2854">
        <v>0</v>
      </c>
      <c r="T2854">
        <v>0</v>
      </c>
      <c r="U2854">
        <v>770</v>
      </c>
    </row>
    <row r="2855" spans="1:21" x14ac:dyDescent="0.25">
      <c r="H2855" t="s">
        <v>4896</v>
      </c>
    </row>
    <row r="2856" spans="1:21" x14ac:dyDescent="0.25">
      <c r="A2856">
        <v>1425</v>
      </c>
      <c r="B2856">
        <v>7765</v>
      </c>
      <c r="C2856" t="s">
        <v>4897</v>
      </c>
      <c r="D2856" t="s">
        <v>20</v>
      </c>
      <c r="E2856" t="s">
        <v>37</v>
      </c>
      <c r="F2856" t="s">
        <v>4898</v>
      </c>
      <c r="G2856" t="str">
        <f>"00024572"</f>
        <v>00024572</v>
      </c>
      <c r="H2856">
        <v>770</v>
      </c>
      <c r="I2856">
        <v>0</v>
      </c>
      <c r="J2856">
        <v>0</v>
      </c>
      <c r="K2856">
        <v>0</v>
      </c>
      <c r="L2856">
        <v>0</v>
      </c>
      <c r="M2856">
        <v>0</v>
      </c>
      <c r="N2856">
        <v>0</v>
      </c>
      <c r="O2856">
        <v>0</v>
      </c>
      <c r="P2856">
        <v>0</v>
      </c>
      <c r="Q2856">
        <v>0</v>
      </c>
      <c r="T2856">
        <v>0</v>
      </c>
      <c r="U2856">
        <v>770</v>
      </c>
    </row>
    <row r="2857" spans="1:21" x14ac:dyDescent="0.25">
      <c r="H2857" t="s">
        <v>4899</v>
      </c>
    </row>
    <row r="2858" spans="1:21" x14ac:dyDescent="0.25">
      <c r="A2858">
        <v>1426</v>
      </c>
      <c r="B2858">
        <v>8555</v>
      </c>
      <c r="C2858" t="s">
        <v>4900</v>
      </c>
      <c r="D2858" t="s">
        <v>285</v>
      </c>
      <c r="E2858" t="s">
        <v>533</v>
      </c>
      <c r="F2858" t="s">
        <v>4901</v>
      </c>
      <c r="G2858" t="str">
        <f>"201511016583"</f>
        <v>201511016583</v>
      </c>
      <c r="H2858">
        <v>770</v>
      </c>
      <c r="I2858">
        <v>0</v>
      </c>
      <c r="J2858">
        <v>0</v>
      </c>
      <c r="K2858">
        <v>0</v>
      </c>
      <c r="L2858">
        <v>0</v>
      </c>
      <c r="M2858">
        <v>0</v>
      </c>
      <c r="N2858">
        <v>0</v>
      </c>
      <c r="O2858">
        <v>0</v>
      </c>
      <c r="P2858">
        <v>0</v>
      </c>
      <c r="Q2858">
        <v>0</v>
      </c>
      <c r="T2858">
        <v>0</v>
      </c>
      <c r="U2858">
        <v>770</v>
      </c>
    </row>
    <row r="2859" spans="1:21" x14ac:dyDescent="0.25">
      <c r="H2859" t="s">
        <v>4902</v>
      </c>
    </row>
    <row r="2860" spans="1:21" x14ac:dyDescent="0.25">
      <c r="A2860">
        <v>1427</v>
      </c>
      <c r="B2860">
        <v>7884</v>
      </c>
      <c r="C2860" t="s">
        <v>4903</v>
      </c>
      <c r="D2860" t="s">
        <v>533</v>
      </c>
      <c r="E2860" t="s">
        <v>42</v>
      </c>
      <c r="F2860" t="s">
        <v>4904</v>
      </c>
      <c r="G2860" t="str">
        <f>"00091880"</f>
        <v>00091880</v>
      </c>
      <c r="H2860">
        <v>770</v>
      </c>
      <c r="I2860">
        <v>0</v>
      </c>
      <c r="J2860">
        <v>0</v>
      </c>
      <c r="K2860">
        <v>0</v>
      </c>
      <c r="L2860">
        <v>0</v>
      </c>
      <c r="M2860">
        <v>0</v>
      </c>
      <c r="N2860">
        <v>0</v>
      </c>
      <c r="O2860">
        <v>0</v>
      </c>
      <c r="P2860">
        <v>0</v>
      </c>
      <c r="Q2860">
        <v>0</v>
      </c>
      <c r="T2860">
        <v>0</v>
      </c>
      <c r="U2860">
        <v>770</v>
      </c>
    </row>
    <row r="2861" spans="1:21" x14ac:dyDescent="0.25">
      <c r="H2861" t="s">
        <v>4905</v>
      </c>
    </row>
    <row r="2862" spans="1:21" x14ac:dyDescent="0.25">
      <c r="A2862">
        <v>1428</v>
      </c>
      <c r="B2862">
        <v>7998</v>
      </c>
      <c r="C2862" t="s">
        <v>4906</v>
      </c>
      <c r="D2862" t="s">
        <v>121</v>
      </c>
      <c r="E2862" t="s">
        <v>122</v>
      </c>
      <c r="F2862" t="s">
        <v>4907</v>
      </c>
      <c r="G2862" t="str">
        <f>"201511028220"</f>
        <v>201511028220</v>
      </c>
      <c r="H2862">
        <v>770</v>
      </c>
      <c r="I2862">
        <v>0</v>
      </c>
      <c r="J2862">
        <v>0</v>
      </c>
      <c r="K2862">
        <v>0</v>
      </c>
      <c r="L2862">
        <v>0</v>
      </c>
      <c r="M2862">
        <v>0</v>
      </c>
      <c r="N2862">
        <v>0</v>
      </c>
      <c r="O2862">
        <v>0</v>
      </c>
      <c r="P2862">
        <v>0</v>
      </c>
      <c r="Q2862">
        <v>0</v>
      </c>
      <c r="T2862">
        <v>1</v>
      </c>
      <c r="U2862">
        <v>770</v>
      </c>
    </row>
    <row r="2863" spans="1:21" x14ac:dyDescent="0.25">
      <c r="H2863" t="s">
        <v>4908</v>
      </c>
    </row>
    <row r="2864" spans="1:21" x14ac:dyDescent="0.25">
      <c r="A2864">
        <v>1429</v>
      </c>
      <c r="B2864">
        <v>7998</v>
      </c>
      <c r="C2864" t="s">
        <v>4906</v>
      </c>
      <c r="D2864" t="s">
        <v>121</v>
      </c>
      <c r="E2864" t="s">
        <v>122</v>
      </c>
      <c r="F2864" t="s">
        <v>4907</v>
      </c>
      <c r="G2864" t="str">
        <f>"201511028220"</f>
        <v>201511028220</v>
      </c>
      <c r="H2864">
        <v>770</v>
      </c>
      <c r="I2864">
        <v>0</v>
      </c>
      <c r="J2864">
        <v>0</v>
      </c>
      <c r="K2864">
        <v>0</v>
      </c>
      <c r="L2864">
        <v>0</v>
      </c>
      <c r="M2864">
        <v>0</v>
      </c>
      <c r="N2864">
        <v>0</v>
      </c>
      <c r="O2864">
        <v>0</v>
      </c>
      <c r="P2864">
        <v>0</v>
      </c>
      <c r="Q2864">
        <v>0</v>
      </c>
      <c r="R2864">
        <v>6</v>
      </c>
      <c r="S2864" t="s">
        <v>4537</v>
      </c>
      <c r="T2864">
        <v>1</v>
      </c>
      <c r="U2864">
        <v>770</v>
      </c>
    </row>
    <row r="2865" spans="1:21" x14ac:dyDescent="0.25">
      <c r="H2865" t="s">
        <v>4908</v>
      </c>
    </row>
    <row r="2866" spans="1:21" x14ac:dyDescent="0.25">
      <c r="A2866">
        <v>1430</v>
      </c>
      <c r="B2866">
        <v>3822</v>
      </c>
      <c r="C2866" t="s">
        <v>4909</v>
      </c>
      <c r="D2866" t="s">
        <v>911</v>
      </c>
      <c r="E2866" t="s">
        <v>65</v>
      </c>
      <c r="F2866" t="s">
        <v>4910</v>
      </c>
      <c r="G2866" t="str">
        <f>"00079184"</f>
        <v>00079184</v>
      </c>
      <c r="H2866">
        <v>770</v>
      </c>
      <c r="I2866">
        <v>0</v>
      </c>
      <c r="J2866">
        <v>0</v>
      </c>
      <c r="K2866">
        <v>0</v>
      </c>
      <c r="L2866">
        <v>0</v>
      </c>
      <c r="M2866">
        <v>0</v>
      </c>
      <c r="N2866">
        <v>0</v>
      </c>
      <c r="O2866">
        <v>0</v>
      </c>
      <c r="P2866">
        <v>0</v>
      </c>
      <c r="Q2866">
        <v>0</v>
      </c>
      <c r="T2866">
        <v>0</v>
      </c>
      <c r="U2866">
        <v>770</v>
      </c>
    </row>
    <row r="2867" spans="1:21" x14ac:dyDescent="0.25">
      <c r="H2867" t="s">
        <v>4911</v>
      </c>
    </row>
    <row r="2868" spans="1:21" x14ac:dyDescent="0.25">
      <c r="A2868">
        <v>1431</v>
      </c>
      <c r="B2868">
        <v>4321</v>
      </c>
      <c r="C2868" t="s">
        <v>4912</v>
      </c>
      <c r="D2868" t="s">
        <v>57</v>
      </c>
      <c r="E2868" t="s">
        <v>112</v>
      </c>
      <c r="F2868" t="s">
        <v>4913</v>
      </c>
      <c r="G2868" t="str">
        <f>"00093699"</f>
        <v>00093699</v>
      </c>
      <c r="H2868">
        <v>770</v>
      </c>
      <c r="I2868">
        <v>0</v>
      </c>
      <c r="J2868">
        <v>0</v>
      </c>
      <c r="K2868">
        <v>0</v>
      </c>
      <c r="L2868">
        <v>0</v>
      </c>
      <c r="M2868">
        <v>0</v>
      </c>
      <c r="N2868">
        <v>0</v>
      </c>
      <c r="O2868">
        <v>0</v>
      </c>
      <c r="P2868">
        <v>0</v>
      </c>
      <c r="Q2868">
        <v>0</v>
      </c>
      <c r="T2868">
        <v>0</v>
      </c>
      <c r="U2868">
        <v>770</v>
      </c>
    </row>
    <row r="2869" spans="1:21" x14ac:dyDescent="0.25">
      <c r="H2869" t="s">
        <v>1035</v>
      </c>
    </row>
    <row r="2870" spans="1:21" x14ac:dyDescent="0.25">
      <c r="A2870">
        <v>1432</v>
      </c>
      <c r="B2870">
        <v>5043</v>
      </c>
      <c r="C2870" t="s">
        <v>4914</v>
      </c>
      <c r="D2870" t="s">
        <v>512</v>
      </c>
      <c r="E2870" t="s">
        <v>225</v>
      </c>
      <c r="F2870" t="s">
        <v>4915</v>
      </c>
      <c r="G2870" t="str">
        <f>"00024453"</f>
        <v>00024453</v>
      </c>
      <c r="H2870">
        <v>770</v>
      </c>
      <c r="I2870">
        <v>0</v>
      </c>
      <c r="J2870">
        <v>0</v>
      </c>
      <c r="K2870">
        <v>0</v>
      </c>
      <c r="L2870">
        <v>0</v>
      </c>
      <c r="M2870">
        <v>0</v>
      </c>
      <c r="N2870">
        <v>0</v>
      </c>
      <c r="O2870">
        <v>0</v>
      </c>
      <c r="P2870">
        <v>0</v>
      </c>
      <c r="Q2870">
        <v>0</v>
      </c>
      <c r="T2870">
        <v>0</v>
      </c>
      <c r="U2870">
        <v>770</v>
      </c>
    </row>
    <row r="2871" spans="1:21" x14ac:dyDescent="0.25">
      <c r="H2871" t="s">
        <v>4916</v>
      </c>
    </row>
    <row r="2872" spans="1:21" x14ac:dyDescent="0.25">
      <c r="A2872">
        <v>1433</v>
      </c>
      <c r="B2872">
        <v>3558</v>
      </c>
      <c r="C2872" t="s">
        <v>4917</v>
      </c>
      <c r="D2872" t="s">
        <v>36</v>
      </c>
      <c r="E2872" t="s">
        <v>852</v>
      </c>
      <c r="F2872" t="s">
        <v>4918</v>
      </c>
      <c r="G2872" t="str">
        <f>"201511018438"</f>
        <v>201511018438</v>
      </c>
      <c r="H2872">
        <v>770</v>
      </c>
      <c r="I2872">
        <v>0</v>
      </c>
      <c r="J2872">
        <v>0</v>
      </c>
      <c r="K2872">
        <v>0</v>
      </c>
      <c r="L2872">
        <v>0</v>
      </c>
      <c r="M2872">
        <v>0</v>
      </c>
      <c r="N2872">
        <v>0</v>
      </c>
      <c r="O2872">
        <v>0</v>
      </c>
      <c r="P2872">
        <v>0</v>
      </c>
      <c r="Q2872">
        <v>0</v>
      </c>
      <c r="T2872">
        <v>0</v>
      </c>
      <c r="U2872">
        <v>770</v>
      </c>
    </row>
    <row r="2873" spans="1:21" x14ac:dyDescent="0.25">
      <c r="H2873" t="s">
        <v>4919</v>
      </c>
    </row>
    <row r="2874" spans="1:21" x14ac:dyDescent="0.25">
      <c r="A2874">
        <v>1434</v>
      </c>
      <c r="B2874">
        <v>3150</v>
      </c>
      <c r="C2874" t="s">
        <v>4920</v>
      </c>
      <c r="D2874" t="s">
        <v>372</v>
      </c>
      <c r="E2874" t="s">
        <v>36</v>
      </c>
      <c r="F2874" t="s">
        <v>4921</v>
      </c>
      <c r="G2874" t="str">
        <f>"201511010527"</f>
        <v>201511010527</v>
      </c>
      <c r="H2874">
        <v>770</v>
      </c>
      <c r="I2874">
        <v>0</v>
      </c>
      <c r="J2874">
        <v>0</v>
      </c>
      <c r="K2874">
        <v>0</v>
      </c>
      <c r="L2874">
        <v>0</v>
      </c>
      <c r="M2874">
        <v>0</v>
      </c>
      <c r="N2874">
        <v>0</v>
      </c>
      <c r="O2874">
        <v>0</v>
      </c>
      <c r="P2874">
        <v>0</v>
      </c>
      <c r="Q2874">
        <v>0</v>
      </c>
      <c r="T2874">
        <v>0</v>
      </c>
      <c r="U2874">
        <v>770</v>
      </c>
    </row>
    <row r="2875" spans="1:21" x14ac:dyDescent="0.25">
      <c r="H2875" t="s">
        <v>4922</v>
      </c>
    </row>
    <row r="2876" spans="1:21" x14ac:dyDescent="0.25">
      <c r="A2876">
        <v>1435</v>
      </c>
      <c r="B2876">
        <v>9001</v>
      </c>
      <c r="C2876" t="s">
        <v>4923</v>
      </c>
      <c r="D2876" t="s">
        <v>4924</v>
      </c>
      <c r="E2876" t="s">
        <v>1005</v>
      </c>
      <c r="F2876" t="s">
        <v>4925</v>
      </c>
      <c r="G2876" t="str">
        <f>"201512003446"</f>
        <v>201512003446</v>
      </c>
      <c r="H2876">
        <v>770</v>
      </c>
      <c r="I2876">
        <v>0</v>
      </c>
      <c r="J2876">
        <v>0</v>
      </c>
      <c r="K2876">
        <v>0</v>
      </c>
      <c r="L2876">
        <v>0</v>
      </c>
      <c r="M2876">
        <v>0</v>
      </c>
      <c r="N2876">
        <v>0</v>
      </c>
      <c r="O2876">
        <v>0</v>
      </c>
      <c r="P2876">
        <v>0</v>
      </c>
      <c r="Q2876">
        <v>0</v>
      </c>
      <c r="T2876">
        <v>1</v>
      </c>
      <c r="U2876">
        <v>770</v>
      </c>
    </row>
    <row r="2877" spans="1:21" x14ac:dyDescent="0.25">
      <c r="H2877" t="s">
        <v>4926</v>
      </c>
    </row>
    <row r="2878" spans="1:21" x14ac:dyDescent="0.25">
      <c r="A2878">
        <v>1436</v>
      </c>
      <c r="B2878">
        <v>4366</v>
      </c>
      <c r="C2878" t="s">
        <v>659</v>
      </c>
      <c r="D2878" t="s">
        <v>85</v>
      </c>
      <c r="E2878" t="s">
        <v>135</v>
      </c>
      <c r="F2878" t="s">
        <v>4927</v>
      </c>
      <c r="G2878" t="str">
        <f>"201511026520"</f>
        <v>201511026520</v>
      </c>
      <c r="H2878" t="s">
        <v>4652</v>
      </c>
      <c r="I2878">
        <v>0</v>
      </c>
      <c r="J2878">
        <v>0</v>
      </c>
      <c r="K2878">
        <v>0</v>
      </c>
      <c r="L2878">
        <v>0</v>
      </c>
      <c r="M2878">
        <v>0</v>
      </c>
      <c r="N2878">
        <v>0</v>
      </c>
      <c r="O2878">
        <v>0</v>
      </c>
      <c r="P2878">
        <v>0</v>
      </c>
      <c r="Q2878">
        <v>0</v>
      </c>
      <c r="T2878">
        <v>0</v>
      </c>
      <c r="U2878" t="s">
        <v>4652</v>
      </c>
    </row>
    <row r="2879" spans="1:21" x14ac:dyDescent="0.25">
      <c r="H2879" t="s">
        <v>4928</v>
      </c>
    </row>
    <row r="2880" spans="1:21" x14ac:dyDescent="0.25">
      <c r="A2880">
        <v>1437</v>
      </c>
      <c r="B2880">
        <v>3031</v>
      </c>
      <c r="C2880" t="s">
        <v>4929</v>
      </c>
      <c r="D2880" t="s">
        <v>2665</v>
      </c>
      <c r="E2880" t="s">
        <v>852</v>
      </c>
      <c r="F2880" t="s">
        <v>4930</v>
      </c>
      <c r="G2880" t="str">
        <f>"201511019611"</f>
        <v>201511019611</v>
      </c>
      <c r="H2880" t="s">
        <v>4652</v>
      </c>
      <c r="I2880">
        <v>0</v>
      </c>
      <c r="J2880">
        <v>0</v>
      </c>
      <c r="K2880">
        <v>0</v>
      </c>
      <c r="L2880">
        <v>0</v>
      </c>
      <c r="M2880">
        <v>0</v>
      </c>
      <c r="N2880">
        <v>0</v>
      </c>
      <c r="O2880">
        <v>0</v>
      </c>
      <c r="P2880">
        <v>0</v>
      </c>
      <c r="Q2880">
        <v>0</v>
      </c>
      <c r="T2880">
        <v>1</v>
      </c>
      <c r="U2880" t="s">
        <v>4652</v>
      </c>
    </row>
    <row r="2881" spans="1:21" x14ac:dyDescent="0.25">
      <c r="H2881" t="s">
        <v>4931</v>
      </c>
    </row>
    <row r="2882" spans="1:21" x14ac:dyDescent="0.25">
      <c r="A2882">
        <v>1438</v>
      </c>
      <c r="B2882">
        <v>622</v>
      </c>
      <c r="C2882" t="s">
        <v>2406</v>
      </c>
      <c r="D2882" t="s">
        <v>64</v>
      </c>
      <c r="E2882" t="s">
        <v>27</v>
      </c>
      <c r="F2882" t="s">
        <v>4932</v>
      </c>
      <c r="G2882" t="str">
        <f>"201510000933"</f>
        <v>201510000933</v>
      </c>
      <c r="H2882" t="s">
        <v>4652</v>
      </c>
      <c r="I2882">
        <v>0</v>
      </c>
      <c r="J2882">
        <v>0</v>
      </c>
      <c r="K2882">
        <v>0</v>
      </c>
      <c r="L2882">
        <v>0</v>
      </c>
      <c r="M2882">
        <v>0</v>
      </c>
      <c r="N2882">
        <v>0</v>
      </c>
      <c r="O2882">
        <v>0</v>
      </c>
      <c r="P2882">
        <v>0</v>
      </c>
      <c r="Q2882">
        <v>0</v>
      </c>
      <c r="T2882">
        <v>0</v>
      </c>
      <c r="U2882" t="s">
        <v>4652</v>
      </c>
    </row>
    <row r="2883" spans="1:21" x14ac:dyDescent="0.25">
      <c r="H2883" t="s">
        <v>2553</v>
      </c>
    </row>
    <row r="2884" spans="1:21" x14ac:dyDescent="0.25">
      <c r="A2884">
        <v>1439</v>
      </c>
      <c r="B2884">
        <v>7813</v>
      </c>
      <c r="C2884" t="s">
        <v>806</v>
      </c>
      <c r="D2884" t="s">
        <v>4933</v>
      </c>
      <c r="E2884" t="s">
        <v>533</v>
      </c>
      <c r="F2884" t="s">
        <v>4934</v>
      </c>
      <c r="G2884" t="str">
        <f>"201511028726"</f>
        <v>201511028726</v>
      </c>
      <c r="H2884" t="s">
        <v>4652</v>
      </c>
      <c r="I2884">
        <v>0</v>
      </c>
      <c r="J2884">
        <v>0</v>
      </c>
      <c r="K2884">
        <v>0</v>
      </c>
      <c r="L2884">
        <v>0</v>
      </c>
      <c r="M2884">
        <v>0</v>
      </c>
      <c r="N2884">
        <v>0</v>
      </c>
      <c r="O2884">
        <v>0</v>
      </c>
      <c r="P2884">
        <v>0</v>
      </c>
      <c r="Q2884">
        <v>0</v>
      </c>
      <c r="T2884">
        <v>0</v>
      </c>
      <c r="U2884" t="s">
        <v>4652</v>
      </c>
    </row>
    <row r="2885" spans="1:21" x14ac:dyDescent="0.25">
      <c r="H2885" t="s">
        <v>4935</v>
      </c>
    </row>
    <row r="2886" spans="1:21" x14ac:dyDescent="0.25">
      <c r="A2886">
        <v>1440</v>
      </c>
      <c r="B2886">
        <v>6877</v>
      </c>
      <c r="C2886" t="s">
        <v>141</v>
      </c>
      <c r="D2886" t="s">
        <v>2950</v>
      </c>
      <c r="E2886" t="s">
        <v>366</v>
      </c>
      <c r="F2886" t="s">
        <v>4936</v>
      </c>
      <c r="G2886" t="str">
        <f>"00040609"</f>
        <v>00040609</v>
      </c>
      <c r="H2886">
        <v>715</v>
      </c>
      <c r="I2886">
        <v>0</v>
      </c>
      <c r="J2886">
        <v>50</v>
      </c>
      <c r="K2886">
        <v>0</v>
      </c>
      <c r="L2886">
        <v>0</v>
      </c>
      <c r="M2886">
        <v>0</v>
      </c>
      <c r="N2886">
        <v>0</v>
      </c>
      <c r="O2886">
        <v>0</v>
      </c>
      <c r="P2886">
        <v>0</v>
      </c>
      <c r="Q2886">
        <v>0</v>
      </c>
      <c r="T2886">
        <v>1</v>
      </c>
      <c r="U2886">
        <v>765</v>
      </c>
    </row>
    <row r="2887" spans="1:21" x14ac:dyDescent="0.25">
      <c r="H2887" t="s">
        <v>4937</v>
      </c>
    </row>
    <row r="2888" spans="1:21" x14ac:dyDescent="0.25">
      <c r="A2888">
        <v>1441</v>
      </c>
      <c r="B2888">
        <v>2055</v>
      </c>
      <c r="C2888" t="s">
        <v>4938</v>
      </c>
      <c r="D2888" t="s">
        <v>646</v>
      </c>
      <c r="E2888" t="s">
        <v>42</v>
      </c>
      <c r="F2888" t="s">
        <v>4939</v>
      </c>
      <c r="G2888" t="str">
        <f>"00036110"</f>
        <v>00036110</v>
      </c>
      <c r="H2888" t="s">
        <v>3097</v>
      </c>
      <c r="I2888">
        <v>0</v>
      </c>
      <c r="J2888">
        <v>0</v>
      </c>
      <c r="K2888">
        <v>0</v>
      </c>
      <c r="L2888">
        <v>0</v>
      </c>
      <c r="M2888">
        <v>0</v>
      </c>
      <c r="N2888">
        <v>0</v>
      </c>
      <c r="O2888">
        <v>0</v>
      </c>
      <c r="P2888">
        <v>0</v>
      </c>
      <c r="Q2888">
        <v>0</v>
      </c>
      <c r="T2888">
        <v>1</v>
      </c>
      <c r="U2888" t="s">
        <v>3097</v>
      </c>
    </row>
    <row r="2889" spans="1:21" x14ac:dyDescent="0.25">
      <c r="H2889" t="s">
        <v>4940</v>
      </c>
    </row>
    <row r="2890" spans="1:21" x14ac:dyDescent="0.25">
      <c r="A2890">
        <v>1442</v>
      </c>
      <c r="B2890">
        <v>5488</v>
      </c>
      <c r="C2890" t="s">
        <v>4941</v>
      </c>
      <c r="D2890" t="s">
        <v>313</v>
      </c>
      <c r="E2890" t="s">
        <v>42</v>
      </c>
      <c r="F2890" t="s">
        <v>4942</v>
      </c>
      <c r="G2890" t="str">
        <f>"00092343"</f>
        <v>00092343</v>
      </c>
      <c r="H2890" t="s">
        <v>3097</v>
      </c>
      <c r="I2890">
        <v>0</v>
      </c>
      <c r="J2890">
        <v>0</v>
      </c>
      <c r="K2890">
        <v>0</v>
      </c>
      <c r="L2890">
        <v>0</v>
      </c>
      <c r="M2890">
        <v>0</v>
      </c>
      <c r="N2890">
        <v>0</v>
      </c>
      <c r="O2890">
        <v>0</v>
      </c>
      <c r="P2890">
        <v>0</v>
      </c>
      <c r="Q2890">
        <v>0</v>
      </c>
      <c r="T2890">
        <v>0</v>
      </c>
      <c r="U2890" t="s">
        <v>3097</v>
      </c>
    </row>
    <row r="2891" spans="1:21" x14ac:dyDescent="0.25">
      <c r="H2891">
        <v>801</v>
      </c>
    </row>
    <row r="2892" spans="1:21" x14ac:dyDescent="0.25">
      <c r="A2892">
        <v>1443</v>
      </c>
      <c r="B2892">
        <v>2199</v>
      </c>
      <c r="C2892" t="s">
        <v>4943</v>
      </c>
      <c r="D2892" t="s">
        <v>185</v>
      </c>
      <c r="E2892" t="s">
        <v>27</v>
      </c>
      <c r="F2892" t="s">
        <v>4944</v>
      </c>
      <c r="G2892" t="str">
        <f>"00040871"</f>
        <v>00040871</v>
      </c>
      <c r="H2892" t="s">
        <v>3097</v>
      </c>
      <c r="I2892">
        <v>0</v>
      </c>
      <c r="J2892">
        <v>0</v>
      </c>
      <c r="K2892">
        <v>0</v>
      </c>
      <c r="L2892">
        <v>0</v>
      </c>
      <c r="M2892">
        <v>0</v>
      </c>
      <c r="N2892">
        <v>0</v>
      </c>
      <c r="O2892">
        <v>0</v>
      </c>
      <c r="P2892">
        <v>0</v>
      </c>
      <c r="Q2892">
        <v>0</v>
      </c>
      <c r="R2892">
        <v>6</v>
      </c>
      <c r="S2892">
        <v>763</v>
      </c>
      <c r="T2892">
        <v>0</v>
      </c>
      <c r="U2892" t="s">
        <v>3097</v>
      </c>
    </row>
    <row r="2893" spans="1:21" x14ac:dyDescent="0.25">
      <c r="H2893">
        <v>763</v>
      </c>
    </row>
    <row r="2894" spans="1:21" x14ac:dyDescent="0.25">
      <c r="A2894">
        <v>1444</v>
      </c>
      <c r="B2894">
        <v>5076</v>
      </c>
      <c r="C2894" t="s">
        <v>4945</v>
      </c>
      <c r="D2894" t="s">
        <v>2483</v>
      </c>
      <c r="E2894" t="s">
        <v>42</v>
      </c>
      <c r="F2894" t="s">
        <v>4946</v>
      </c>
      <c r="G2894" t="str">
        <f>"201511008138"</f>
        <v>201511008138</v>
      </c>
      <c r="H2894" t="s">
        <v>3097</v>
      </c>
      <c r="I2894">
        <v>0</v>
      </c>
      <c r="J2894">
        <v>0</v>
      </c>
      <c r="K2894">
        <v>0</v>
      </c>
      <c r="L2894">
        <v>0</v>
      </c>
      <c r="M2894">
        <v>0</v>
      </c>
      <c r="N2894">
        <v>0</v>
      </c>
      <c r="O2894">
        <v>0</v>
      </c>
      <c r="P2894">
        <v>0</v>
      </c>
      <c r="Q2894">
        <v>0</v>
      </c>
      <c r="T2894">
        <v>1</v>
      </c>
      <c r="U2894" t="s">
        <v>3097</v>
      </c>
    </row>
    <row r="2895" spans="1:21" x14ac:dyDescent="0.25">
      <c r="H2895" t="s">
        <v>4947</v>
      </c>
    </row>
    <row r="2896" spans="1:21" x14ac:dyDescent="0.25">
      <c r="A2896">
        <v>1445</v>
      </c>
      <c r="B2896">
        <v>3367</v>
      </c>
      <c r="C2896" t="s">
        <v>4948</v>
      </c>
      <c r="D2896" t="s">
        <v>185</v>
      </c>
      <c r="E2896" t="s">
        <v>4949</v>
      </c>
      <c r="F2896" t="s">
        <v>4950</v>
      </c>
      <c r="G2896" t="str">
        <f>"00086590"</f>
        <v>00086590</v>
      </c>
      <c r="H2896" t="s">
        <v>4951</v>
      </c>
      <c r="I2896">
        <v>0</v>
      </c>
      <c r="J2896">
        <v>0</v>
      </c>
      <c r="K2896">
        <v>0</v>
      </c>
      <c r="L2896">
        <v>0</v>
      </c>
      <c r="M2896">
        <v>0</v>
      </c>
      <c r="N2896">
        <v>0</v>
      </c>
      <c r="O2896">
        <v>0</v>
      </c>
      <c r="P2896">
        <v>0</v>
      </c>
      <c r="Q2896">
        <v>0</v>
      </c>
      <c r="T2896">
        <v>0</v>
      </c>
      <c r="U2896" t="s">
        <v>4951</v>
      </c>
    </row>
    <row r="2897" spans="1:21" x14ac:dyDescent="0.25">
      <c r="H2897" t="s">
        <v>4952</v>
      </c>
    </row>
    <row r="2898" spans="1:21" x14ac:dyDescent="0.25">
      <c r="A2898">
        <v>1446</v>
      </c>
      <c r="B2898">
        <v>10019</v>
      </c>
      <c r="C2898" t="s">
        <v>4953</v>
      </c>
      <c r="D2898" t="s">
        <v>285</v>
      </c>
      <c r="E2898" t="s">
        <v>42</v>
      </c>
      <c r="F2898" t="s">
        <v>4954</v>
      </c>
      <c r="G2898" t="str">
        <f>"201511013455"</f>
        <v>201511013455</v>
      </c>
      <c r="H2898" t="s">
        <v>4955</v>
      </c>
      <c r="I2898">
        <v>150</v>
      </c>
      <c r="J2898">
        <v>0</v>
      </c>
      <c r="K2898">
        <v>0</v>
      </c>
      <c r="L2898">
        <v>0</v>
      </c>
      <c r="M2898">
        <v>0</v>
      </c>
      <c r="N2898">
        <v>0</v>
      </c>
      <c r="O2898">
        <v>0</v>
      </c>
      <c r="P2898">
        <v>0</v>
      </c>
      <c r="Q2898">
        <v>0</v>
      </c>
      <c r="T2898">
        <v>0</v>
      </c>
      <c r="U2898" t="s">
        <v>4956</v>
      </c>
    </row>
    <row r="2899" spans="1:21" x14ac:dyDescent="0.25">
      <c r="H2899" t="s">
        <v>4957</v>
      </c>
    </row>
    <row r="2900" spans="1:21" x14ac:dyDescent="0.25">
      <c r="A2900">
        <v>1447</v>
      </c>
      <c r="B2900">
        <v>87</v>
      </c>
      <c r="C2900" t="s">
        <v>4958</v>
      </c>
      <c r="D2900" t="s">
        <v>36</v>
      </c>
      <c r="E2900" t="s">
        <v>366</v>
      </c>
      <c r="F2900" t="s">
        <v>4959</v>
      </c>
      <c r="G2900" t="str">
        <f>"201409001030"</f>
        <v>201409001030</v>
      </c>
      <c r="H2900" t="s">
        <v>3848</v>
      </c>
      <c r="I2900">
        <v>0</v>
      </c>
      <c r="J2900">
        <v>30</v>
      </c>
      <c r="K2900">
        <v>0</v>
      </c>
      <c r="L2900">
        <v>0</v>
      </c>
      <c r="M2900">
        <v>0</v>
      </c>
      <c r="N2900">
        <v>0</v>
      </c>
      <c r="O2900">
        <v>0</v>
      </c>
      <c r="P2900">
        <v>0</v>
      </c>
      <c r="Q2900">
        <v>0</v>
      </c>
      <c r="T2900">
        <v>1</v>
      </c>
      <c r="U2900" t="s">
        <v>4960</v>
      </c>
    </row>
    <row r="2901" spans="1:21" x14ac:dyDescent="0.25">
      <c r="H2901" t="s">
        <v>4961</v>
      </c>
    </row>
    <row r="2902" spans="1:21" x14ac:dyDescent="0.25">
      <c r="A2902">
        <v>1448</v>
      </c>
      <c r="B2902">
        <v>6852</v>
      </c>
      <c r="C2902" t="s">
        <v>4962</v>
      </c>
      <c r="D2902" t="s">
        <v>134</v>
      </c>
      <c r="E2902" t="s">
        <v>449</v>
      </c>
      <c r="F2902" t="s">
        <v>4963</v>
      </c>
      <c r="G2902" t="str">
        <f>"00049203"</f>
        <v>00049203</v>
      </c>
      <c r="H2902" t="s">
        <v>4964</v>
      </c>
      <c r="I2902">
        <v>0</v>
      </c>
      <c r="J2902">
        <v>0</v>
      </c>
      <c r="K2902">
        <v>0</v>
      </c>
      <c r="L2902">
        <v>0</v>
      </c>
      <c r="M2902">
        <v>0</v>
      </c>
      <c r="N2902">
        <v>0</v>
      </c>
      <c r="O2902">
        <v>0</v>
      </c>
      <c r="P2902">
        <v>0</v>
      </c>
      <c r="Q2902">
        <v>0</v>
      </c>
      <c r="T2902">
        <v>0</v>
      </c>
      <c r="U2902" t="s">
        <v>4964</v>
      </c>
    </row>
    <row r="2903" spans="1:21" x14ac:dyDescent="0.25">
      <c r="H2903" t="s">
        <v>4965</v>
      </c>
    </row>
    <row r="2904" spans="1:21" x14ac:dyDescent="0.25">
      <c r="A2904">
        <v>1449</v>
      </c>
      <c r="B2904">
        <v>10453</v>
      </c>
      <c r="C2904" t="s">
        <v>4966</v>
      </c>
      <c r="D2904" t="s">
        <v>64</v>
      </c>
      <c r="E2904" t="s">
        <v>4967</v>
      </c>
      <c r="F2904" t="s">
        <v>4968</v>
      </c>
      <c r="G2904" t="str">
        <f>"201511041164"</f>
        <v>201511041164</v>
      </c>
      <c r="H2904" t="s">
        <v>4964</v>
      </c>
      <c r="I2904">
        <v>0</v>
      </c>
      <c r="J2904">
        <v>0</v>
      </c>
      <c r="K2904">
        <v>0</v>
      </c>
      <c r="L2904">
        <v>0</v>
      </c>
      <c r="M2904">
        <v>0</v>
      </c>
      <c r="N2904">
        <v>0</v>
      </c>
      <c r="O2904">
        <v>0</v>
      </c>
      <c r="P2904">
        <v>0</v>
      </c>
      <c r="Q2904">
        <v>0</v>
      </c>
      <c r="T2904">
        <v>0</v>
      </c>
      <c r="U2904" t="s">
        <v>4964</v>
      </c>
    </row>
    <row r="2905" spans="1:21" x14ac:dyDescent="0.25">
      <c r="H2905" t="s">
        <v>4969</v>
      </c>
    </row>
    <row r="2906" spans="1:21" x14ac:dyDescent="0.25">
      <c r="A2906">
        <v>1450</v>
      </c>
      <c r="B2906">
        <v>5870</v>
      </c>
      <c r="C2906" t="s">
        <v>4970</v>
      </c>
      <c r="D2906" t="s">
        <v>78</v>
      </c>
      <c r="E2906" t="s">
        <v>614</v>
      </c>
      <c r="F2906" t="s">
        <v>4971</v>
      </c>
      <c r="G2906" t="str">
        <f>"201511035810"</f>
        <v>201511035810</v>
      </c>
      <c r="H2906" t="s">
        <v>4972</v>
      </c>
      <c r="I2906">
        <v>0</v>
      </c>
      <c r="J2906">
        <v>0</v>
      </c>
      <c r="K2906">
        <v>0</v>
      </c>
      <c r="L2906">
        <v>0</v>
      </c>
      <c r="M2906">
        <v>0</v>
      </c>
      <c r="N2906">
        <v>0</v>
      </c>
      <c r="O2906">
        <v>0</v>
      </c>
      <c r="P2906">
        <v>0</v>
      </c>
      <c r="Q2906">
        <v>0</v>
      </c>
      <c r="T2906">
        <v>0</v>
      </c>
      <c r="U2906" t="s">
        <v>4972</v>
      </c>
    </row>
    <row r="2907" spans="1:21" x14ac:dyDescent="0.25">
      <c r="H2907" t="s">
        <v>4973</v>
      </c>
    </row>
    <row r="2908" spans="1:21" x14ac:dyDescent="0.25">
      <c r="A2908">
        <v>1451</v>
      </c>
      <c r="B2908">
        <v>4065</v>
      </c>
      <c r="C2908" t="s">
        <v>4974</v>
      </c>
      <c r="D2908" t="s">
        <v>394</v>
      </c>
      <c r="E2908" t="s">
        <v>782</v>
      </c>
      <c r="F2908" t="s">
        <v>4975</v>
      </c>
      <c r="G2908" t="str">
        <f>"200802010609"</f>
        <v>200802010609</v>
      </c>
      <c r="H2908">
        <v>660</v>
      </c>
      <c r="I2908">
        <v>0</v>
      </c>
      <c r="J2908">
        <v>70</v>
      </c>
      <c r="K2908">
        <v>30</v>
      </c>
      <c r="L2908">
        <v>0</v>
      </c>
      <c r="M2908">
        <v>0</v>
      </c>
      <c r="N2908">
        <v>0</v>
      </c>
      <c r="O2908">
        <v>0</v>
      </c>
      <c r="P2908">
        <v>0</v>
      </c>
      <c r="Q2908">
        <v>0</v>
      </c>
      <c r="T2908">
        <v>0</v>
      </c>
      <c r="U2908">
        <v>760</v>
      </c>
    </row>
    <row r="2909" spans="1:21" x14ac:dyDescent="0.25">
      <c r="H2909" t="s">
        <v>4976</v>
      </c>
    </row>
    <row r="2910" spans="1:21" x14ac:dyDescent="0.25">
      <c r="A2910">
        <v>1452</v>
      </c>
      <c r="B2910">
        <v>2883</v>
      </c>
      <c r="C2910" t="s">
        <v>4977</v>
      </c>
      <c r="D2910" t="s">
        <v>37</v>
      </c>
      <c r="E2910" t="s">
        <v>36</v>
      </c>
      <c r="F2910" t="s">
        <v>4978</v>
      </c>
      <c r="G2910" t="str">
        <f>"00013690"</f>
        <v>00013690</v>
      </c>
      <c r="H2910">
        <v>759</v>
      </c>
      <c r="I2910">
        <v>0</v>
      </c>
      <c r="J2910">
        <v>0</v>
      </c>
      <c r="K2910">
        <v>0</v>
      </c>
      <c r="L2910">
        <v>0</v>
      </c>
      <c r="M2910">
        <v>0</v>
      </c>
      <c r="N2910">
        <v>0</v>
      </c>
      <c r="O2910">
        <v>0</v>
      </c>
      <c r="P2910">
        <v>0</v>
      </c>
      <c r="Q2910">
        <v>0</v>
      </c>
      <c r="T2910">
        <v>2</v>
      </c>
      <c r="U2910">
        <v>759</v>
      </c>
    </row>
    <row r="2911" spans="1:21" x14ac:dyDescent="0.25">
      <c r="H2911" t="s">
        <v>4979</v>
      </c>
    </row>
    <row r="2912" spans="1:21" x14ac:dyDescent="0.25">
      <c r="A2912">
        <v>1453</v>
      </c>
      <c r="B2912">
        <v>8597</v>
      </c>
      <c r="C2912" t="s">
        <v>421</v>
      </c>
      <c r="D2912" t="s">
        <v>4980</v>
      </c>
      <c r="E2912" t="s">
        <v>366</v>
      </c>
      <c r="F2912" t="s">
        <v>4981</v>
      </c>
      <c r="G2912" t="str">
        <f>"00103393"</f>
        <v>00103393</v>
      </c>
      <c r="H2912">
        <v>759</v>
      </c>
      <c r="I2912">
        <v>0</v>
      </c>
      <c r="J2912">
        <v>0</v>
      </c>
      <c r="K2912">
        <v>0</v>
      </c>
      <c r="L2912">
        <v>0</v>
      </c>
      <c r="M2912">
        <v>0</v>
      </c>
      <c r="N2912">
        <v>0</v>
      </c>
      <c r="O2912">
        <v>0</v>
      </c>
      <c r="P2912">
        <v>0</v>
      </c>
      <c r="Q2912">
        <v>0</v>
      </c>
      <c r="T2912">
        <v>0</v>
      </c>
      <c r="U2912">
        <v>759</v>
      </c>
    </row>
    <row r="2913" spans="1:21" x14ac:dyDescent="0.25">
      <c r="H2913" t="s">
        <v>4982</v>
      </c>
    </row>
    <row r="2914" spans="1:21" x14ac:dyDescent="0.25">
      <c r="A2914">
        <v>1454</v>
      </c>
      <c r="B2914">
        <v>6674</v>
      </c>
      <c r="C2914" t="s">
        <v>973</v>
      </c>
      <c r="D2914" t="s">
        <v>1113</v>
      </c>
      <c r="E2914" t="s">
        <v>1477</v>
      </c>
      <c r="F2914" t="s">
        <v>4983</v>
      </c>
      <c r="G2914" t="str">
        <f>"00076592"</f>
        <v>00076592</v>
      </c>
      <c r="H2914">
        <v>759</v>
      </c>
      <c r="I2914">
        <v>0</v>
      </c>
      <c r="J2914">
        <v>0</v>
      </c>
      <c r="K2914">
        <v>0</v>
      </c>
      <c r="L2914">
        <v>0</v>
      </c>
      <c r="M2914">
        <v>0</v>
      </c>
      <c r="N2914">
        <v>0</v>
      </c>
      <c r="O2914">
        <v>0</v>
      </c>
      <c r="P2914">
        <v>0</v>
      </c>
      <c r="Q2914">
        <v>0</v>
      </c>
      <c r="R2914">
        <v>6</v>
      </c>
      <c r="S2914">
        <v>763</v>
      </c>
      <c r="T2914">
        <v>0</v>
      </c>
      <c r="U2914">
        <v>759</v>
      </c>
    </row>
    <row r="2915" spans="1:21" x14ac:dyDescent="0.25">
      <c r="H2915">
        <v>763</v>
      </c>
    </row>
    <row r="2916" spans="1:21" x14ac:dyDescent="0.25">
      <c r="A2916">
        <v>1455</v>
      </c>
      <c r="B2916">
        <v>3040</v>
      </c>
      <c r="C2916" t="s">
        <v>4984</v>
      </c>
      <c r="D2916" t="s">
        <v>155</v>
      </c>
      <c r="E2916" t="s">
        <v>773</v>
      </c>
      <c r="F2916" t="s">
        <v>4985</v>
      </c>
      <c r="G2916" t="str">
        <f>"201511029559"</f>
        <v>201511029559</v>
      </c>
      <c r="H2916">
        <v>759</v>
      </c>
      <c r="I2916">
        <v>0</v>
      </c>
      <c r="J2916">
        <v>0</v>
      </c>
      <c r="K2916">
        <v>0</v>
      </c>
      <c r="L2916">
        <v>0</v>
      </c>
      <c r="M2916">
        <v>0</v>
      </c>
      <c r="N2916">
        <v>0</v>
      </c>
      <c r="O2916">
        <v>0</v>
      </c>
      <c r="P2916">
        <v>0</v>
      </c>
      <c r="Q2916">
        <v>0</v>
      </c>
      <c r="T2916">
        <v>1</v>
      </c>
      <c r="U2916">
        <v>759</v>
      </c>
    </row>
    <row r="2917" spans="1:21" x14ac:dyDescent="0.25">
      <c r="H2917" t="s">
        <v>4986</v>
      </c>
    </row>
    <row r="2918" spans="1:21" x14ac:dyDescent="0.25">
      <c r="A2918">
        <v>1456</v>
      </c>
      <c r="B2918">
        <v>8951</v>
      </c>
      <c r="C2918" t="s">
        <v>4463</v>
      </c>
      <c r="D2918" t="s">
        <v>572</v>
      </c>
      <c r="E2918" t="s">
        <v>122</v>
      </c>
      <c r="F2918" t="s">
        <v>4987</v>
      </c>
      <c r="G2918" t="str">
        <f>"00049171"</f>
        <v>00049171</v>
      </c>
      <c r="H2918">
        <v>759</v>
      </c>
      <c r="I2918">
        <v>0</v>
      </c>
      <c r="J2918">
        <v>0</v>
      </c>
      <c r="K2918">
        <v>0</v>
      </c>
      <c r="L2918">
        <v>0</v>
      </c>
      <c r="M2918">
        <v>0</v>
      </c>
      <c r="N2918">
        <v>0</v>
      </c>
      <c r="O2918">
        <v>0</v>
      </c>
      <c r="P2918">
        <v>0</v>
      </c>
      <c r="Q2918">
        <v>0</v>
      </c>
      <c r="T2918">
        <v>1</v>
      </c>
      <c r="U2918">
        <v>759</v>
      </c>
    </row>
    <row r="2919" spans="1:21" x14ac:dyDescent="0.25">
      <c r="H2919">
        <v>756</v>
      </c>
    </row>
    <row r="2920" spans="1:21" x14ac:dyDescent="0.25">
      <c r="A2920">
        <v>1457</v>
      </c>
      <c r="B2920">
        <v>8425</v>
      </c>
      <c r="C2920" t="s">
        <v>4988</v>
      </c>
      <c r="D2920" t="s">
        <v>4989</v>
      </c>
      <c r="E2920" t="s">
        <v>3905</v>
      </c>
      <c r="F2920" t="s">
        <v>4990</v>
      </c>
      <c r="G2920" t="str">
        <f>"00022905"</f>
        <v>00022905</v>
      </c>
      <c r="H2920">
        <v>759</v>
      </c>
      <c r="I2920">
        <v>0</v>
      </c>
      <c r="J2920">
        <v>0</v>
      </c>
      <c r="K2920">
        <v>0</v>
      </c>
      <c r="L2920">
        <v>0</v>
      </c>
      <c r="M2920">
        <v>0</v>
      </c>
      <c r="N2920">
        <v>0</v>
      </c>
      <c r="O2920">
        <v>0</v>
      </c>
      <c r="P2920">
        <v>0</v>
      </c>
      <c r="Q2920">
        <v>0</v>
      </c>
      <c r="T2920">
        <v>1</v>
      </c>
      <c r="U2920">
        <v>759</v>
      </c>
    </row>
    <row r="2921" spans="1:21" x14ac:dyDescent="0.25">
      <c r="H2921">
        <v>794</v>
      </c>
    </row>
    <row r="2922" spans="1:21" x14ac:dyDescent="0.25">
      <c r="A2922">
        <v>1458</v>
      </c>
      <c r="B2922">
        <v>8801</v>
      </c>
      <c r="C2922" t="s">
        <v>4991</v>
      </c>
      <c r="D2922" t="s">
        <v>78</v>
      </c>
      <c r="E2922" t="s">
        <v>135</v>
      </c>
      <c r="F2922" t="s">
        <v>4992</v>
      </c>
      <c r="G2922" t="str">
        <f>"00092924"</f>
        <v>00092924</v>
      </c>
      <c r="H2922" t="s">
        <v>3530</v>
      </c>
      <c r="I2922">
        <v>0</v>
      </c>
      <c r="J2922">
        <v>0</v>
      </c>
      <c r="K2922">
        <v>0</v>
      </c>
      <c r="L2922">
        <v>0</v>
      </c>
      <c r="M2922">
        <v>0</v>
      </c>
      <c r="N2922">
        <v>0</v>
      </c>
      <c r="O2922">
        <v>0</v>
      </c>
      <c r="P2922">
        <v>0</v>
      </c>
      <c r="Q2922">
        <v>0</v>
      </c>
      <c r="T2922">
        <v>0</v>
      </c>
      <c r="U2922" t="s">
        <v>3530</v>
      </c>
    </row>
    <row r="2923" spans="1:21" x14ac:dyDescent="0.25">
      <c r="H2923" t="s">
        <v>4993</v>
      </c>
    </row>
    <row r="2924" spans="1:21" x14ac:dyDescent="0.25">
      <c r="A2924">
        <v>1459</v>
      </c>
      <c r="B2924">
        <v>9559</v>
      </c>
      <c r="C2924" t="s">
        <v>4994</v>
      </c>
      <c r="D2924" t="s">
        <v>116</v>
      </c>
      <c r="E2924" t="s">
        <v>70</v>
      </c>
      <c r="F2924" t="s">
        <v>4995</v>
      </c>
      <c r="G2924" t="str">
        <f>"201102000174"</f>
        <v>201102000174</v>
      </c>
      <c r="H2924" t="s">
        <v>3530</v>
      </c>
      <c r="I2924">
        <v>0</v>
      </c>
      <c r="J2924">
        <v>0</v>
      </c>
      <c r="K2924">
        <v>0</v>
      </c>
      <c r="L2924">
        <v>0</v>
      </c>
      <c r="M2924">
        <v>0</v>
      </c>
      <c r="N2924">
        <v>0</v>
      </c>
      <c r="O2924">
        <v>0</v>
      </c>
      <c r="P2924">
        <v>0</v>
      </c>
      <c r="Q2924">
        <v>0</v>
      </c>
      <c r="T2924">
        <v>0</v>
      </c>
      <c r="U2924" t="s">
        <v>3530</v>
      </c>
    </row>
    <row r="2925" spans="1:21" x14ac:dyDescent="0.25">
      <c r="H2925" t="s">
        <v>4996</v>
      </c>
    </row>
    <row r="2926" spans="1:21" x14ac:dyDescent="0.25">
      <c r="A2926">
        <v>1460</v>
      </c>
      <c r="B2926">
        <v>9183</v>
      </c>
      <c r="C2926" t="s">
        <v>4997</v>
      </c>
      <c r="D2926" t="s">
        <v>57</v>
      </c>
      <c r="E2926" t="s">
        <v>835</v>
      </c>
      <c r="F2926" t="s">
        <v>4998</v>
      </c>
      <c r="G2926" t="str">
        <f>"201511043538"</f>
        <v>201511043538</v>
      </c>
      <c r="H2926" t="s">
        <v>3567</v>
      </c>
      <c r="I2926">
        <v>0</v>
      </c>
      <c r="J2926">
        <v>0</v>
      </c>
      <c r="K2926">
        <v>0</v>
      </c>
      <c r="L2926">
        <v>0</v>
      </c>
      <c r="M2926">
        <v>0</v>
      </c>
      <c r="N2926">
        <v>0</v>
      </c>
      <c r="O2926">
        <v>0</v>
      </c>
      <c r="P2926">
        <v>0</v>
      </c>
      <c r="Q2926">
        <v>0</v>
      </c>
      <c r="T2926">
        <v>0</v>
      </c>
      <c r="U2926" t="s">
        <v>3567</v>
      </c>
    </row>
    <row r="2927" spans="1:21" x14ac:dyDescent="0.25">
      <c r="H2927" t="s">
        <v>4999</v>
      </c>
    </row>
    <row r="2928" spans="1:21" x14ac:dyDescent="0.25">
      <c r="A2928">
        <v>1461</v>
      </c>
      <c r="B2928">
        <v>585</v>
      </c>
      <c r="C2928" t="s">
        <v>5000</v>
      </c>
      <c r="D2928" t="s">
        <v>331</v>
      </c>
      <c r="E2928" t="s">
        <v>366</v>
      </c>
      <c r="F2928" t="s">
        <v>5001</v>
      </c>
      <c r="G2928" t="str">
        <f>"201511017167"</f>
        <v>201511017167</v>
      </c>
      <c r="H2928" t="s">
        <v>3567</v>
      </c>
      <c r="I2928">
        <v>0</v>
      </c>
      <c r="J2928">
        <v>0</v>
      </c>
      <c r="K2928">
        <v>0</v>
      </c>
      <c r="L2928">
        <v>0</v>
      </c>
      <c r="M2928">
        <v>0</v>
      </c>
      <c r="N2928">
        <v>0</v>
      </c>
      <c r="O2928">
        <v>0</v>
      </c>
      <c r="P2928">
        <v>0</v>
      </c>
      <c r="Q2928">
        <v>0</v>
      </c>
      <c r="T2928">
        <v>0</v>
      </c>
      <c r="U2928" t="s">
        <v>3567</v>
      </c>
    </row>
    <row r="2929" spans="1:21" x14ac:dyDescent="0.25">
      <c r="H2929" t="s">
        <v>5002</v>
      </c>
    </row>
    <row r="2930" spans="1:21" x14ac:dyDescent="0.25">
      <c r="A2930">
        <v>1462</v>
      </c>
      <c r="B2930">
        <v>9994</v>
      </c>
      <c r="C2930" t="s">
        <v>5003</v>
      </c>
      <c r="D2930" t="s">
        <v>74</v>
      </c>
      <c r="E2930" t="s">
        <v>42</v>
      </c>
      <c r="F2930" t="s">
        <v>5004</v>
      </c>
      <c r="G2930" t="str">
        <f>"00041499"</f>
        <v>00041499</v>
      </c>
      <c r="H2930" t="s">
        <v>3567</v>
      </c>
      <c r="I2930">
        <v>0</v>
      </c>
      <c r="J2930">
        <v>0</v>
      </c>
      <c r="K2930">
        <v>0</v>
      </c>
      <c r="L2930">
        <v>0</v>
      </c>
      <c r="M2930">
        <v>0</v>
      </c>
      <c r="N2930">
        <v>0</v>
      </c>
      <c r="O2930">
        <v>0</v>
      </c>
      <c r="P2930">
        <v>0</v>
      </c>
      <c r="Q2930">
        <v>0</v>
      </c>
      <c r="T2930">
        <v>0</v>
      </c>
      <c r="U2930" t="s">
        <v>3567</v>
      </c>
    </row>
    <row r="2931" spans="1:21" x14ac:dyDescent="0.25">
      <c r="H2931" t="s">
        <v>5005</v>
      </c>
    </row>
    <row r="2932" spans="1:21" x14ac:dyDescent="0.25">
      <c r="A2932">
        <v>1463</v>
      </c>
      <c r="B2932">
        <v>2668</v>
      </c>
      <c r="C2932" t="s">
        <v>5006</v>
      </c>
      <c r="D2932" t="s">
        <v>2612</v>
      </c>
      <c r="E2932" t="s">
        <v>952</v>
      </c>
      <c r="F2932" t="s">
        <v>5007</v>
      </c>
      <c r="G2932" t="str">
        <f>"00089411"</f>
        <v>00089411</v>
      </c>
      <c r="H2932" t="s">
        <v>3567</v>
      </c>
      <c r="I2932">
        <v>0</v>
      </c>
      <c r="J2932">
        <v>0</v>
      </c>
      <c r="K2932">
        <v>0</v>
      </c>
      <c r="L2932">
        <v>0</v>
      </c>
      <c r="M2932">
        <v>0</v>
      </c>
      <c r="N2932">
        <v>0</v>
      </c>
      <c r="O2932">
        <v>0</v>
      </c>
      <c r="P2932">
        <v>0</v>
      </c>
      <c r="Q2932">
        <v>0</v>
      </c>
      <c r="T2932">
        <v>0</v>
      </c>
      <c r="U2932" t="s">
        <v>3567</v>
      </c>
    </row>
    <row r="2933" spans="1:21" x14ac:dyDescent="0.25">
      <c r="H2933" t="s">
        <v>5008</v>
      </c>
    </row>
    <row r="2934" spans="1:21" x14ac:dyDescent="0.25">
      <c r="A2934">
        <v>1464</v>
      </c>
      <c r="B2934">
        <v>2446</v>
      </c>
      <c r="C2934" t="s">
        <v>464</v>
      </c>
      <c r="D2934" t="s">
        <v>524</v>
      </c>
      <c r="E2934" t="s">
        <v>259</v>
      </c>
      <c r="F2934" t="s">
        <v>5009</v>
      </c>
      <c r="G2934" t="str">
        <f>"00029314"</f>
        <v>00029314</v>
      </c>
      <c r="H2934" t="s">
        <v>3567</v>
      </c>
      <c r="I2934">
        <v>0</v>
      </c>
      <c r="J2934">
        <v>0</v>
      </c>
      <c r="K2934">
        <v>0</v>
      </c>
      <c r="L2934">
        <v>0</v>
      </c>
      <c r="M2934">
        <v>0</v>
      </c>
      <c r="N2934">
        <v>0</v>
      </c>
      <c r="O2934">
        <v>0</v>
      </c>
      <c r="P2934">
        <v>0</v>
      </c>
      <c r="Q2934">
        <v>0</v>
      </c>
      <c r="T2934">
        <v>0</v>
      </c>
      <c r="U2934" t="s">
        <v>3567</v>
      </c>
    </row>
    <row r="2935" spans="1:21" x14ac:dyDescent="0.25">
      <c r="H2935" t="s">
        <v>5010</v>
      </c>
    </row>
    <row r="2936" spans="1:21" x14ac:dyDescent="0.25">
      <c r="A2936">
        <v>1465</v>
      </c>
      <c r="B2936">
        <v>2326</v>
      </c>
      <c r="C2936" t="s">
        <v>5011</v>
      </c>
      <c r="D2936" t="s">
        <v>5012</v>
      </c>
      <c r="E2936" t="s">
        <v>36</v>
      </c>
      <c r="F2936" t="s">
        <v>5013</v>
      </c>
      <c r="G2936" t="str">
        <f>"201102000064"</f>
        <v>201102000064</v>
      </c>
      <c r="H2936" t="s">
        <v>3567</v>
      </c>
      <c r="I2936">
        <v>0</v>
      </c>
      <c r="J2936">
        <v>0</v>
      </c>
      <c r="K2936">
        <v>0</v>
      </c>
      <c r="L2936">
        <v>0</v>
      </c>
      <c r="M2936">
        <v>0</v>
      </c>
      <c r="N2936">
        <v>0</v>
      </c>
      <c r="O2936">
        <v>0</v>
      </c>
      <c r="P2936">
        <v>0</v>
      </c>
      <c r="Q2936">
        <v>0</v>
      </c>
      <c r="T2936">
        <v>0</v>
      </c>
      <c r="U2936" t="s">
        <v>3567</v>
      </c>
    </row>
    <row r="2937" spans="1:21" x14ac:dyDescent="0.25">
      <c r="H2937" t="s">
        <v>5014</v>
      </c>
    </row>
    <row r="2938" spans="1:21" x14ac:dyDescent="0.25">
      <c r="A2938">
        <v>1466</v>
      </c>
      <c r="B2938">
        <v>608</v>
      </c>
      <c r="C2938" t="s">
        <v>5015</v>
      </c>
      <c r="D2938" t="s">
        <v>759</v>
      </c>
      <c r="E2938" t="s">
        <v>37</v>
      </c>
      <c r="F2938" t="s">
        <v>5016</v>
      </c>
      <c r="G2938" t="str">
        <f>"00021912"</f>
        <v>00021912</v>
      </c>
      <c r="H2938">
        <v>726</v>
      </c>
      <c r="I2938">
        <v>0</v>
      </c>
      <c r="J2938">
        <v>30</v>
      </c>
      <c r="K2938">
        <v>0</v>
      </c>
      <c r="L2938">
        <v>0</v>
      </c>
      <c r="M2938">
        <v>0</v>
      </c>
      <c r="N2938">
        <v>0</v>
      </c>
      <c r="O2938">
        <v>0</v>
      </c>
      <c r="P2938">
        <v>0</v>
      </c>
      <c r="Q2938">
        <v>0</v>
      </c>
      <c r="T2938">
        <v>0</v>
      </c>
      <c r="U2938">
        <v>756</v>
      </c>
    </row>
    <row r="2939" spans="1:21" x14ac:dyDescent="0.25">
      <c r="H2939" t="s">
        <v>5017</v>
      </c>
    </row>
    <row r="2940" spans="1:21" x14ac:dyDescent="0.25">
      <c r="A2940">
        <v>1467</v>
      </c>
      <c r="B2940">
        <v>7290</v>
      </c>
      <c r="C2940" t="s">
        <v>5018</v>
      </c>
      <c r="D2940" t="s">
        <v>85</v>
      </c>
      <c r="E2940" t="s">
        <v>70</v>
      </c>
      <c r="F2940" t="s">
        <v>5019</v>
      </c>
      <c r="G2940" t="str">
        <f>"201511018424"</f>
        <v>201511018424</v>
      </c>
      <c r="H2940" t="s">
        <v>4746</v>
      </c>
      <c r="I2940">
        <v>0</v>
      </c>
      <c r="J2940">
        <v>0</v>
      </c>
      <c r="K2940">
        <v>0</v>
      </c>
      <c r="L2940">
        <v>0</v>
      </c>
      <c r="M2940">
        <v>0</v>
      </c>
      <c r="N2940">
        <v>0</v>
      </c>
      <c r="O2940">
        <v>0</v>
      </c>
      <c r="P2940">
        <v>0</v>
      </c>
      <c r="Q2940">
        <v>0</v>
      </c>
      <c r="T2940">
        <v>0</v>
      </c>
      <c r="U2940" t="s">
        <v>4746</v>
      </c>
    </row>
    <row r="2941" spans="1:21" x14ac:dyDescent="0.25">
      <c r="H2941" t="s">
        <v>5020</v>
      </c>
    </row>
    <row r="2942" spans="1:21" x14ac:dyDescent="0.25">
      <c r="A2942">
        <v>1468</v>
      </c>
      <c r="B2942">
        <v>10205</v>
      </c>
      <c r="C2942" t="s">
        <v>5021</v>
      </c>
      <c r="D2942" t="s">
        <v>116</v>
      </c>
      <c r="E2942" t="s">
        <v>37</v>
      </c>
      <c r="F2942" t="s">
        <v>5022</v>
      </c>
      <c r="G2942" t="str">
        <f>"201511028181"</f>
        <v>201511028181</v>
      </c>
      <c r="H2942">
        <v>605</v>
      </c>
      <c r="I2942">
        <v>150</v>
      </c>
      <c r="J2942">
        <v>0</v>
      </c>
      <c r="K2942">
        <v>0</v>
      </c>
      <c r="L2942">
        <v>0</v>
      </c>
      <c r="M2942">
        <v>0</v>
      </c>
      <c r="N2942">
        <v>0</v>
      </c>
      <c r="O2942">
        <v>0</v>
      </c>
      <c r="P2942">
        <v>0</v>
      </c>
      <c r="Q2942">
        <v>0</v>
      </c>
      <c r="T2942">
        <v>0</v>
      </c>
      <c r="U2942">
        <v>755</v>
      </c>
    </row>
    <row r="2943" spans="1:21" x14ac:dyDescent="0.25">
      <c r="H2943" t="s">
        <v>5023</v>
      </c>
    </row>
    <row r="2944" spans="1:21" x14ac:dyDescent="0.25">
      <c r="A2944">
        <v>1469</v>
      </c>
      <c r="B2944">
        <v>7823</v>
      </c>
      <c r="C2944" t="s">
        <v>5024</v>
      </c>
      <c r="D2944" t="s">
        <v>5025</v>
      </c>
      <c r="E2944" t="s">
        <v>37</v>
      </c>
      <c r="F2944" t="s">
        <v>5026</v>
      </c>
      <c r="G2944" t="str">
        <f>"201511037398"</f>
        <v>201511037398</v>
      </c>
      <c r="H2944" t="s">
        <v>4599</v>
      </c>
      <c r="I2944">
        <v>0</v>
      </c>
      <c r="J2944">
        <v>0</v>
      </c>
      <c r="K2944">
        <v>0</v>
      </c>
      <c r="L2944">
        <v>0</v>
      </c>
      <c r="M2944">
        <v>0</v>
      </c>
      <c r="N2944">
        <v>0</v>
      </c>
      <c r="O2944">
        <v>0</v>
      </c>
      <c r="P2944">
        <v>0</v>
      </c>
      <c r="Q2944">
        <v>0</v>
      </c>
      <c r="T2944">
        <v>1</v>
      </c>
      <c r="U2944" t="s">
        <v>4599</v>
      </c>
    </row>
    <row r="2945" spans="1:21" x14ac:dyDescent="0.25">
      <c r="H2945" t="s">
        <v>5027</v>
      </c>
    </row>
    <row r="2946" spans="1:21" x14ac:dyDescent="0.25">
      <c r="A2946">
        <v>1470</v>
      </c>
      <c r="B2946">
        <v>4934</v>
      </c>
      <c r="C2946" t="s">
        <v>5028</v>
      </c>
      <c r="D2946" t="s">
        <v>173</v>
      </c>
      <c r="E2946" t="s">
        <v>835</v>
      </c>
      <c r="F2946" t="s">
        <v>5029</v>
      </c>
      <c r="G2946" t="str">
        <f>"201511021038"</f>
        <v>201511021038</v>
      </c>
      <c r="H2946" t="s">
        <v>5030</v>
      </c>
      <c r="I2946">
        <v>0</v>
      </c>
      <c r="J2946">
        <v>0</v>
      </c>
      <c r="K2946">
        <v>0</v>
      </c>
      <c r="L2946">
        <v>0</v>
      </c>
      <c r="M2946">
        <v>0</v>
      </c>
      <c r="N2946">
        <v>0</v>
      </c>
      <c r="O2946">
        <v>0</v>
      </c>
      <c r="P2946">
        <v>0</v>
      </c>
      <c r="Q2946">
        <v>0</v>
      </c>
      <c r="T2946">
        <v>0</v>
      </c>
      <c r="U2946" t="s">
        <v>5030</v>
      </c>
    </row>
    <row r="2947" spans="1:21" x14ac:dyDescent="0.25">
      <c r="H2947" t="s">
        <v>5031</v>
      </c>
    </row>
    <row r="2948" spans="1:21" x14ac:dyDescent="0.25">
      <c r="A2948">
        <v>1471</v>
      </c>
      <c r="B2948">
        <v>925</v>
      </c>
      <c r="C2948" t="s">
        <v>5032</v>
      </c>
      <c r="D2948" t="s">
        <v>173</v>
      </c>
      <c r="E2948" t="s">
        <v>42</v>
      </c>
      <c r="F2948" t="s">
        <v>5033</v>
      </c>
      <c r="G2948" t="str">
        <f>"200801009023"</f>
        <v>200801009023</v>
      </c>
      <c r="H2948" t="s">
        <v>4802</v>
      </c>
      <c r="I2948">
        <v>0</v>
      </c>
      <c r="J2948">
        <v>0</v>
      </c>
      <c r="K2948">
        <v>0</v>
      </c>
      <c r="L2948">
        <v>0</v>
      </c>
      <c r="M2948">
        <v>0</v>
      </c>
      <c r="N2948">
        <v>0</v>
      </c>
      <c r="O2948">
        <v>0</v>
      </c>
      <c r="P2948">
        <v>0</v>
      </c>
      <c r="Q2948">
        <v>0</v>
      </c>
      <c r="T2948">
        <v>0</v>
      </c>
      <c r="U2948" t="s">
        <v>4802</v>
      </c>
    </row>
    <row r="2949" spans="1:21" x14ac:dyDescent="0.25">
      <c r="H2949" t="s">
        <v>5034</v>
      </c>
    </row>
    <row r="2950" spans="1:21" x14ac:dyDescent="0.25">
      <c r="A2950">
        <v>1472</v>
      </c>
      <c r="B2950">
        <v>3008</v>
      </c>
      <c r="C2950" t="s">
        <v>5035</v>
      </c>
      <c r="D2950" t="s">
        <v>121</v>
      </c>
      <c r="E2950" t="s">
        <v>366</v>
      </c>
      <c r="F2950" t="s">
        <v>5036</v>
      </c>
      <c r="G2950" t="str">
        <f>"201511009036"</f>
        <v>201511009036</v>
      </c>
      <c r="H2950" t="s">
        <v>4802</v>
      </c>
      <c r="I2950">
        <v>0</v>
      </c>
      <c r="J2950">
        <v>0</v>
      </c>
      <c r="K2950">
        <v>0</v>
      </c>
      <c r="L2950">
        <v>0</v>
      </c>
      <c r="M2950">
        <v>0</v>
      </c>
      <c r="N2950">
        <v>0</v>
      </c>
      <c r="O2950">
        <v>0</v>
      </c>
      <c r="P2950">
        <v>0</v>
      </c>
      <c r="Q2950">
        <v>0</v>
      </c>
      <c r="T2950">
        <v>0</v>
      </c>
      <c r="U2950" t="s">
        <v>4802</v>
      </c>
    </row>
    <row r="2951" spans="1:21" x14ac:dyDescent="0.25">
      <c r="H2951" t="s">
        <v>5037</v>
      </c>
    </row>
    <row r="2952" spans="1:21" x14ac:dyDescent="0.25">
      <c r="A2952">
        <v>1473</v>
      </c>
      <c r="B2952">
        <v>3667</v>
      </c>
      <c r="C2952" t="s">
        <v>5038</v>
      </c>
      <c r="D2952" t="s">
        <v>546</v>
      </c>
      <c r="E2952" t="s">
        <v>5039</v>
      </c>
      <c r="F2952" t="s">
        <v>5040</v>
      </c>
      <c r="G2952" t="str">
        <f>"201511033390"</f>
        <v>201511033390</v>
      </c>
      <c r="H2952" t="s">
        <v>4802</v>
      </c>
      <c r="I2952">
        <v>0</v>
      </c>
      <c r="J2952">
        <v>0</v>
      </c>
      <c r="K2952">
        <v>0</v>
      </c>
      <c r="L2952">
        <v>0</v>
      </c>
      <c r="M2952">
        <v>0</v>
      </c>
      <c r="N2952">
        <v>0</v>
      </c>
      <c r="O2952">
        <v>0</v>
      </c>
      <c r="P2952">
        <v>0</v>
      </c>
      <c r="Q2952">
        <v>0</v>
      </c>
      <c r="T2952">
        <v>2</v>
      </c>
      <c r="U2952" t="s">
        <v>4802</v>
      </c>
    </row>
    <row r="2953" spans="1:21" x14ac:dyDescent="0.25">
      <c r="H2953" t="s">
        <v>5041</v>
      </c>
    </row>
    <row r="2954" spans="1:21" x14ac:dyDescent="0.25">
      <c r="A2954">
        <v>1474</v>
      </c>
      <c r="B2954">
        <v>9830</v>
      </c>
      <c r="C2954" t="s">
        <v>5042</v>
      </c>
      <c r="D2954" t="s">
        <v>78</v>
      </c>
      <c r="E2954" t="s">
        <v>27</v>
      </c>
      <c r="F2954" t="s">
        <v>5043</v>
      </c>
      <c r="G2954" t="str">
        <f>"00079772"</f>
        <v>00079772</v>
      </c>
      <c r="H2954" t="s">
        <v>3623</v>
      </c>
      <c r="I2954">
        <v>0</v>
      </c>
      <c r="J2954">
        <v>0</v>
      </c>
      <c r="K2954">
        <v>0</v>
      </c>
      <c r="L2954">
        <v>0</v>
      </c>
      <c r="M2954">
        <v>0</v>
      </c>
      <c r="N2954">
        <v>0</v>
      </c>
      <c r="O2954">
        <v>0</v>
      </c>
      <c r="P2954">
        <v>0</v>
      </c>
      <c r="Q2954">
        <v>0</v>
      </c>
      <c r="T2954">
        <v>0</v>
      </c>
      <c r="U2954" t="s">
        <v>3623</v>
      </c>
    </row>
    <row r="2955" spans="1:21" x14ac:dyDescent="0.25">
      <c r="H2955" t="s">
        <v>5044</v>
      </c>
    </row>
    <row r="2956" spans="1:21" x14ac:dyDescent="0.25">
      <c r="A2956">
        <v>1475</v>
      </c>
      <c r="B2956">
        <v>8549</v>
      </c>
      <c r="C2956" t="s">
        <v>1341</v>
      </c>
      <c r="D2956" t="s">
        <v>3398</v>
      </c>
      <c r="E2956" t="s">
        <v>467</v>
      </c>
      <c r="F2956" t="s">
        <v>5045</v>
      </c>
      <c r="G2956" t="str">
        <f>"00041235"</f>
        <v>00041235</v>
      </c>
      <c r="H2956" t="s">
        <v>5046</v>
      </c>
      <c r="I2956">
        <v>0</v>
      </c>
      <c r="J2956">
        <v>50</v>
      </c>
      <c r="K2956">
        <v>0</v>
      </c>
      <c r="L2956">
        <v>0</v>
      </c>
      <c r="M2956">
        <v>0</v>
      </c>
      <c r="N2956">
        <v>0</v>
      </c>
      <c r="O2956">
        <v>0</v>
      </c>
      <c r="P2956">
        <v>0</v>
      </c>
      <c r="Q2956">
        <v>0</v>
      </c>
      <c r="T2956">
        <v>1</v>
      </c>
      <c r="U2956" t="s">
        <v>5047</v>
      </c>
    </row>
    <row r="2957" spans="1:21" x14ac:dyDescent="0.25">
      <c r="H2957" t="s">
        <v>1346</v>
      </c>
    </row>
    <row r="2958" spans="1:21" x14ac:dyDescent="0.25">
      <c r="A2958">
        <v>1476</v>
      </c>
      <c r="B2958">
        <v>3673</v>
      </c>
      <c r="C2958" t="s">
        <v>5048</v>
      </c>
      <c r="D2958" t="s">
        <v>5049</v>
      </c>
      <c r="E2958" t="s">
        <v>5050</v>
      </c>
      <c r="F2958" t="s">
        <v>5051</v>
      </c>
      <c r="G2958" t="str">
        <f>"00061566"</f>
        <v>00061566</v>
      </c>
      <c r="H2958">
        <v>748</v>
      </c>
      <c r="I2958">
        <v>0</v>
      </c>
      <c r="J2958">
        <v>0</v>
      </c>
      <c r="K2958">
        <v>0</v>
      </c>
      <c r="L2958">
        <v>0</v>
      </c>
      <c r="M2958">
        <v>0</v>
      </c>
      <c r="N2958">
        <v>0</v>
      </c>
      <c r="O2958">
        <v>0</v>
      </c>
      <c r="P2958">
        <v>0</v>
      </c>
      <c r="Q2958">
        <v>0</v>
      </c>
      <c r="T2958">
        <v>0</v>
      </c>
      <c r="U2958">
        <v>748</v>
      </c>
    </row>
    <row r="2959" spans="1:21" x14ac:dyDescent="0.25">
      <c r="H2959" t="s">
        <v>5052</v>
      </c>
    </row>
    <row r="2960" spans="1:21" x14ac:dyDescent="0.25">
      <c r="A2960">
        <v>1477</v>
      </c>
      <c r="B2960">
        <v>3603</v>
      </c>
      <c r="C2960" t="s">
        <v>5053</v>
      </c>
      <c r="D2960" t="s">
        <v>51</v>
      </c>
      <c r="E2960" t="s">
        <v>366</v>
      </c>
      <c r="F2960" t="s">
        <v>5054</v>
      </c>
      <c r="G2960" t="str">
        <f>"00046900"</f>
        <v>00046900</v>
      </c>
      <c r="H2960">
        <v>748</v>
      </c>
      <c r="I2960">
        <v>0</v>
      </c>
      <c r="J2960">
        <v>0</v>
      </c>
      <c r="K2960">
        <v>0</v>
      </c>
      <c r="L2960">
        <v>0</v>
      </c>
      <c r="M2960">
        <v>0</v>
      </c>
      <c r="N2960">
        <v>0</v>
      </c>
      <c r="O2960">
        <v>0</v>
      </c>
      <c r="P2960">
        <v>0</v>
      </c>
      <c r="Q2960">
        <v>0</v>
      </c>
      <c r="R2960">
        <v>6</v>
      </c>
      <c r="S2960">
        <v>807</v>
      </c>
      <c r="T2960">
        <v>0</v>
      </c>
      <c r="U2960">
        <v>748</v>
      </c>
    </row>
    <row r="2961" spans="1:21" x14ac:dyDescent="0.25">
      <c r="H2961">
        <v>807</v>
      </c>
    </row>
    <row r="2962" spans="1:21" x14ac:dyDescent="0.25">
      <c r="A2962">
        <v>1478</v>
      </c>
      <c r="B2962">
        <v>4555</v>
      </c>
      <c r="C2962" t="s">
        <v>2526</v>
      </c>
      <c r="D2962" t="s">
        <v>646</v>
      </c>
      <c r="E2962" t="s">
        <v>36</v>
      </c>
      <c r="F2962" t="s">
        <v>5055</v>
      </c>
      <c r="G2962" t="str">
        <f>"201511039483"</f>
        <v>201511039483</v>
      </c>
      <c r="H2962">
        <v>748</v>
      </c>
      <c r="I2962">
        <v>0</v>
      </c>
      <c r="J2962">
        <v>0</v>
      </c>
      <c r="K2962">
        <v>0</v>
      </c>
      <c r="L2962">
        <v>0</v>
      </c>
      <c r="M2962">
        <v>0</v>
      </c>
      <c r="N2962">
        <v>0</v>
      </c>
      <c r="O2962">
        <v>0</v>
      </c>
      <c r="P2962">
        <v>0</v>
      </c>
      <c r="Q2962">
        <v>0</v>
      </c>
      <c r="T2962">
        <v>0</v>
      </c>
      <c r="U2962">
        <v>748</v>
      </c>
    </row>
    <row r="2963" spans="1:21" x14ac:dyDescent="0.25">
      <c r="H2963" t="s">
        <v>5056</v>
      </c>
    </row>
    <row r="2964" spans="1:21" x14ac:dyDescent="0.25">
      <c r="A2964">
        <v>1479</v>
      </c>
      <c r="B2964">
        <v>9287</v>
      </c>
      <c r="C2964" t="s">
        <v>5057</v>
      </c>
      <c r="D2964" t="s">
        <v>1841</v>
      </c>
      <c r="E2964" t="s">
        <v>37</v>
      </c>
      <c r="F2964" t="s">
        <v>5058</v>
      </c>
      <c r="G2964" t="str">
        <f>"201511009602"</f>
        <v>201511009602</v>
      </c>
      <c r="H2964">
        <v>748</v>
      </c>
      <c r="I2964">
        <v>0</v>
      </c>
      <c r="J2964">
        <v>0</v>
      </c>
      <c r="K2964">
        <v>0</v>
      </c>
      <c r="L2964">
        <v>0</v>
      </c>
      <c r="M2964">
        <v>0</v>
      </c>
      <c r="N2964">
        <v>0</v>
      </c>
      <c r="O2964">
        <v>0</v>
      </c>
      <c r="P2964">
        <v>0</v>
      </c>
      <c r="Q2964">
        <v>0</v>
      </c>
      <c r="T2964">
        <v>3</v>
      </c>
      <c r="U2964">
        <v>748</v>
      </c>
    </row>
    <row r="2965" spans="1:21" x14ac:dyDescent="0.25">
      <c r="H2965" t="s">
        <v>5059</v>
      </c>
    </row>
    <row r="2966" spans="1:21" x14ac:dyDescent="0.25">
      <c r="A2966">
        <v>1480</v>
      </c>
      <c r="B2966">
        <v>8487</v>
      </c>
      <c r="C2966" t="s">
        <v>2699</v>
      </c>
      <c r="D2966" t="s">
        <v>164</v>
      </c>
      <c r="E2966" t="s">
        <v>637</v>
      </c>
      <c r="F2966" t="s">
        <v>5060</v>
      </c>
      <c r="G2966" t="str">
        <f>"00073798"</f>
        <v>00073798</v>
      </c>
      <c r="H2966">
        <v>748</v>
      </c>
      <c r="I2966">
        <v>0</v>
      </c>
      <c r="J2966">
        <v>0</v>
      </c>
      <c r="K2966">
        <v>0</v>
      </c>
      <c r="L2966">
        <v>0</v>
      </c>
      <c r="M2966">
        <v>0</v>
      </c>
      <c r="N2966">
        <v>0</v>
      </c>
      <c r="O2966">
        <v>0</v>
      </c>
      <c r="P2966">
        <v>0</v>
      </c>
      <c r="Q2966">
        <v>0</v>
      </c>
      <c r="T2966">
        <v>1</v>
      </c>
      <c r="U2966">
        <v>748</v>
      </c>
    </row>
    <row r="2967" spans="1:21" x14ac:dyDescent="0.25">
      <c r="H2967" t="s">
        <v>5061</v>
      </c>
    </row>
    <row r="2968" spans="1:21" x14ac:dyDescent="0.25">
      <c r="A2968">
        <v>1481</v>
      </c>
      <c r="B2968">
        <v>7236</v>
      </c>
      <c r="C2968" t="s">
        <v>5062</v>
      </c>
      <c r="D2968" t="s">
        <v>57</v>
      </c>
      <c r="E2968" t="s">
        <v>122</v>
      </c>
      <c r="F2968" t="s">
        <v>5063</v>
      </c>
      <c r="G2968" t="str">
        <f>"201511031003"</f>
        <v>201511031003</v>
      </c>
      <c r="H2968">
        <v>748</v>
      </c>
      <c r="I2968">
        <v>0</v>
      </c>
      <c r="J2968">
        <v>0</v>
      </c>
      <c r="K2968">
        <v>0</v>
      </c>
      <c r="L2968">
        <v>0</v>
      </c>
      <c r="M2968">
        <v>0</v>
      </c>
      <c r="N2968">
        <v>0</v>
      </c>
      <c r="O2968">
        <v>0</v>
      </c>
      <c r="P2968">
        <v>0</v>
      </c>
      <c r="Q2968">
        <v>0</v>
      </c>
      <c r="T2968">
        <v>0</v>
      </c>
      <c r="U2968">
        <v>748</v>
      </c>
    </row>
    <row r="2969" spans="1:21" x14ac:dyDescent="0.25">
      <c r="H2969" t="s">
        <v>5064</v>
      </c>
    </row>
    <row r="2970" spans="1:21" x14ac:dyDescent="0.25">
      <c r="A2970">
        <v>1482</v>
      </c>
      <c r="B2970">
        <v>10070</v>
      </c>
      <c r="C2970" t="s">
        <v>5065</v>
      </c>
      <c r="D2970" t="s">
        <v>74</v>
      </c>
      <c r="E2970" t="s">
        <v>122</v>
      </c>
      <c r="F2970" t="s">
        <v>5066</v>
      </c>
      <c r="G2970" t="str">
        <f>"201511027194"</f>
        <v>201511027194</v>
      </c>
      <c r="H2970">
        <v>715</v>
      </c>
      <c r="I2970">
        <v>0</v>
      </c>
      <c r="J2970">
        <v>30</v>
      </c>
      <c r="K2970">
        <v>0</v>
      </c>
      <c r="L2970">
        <v>0</v>
      </c>
      <c r="M2970">
        <v>0</v>
      </c>
      <c r="N2970">
        <v>0</v>
      </c>
      <c r="O2970">
        <v>0</v>
      </c>
      <c r="P2970">
        <v>0</v>
      </c>
      <c r="Q2970">
        <v>0</v>
      </c>
      <c r="T2970">
        <v>0</v>
      </c>
      <c r="U2970">
        <v>745</v>
      </c>
    </row>
    <row r="2971" spans="1:21" x14ac:dyDescent="0.25">
      <c r="H2971" t="s">
        <v>5067</v>
      </c>
    </row>
    <row r="2972" spans="1:21" x14ac:dyDescent="0.25">
      <c r="A2972">
        <v>1483</v>
      </c>
      <c r="B2972">
        <v>6574</v>
      </c>
      <c r="C2972" t="s">
        <v>5068</v>
      </c>
      <c r="D2972" t="s">
        <v>618</v>
      </c>
      <c r="E2972" t="s">
        <v>122</v>
      </c>
      <c r="F2972" t="s">
        <v>5069</v>
      </c>
      <c r="G2972" t="str">
        <f>"00024977"</f>
        <v>00024977</v>
      </c>
      <c r="H2972">
        <v>715</v>
      </c>
      <c r="I2972">
        <v>0</v>
      </c>
      <c r="J2972">
        <v>30</v>
      </c>
      <c r="K2972">
        <v>0</v>
      </c>
      <c r="L2972">
        <v>0</v>
      </c>
      <c r="M2972">
        <v>0</v>
      </c>
      <c r="N2972">
        <v>0</v>
      </c>
      <c r="O2972">
        <v>0</v>
      </c>
      <c r="P2972">
        <v>0</v>
      </c>
      <c r="Q2972">
        <v>0</v>
      </c>
      <c r="T2972">
        <v>0</v>
      </c>
      <c r="U2972">
        <v>745</v>
      </c>
    </row>
    <row r="2973" spans="1:21" x14ac:dyDescent="0.25">
      <c r="H2973" t="s">
        <v>5070</v>
      </c>
    </row>
    <row r="2974" spans="1:21" x14ac:dyDescent="0.25">
      <c r="A2974">
        <v>1484</v>
      </c>
      <c r="B2974">
        <v>29</v>
      </c>
      <c r="C2974" t="s">
        <v>5071</v>
      </c>
      <c r="D2974" t="s">
        <v>78</v>
      </c>
      <c r="E2974" t="s">
        <v>614</v>
      </c>
      <c r="F2974" t="s">
        <v>5072</v>
      </c>
      <c r="G2974" t="str">
        <f>"201510000711"</f>
        <v>201510000711</v>
      </c>
      <c r="H2974">
        <v>715</v>
      </c>
      <c r="I2974">
        <v>0</v>
      </c>
      <c r="J2974">
        <v>30</v>
      </c>
      <c r="K2974">
        <v>0</v>
      </c>
      <c r="L2974">
        <v>0</v>
      </c>
      <c r="M2974">
        <v>0</v>
      </c>
      <c r="N2974">
        <v>0</v>
      </c>
      <c r="O2974">
        <v>0</v>
      </c>
      <c r="P2974">
        <v>0</v>
      </c>
      <c r="Q2974">
        <v>0</v>
      </c>
      <c r="T2974">
        <v>0</v>
      </c>
      <c r="U2974">
        <v>745</v>
      </c>
    </row>
    <row r="2975" spans="1:21" x14ac:dyDescent="0.25">
      <c r="H2975" t="s">
        <v>5073</v>
      </c>
    </row>
    <row r="2976" spans="1:21" x14ac:dyDescent="0.25">
      <c r="A2976">
        <v>1485</v>
      </c>
      <c r="B2976">
        <v>9339</v>
      </c>
      <c r="C2976" t="s">
        <v>5074</v>
      </c>
      <c r="D2976" t="s">
        <v>173</v>
      </c>
      <c r="E2976" t="s">
        <v>42</v>
      </c>
      <c r="F2976" t="s">
        <v>5075</v>
      </c>
      <c r="G2976" t="str">
        <f>"00049419"</f>
        <v>00049419</v>
      </c>
      <c r="H2976">
        <v>715</v>
      </c>
      <c r="I2976">
        <v>0</v>
      </c>
      <c r="J2976">
        <v>30</v>
      </c>
      <c r="K2976">
        <v>0</v>
      </c>
      <c r="L2976">
        <v>0</v>
      </c>
      <c r="M2976">
        <v>0</v>
      </c>
      <c r="N2976">
        <v>0</v>
      </c>
      <c r="O2976">
        <v>0</v>
      </c>
      <c r="P2976">
        <v>0</v>
      </c>
      <c r="Q2976">
        <v>0</v>
      </c>
      <c r="T2976">
        <v>1</v>
      </c>
      <c r="U2976">
        <v>745</v>
      </c>
    </row>
    <row r="2977" spans="1:21" x14ac:dyDescent="0.25">
      <c r="H2977" t="s">
        <v>5076</v>
      </c>
    </row>
    <row r="2978" spans="1:21" x14ac:dyDescent="0.25">
      <c r="A2978">
        <v>1486</v>
      </c>
      <c r="B2978">
        <v>2775</v>
      </c>
      <c r="C2978" t="s">
        <v>5077</v>
      </c>
      <c r="D2978" t="s">
        <v>313</v>
      </c>
      <c r="E2978" t="s">
        <v>42</v>
      </c>
      <c r="F2978" t="s">
        <v>5078</v>
      </c>
      <c r="G2978" t="str">
        <f>"201511020667"</f>
        <v>201511020667</v>
      </c>
      <c r="H2978">
        <v>715</v>
      </c>
      <c r="I2978">
        <v>0</v>
      </c>
      <c r="J2978">
        <v>30</v>
      </c>
      <c r="K2978">
        <v>0</v>
      </c>
      <c r="L2978">
        <v>0</v>
      </c>
      <c r="M2978">
        <v>0</v>
      </c>
      <c r="N2978">
        <v>0</v>
      </c>
      <c r="O2978">
        <v>0</v>
      </c>
      <c r="P2978">
        <v>0</v>
      </c>
      <c r="Q2978">
        <v>0</v>
      </c>
      <c r="T2978">
        <v>0</v>
      </c>
      <c r="U2978">
        <v>745</v>
      </c>
    </row>
    <row r="2979" spans="1:21" x14ac:dyDescent="0.25">
      <c r="H2979" t="s">
        <v>5079</v>
      </c>
    </row>
    <row r="2980" spans="1:21" x14ac:dyDescent="0.25">
      <c r="A2980">
        <v>1487</v>
      </c>
      <c r="B2980">
        <v>17</v>
      </c>
      <c r="C2980" t="s">
        <v>3023</v>
      </c>
      <c r="D2980" t="s">
        <v>5080</v>
      </c>
      <c r="E2980" t="s">
        <v>4387</v>
      </c>
      <c r="F2980" t="s">
        <v>5081</v>
      </c>
      <c r="G2980" t="str">
        <f>"201511010508"</f>
        <v>201511010508</v>
      </c>
      <c r="H2980">
        <v>715</v>
      </c>
      <c r="I2980">
        <v>0</v>
      </c>
      <c r="J2980">
        <v>30</v>
      </c>
      <c r="K2980">
        <v>0</v>
      </c>
      <c r="L2980">
        <v>0</v>
      </c>
      <c r="M2980">
        <v>0</v>
      </c>
      <c r="N2980">
        <v>0</v>
      </c>
      <c r="O2980">
        <v>0</v>
      </c>
      <c r="P2980">
        <v>0</v>
      </c>
      <c r="Q2980">
        <v>0</v>
      </c>
      <c r="T2980">
        <v>0</v>
      </c>
      <c r="U2980">
        <v>745</v>
      </c>
    </row>
    <row r="2981" spans="1:21" x14ac:dyDescent="0.25">
      <c r="H2981" t="s">
        <v>5082</v>
      </c>
    </row>
    <row r="2982" spans="1:21" x14ac:dyDescent="0.25">
      <c r="A2982">
        <v>1488</v>
      </c>
      <c r="B2982">
        <v>8317</v>
      </c>
      <c r="C2982" t="s">
        <v>5083</v>
      </c>
      <c r="D2982" t="s">
        <v>145</v>
      </c>
      <c r="E2982" t="s">
        <v>5084</v>
      </c>
      <c r="F2982" t="s">
        <v>5085</v>
      </c>
      <c r="G2982" t="str">
        <f>"00022499"</f>
        <v>00022499</v>
      </c>
      <c r="H2982">
        <v>715</v>
      </c>
      <c r="I2982">
        <v>0</v>
      </c>
      <c r="J2982">
        <v>30</v>
      </c>
      <c r="K2982">
        <v>0</v>
      </c>
      <c r="L2982">
        <v>0</v>
      </c>
      <c r="M2982">
        <v>0</v>
      </c>
      <c r="N2982">
        <v>0</v>
      </c>
      <c r="O2982">
        <v>0</v>
      </c>
      <c r="P2982">
        <v>0</v>
      </c>
      <c r="Q2982">
        <v>0</v>
      </c>
      <c r="T2982">
        <v>0</v>
      </c>
      <c r="U2982">
        <v>745</v>
      </c>
    </row>
    <row r="2983" spans="1:21" x14ac:dyDescent="0.25">
      <c r="H2983" t="s">
        <v>5086</v>
      </c>
    </row>
    <row r="2984" spans="1:21" x14ac:dyDescent="0.25">
      <c r="A2984">
        <v>1489</v>
      </c>
      <c r="B2984">
        <v>6396</v>
      </c>
      <c r="C2984" t="s">
        <v>5087</v>
      </c>
      <c r="D2984" t="s">
        <v>502</v>
      </c>
      <c r="E2984" t="s">
        <v>647</v>
      </c>
      <c r="F2984" t="s">
        <v>5088</v>
      </c>
      <c r="G2984" t="str">
        <f>"201412005306"</f>
        <v>201412005306</v>
      </c>
      <c r="H2984">
        <v>715</v>
      </c>
      <c r="I2984">
        <v>0</v>
      </c>
      <c r="J2984">
        <v>30</v>
      </c>
      <c r="K2984">
        <v>0</v>
      </c>
      <c r="L2984">
        <v>0</v>
      </c>
      <c r="M2984">
        <v>0</v>
      </c>
      <c r="N2984">
        <v>0</v>
      </c>
      <c r="O2984">
        <v>0</v>
      </c>
      <c r="P2984">
        <v>0</v>
      </c>
      <c r="Q2984">
        <v>0</v>
      </c>
      <c r="T2984">
        <v>0</v>
      </c>
      <c r="U2984">
        <v>745</v>
      </c>
    </row>
    <row r="2985" spans="1:21" x14ac:dyDescent="0.25">
      <c r="H2985" t="s">
        <v>2846</v>
      </c>
    </row>
    <row r="2986" spans="1:21" x14ac:dyDescent="0.25">
      <c r="A2986">
        <v>1490</v>
      </c>
      <c r="B2986">
        <v>8480</v>
      </c>
      <c r="C2986" t="s">
        <v>5089</v>
      </c>
      <c r="D2986" t="s">
        <v>5090</v>
      </c>
      <c r="E2986" t="s">
        <v>5091</v>
      </c>
      <c r="F2986" t="s">
        <v>5092</v>
      </c>
      <c r="G2986" t="str">
        <f>"00022266"</f>
        <v>00022266</v>
      </c>
      <c r="H2986">
        <v>715</v>
      </c>
      <c r="I2986">
        <v>0</v>
      </c>
      <c r="J2986">
        <v>30</v>
      </c>
      <c r="K2986">
        <v>0</v>
      </c>
      <c r="L2986">
        <v>0</v>
      </c>
      <c r="M2986">
        <v>0</v>
      </c>
      <c r="N2986">
        <v>0</v>
      </c>
      <c r="O2986">
        <v>0</v>
      </c>
      <c r="P2986">
        <v>0</v>
      </c>
      <c r="Q2986">
        <v>0</v>
      </c>
      <c r="T2986">
        <v>0</v>
      </c>
      <c r="U2986">
        <v>745</v>
      </c>
    </row>
    <row r="2987" spans="1:21" x14ac:dyDescent="0.25">
      <c r="H2987" t="s">
        <v>5093</v>
      </c>
    </row>
    <row r="2988" spans="1:21" x14ac:dyDescent="0.25">
      <c r="A2988">
        <v>1491</v>
      </c>
      <c r="B2988">
        <v>5116</v>
      </c>
      <c r="C2988" t="s">
        <v>5094</v>
      </c>
      <c r="D2988" t="s">
        <v>5095</v>
      </c>
      <c r="E2988" t="s">
        <v>65</v>
      </c>
      <c r="F2988" t="s">
        <v>5096</v>
      </c>
      <c r="G2988" t="str">
        <f>"201412006341"</f>
        <v>201412006341</v>
      </c>
      <c r="H2988">
        <v>715</v>
      </c>
      <c r="I2988">
        <v>0</v>
      </c>
      <c r="J2988">
        <v>30</v>
      </c>
      <c r="K2988">
        <v>0</v>
      </c>
      <c r="L2988">
        <v>0</v>
      </c>
      <c r="M2988">
        <v>0</v>
      </c>
      <c r="N2988">
        <v>0</v>
      </c>
      <c r="O2988">
        <v>0</v>
      </c>
      <c r="P2988">
        <v>0</v>
      </c>
      <c r="Q2988">
        <v>0</v>
      </c>
      <c r="T2988">
        <v>0</v>
      </c>
      <c r="U2988">
        <v>745</v>
      </c>
    </row>
    <row r="2989" spans="1:21" x14ac:dyDescent="0.25">
      <c r="H2989">
        <v>796</v>
      </c>
    </row>
    <row r="2990" spans="1:21" x14ac:dyDescent="0.25">
      <c r="A2990">
        <v>1492</v>
      </c>
      <c r="B2990">
        <v>5308</v>
      </c>
      <c r="C2990" t="s">
        <v>5097</v>
      </c>
      <c r="D2990" t="s">
        <v>57</v>
      </c>
      <c r="E2990" t="s">
        <v>474</v>
      </c>
      <c r="F2990" t="s">
        <v>5098</v>
      </c>
      <c r="G2990" t="str">
        <f>"00038668"</f>
        <v>00038668</v>
      </c>
      <c r="H2990">
        <v>715</v>
      </c>
      <c r="I2990">
        <v>0</v>
      </c>
      <c r="J2990">
        <v>30</v>
      </c>
      <c r="K2990">
        <v>0</v>
      </c>
      <c r="L2990">
        <v>0</v>
      </c>
      <c r="M2990">
        <v>0</v>
      </c>
      <c r="N2990">
        <v>0</v>
      </c>
      <c r="O2990">
        <v>0</v>
      </c>
      <c r="P2990">
        <v>0</v>
      </c>
      <c r="Q2990">
        <v>0</v>
      </c>
      <c r="T2990">
        <v>0</v>
      </c>
      <c r="U2990">
        <v>745</v>
      </c>
    </row>
    <row r="2991" spans="1:21" x14ac:dyDescent="0.25">
      <c r="H2991" t="s">
        <v>147</v>
      </c>
    </row>
    <row r="2992" spans="1:21" x14ac:dyDescent="0.25">
      <c r="A2992">
        <v>1493</v>
      </c>
      <c r="B2992">
        <v>3760</v>
      </c>
      <c r="C2992" t="s">
        <v>5099</v>
      </c>
      <c r="D2992" t="s">
        <v>5100</v>
      </c>
      <c r="E2992" t="s">
        <v>5101</v>
      </c>
      <c r="F2992" t="s">
        <v>5102</v>
      </c>
      <c r="G2992" t="str">
        <f>"00025785"</f>
        <v>00025785</v>
      </c>
      <c r="H2992" t="s">
        <v>5103</v>
      </c>
      <c r="I2992">
        <v>0</v>
      </c>
      <c r="J2992">
        <v>0</v>
      </c>
      <c r="K2992">
        <v>0</v>
      </c>
      <c r="L2992">
        <v>0</v>
      </c>
      <c r="M2992">
        <v>0</v>
      </c>
      <c r="N2992">
        <v>0</v>
      </c>
      <c r="O2992">
        <v>0</v>
      </c>
      <c r="P2992">
        <v>0</v>
      </c>
      <c r="Q2992">
        <v>0</v>
      </c>
      <c r="T2992">
        <v>2</v>
      </c>
      <c r="U2992" t="s">
        <v>5103</v>
      </c>
    </row>
    <row r="2993" spans="1:21" x14ac:dyDescent="0.25">
      <c r="H2993">
        <v>801</v>
      </c>
    </row>
    <row r="2994" spans="1:21" x14ac:dyDescent="0.25">
      <c r="A2994">
        <v>1494</v>
      </c>
      <c r="B2994">
        <v>2082</v>
      </c>
      <c r="C2994" t="s">
        <v>5104</v>
      </c>
      <c r="D2994" t="s">
        <v>74</v>
      </c>
      <c r="E2994" t="s">
        <v>5105</v>
      </c>
      <c r="F2994" t="s">
        <v>5106</v>
      </c>
      <c r="G2994" t="str">
        <f>"201511038439"</f>
        <v>201511038439</v>
      </c>
      <c r="H2994" t="s">
        <v>5103</v>
      </c>
      <c r="I2994">
        <v>0</v>
      </c>
      <c r="J2994">
        <v>0</v>
      </c>
      <c r="K2994">
        <v>0</v>
      </c>
      <c r="L2994">
        <v>0</v>
      </c>
      <c r="M2994">
        <v>0</v>
      </c>
      <c r="N2994">
        <v>0</v>
      </c>
      <c r="O2994">
        <v>0</v>
      </c>
      <c r="P2994">
        <v>0</v>
      </c>
      <c r="Q2994">
        <v>0</v>
      </c>
      <c r="T2994">
        <v>0</v>
      </c>
      <c r="U2994" t="s">
        <v>5103</v>
      </c>
    </row>
    <row r="2995" spans="1:21" x14ac:dyDescent="0.25">
      <c r="H2995" t="s">
        <v>491</v>
      </c>
    </row>
    <row r="2996" spans="1:21" x14ac:dyDescent="0.25">
      <c r="A2996">
        <v>1495</v>
      </c>
      <c r="B2996">
        <v>4708</v>
      </c>
      <c r="C2996" t="s">
        <v>5107</v>
      </c>
      <c r="D2996" t="s">
        <v>64</v>
      </c>
      <c r="E2996" t="s">
        <v>561</v>
      </c>
      <c r="F2996" t="s">
        <v>5108</v>
      </c>
      <c r="G2996" t="str">
        <f>"201511009263"</f>
        <v>201511009263</v>
      </c>
      <c r="H2996" t="s">
        <v>5103</v>
      </c>
      <c r="I2996">
        <v>0</v>
      </c>
      <c r="J2996">
        <v>0</v>
      </c>
      <c r="K2996">
        <v>0</v>
      </c>
      <c r="L2996">
        <v>0</v>
      </c>
      <c r="M2996">
        <v>0</v>
      </c>
      <c r="N2996">
        <v>0</v>
      </c>
      <c r="O2996">
        <v>0</v>
      </c>
      <c r="P2996">
        <v>0</v>
      </c>
      <c r="Q2996">
        <v>0</v>
      </c>
      <c r="T2996">
        <v>0</v>
      </c>
      <c r="U2996" t="s">
        <v>5103</v>
      </c>
    </row>
    <row r="2997" spans="1:21" x14ac:dyDescent="0.25">
      <c r="H2997" t="s">
        <v>5109</v>
      </c>
    </row>
    <row r="2998" spans="1:21" x14ac:dyDescent="0.25">
      <c r="A2998">
        <v>1496</v>
      </c>
      <c r="B2998">
        <v>9875</v>
      </c>
      <c r="C2998" t="s">
        <v>5110</v>
      </c>
      <c r="D2998" t="s">
        <v>5111</v>
      </c>
      <c r="E2998" t="s">
        <v>2591</v>
      </c>
      <c r="F2998" t="s">
        <v>5112</v>
      </c>
      <c r="G2998" t="str">
        <f>"201511031326"</f>
        <v>201511031326</v>
      </c>
      <c r="H2998" t="s">
        <v>5103</v>
      </c>
      <c r="I2998">
        <v>0</v>
      </c>
      <c r="J2998">
        <v>0</v>
      </c>
      <c r="K2998">
        <v>0</v>
      </c>
      <c r="L2998">
        <v>0</v>
      </c>
      <c r="M2998">
        <v>0</v>
      </c>
      <c r="N2998">
        <v>0</v>
      </c>
      <c r="O2998">
        <v>0</v>
      </c>
      <c r="P2998">
        <v>0</v>
      </c>
      <c r="Q2998">
        <v>0</v>
      </c>
      <c r="T2998">
        <v>1</v>
      </c>
      <c r="U2998" t="s">
        <v>5103</v>
      </c>
    </row>
    <row r="2999" spans="1:21" x14ac:dyDescent="0.25">
      <c r="H2999" t="s">
        <v>2139</v>
      </c>
    </row>
    <row r="3000" spans="1:21" x14ac:dyDescent="0.25">
      <c r="A3000">
        <v>1497</v>
      </c>
      <c r="B3000">
        <v>4492</v>
      </c>
      <c r="C3000" t="s">
        <v>5113</v>
      </c>
      <c r="D3000" t="s">
        <v>64</v>
      </c>
      <c r="E3000" t="s">
        <v>764</v>
      </c>
      <c r="F3000" t="s">
        <v>5114</v>
      </c>
      <c r="G3000" t="str">
        <f>"00086615"</f>
        <v>00086615</v>
      </c>
      <c r="H3000" t="s">
        <v>5103</v>
      </c>
      <c r="I3000">
        <v>0</v>
      </c>
      <c r="J3000">
        <v>0</v>
      </c>
      <c r="K3000">
        <v>0</v>
      </c>
      <c r="L3000">
        <v>0</v>
      </c>
      <c r="M3000">
        <v>0</v>
      </c>
      <c r="N3000">
        <v>0</v>
      </c>
      <c r="O3000">
        <v>0</v>
      </c>
      <c r="P3000">
        <v>0</v>
      </c>
      <c r="Q3000">
        <v>0</v>
      </c>
      <c r="T3000">
        <v>2</v>
      </c>
      <c r="U3000" t="s">
        <v>5103</v>
      </c>
    </row>
    <row r="3001" spans="1:21" x14ac:dyDescent="0.25">
      <c r="H3001" t="s">
        <v>5115</v>
      </c>
    </row>
    <row r="3002" spans="1:21" x14ac:dyDescent="0.25">
      <c r="A3002">
        <v>1498</v>
      </c>
      <c r="B3002">
        <v>10325</v>
      </c>
      <c r="C3002" t="s">
        <v>5116</v>
      </c>
      <c r="D3002" t="s">
        <v>5117</v>
      </c>
      <c r="E3002" t="s">
        <v>27</v>
      </c>
      <c r="F3002" t="s">
        <v>5118</v>
      </c>
      <c r="G3002" t="str">
        <f>"00016272"</f>
        <v>00016272</v>
      </c>
      <c r="H3002">
        <v>693</v>
      </c>
      <c r="I3002">
        <v>0</v>
      </c>
      <c r="J3002">
        <v>50</v>
      </c>
      <c r="K3002">
        <v>0</v>
      </c>
      <c r="L3002">
        <v>0</v>
      </c>
      <c r="M3002">
        <v>0</v>
      </c>
      <c r="N3002">
        <v>0</v>
      </c>
      <c r="O3002">
        <v>0</v>
      </c>
      <c r="P3002">
        <v>0</v>
      </c>
      <c r="Q3002">
        <v>0</v>
      </c>
      <c r="T3002">
        <v>0</v>
      </c>
      <c r="U3002">
        <v>743</v>
      </c>
    </row>
    <row r="3003" spans="1:21" x14ac:dyDescent="0.25">
      <c r="H3003" t="s">
        <v>5119</v>
      </c>
    </row>
    <row r="3004" spans="1:21" x14ac:dyDescent="0.25">
      <c r="A3004">
        <v>1499</v>
      </c>
      <c r="B3004">
        <v>8618</v>
      </c>
      <c r="C3004" t="s">
        <v>5120</v>
      </c>
      <c r="D3004" t="s">
        <v>191</v>
      </c>
      <c r="E3004" t="s">
        <v>907</v>
      </c>
      <c r="F3004" t="s">
        <v>5121</v>
      </c>
      <c r="G3004" t="str">
        <f>"00042671"</f>
        <v>00042671</v>
      </c>
      <c r="H3004" t="s">
        <v>3719</v>
      </c>
      <c r="I3004">
        <v>0</v>
      </c>
      <c r="J3004">
        <v>0</v>
      </c>
      <c r="K3004">
        <v>0</v>
      </c>
      <c r="L3004">
        <v>0</v>
      </c>
      <c r="M3004">
        <v>0</v>
      </c>
      <c r="N3004">
        <v>0</v>
      </c>
      <c r="O3004">
        <v>0</v>
      </c>
      <c r="P3004">
        <v>0</v>
      </c>
      <c r="Q3004">
        <v>0</v>
      </c>
      <c r="R3004">
        <v>6</v>
      </c>
      <c r="S3004">
        <v>804</v>
      </c>
      <c r="T3004">
        <v>0</v>
      </c>
      <c r="U3004" t="s">
        <v>3719</v>
      </c>
    </row>
    <row r="3005" spans="1:21" x14ac:dyDescent="0.25">
      <c r="H3005">
        <v>804</v>
      </c>
    </row>
    <row r="3006" spans="1:21" x14ac:dyDescent="0.25">
      <c r="A3006">
        <v>1500</v>
      </c>
      <c r="B3006">
        <v>6</v>
      </c>
      <c r="C3006" t="s">
        <v>905</v>
      </c>
      <c r="D3006" t="s">
        <v>1131</v>
      </c>
      <c r="E3006" t="s">
        <v>42</v>
      </c>
      <c r="F3006" t="s">
        <v>5122</v>
      </c>
      <c r="G3006" t="str">
        <f>"200810000454"</f>
        <v>200810000454</v>
      </c>
      <c r="H3006" t="s">
        <v>4056</v>
      </c>
      <c r="I3006">
        <v>0</v>
      </c>
      <c r="J3006">
        <v>30</v>
      </c>
      <c r="K3006">
        <v>0</v>
      </c>
      <c r="L3006">
        <v>0</v>
      </c>
      <c r="M3006">
        <v>0</v>
      </c>
      <c r="N3006">
        <v>0</v>
      </c>
      <c r="O3006">
        <v>0</v>
      </c>
      <c r="P3006">
        <v>0</v>
      </c>
      <c r="Q3006">
        <v>0</v>
      </c>
      <c r="T3006">
        <v>2</v>
      </c>
      <c r="U3006" t="s">
        <v>5123</v>
      </c>
    </row>
    <row r="3007" spans="1:21" x14ac:dyDescent="0.25">
      <c r="H3007" t="s">
        <v>5124</v>
      </c>
    </row>
    <row r="3008" spans="1:21" x14ac:dyDescent="0.25">
      <c r="A3008">
        <v>1501</v>
      </c>
      <c r="B3008">
        <v>9333</v>
      </c>
      <c r="C3008" t="s">
        <v>5000</v>
      </c>
      <c r="D3008" t="s">
        <v>5080</v>
      </c>
      <c r="E3008" t="s">
        <v>366</v>
      </c>
      <c r="F3008" t="s">
        <v>5125</v>
      </c>
      <c r="G3008" t="str">
        <f>"00090135"</f>
        <v>00090135</v>
      </c>
      <c r="H3008" t="s">
        <v>5126</v>
      </c>
      <c r="I3008">
        <v>0</v>
      </c>
      <c r="J3008">
        <v>0</v>
      </c>
      <c r="K3008">
        <v>0</v>
      </c>
      <c r="L3008">
        <v>0</v>
      </c>
      <c r="M3008">
        <v>0</v>
      </c>
      <c r="N3008">
        <v>0</v>
      </c>
      <c r="O3008">
        <v>0</v>
      </c>
      <c r="P3008">
        <v>0</v>
      </c>
      <c r="Q3008">
        <v>0</v>
      </c>
      <c r="T3008">
        <v>0</v>
      </c>
      <c r="U3008" t="s">
        <v>5126</v>
      </c>
    </row>
    <row r="3009" spans="1:21" x14ac:dyDescent="0.25">
      <c r="H3009" t="s">
        <v>5127</v>
      </c>
    </row>
    <row r="3010" spans="1:21" x14ac:dyDescent="0.25">
      <c r="A3010">
        <v>1502</v>
      </c>
      <c r="B3010">
        <v>3855</v>
      </c>
      <c r="C3010" t="s">
        <v>5128</v>
      </c>
      <c r="D3010" t="s">
        <v>372</v>
      </c>
      <c r="E3010" t="s">
        <v>225</v>
      </c>
      <c r="F3010" t="s">
        <v>5129</v>
      </c>
      <c r="G3010" t="str">
        <f>"00022015"</f>
        <v>00022015</v>
      </c>
      <c r="H3010" t="s">
        <v>5126</v>
      </c>
      <c r="I3010">
        <v>0</v>
      </c>
      <c r="J3010">
        <v>0</v>
      </c>
      <c r="K3010">
        <v>0</v>
      </c>
      <c r="L3010">
        <v>0</v>
      </c>
      <c r="M3010">
        <v>0</v>
      </c>
      <c r="N3010">
        <v>0</v>
      </c>
      <c r="O3010">
        <v>0</v>
      </c>
      <c r="P3010">
        <v>0</v>
      </c>
      <c r="Q3010">
        <v>0</v>
      </c>
      <c r="T3010">
        <v>3</v>
      </c>
      <c r="U3010" t="s">
        <v>5126</v>
      </c>
    </row>
    <row r="3011" spans="1:21" x14ac:dyDescent="0.25">
      <c r="H3011" t="s">
        <v>5130</v>
      </c>
    </row>
    <row r="3012" spans="1:21" x14ac:dyDescent="0.25">
      <c r="A3012">
        <v>1503</v>
      </c>
      <c r="B3012">
        <v>520</v>
      </c>
      <c r="C3012" t="s">
        <v>5131</v>
      </c>
      <c r="D3012" t="s">
        <v>85</v>
      </c>
      <c r="E3012" t="s">
        <v>533</v>
      </c>
      <c r="F3012" t="s">
        <v>5132</v>
      </c>
      <c r="G3012" t="str">
        <f>"00081983"</f>
        <v>00081983</v>
      </c>
      <c r="H3012" t="s">
        <v>5126</v>
      </c>
      <c r="I3012">
        <v>0</v>
      </c>
      <c r="J3012">
        <v>0</v>
      </c>
      <c r="K3012">
        <v>0</v>
      </c>
      <c r="L3012">
        <v>0</v>
      </c>
      <c r="M3012">
        <v>0</v>
      </c>
      <c r="N3012">
        <v>0</v>
      </c>
      <c r="O3012">
        <v>0</v>
      </c>
      <c r="P3012">
        <v>0</v>
      </c>
      <c r="Q3012">
        <v>0</v>
      </c>
      <c r="T3012">
        <v>0</v>
      </c>
      <c r="U3012" t="s">
        <v>5126</v>
      </c>
    </row>
    <row r="3013" spans="1:21" x14ac:dyDescent="0.25">
      <c r="H3013" t="s">
        <v>5133</v>
      </c>
    </row>
    <row r="3014" spans="1:21" x14ac:dyDescent="0.25">
      <c r="A3014">
        <v>1504</v>
      </c>
      <c r="B3014">
        <v>1806</v>
      </c>
      <c r="C3014" t="s">
        <v>5134</v>
      </c>
      <c r="D3014" t="s">
        <v>5135</v>
      </c>
      <c r="E3014" t="s">
        <v>1698</v>
      </c>
      <c r="F3014" t="s">
        <v>5136</v>
      </c>
      <c r="G3014" t="str">
        <f>"00058790"</f>
        <v>00058790</v>
      </c>
      <c r="H3014" t="s">
        <v>5126</v>
      </c>
      <c r="I3014">
        <v>0</v>
      </c>
      <c r="J3014">
        <v>0</v>
      </c>
      <c r="K3014">
        <v>0</v>
      </c>
      <c r="L3014">
        <v>0</v>
      </c>
      <c r="M3014">
        <v>0</v>
      </c>
      <c r="N3014">
        <v>0</v>
      </c>
      <c r="O3014">
        <v>0</v>
      </c>
      <c r="P3014">
        <v>0</v>
      </c>
      <c r="Q3014">
        <v>0</v>
      </c>
      <c r="T3014">
        <v>0</v>
      </c>
      <c r="U3014" t="s">
        <v>5126</v>
      </c>
    </row>
    <row r="3015" spans="1:21" x14ac:dyDescent="0.25">
      <c r="H3015" t="s">
        <v>5137</v>
      </c>
    </row>
    <row r="3016" spans="1:21" x14ac:dyDescent="0.25">
      <c r="A3016">
        <v>1505</v>
      </c>
      <c r="B3016">
        <v>10280</v>
      </c>
      <c r="C3016" t="s">
        <v>5138</v>
      </c>
      <c r="D3016" t="s">
        <v>259</v>
      </c>
      <c r="E3016" t="s">
        <v>42</v>
      </c>
      <c r="F3016" t="s">
        <v>5139</v>
      </c>
      <c r="G3016" t="str">
        <f>"00097190"</f>
        <v>00097190</v>
      </c>
      <c r="H3016" t="s">
        <v>5140</v>
      </c>
      <c r="I3016">
        <v>0</v>
      </c>
      <c r="J3016">
        <v>0</v>
      </c>
      <c r="K3016">
        <v>0</v>
      </c>
      <c r="L3016">
        <v>0</v>
      </c>
      <c r="M3016">
        <v>0</v>
      </c>
      <c r="N3016">
        <v>0</v>
      </c>
      <c r="O3016">
        <v>0</v>
      </c>
      <c r="P3016">
        <v>0</v>
      </c>
      <c r="Q3016">
        <v>0</v>
      </c>
      <c r="T3016">
        <v>0</v>
      </c>
      <c r="U3016" t="s">
        <v>5140</v>
      </c>
    </row>
    <row r="3017" spans="1:21" x14ac:dyDescent="0.25">
      <c r="H3017" t="s">
        <v>5141</v>
      </c>
    </row>
    <row r="3018" spans="1:21" x14ac:dyDescent="0.25">
      <c r="A3018">
        <v>1506</v>
      </c>
      <c r="B3018">
        <v>1260</v>
      </c>
      <c r="C3018" t="s">
        <v>711</v>
      </c>
      <c r="D3018" t="s">
        <v>116</v>
      </c>
      <c r="E3018" t="s">
        <v>36</v>
      </c>
      <c r="F3018" t="s">
        <v>5142</v>
      </c>
      <c r="G3018" t="str">
        <f>"201511030709"</f>
        <v>201511030709</v>
      </c>
      <c r="H3018" t="s">
        <v>3806</v>
      </c>
      <c r="I3018">
        <v>0</v>
      </c>
      <c r="J3018">
        <v>50</v>
      </c>
      <c r="K3018">
        <v>0</v>
      </c>
      <c r="L3018">
        <v>0</v>
      </c>
      <c r="M3018">
        <v>0</v>
      </c>
      <c r="N3018">
        <v>0</v>
      </c>
      <c r="O3018">
        <v>0</v>
      </c>
      <c r="P3018">
        <v>0</v>
      </c>
      <c r="Q3018">
        <v>0</v>
      </c>
      <c r="R3018">
        <v>6</v>
      </c>
      <c r="S3018" t="s">
        <v>2522</v>
      </c>
      <c r="T3018">
        <v>1</v>
      </c>
      <c r="U3018" t="s">
        <v>5143</v>
      </c>
    </row>
    <row r="3019" spans="1:21" x14ac:dyDescent="0.25">
      <c r="H3019" t="s">
        <v>5144</v>
      </c>
    </row>
    <row r="3020" spans="1:21" x14ac:dyDescent="0.25">
      <c r="A3020">
        <v>1507</v>
      </c>
      <c r="B3020">
        <v>1260</v>
      </c>
      <c r="C3020" t="s">
        <v>711</v>
      </c>
      <c r="D3020" t="s">
        <v>116</v>
      </c>
      <c r="E3020" t="s">
        <v>36</v>
      </c>
      <c r="F3020" t="s">
        <v>5142</v>
      </c>
      <c r="G3020" t="str">
        <f>"201511030709"</f>
        <v>201511030709</v>
      </c>
      <c r="H3020" t="s">
        <v>3806</v>
      </c>
      <c r="I3020">
        <v>0</v>
      </c>
      <c r="J3020">
        <v>50</v>
      </c>
      <c r="K3020">
        <v>0</v>
      </c>
      <c r="L3020">
        <v>0</v>
      </c>
      <c r="M3020">
        <v>0</v>
      </c>
      <c r="N3020">
        <v>0</v>
      </c>
      <c r="O3020">
        <v>0</v>
      </c>
      <c r="P3020">
        <v>0</v>
      </c>
      <c r="Q3020">
        <v>0</v>
      </c>
      <c r="T3020">
        <v>1</v>
      </c>
      <c r="U3020" t="s">
        <v>5143</v>
      </c>
    </row>
    <row r="3021" spans="1:21" x14ac:dyDescent="0.25">
      <c r="H3021" t="s">
        <v>5144</v>
      </c>
    </row>
    <row r="3022" spans="1:21" x14ac:dyDescent="0.25">
      <c r="A3022">
        <v>1508</v>
      </c>
      <c r="B3022">
        <v>8679</v>
      </c>
      <c r="C3022" t="s">
        <v>5145</v>
      </c>
      <c r="D3022" t="s">
        <v>78</v>
      </c>
      <c r="E3022" t="s">
        <v>533</v>
      </c>
      <c r="F3022" t="s">
        <v>5146</v>
      </c>
      <c r="G3022" t="str">
        <f>"201511012381"</f>
        <v>201511012381</v>
      </c>
      <c r="H3022">
        <v>737</v>
      </c>
      <c r="I3022">
        <v>0</v>
      </c>
      <c r="J3022">
        <v>0</v>
      </c>
      <c r="K3022">
        <v>0</v>
      </c>
      <c r="L3022">
        <v>0</v>
      </c>
      <c r="M3022">
        <v>0</v>
      </c>
      <c r="N3022">
        <v>0</v>
      </c>
      <c r="O3022">
        <v>0</v>
      </c>
      <c r="P3022">
        <v>0</v>
      </c>
      <c r="Q3022">
        <v>0</v>
      </c>
      <c r="T3022">
        <v>0</v>
      </c>
      <c r="U3022">
        <v>737</v>
      </c>
    </row>
    <row r="3023" spans="1:21" x14ac:dyDescent="0.25">
      <c r="H3023" t="s">
        <v>2586</v>
      </c>
    </row>
    <row r="3024" spans="1:21" x14ac:dyDescent="0.25">
      <c r="A3024">
        <v>1509</v>
      </c>
      <c r="B3024">
        <v>1727</v>
      </c>
      <c r="C3024" t="s">
        <v>5147</v>
      </c>
      <c r="D3024" t="s">
        <v>1012</v>
      </c>
      <c r="E3024" t="s">
        <v>117</v>
      </c>
      <c r="F3024" t="s">
        <v>5148</v>
      </c>
      <c r="G3024" t="str">
        <f>"201511026684"</f>
        <v>201511026684</v>
      </c>
      <c r="H3024">
        <v>737</v>
      </c>
      <c r="I3024">
        <v>0</v>
      </c>
      <c r="J3024">
        <v>0</v>
      </c>
      <c r="K3024">
        <v>0</v>
      </c>
      <c r="L3024">
        <v>0</v>
      </c>
      <c r="M3024">
        <v>0</v>
      </c>
      <c r="N3024">
        <v>0</v>
      </c>
      <c r="O3024">
        <v>0</v>
      </c>
      <c r="P3024">
        <v>0</v>
      </c>
      <c r="Q3024">
        <v>0</v>
      </c>
      <c r="R3024">
        <v>6</v>
      </c>
      <c r="S3024">
        <v>763</v>
      </c>
      <c r="T3024">
        <v>2</v>
      </c>
      <c r="U3024">
        <v>737</v>
      </c>
    </row>
    <row r="3025" spans="1:21" x14ac:dyDescent="0.25">
      <c r="H3025">
        <v>763</v>
      </c>
    </row>
    <row r="3026" spans="1:21" x14ac:dyDescent="0.25">
      <c r="A3026">
        <v>1510</v>
      </c>
      <c r="B3026">
        <v>5158</v>
      </c>
      <c r="C3026" t="s">
        <v>5149</v>
      </c>
      <c r="D3026" t="s">
        <v>5150</v>
      </c>
      <c r="E3026" t="s">
        <v>449</v>
      </c>
      <c r="F3026" t="s">
        <v>5151</v>
      </c>
      <c r="G3026" t="str">
        <f>"00081823"</f>
        <v>00081823</v>
      </c>
      <c r="H3026" t="s">
        <v>5152</v>
      </c>
      <c r="I3026">
        <v>0</v>
      </c>
      <c r="J3026">
        <v>0</v>
      </c>
      <c r="K3026">
        <v>0</v>
      </c>
      <c r="L3026">
        <v>0</v>
      </c>
      <c r="M3026">
        <v>0</v>
      </c>
      <c r="N3026">
        <v>0</v>
      </c>
      <c r="O3026">
        <v>0</v>
      </c>
      <c r="P3026">
        <v>0</v>
      </c>
      <c r="Q3026">
        <v>0</v>
      </c>
      <c r="T3026">
        <v>0</v>
      </c>
      <c r="U3026" t="s">
        <v>5152</v>
      </c>
    </row>
    <row r="3027" spans="1:21" x14ac:dyDescent="0.25">
      <c r="H3027" t="s">
        <v>5153</v>
      </c>
    </row>
    <row r="3028" spans="1:21" x14ac:dyDescent="0.25">
      <c r="A3028">
        <v>1511</v>
      </c>
      <c r="B3028">
        <v>8314</v>
      </c>
      <c r="C3028" t="s">
        <v>5154</v>
      </c>
      <c r="D3028" t="s">
        <v>121</v>
      </c>
      <c r="E3028" t="s">
        <v>42</v>
      </c>
      <c r="F3028" t="s">
        <v>5155</v>
      </c>
      <c r="G3028" t="str">
        <f>"201511035830"</f>
        <v>201511035830</v>
      </c>
      <c r="H3028" t="s">
        <v>5152</v>
      </c>
      <c r="I3028">
        <v>0</v>
      </c>
      <c r="J3028">
        <v>0</v>
      </c>
      <c r="K3028">
        <v>0</v>
      </c>
      <c r="L3028">
        <v>0</v>
      </c>
      <c r="M3028">
        <v>0</v>
      </c>
      <c r="N3028">
        <v>0</v>
      </c>
      <c r="O3028">
        <v>0</v>
      </c>
      <c r="P3028">
        <v>0</v>
      </c>
      <c r="Q3028">
        <v>0</v>
      </c>
      <c r="T3028">
        <v>0</v>
      </c>
      <c r="U3028" t="s">
        <v>5152</v>
      </c>
    </row>
    <row r="3029" spans="1:21" x14ac:dyDescent="0.25">
      <c r="H3029" t="s">
        <v>5156</v>
      </c>
    </row>
    <row r="3030" spans="1:21" x14ac:dyDescent="0.25">
      <c r="A3030">
        <v>1512</v>
      </c>
      <c r="B3030">
        <v>2629</v>
      </c>
      <c r="C3030" t="s">
        <v>163</v>
      </c>
      <c r="D3030" t="s">
        <v>95</v>
      </c>
      <c r="E3030" t="s">
        <v>42</v>
      </c>
      <c r="F3030" t="s">
        <v>5157</v>
      </c>
      <c r="G3030" t="str">
        <f>"201406004242"</f>
        <v>201406004242</v>
      </c>
      <c r="H3030" t="s">
        <v>5158</v>
      </c>
      <c r="I3030">
        <v>0</v>
      </c>
      <c r="J3030">
        <v>30</v>
      </c>
      <c r="K3030">
        <v>0</v>
      </c>
      <c r="L3030">
        <v>0</v>
      </c>
      <c r="M3030">
        <v>0</v>
      </c>
      <c r="N3030">
        <v>0</v>
      </c>
      <c r="O3030">
        <v>0</v>
      </c>
      <c r="P3030">
        <v>0</v>
      </c>
      <c r="Q3030">
        <v>0</v>
      </c>
      <c r="T3030">
        <v>2</v>
      </c>
      <c r="U3030" t="s">
        <v>5159</v>
      </c>
    </row>
    <row r="3031" spans="1:21" x14ac:dyDescent="0.25">
      <c r="H3031" t="s">
        <v>5014</v>
      </c>
    </row>
    <row r="3032" spans="1:21" x14ac:dyDescent="0.25">
      <c r="A3032">
        <v>1513</v>
      </c>
      <c r="B3032">
        <v>8347</v>
      </c>
      <c r="C3032" t="s">
        <v>5160</v>
      </c>
      <c r="D3032" t="s">
        <v>64</v>
      </c>
      <c r="E3032" t="s">
        <v>122</v>
      </c>
      <c r="F3032" t="s">
        <v>5161</v>
      </c>
      <c r="G3032" t="str">
        <f>"00040434"</f>
        <v>00040434</v>
      </c>
      <c r="H3032" t="s">
        <v>5162</v>
      </c>
      <c r="I3032">
        <v>0</v>
      </c>
      <c r="J3032">
        <v>0</v>
      </c>
      <c r="K3032">
        <v>0</v>
      </c>
      <c r="L3032">
        <v>0</v>
      </c>
      <c r="M3032">
        <v>0</v>
      </c>
      <c r="N3032">
        <v>0</v>
      </c>
      <c r="O3032">
        <v>0</v>
      </c>
      <c r="P3032">
        <v>0</v>
      </c>
      <c r="Q3032">
        <v>0</v>
      </c>
      <c r="T3032">
        <v>2</v>
      </c>
      <c r="U3032" t="s">
        <v>5162</v>
      </c>
    </row>
    <row r="3033" spans="1:21" x14ac:dyDescent="0.25">
      <c r="H3033" t="s">
        <v>3942</v>
      </c>
    </row>
    <row r="3034" spans="1:21" x14ac:dyDescent="0.25">
      <c r="A3034">
        <v>1514</v>
      </c>
      <c r="B3034">
        <v>1900</v>
      </c>
      <c r="C3034" t="s">
        <v>5163</v>
      </c>
      <c r="D3034" t="s">
        <v>85</v>
      </c>
      <c r="E3034" t="s">
        <v>122</v>
      </c>
      <c r="F3034" t="s">
        <v>5164</v>
      </c>
      <c r="G3034" t="str">
        <f>"201511006851"</f>
        <v>201511006851</v>
      </c>
      <c r="H3034" t="s">
        <v>5162</v>
      </c>
      <c r="I3034">
        <v>0</v>
      </c>
      <c r="J3034">
        <v>0</v>
      </c>
      <c r="K3034">
        <v>0</v>
      </c>
      <c r="L3034">
        <v>0</v>
      </c>
      <c r="M3034">
        <v>0</v>
      </c>
      <c r="N3034">
        <v>0</v>
      </c>
      <c r="O3034">
        <v>0</v>
      </c>
      <c r="P3034">
        <v>0</v>
      </c>
      <c r="Q3034">
        <v>0</v>
      </c>
      <c r="T3034">
        <v>0</v>
      </c>
      <c r="U3034" t="s">
        <v>5162</v>
      </c>
    </row>
    <row r="3035" spans="1:21" x14ac:dyDescent="0.25">
      <c r="H3035" t="s">
        <v>5165</v>
      </c>
    </row>
    <row r="3036" spans="1:21" x14ac:dyDescent="0.25">
      <c r="A3036">
        <v>1515</v>
      </c>
      <c r="B3036">
        <v>5479</v>
      </c>
      <c r="C3036" t="s">
        <v>5166</v>
      </c>
      <c r="D3036" t="s">
        <v>1435</v>
      </c>
      <c r="E3036" t="s">
        <v>122</v>
      </c>
      <c r="F3036" t="s">
        <v>5167</v>
      </c>
      <c r="G3036" t="str">
        <f>"201511012379"</f>
        <v>201511012379</v>
      </c>
      <c r="H3036" t="s">
        <v>5168</v>
      </c>
      <c r="I3036">
        <v>0</v>
      </c>
      <c r="J3036">
        <v>0</v>
      </c>
      <c r="K3036">
        <v>0</v>
      </c>
      <c r="L3036">
        <v>0</v>
      </c>
      <c r="M3036">
        <v>0</v>
      </c>
      <c r="N3036">
        <v>0</v>
      </c>
      <c r="O3036">
        <v>0</v>
      </c>
      <c r="P3036">
        <v>0</v>
      </c>
      <c r="Q3036">
        <v>0</v>
      </c>
      <c r="T3036">
        <v>0</v>
      </c>
      <c r="U3036" t="s">
        <v>5168</v>
      </c>
    </row>
    <row r="3037" spans="1:21" x14ac:dyDescent="0.25">
      <c r="H3037" t="s">
        <v>5169</v>
      </c>
    </row>
    <row r="3038" spans="1:21" x14ac:dyDescent="0.25">
      <c r="A3038">
        <v>1516</v>
      </c>
      <c r="B3038">
        <v>5332</v>
      </c>
      <c r="C3038" t="s">
        <v>5170</v>
      </c>
      <c r="D3038" t="s">
        <v>135</v>
      </c>
      <c r="E3038" t="s">
        <v>65</v>
      </c>
      <c r="F3038" t="s">
        <v>5171</v>
      </c>
      <c r="G3038" t="str">
        <f>"201511013575"</f>
        <v>201511013575</v>
      </c>
      <c r="H3038">
        <v>682</v>
      </c>
      <c r="I3038">
        <v>0</v>
      </c>
      <c r="J3038">
        <v>0</v>
      </c>
      <c r="K3038">
        <v>0</v>
      </c>
      <c r="L3038">
        <v>0</v>
      </c>
      <c r="M3038">
        <v>50</v>
      </c>
      <c r="N3038">
        <v>0</v>
      </c>
      <c r="O3038">
        <v>0</v>
      </c>
      <c r="P3038">
        <v>0</v>
      </c>
      <c r="Q3038">
        <v>0</v>
      </c>
      <c r="T3038">
        <v>0</v>
      </c>
      <c r="U3038">
        <v>732</v>
      </c>
    </row>
    <row r="3039" spans="1:21" x14ac:dyDescent="0.25">
      <c r="H3039" t="s">
        <v>5172</v>
      </c>
    </row>
    <row r="3040" spans="1:21" x14ac:dyDescent="0.25">
      <c r="A3040">
        <v>1517</v>
      </c>
      <c r="B3040">
        <v>5621</v>
      </c>
      <c r="C3040" t="s">
        <v>5173</v>
      </c>
      <c r="D3040" t="s">
        <v>36</v>
      </c>
      <c r="E3040" t="s">
        <v>37</v>
      </c>
      <c r="F3040" t="s">
        <v>5174</v>
      </c>
      <c r="G3040" t="str">
        <f>"201409000233"</f>
        <v>201409000233</v>
      </c>
      <c r="H3040">
        <v>682</v>
      </c>
      <c r="I3040">
        <v>0</v>
      </c>
      <c r="J3040">
        <v>50</v>
      </c>
      <c r="K3040">
        <v>0</v>
      </c>
      <c r="L3040">
        <v>0</v>
      </c>
      <c r="M3040">
        <v>0</v>
      </c>
      <c r="N3040">
        <v>0</v>
      </c>
      <c r="O3040">
        <v>0</v>
      </c>
      <c r="P3040">
        <v>0</v>
      </c>
      <c r="Q3040">
        <v>0</v>
      </c>
      <c r="T3040">
        <v>0</v>
      </c>
      <c r="U3040">
        <v>732</v>
      </c>
    </row>
    <row r="3041" spans="1:21" x14ac:dyDescent="0.25">
      <c r="H3041" t="s">
        <v>5175</v>
      </c>
    </row>
    <row r="3042" spans="1:21" x14ac:dyDescent="0.25">
      <c r="A3042">
        <v>1518</v>
      </c>
      <c r="B3042">
        <v>5599</v>
      </c>
      <c r="C3042" t="s">
        <v>1944</v>
      </c>
      <c r="D3042" t="s">
        <v>1463</v>
      </c>
      <c r="E3042" t="s">
        <v>1820</v>
      </c>
      <c r="F3042" t="s">
        <v>5176</v>
      </c>
      <c r="G3042" t="str">
        <f>"201511036480"</f>
        <v>201511036480</v>
      </c>
      <c r="H3042" t="s">
        <v>5177</v>
      </c>
      <c r="I3042">
        <v>0</v>
      </c>
      <c r="J3042">
        <v>30</v>
      </c>
      <c r="K3042">
        <v>0</v>
      </c>
      <c r="L3042">
        <v>0</v>
      </c>
      <c r="M3042">
        <v>0</v>
      </c>
      <c r="N3042">
        <v>0</v>
      </c>
      <c r="O3042">
        <v>0</v>
      </c>
      <c r="P3042">
        <v>0</v>
      </c>
      <c r="Q3042">
        <v>0</v>
      </c>
      <c r="T3042">
        <v>0</v>
      </c>
      <c r="U3042" t="s">
        <v>5178</v>
      </c>
    </row>
    <row r="3043" spans="1:21" x14ac:dyDescent="0.25">
      <c r="H3043" t="s">
        <v>5179</v>
      </c>
    </row>
    <row r="3044" spans="1:21" x14ac:dyDescent="0.25">
      <c r="A3044">
        <v>1519</v>
      </c>
      <c r="B3044">
        <v>1155</v>
      </c>
      <c r="C3044" t="s">
        <v>1802</v>
      </c>
      <c r="D3044" t="s">
        <v>502</v>
      </c>
      <c r="E3044" t="s">
        <v>135</v>
      </c>
      <c r="F3044" t="s">
        <v>5180</v>
      </c>
      <c r="G3044" t="str">
        <f>"00024324"</f>
        <v>00024324</v>
      </c>
      <c r="H3044" t="s">
        <v>3478</v>
      </c>
      <c r="I3044">
        <v>0</v>
      </c>
      <c r="J3044">
        <v>0</v>
      </c>
      <c r="K3044">
        <v>0</v>
      </c>
      <c r="L3044">
        <v>0</v>
      </c>
      <c r="M3044">
        <v>0</v>
      </c>
      <c r="N3044">
        <v>0</v>
      </c>
      <c r="O3044">
        <v>0</v>
      </c>
      <c r="P3044">
        <v>0</v>
      </c>
      <c r="Q3044">
        <v>0</v>
      </c>
      <c r="T3044">
        <v>0</v>
      </c>
      <c r="U3044" t="s">
        <v>3478</v>
      </c>
    </row>
    <row r="3045" spans="1:21" x14ac:dyDescent="0.25">
      <c r="H3045" t="s">
        <v>5181</v>
      </c>
    </row>
    <row r="3046" spans="1:21" x14ac:dyDescent="0.25">
      <c r="A3046">
        <v>1520</v>
      </c>
      <c r="B3046">
        <v>911</v>
      </c>
      <c r="C3046" t="s">
        <v>5182</v>
      </c>
      <c r="D3046" t="s">
        <v>57</v>
      </c>
      <c r="E3046" t="s">
        <v>36</v>
      </c>
      <c r="F3046" t="s">
        <v>5183</v>
      </c>
      <c r="G3046" t="str">
        <f>"201511032009"</f>
        <v>201511032009</v>
      </c>
      <c r="H3046">
        <v>660</v>
      </c>
      <c r="I3046">
        <v>0</v>
      </c>
      <c r="J3046">
        <v>70</v>
      </c>
      <c r="K3046">
        <v>0</v>
      </c>
      <c r="L3046">
        <v>0</v>
      </c>
      <c r="M3046">
        <v>0</v>
      </c>
      <c r="N3046">
        <v>0</v>
      </c>
      <c r="O3046">
        <v>0</v>
      </c>
      <c r="P3046">
        <v>0</v>
      </c>
      <c r="Q3046">
        <v>0</v>
      </c>
      <c r="T3046">
        <v>1</v>
      </c>
      <c r="U3046">
        <v>730</v>
      </c>
    </row>
    <row r="3047" spans="1:21" x14ac:dyDescent="0.25">
      <c r="H3047" t="s">
        <v>5184</v>
      </c>
    </row>
    <row r="3048" spans="1:21" x14ac:dyDescent="0.25">
      <c r="A3048">
        <v>1521</v>
      </c>
      <c r="B3048">
        <v>8486</v>
      </c>
      <c r="C3048" t="s">
        <v>5185</v>
      </c>
      <c r="D3048" t="s">
        <v>5186</v>
      </c>
      <c r="E3048" t="s">
        <v>5187</v>
      </c>
      <c r="F3048" t="s">
        <v>5188</v>
      </c>
      <c r="G3048" t="str">
        <f>"00043910"</f>
        <v>00043910</v>
      </c>
      <c r="H3048">
        <v>550</v>
      </c>
      <c r="I3048">
        <v>150</v>
      </c>
      <c r="J3048">
        <v>30</v>
      </c>
      <c r="K3048">
        <v>0</v>
      </c>
      <c r="L3048">
        <v>0</v>
      </c>
      <c r="M3048">
        <v>0</v>
      </c>
      <c r="N3048">
        <v>0</v>
      </c>
      <c r="O3048">
        <v>0</v>
      </c>
      <c r="P3048">
        <v>0</v>
      </c>
      <c r="Q3048">
        <v>0</v>
      </c>
      <c r="R3048">
        <v>6</v>
      </c>
      <c r="S3048">
        <v>807</v>
      </c>
      <c r="T3048">
        <v>0</v>
      </c>
      <c r="U3048">
        <v>730</v>
      </c>
    </row>
    <row r="3049" spans="1:21" x14ac:dyDescent="0.25">
      <c r="H3049" t="s">
        <v>5189</v>
      </c>
    </row>
    <row r="3050" spans="1:21" x14ac:dyDescent="0.25">
      <c r="A3050">
        <v>1522</v>
      </c>
      <c r="B3050">
        <v>4524</v>
      </c>
      <c r="C3050" t="s">
        <v>5190</v>
      </c>
      <c r="D3050" t="s">
        <v>1182</v>
      </c>
      <c r="E3050" t="s">
        <v>1136</v>
      </c>
      <c r="F3050" t="s">
        <v>5191</v>
      </c>
      <c r="G3050" t="str">
        <f>"00022722"</f>
        <v>00022722</v>
      </c>
      <c r="H3050" t="s">
        <v>5192</v>
      </c>
      <c r="I3050">
        <v>0</v>
      </c>
      <c r="J3050">
        <v>0</v>
      </c>
      <c r="K3050">
        <v>0</v>
      </c>
      <c r="L3050">
        <v>0</v>
      </c>
      <c r="M3050">
        <v>0</v>
      </c>
      <c r="N3050">
        <v>0</v>
      </c>
      <c r="O3050">
        <v>0</v>
      </c>
      <c r="P3050">
        <v>0</v>
      </c>
      <c r="Q3050">
        <v>0</v>
      </c>
      <c r="T3050">
        <v>0</v>
      </c>
      <c r="U3050" t="s">
        <v>5192</v>
      </c>
    </row>
    <row r="3051" spans="1:21" x14ac:dyDescent="0.25">
      <c r="H3051" t="s">
        <v>5193</v>
      </c>
    </row>
    <row r="3052" spans="1:21" x14ac:dyDescent="0.25">
      <c r="A3052">
        <v>1523</v>
      </c>
      <c r="B3052">
        <v>2562</v>
      </c>
      <c r="C3052" t="s">
        <v>5194</v>
      </c>
      <c r="D3052" t="s">
        <v>5195</v>
      </c>
      <c r="E3052" t="s">
        <v>366</v>
      </c>
      <c r="F3052" t="s">
        <v>5196</v>
      </c>
      <c r="G3052" t="str">
        <f>"201510001128"</f>
        <v>201510001128</v>
      </c>
      <c r="H3052">
        <v>726</v>
      </c>
      <c r="I3052">
        <v>0</v>
      </c>
      <c r="J3052">
        <v>0</v>
      </c>
      <c r="K3052">
        <v>0</v>
      </c>
      <c r="L3052">
        <v>0</v>
      </c>
      <c r="M3052">
        <v>0</v>
      </c>
      <c r="N3052">
        <v>0</v>
      </c>
      <c r="O3052">
        <v>0</v>
      </c>
      <c r="P3052">
        <v>0</v>
      </c>
      <c r="Q3052">
        <v>0</v>
      </c>
      <c r="T3052">
        <v>0</v>
      </c>
      <c r="U3052">
        <v>726</v>
      </c>
    </row>
    <row r="3053" spans="1:21" x14ac:dyDescent="0.25">
      <c r="H3053" t="s">
        <v>5197</v>
      </c>
    </row>
    <row r="3054" spans="1:21" x14ac:dyDescent="0.25">
      <c r="A3054">
        <v>1524</v>
      </c>
      <c r="B3054">
        <v>7754</v>
      </c>
      <c r="C3054" t="s">
        <v>5198</v>
      </c>
      <c r="D3054" t="s">
        <v>134</v>
      </c>
      <c r="E3054" t="s">
        <v>65</v>
      </c>
      <c r="F3054" t="s">
        <v>5199</v>
      </c>
      <c r="G3054" t="str">
        <f>"00094531"</f>
        <v>00094531</v>
      </c>
      <c r="H3054" t="s">
        <v>5200</v>
      </c>
      <c r="I3054">
        <v>0</v>
      </c>
      <c r="J3054">
        <v>0</v>
      </c>
      <c r="K3054">
        <v>0</v>
      </c>
      <c r="L3054">
        <v>0</v>
      </c>
      <c r="M3054">
        <v>0</v>
      </c>
      <c r="N3054">
        <v>0</v>
      </c>
      <c r="O3054">
        <v>0</v>
      </c>
      <c r="P3054">
        <v>0</v>
      </c>
      <c r="Q3054">
        <v>0</v>
      </c>
      <c r="T3054">
        <v>0</v>
      </c>
      <c r="U3054" t="s">
        <v>5200</v>
      </c>
    </row>
    <row r="3055" spans="1:21" x14ac:dyDescent="0.25">
      <c r="H3055" t="s">
        <v>5201</v>
      </c>
    </row>
    <row r="3056" spans="1:21" x14ac:dyDescent="0.25">
      <c r="A3056">
        <v>1525</v>
      </c>
      <c r="B3056">
        <v>4567</v>
      </c>
      <c r="C3056" t="s">
        <v>258</v>
      </c>
      <c r="D3056" t="s">
        <v>207</v>
      </c>
      <c r="E3056" t="s">
        <v>332</v>
      </c>
      <c r="F3056" t="s">
        <v>5202</v>
      </c>
      <c r="G3056" t="str">
        <f>"201511032915"</f>
        <v>201511032915</v>
      </c>
      <c r="H3056" t="s">
        <v>5200</v>
      </c>
      <c r="I3056">
        <v>0</v>
      </c>
      <c r="J3056">
        <v>0</v>
      </c>
      <c r="K3056">
        <v>0</v>
      </c>
      <c r="L3056">
        <v>0</v>
      </c>
      <c r="M3056">
        <v>0</v>
      </c>
      <c r="N3056">
        <v>0</v>
      </c>
      <c r="O3056">
        <v>0</v>
      </c>
      <c r="P3056">
        <v>0</v>
      </c>
      <c r="Q3056">
        <v>0</v>
      </c>
      <c r="T3056">
        <v>0</v>
      </c>
      <c r="U3056" t="s">
        <v>5200</v>
      </c>
    </row>
    <row r="3057" spans="1:21" x14ac:dyDescent="0.25">
      <c r="H3057" t="s">
        <v>5014</v>
      </c>
    </row>
    <row r="3058" spans="1:21" x14ac:dyDescent="0.25">
      <c r="A3058">
        <v>1526</v>
      </c>
      <c r="B3058">
        <v>10194</v>
      </c>
      <c r="C3058" t="s">
        <v>5203</v>
      </c>
      <c r="D3058" t="s">
        <v>46</v>
      </c>
      <c r="E3058" t="s">
        <v>122</v>
      </c>
      <c r="F3058" t="s">
        <v>5204</v>
      </c>
      <c r="G3058" t="str">
        <f>"00085898"</f>
        <v>00085898</v>
      </c>
      <c r="H3058">
        <v>693</v>
      </c>
      <c r="I3058">
        <v>0</v>
      </c>
      <c r="J3058">
        <v>30</v>
      </c>
      <c r="K3058">
        <v>0</v>
      </c>
      <c r="L3058">
        <v>0</v>
      </c>
      <c r="M3058">
        <v>0</v>
      </c>
      <c r="N3058">
        <v>0</v>
      </c>
      <c r="O3058">
        <v>0</v>
      </c>
      <c r="P3058">
        <v>0</v>
      </c>
      <c r="Q3058">
        <v>0</v>
      </c>
      <c r="T3058">
        <v>1</v>
      </c>
      <c r="U3058">
        <v>723</v>
      </c>
    </row>
    <row r="3059" spans="1:21" x14ac:dyDescent="0.25">
      <c r="H3059" t="s">
        <v>5205</v>
      </c>
    </row>
    <row r="3060" spans="1:21" x14ac:dyDescent="0.25">
      <c r="A3060">
        <v>1527</v>
      </c>
      <c r="B3060">
        <v>7968</v>
      </c>
      <c r="C3060" t="s">
        <v>5206</v>
      </c>
      <c r="D3060" t="s">
        <v>95</v>
      </c>
      <c r="E3060" t="s">
        <v>37</v>
      </c>
      <c r="F3060" t="s">
        <v>5207</v>
      </c>
      <c r="G3060" t="str">
        <f>"201511036986"</f>
        <v>201511036986</v>
      </c>
      <c r="H3060">
        <v>693</v>
      </c>
      <c r="I3060">
        <v>0</v>
      </c>
      <c r="J3060">
        <v>30</v>
      </c>
      <c r="K3060">
        <v>0</v>
      </c>
      <c r="L3060">
        <v>0</v>
      </c>
      <c r="M3060">
        <v>0</v>
      </c>
      <c r="N3060">
        <v>0</v>
      </c>
      <c r="O3060">
        <v>0</v>
      </c>
      <c r="P3060">
        <v>0</v>
      </c>
      <c r="Q3060">
        <v>0</v>
      </c>
      <c r="T3060">
        <v>0</v>
      </c>
      <c r="U3060">
        <v>723</v>
      </c>
    </row>
    <row r="3061" spans="1:21" x14ac:dyDescent="0.25">
      <c r="H3061" t="s">
        <v>5208</v>
      </c>
    </row>
    <row r="3062" spans="1:21" x14ac:dyDescent="0.25">
      <c r="A3062">
        <v>1528</v>
      </c>
      <c r="B3062">
        <v>7805</v>
      </c>
      <c r="C3062" t="s">
        <v>5209</v>
      </c>
      <c r="D3062" t="s">
        <v>589</v>
      </c>
      <c r="E3062" t="s">
        <v>366</v>
      </c>
      <c r="F3062" t="s">
        <v>5210</v>
      </c>
      <c r="G3062" t="str">
        <f>"00092126"</f>
        <v>00092126</v>
      </c>
      <c r="H3062" t="s">
        <v>5211</v>
      </c>
      <c r="I3062">
        <v>0</v>
      </c>
      <c r="J3062">
        <v>0</v>
      </c>
      <c r="K3062">
        <v>0</v>
      </c>
      <c r="L3062">
        <v>0</v>
      </c>
      <c r="M3062">
        <v>0</v>
      </c>
      <c r="N3062">
        <v>0</v>
      </c>
      <c r="O3062">
        <v>0</v>
      </c>
      <c r="P3062">
        <v>0</v>
      </c>
      <c r="Q3062">
        <v>0</v>
      </c>
      <c r="T3062">
        <v>1</v>
      </c>
      <c r="U3062" t="s">
        <v>5211</v>
      </c>
    </row>
    <row r="3063" spans="1:21" x14ac:dyDescent="0.25">
      <c r="H3063" t="s">
        <v>5212</v>
      </c>
    </row>
    <row r="3064" spans="1:21" x14ac:dyDescent="0.25">
      <c r="A3064">
        <v>1529</v>
      </c>
      <c r="B3064">
        <v>1893</v>
      </c>
      <c r="C3064" t="s">
        <v>5213</v>
      </c>
      <c r="D3064" t="s">
        <v>64</v>
      </c>
      <c r="E3064" t="s">
        <v>449</v>
      </c>
      <c r="F3064" t="s">
        <v>5214</v>
      </c>
      <c r="G3064" t="str">
        <f>"201511035673"</f>
        <v>201511035673</v>
      </c>
      <c r="H3064" t="s">
        <v>5211</v>
      </c>
      <c r="I3064">
        <v>0</v>
      </c>
      <c r="J3064">
        <v>0</v>
      </c>
      <c r="K3064">
        <v>0</v>
      </c>
      <c r="L3064">
        <v>0</v>
      </c>
      <c r="M3064">
        <v>0</v>
      </c>
      <c r="N3064">
        <v>0</v>
      </c>
      <c r="O3064">
        <v>0</v>
      </c>
      <c r="P3064">
        <v>0</v>
      </c>
      <c r="Q3064">
        <v>0</v>
      </c>
      <c r="T3064">
        <v>1</v>
      </c>
      <c r="U3064" t="s">
        <v>5211</v>
      </c>
    </row>
    <row r="3065" spans="1:21" x14ac:dyDescent="0.25">
      <c r="H3065" t="s">
        <v>5215</v>
      </c>
    </row>
    <row r="3066" spans="1:21" x14ac:dyDescent="0.25">
      <c r="A3066">
        <v>1530</v>
      </c>
      <c r="B3066">
        <v>1944</v>
      </c>
      <c r="C3066" t="s">
        <v>5216</v>
      </c>
      <c r="D3066" t="s">
        <v>646</v>
      </c>
      <c r="E3066" t="s">
        <v>122</v>
      </c>
      <c r="F3066" t="s">
        <v>5217</v>
      </c>
      <c r="G3066" t="str">
        <f>"00047959"</f>
        <v>00047959</v>
      </c>
      <c r="H3066" t="s">
        <v>5211</v>
      </c>
      <c r="I3066">
        <v>0</v>
      </c>
      <c r="J3066">
        <v>0</v>
      </c>
      <c r="K3066">
        <v>0</v>
      </c>
      <c r="L3066">
        <v>0</v>
      </c>
      <c r="M3066">
        <v>0</v>
      </c>
      <c r="N3066">
        <v>0</v>
      </c>
      <c r="O3066">
        <v>0</v>
      </c>
      <c r="P3066">
        <v>0</v>
      </c>
      <c r="Q3066">
        <v>0</v>
      </c>
      <c r="R3066">
        <v>6</v>
      </c>
      <c r="S3066">
        <v>763</v>
      </c>
      <c r="T3066">
        <v>0</v>
      </c>
      <c r="U3066" t="s">
        <v>5211</v>
      </c>
    </row>
    <row r="3067" spans="1:21" x14ac:dyDescent="0.25">
      <c r="H3067">
        <v>763</v>
      </c>
    </row>
    <row r="3068" spans="1:21" x14ac:dyDescent="0.25">
      <c r="A3068">
        <v>1531</v>
      </c>
      <c r="B3068">
        <v>706</v>
      </c>
      <c r="C3068" t="s">
        <v>5218</v>
      </c>
      <c r="D3068" t="s">
        <v>1024</v>
      </c>
      <c r="E3068" t="s">
        <v>36</v>
      </c>
      <c r="F3068" t="s">
        <v>5219</v>
      </c>
      <c r="G3068" t="str">
        <f>"00021377"</f>
        <v>00021377</v>
      </c>
      <c r="H3068" t="s">
        <v>3618</v>
      </c>
      <c r="I3068">
        <v>0</v>
      </c>
      <c r="J3068">
        <v>0</v>
      </c>
      <c r="K3068">
        <v>0</v>
      </c>
      <c r="L3068">
        <v>0</v>
      </c>
      <c r="M3068">
        <v>0</v>
      </c>
      <c r="N3068">
        <v>0</v>
      </c>
      <c r="O3068">
        <v>0</v>
      </c>
      <c r="P3068">
        <v>0</v>
      </c>
      <c r="Q3068">
        <v>0</v>
      </c>
      <c r="T3068">
        <v>0</v>
      </c>
      <c r="U3068" t="s">
        <v>3618</v>
      </c>
    </row>
    <row r="3069" spans="1:21" x14ac:dyDescent="0.25">
      <c r="H3069" t="s">
        <v>5220</v>
      </c>
    </row>
    <row r="3070" spans="1:21" x14ac:dyDescent="0.25">
      <c r="A3070">
        <v>1532</v>
      </c>
      <c r="B3070">
        <v>4318</v>
      </c>
      <c r="C3070" t="s">
        <v>5221</v>
      </c>
      <c r="D3070" t="s">
        <v>304</v>
      </c>
      <c r="E3070" t="s">
        <v>231</v>
      </c>
      <c r="F3070" t="s">
        <v>5222</v>
      </c>
      <c r="G3070" t="str">
        <f>"201511029384"</f>
        <v>201511029384</v>
      </c>
      <c r="H3070" t="s">
        <v>5223</v>
      </c>
      <c r="I3070">
        <v>0</v>
      </c>
      <c r="J3070">
        <v>0</v>
      </c>
      <c r="K3070">
        <v>0</v>
      </c>
      <c r="L3070">
        <v>0</v>
      </c>
      <c r="M3070">
        <v>0</v>
      </c>
      <c r="N3070">
        <v>0</v>
      </c>
      <c r="O3070">
        <v>0</v>
      </c>
      <c r="P3070">
        <v>0</v>
      </c>
      <c r="Q3070">
        <v>0</v>
      </c>
      <c r="T3070">
        <v>0</v>
      </c>
      <c r="U3070" t="s">
        <v>5223</v>
      </c>
    </row>
    <row r="3071" spans="1:21" x14ac:dyDescent="0.25">
      <c r="H3071" t="s">
        <v>5224</v>
      </c>
    </row>
    <row r="3072" spans="1:21" x14ac:dyDescent="0.25">
      <c r="A3072">
        <v>1533</v>
      </c>
      <c r="B3072">
        <v>476</v>
      </c>
      <c r="C3072" t="s">
        <v>5225</v>
      </c>
      <c r="D3072" t="s">
        <v>2612</v>
      </c>
      <c r="E3072" t="s">
        <v>36</v>
      </c>
      <c r="F3072" t="s">
        <v>5226</v>
      </c>
      <c r="G3072" t="str">
        <f>"00068573"</f>
        <v>00068573</v>
      </c>
      <c r="H3072" t="s">
        <v>5223</v>
      </c>
      <c r="I3072">
        <v>0</v>
      </c>
      <c r="J3072">
        <v>0</v>
      </c>
      <c r="K3072">
        <v>0</v>
      </c>
      <c r="L3072">
        <v>0</v>
      </c>
      <c r="M3072">
        <v>0</v>
      </c>
      <c r="N3072">
        <v>0</v>
      </c>
      <c r="O3072">
        <v>0</v>
      </c>
      <c r="P3072">
        <v>0</v>
      </c>
      <c r="Q3072">
        <v>0</v>
      </c>
      <c r="T3072">
        <v>0</v>
      </c>
      <c r="U3072" t="s">
        <v>5223</v>
      </c>
    </row>
    <row r="3073" spans="1:21" x14ac:dyDescent="0.25">
      <c r="H3073" t="s">
        <v>5227</v>
      </c>
    </row>
    <row r="3074" spans="1:21" x14ac:dyDescent="0.25">
      <c r="A3074">
        <v>1534</v>
      </c>
      <c r="B3074">
        <v>2708</v>
      </c>
      <c r="C3074" t="s">
        <v>5228</v>
      </c>
      <c r="D3074" t="s">
        <v>285</v>
      </c>
      <c r="E3074" t="s">
        <v>366</v>
      </c>
      <c r="F3074" t="s">
        <v>5229</v>
      </c>
      <c r="G3074" t="str">
        <f>"00046129"</f>
        <v>00046129</v>
      </c>
      <c r="H3074">
        <v>715</v>
      </c>
      <c r="I3074">
        <v>0</v>
      </c>
      <c r="J3074">
        <v>0</v>
      </c>
      <c r="K3074">
        <v>0</v>
      </c>
      <c r="L3074">
        <v>0</v>
      </c>
      <c r="M3074">
        <v>0</v>
      </c>
      <c r="N3074">
        <v>0</v>
      </c>
      <c r="O3074">
        <v>0</v>
      </c>
      <c r="P3074">
        <v>0</v>
      </c>
      <c r="Q3074">
        <v>0</v>
      </c>
      <c r="T3074">
        <v>0</v>
      </c>
      <c r="U3074">
        <v>715</v>
      </c>
    </row>
    <row r="3075" spans="1:21" x14ac:dyDescent="0.25">
      <c r="H3075" t="s">
        <v>5230</v>
      </c>
    </row>
    <row r="3076" spans="1:21" x14ac:dyDescent="0.25">
      <c r="A3076">
        <v>1535</v>
      </c>
      <c r="B3076">
        <v>6201</v>
      </c>
      <c r="C3076" t="s">
        <v>1647</v>
      </c>
      <c r="D3076" t="s">
        <v>64</v>
      </c>
      <c r="E3076" t="s">
        <v>350</v>
      </c>
      <c r="F3076" t="s">
        <v>5231</v>
      </c>
      <c r="G3076" t="str">
        <f>"201511041931"</f>
        <v>201511041931</v>
      </c>
      <c r="H3076">
        <v>715</v>
      </c>
      <c r="I3076">
        <v>0</v>
      </c>
      <c r="J3076">
        <v>0</v>
      </c>
      <c r="K3076">
        <v>0</v>
      </c>
      <c r="L3076">
        <v>0</v>
      </c>
      <c r="M3076">
        <v>0</v>
      </c>
      <c r="N3076">
        <v>0</v>
      </c>
      <c r="O3076">
        <v>0</v>
      </c>
      <c r="P3076">
        <v>0</v>
      </c>
      <c r="Q3076">
        <v>0</v>
      </c>
      <c r="T3076">
        <v>0</v>
      </c>
      <c r="U3076">
        <v>715</v>
      </c>
    </row>
    <row r="3077" spans="1:21" x14ac:dyDescent="0.25">
      <c r="H3077" t="s">
        <v>4550</v>
      </c>
    </row>
    <row r="3078" spans="1:21" x14ac:dyDescent="0.25">
      <c r="A3078">
        <v>1536</v>
      </c>
      <c r="B3078">
        <v>7039</v>
      </c>
      <c r="C3078" t="s">
        <v>5232</v>
      </c>
      <c r="D3078" t="s">
        <v>145</v>
      </c>
      <c r="E3078" t="s">
        <v>263</v>
      </c>
      <c r="F3078" t="s">
        <v>5233</v>
      </c>
      <c r="G3078" t="str">
        <f>"00042612"</f>
        <v>00042612</v>
      </c>
      <c r="H3078">
        <v>715</v>
      </c>
      <c r="I3078">
        <v>0</v>
      </c>
      <c r="J3078">
        <v>0</v>
      </c>
      <c r="K3078">
        <v>0</v>
      </c>
      <c r="L3078">
        <v>0</v>
      </c>
      <c r="M3078">
        <v>0</v>
      </c>
      <c r="N3078">
        <v>0</v>
      </c>
      <c r="O3078">
        <v>0</v>
      </c>
      <c r="P3078">
        <v>0</v>
      </c>
      <c r="Q3078">
        <v>0</v>
      </c>
      <c r="R3078">
        <v>6</v>
      </c>
      <c r="S3078">
        <v>804</v>
      </c>
      <c r="T3078">
        <v>0</v>
      </c>
      <c r="U3078">
        <v>715</v>
      </c>
    </row>
    <row r="3079" spans="1:21" x14ac:dyDescent="0.25">
      <c r="H3079" t="s">
        <v>5234</v>
      </c>
    </row>
    <row r="3080" spans="1:21" x14ac:dyDescent="0.25">
      <c r="A3080">
        <v>1537</v>
      </c>
      <c r="B3080">
        <v>7039</v>
      </c>
      <c r="C3080" t="s">
        <v>5232</v>
      </c>
      <c r="D3080" t="s">
        <v>145</v>
      </c>
      <c r="E3080" t="s">
        <v>263</v>
      </c>
      <c r="F3080" t="s">
        <v>5233</v>
      </c>
      <c r="G3080" t="str">
        <f>"00042612"</f>
        <v>00042612</v>
      </c>
      <c r="H3080">
        <v>715</v>
      </c>
      <c r="I3080">
        <v>0</v>
      </c>
      <c r="J3080">
        <v>0</v>
      </c>
      <c r="K3080">
        <v>0</v>
      </c>
      <c r="L3080">
        <v>0</v>
      </c>
      <c r="M3080">
        <v>0</v>
      </c>
      <c r="N3080">
        <v>0</v>
      </c>
      <c r="O3080">
        <v>0</v>
      </c>
      <c r="P3080">
        <v>0</v>
      </c>
      <c r="Q3080">
        <v>0</v>
      </c>
      <c r="T3080">
        <v>0</v>
      </c>
      <c r="U3080">
        <v>715</v>
      </c>
    </row>
    <row r="3081" spans="1:21" x14ac:dyDescent="0.25">
      <c r="H3081" t="s">
        <v>5234</v>
      </c>
    </row>
    <row r="3082" spans="1:21" x14ac:dyDescent="0.25">
      <c r="A3082">
        <v>1538</v>
      </c>
      <c r="B3082">
        <v>2986</v>
      </c>
      <c r="C3082" t="s">
        <v>5235</v>
      </c>
      <c r="D3082" t="s">
        <v>1683</v>
      </c>
      <c r="E3082" t="s">
        <v>122</v>
      </c>
      <c r="F3082" t="s">
        <v>5236</v>
      </c>
      <c r="G3082" t="str">
        <f>"201511025438"</f>
        <v>201511025438</v>
      </c>
      <c r="H3082">
        <v>715</v>
      </c>
      <c r="I3082">
        <v>0</v>
      </c>
      <c r="J3082">
        <v>0</v>
      </c>
      <c r="K3082">
        <v>0</v>
      </c>
      <c r="L3082">
        <v>0</v>
      </c>
      <c r="M3082">
        <v>0</v>
      </c>
      <c r="N3082">
        <v>0</v>
      </c>
      <c r="O3082">
        <v>0</v>
      </c>
      <c r="P3082">
        <v>0</v>
      </c>
      <c r="Q3082">
        <v>0</v>
      </c>
      <c r="T3082">
        <v>0</v>
      </c>
      <c r="U3082">
        <v>715</v>
      </c>
    </row>
    <row r="3083" spans="1:21" x14ac:dyDescent="0.25">
      <c r="H3083" t="s">
        <v>685</v>
      </c>
    </row>
    <row r="3084" spans="1:21" x14ac:dyDescent="0.25">
      <c r="A3084">
        <v>1539</v>
      </c>
      <c r="B3084">
        <v>10211</v>
      </c>
      <c r="C3084" t="s">
        <v>5237</v>
      </c>
      <c r="D3084" t="s">
        <v>121</v>
      </c>
      <c r="E3084" t="s">
        <v>1005</v>
      </c>
      <c r="F3084" t="s">
        <v>5238</v>
      </c>
      <c r="G3084" t="str">
        <f>"00020865"</f>
        <v>00020865</v>
      </c>
      <c r="H3084">
        <v>715</v>
      </c>
      <c r="I3084">
        <v>0</v>
      </c>
      <c r="J3084">
        <v>0</v>
      </c>
      <c r="K3084">
        <v>0</v>
      </c>
      <c r="L3084">
        <v>0</v>
      </c>
      <c r="M3084">
        <v>0</v>
      </c>
      <c r="N3084">
        <v>0</v>
      </c>
      <c r="O3084">
        <v>0</v>
      </c>
      <c r="P3084">
        <v>0</v>
      </c>
      <c r="Q3084">
        <v>0</v>
      </c>
      <c r="T3084">
        <v>0</v>
      </c>
      <c r="U3084">
        <v>715</v>
      </c>
    </row>
    <row r="3085" spans="1:21" x14ac:dyDescent="0.25">
      <c r="H3085" t="s">
        <v>5239</v>
      </c>
    </row>
    <row r="3086" spans="1:21" x14ac:dyDescent="0.25">
      <c r="A3086">
        <v>1540</v>
      </c>
      <c r="B3086">
        <v>10047</v>
      </c>
      <c r="C3086" t="s">
        <v>5240</v>
      </c>
      <c r="D3086" t="s">
        <v>5241</v>
      </c>
      <c r="E3086" t="s">
        <v>533</v>
      </c>
      <c r="F3086" t="s">
        <v>5242</v>
      </c>
      <c r="G3086" t="str">
        <f>"201511009771"</f>
        <v>201511009771</v>
      </c>
      <c r="H3086">
        <v>715</v>
      </c>
      <c r="I3086">
        <v>0</v>
      </c>
      <c r="J3086">
        <v>0</v>
      </c>
      <c r="K3086">
        <v>0</v>
      </c>
      <c r="L3086">
        <v>0</v>
      </c>
      <c r="M3086">
        <v>0</v>
      </c>
      <c r="N3086">
        <v>0</v>
      </c>
      <c r="O3086">
        <v>0</v>
      </c>
      <c r="P3086">
        <v>0</v>
      </c>
      <c r="Q3086">
        <v>0</v>
      </c>
      <c r="T3086">
        <v>0</v>
      </c>
      <c r="U3086">
        <v>715</v>
      </c>
    </row>
    <row r="3087" spans="1:21" x14ac:dyDescent="0.25">
      <c r="H3087" t="s">
        <v>5243</v>
      </c>
    </row>
    <row r="3088" spans="1:21" x14ac:dyDescent="0.25">
      <c r="A3088">
        <v>1541</v>
      </c>
      <c r="B3088">
        <v>3772</v>
      </c>
      <c r="C3088" t="s">
        <v>5244</v>
      </c>
      <c r="D3088" t="s">
        <v>5245</v>
      </c>
      <c r="E3088" t="s">
        <v>42</v>
      </c>
      <c r="F3088" t="s">
        <v>5246</v>
      </c>
      <c r="G3088" t="str">
        <f>"00024143"</f>
        <v>00024143</v>
      </c>
      <c r="H3088">
        <v>715</v>
      </c>
      <c r="I3088">
        <v>0</v>
      </c>
      <c r="J3088">
        <v>0</v>
      </c>
      <c r="K3088">
        <v>0</v>
      </c>
      <c r="L3088">
        <v>0</v>
      </c>
      <c r="M3088">
        <v>0</v>
      </c>
      <c r="N3088">
        <v>0</v>
      </c>
      <c r="O3088">
        <v>0</v>
      </c>
      <c r="P3088">
        <v>0</v>
      </c>
      <c r="Q3088">
        <v>0</v>
      </c>
      <c r="T3088">
        <v>2</v>
      </c>
      <c r="U3088">
        <v>715</v>
      </c>
    </row>
    <row r="3089" spans="1:21" x14ac:dyDescent="0.25">
      <c r="H3089" t="s">
        <v>5247</v>
      </c>
    </row>
    <row r="3090" spans="1:21" x14ac:dyDescent="0.25">
      <c r="A3090">
        <v>1542</v>
      </c>
      <c r="B3090">
        <v>2624</v>
      </c>
      <c r="C3090" t="s">
        <v>5248</v>
      </c>
      <c r="D3090" t="s">
        <v>78</v>
      </c>
      <c r="E3090" t="s">
        <v>42</v>
      </c>
      <c r="F3090" t="s">
        <v>5249</v>
      </c>
      <c r="G3090" t="str">
        <f>"00027380"</f>
        <v>00027380</v>
      </c>
      <c r="H3090">
        <v>715</v>
      </c>
      <c r="I3090">
        <v>0</v>
      </c>
      <c r="J3090">
        <v>0</v>
      </c>
      <c r="K3090">
        <v>0</v>
      </c>
      <c r="L3090">
        <v>0</v>
      </c>
      <c r="M3090">
        <v>0</v>
      </c>
      <c r="N3090">
        <v>0</v>
      </c>
      <c r="O3090">
        <v>0</v>
      </c>
      <c r="P3090">
        <v>0</v>
      </c>
      <c r="Q3090">
        <v>0</v>
      </c>
      <c r="T3090">
        <v>0</v>
      </c>
      <c r="U3090">
        <v>715</v>
      </c>
    </row>
    <row r="3091" spans="1:21" x14ac:dyDescent="0.25">
      <c r="H3091" t="s">
        <v>4781</v>
      </c>
    </row>
    <row r="3092" spans="1:21" x14ac:dyDescent="0.25">
      <c r="A3092">
        <v>1543</v>
      </c>
      <c r="B3092">
        <v>3371</v>
      </c>
      <c r="C3092" t="s">
        <v>5250</v>
      </c>
      <c r="D3092" t="s">
        <v>116</v>
      </c>
      <c r="E3092" t="s">
        <v>155</v>
      </c>
      <c r="F3092" t="s">
        <v>5251</v>
      </c>
      <c r="G3092" t="str">
        <f>"201510002270"</f>
        <v>201510002270</v>
      </c>
      <c r="H3092">
        <v>715</v>
      </c>
      <c r="I3092">
        <v>0</v>
      </c>
      <c r="J3092">
        <v>0</v>
      </c>
      <c r="K3092">
        <v>0</v>
      </c>
      <c r="L3092">
        <v>0</v>
      </c>
      <c r="M3092">
        <v>0</v>
      </c>
      <c r="N3092">
        <v>0</v>
      </c>
      <c r="O3092">
        <v>0</v>
      </c>
      <c r="P3092">
        <v>0</v>
      </c>
      <c r="Q3092">
        <v>0</v>
      </c>
      <c r="T3092">
        <v>0</v>
      </c>
      <c r="U3092">
        <v>715</v>
      </c>
    </row>
    <row r="3093" spans="1:21" x14ac:dyDescent="0.25">
      <c r="H3093" t="s">
        <v>5252</v>
      </c>
    </row>
    <row r="3094" spans="1:21" x14ac:dyDescent="0.25">
      <c r="A3094">
        <v>1544</v>
      </c>
      <c r="B3094">
        <v>3476</v>
      </c>
      <c r="C3094" t="s">
        <v>5253</v>
      </c>
      <c r="D3094" t="s">
        <v>164</v>
      </c>
      <c r="E3094" t="s">
        <v>5254</v>
      </c>
      <c r="F3094" t="s">
        <v>5255</v>
      </c>
      <c r="G3094" t="str">
        <f>"00076232"</f>
        <v>00076232</v>
      </c>
      <c r="H3094">
        <v>715</v>
      </c>
      <c r="I3094">
        <v>0</v>
      </c>
      <c r="J3094">
        <v>0</v>
      </c>
      <c r="K3094">
        <v>0</v>
      </c>
      <c r="L3094">
        <v>0</v>
      </c>
      <c r="M3094">
        <v>0</v>
      </c>
      <c r="N3094">
        <v>0</v>
      </c>
      <c r="O3094">
        <v>0</v>
      </c>
      <c r="P3094">
        <v>0</v>
      </c>
      <c r="Q3094">
        <v>0</v>
      </c>
      <c r="T3094">
        <v>0</v>
      </c>
      <c r="U3094">
        <v>715</v>
      </c>
    </row>
    <row r="3095" spans="1:21" x14ac:dyDescent="0.25">
      <c r="H3095" t="s">
        <v>5256</v>
      </c>
    </row>
    <row r="3096" spans="1:21" x14ac:dyDescent="0.25">
      <c r="A3096">
        <v>1545</v>
      </c>
      <c r="B3096">
        <v>5481</v>
      </c>
      <c r="C3096" t="s">
        <v>2137</v>
      </c>
      <c r="D3096" t="s">
        <v>394</v>
      </c>
      <c r="E3096" t="s">
        <v>135</v>
      </c>
      <c r="F3096" t="s">
        <v>5257</v>
      </c>
      <c r="G3096" t="str">
        <f>"201511021186"</f>
        <v>201511021186</v>
      </c>
      <c r="H3096">
        <v>715</v>
      </c>
      <c r="I3096">
        <v>0</v>
      </c>
      <c r="J3096">
        <v>0</v>
      </c>
      <c r="K3096">
        <v>0</v>
      </c>
      <c r="L3096">
        <v>0</v>
      </c>
      <c r="M3096">
        <v>0</v>
      </c>
      <c r="N3096">
        <v>0</v>
      </c>
      <c r="O3096">
        <v>0</v>
      </c>
      <c r="P3096">
        <v>0</v>
      </c>
      <c r="Q3096">
        <v>0</v>
      </c>
      <c r="T3096">
        <v>0</v>
      </c>
      <c r="U3096">
        <v>715</v>
      </c>
    </row>
    <row r="3097" spans="1:21" x14ac:dyDescent="0.25">
      <c r="H3097" t="s">
        <v>5258</v>
      </c>
    </row>
    <row r="3098" spans="1:21" x14ac:dyDescent="0.25">
      <c r="A3098">
        <v>1546</v>
      </c>
      <c r="B3098">
        <v>7055</v>
      </c>
      <c r="C3098" t="s">
        <v>5259</v>
      </c>
      <c r="D3098" t="s">
        <v>1182</v>
      </c>
      <c r="E3098" t="s">
        <v>449</v>
      </c>
      <c r="F3098" t="s">
        <v>5260</v>
      </c>
      <c r="G3098" t="str">
        <f>"201511038702"</f>
        <v>201511038702</v>
      </c>
      <c r="H3098">
        <v>715</v>
      </c>
      <c r="I3098">
        <v>0</v>
      </c>
      <c r="J3098">
        <v>0</v>
      </c>
      <c r="K3098">
        <v>0</v>
      </c>
      <c r="L3098">
        <v>0</v>
      </c>
      <c r="M3098">
        <v>0</v>
      </c>
      <c r="N3098">
        <v>0</v>
      </c>
      <c r="O3098">
        <v>0</v>
      </c>
      <c r="P3098">
        <v>0</v>
      </c>
      <c r="Q3098">
        <v>0</v>
      </c>
      <c r="T3098">
        <v>0</v>
      </c>
      <c r="U3098">
        <v>715</v>
      </c>
    </row>
    <row r="3099" spans="1:21" x14ac:dyDescent="0.25">
      <c r="H3099" t="s">
        <v>5261</v>
      </c>
    </row>
    <row r="3100" spans="1:21" x14ac:dyDescent="0.25">
      <c r="A3100">
        <v>1547</v>
      </c>
      <c r="B3100">
        <v>6810</v>
      </c>
      <c r="C3100" t="s">
        <v>5262</v>
      </c>
      <c r="D3100" t="s">
        <v>95</v>
      </c>
      <c r="E3100" t="s">
        <v>51</v>
      </c>
      <c r="F3100" t="s">
        <v>5263</v>
      </c>
      <c r="G3100" t="str">
        <f>"201511034682"</f>
        <v>201511034682</v>
      </c>
      <c r="H3100">
        <v>715</v>
      </c>
      <c r="I3100">
        <v>0</v>
      </c>
      <c r="J3100">
        <v>0</v>
      </c>
      <c r="K3100">
        <v>0</v>
      </c>
      <c r="L3100">
        <v>0</v>
      </c>
      <c r="M3100">
        <v>0</v>
      </c>
      <c r="N3100">
        <v>0</v>
      </c>
      <c r="O3100">
        <v>0</v>
      </c>
      <c r="P3100">
        <v>0</v>
      </c>
      <c r="Q3100">
        <v>0</v>
      </c>
      <c r="T3100">
        <v>0</v>
      </c>
      <c r="U3100">
        <v>715</v>
      </c>
    </row>
    <row r="3101" spans="1:21" x14ac:dyDescent="0.25">
      <c r="H3101" t="s">
        <v>5264</v>
      </c>
    </row>
    <row r="3102" spans="1:21" x14ac:dyDescent="0.25">
      <c r="A3102">
        <v>1548</v>
      </c>
      <c r="B3102">
        <v>2388</v>
      </c>
      <c r="C3102" t="s">
        <v>5265</v>
      </c>
      <c r="D3102" t="s">
        <v>5266</v>
      </c>
      <c r="E3102" t="s">
        <v>36</v>
      </c>
      <c r="F3102" t="s">
        <v>5267</v>
      </c>
      <c r="G3102" t="str">
        <f>"201511040442"</f>
        <v>201511040442</v>
      </c>
      <c r="H3102">
        <v>715</v>
      </c>
      <c r="I3102">
        <v>0</v>
      </c>
      <c r="J3102">
        <v>0</v>
      </c>
      <c r="K3102">
        <v>0</v>
      </c>
      <c r="L3102">
        <v>0</v>
      </c>
      <c r="M3102">
        <v>0</v>
      </c>
      <c r="N3102">
        <v>0</v>
      </c>
      <c r="O3102">
        <v>0</v>
      </c>
      <c r="P3102">
        <v>0</v>
      </c>
      <c r="Q3102">
        <v>0</v>
      </c>
      <c r="T3102">
        <v>0</v>
      </c>
      <c r="U3102">
        <v>715</v>
      </c>
    </row>
    <row r="3103" spans="1:21" x14ac:dyDescent="0.25">
      <c r="H3103" t="s">
        <v>5268</v>
      </c>
    </row>
    <row r="3104" spans="1:21" x14ac:dyDescent="0.25">
      <c r="A3104">
        <v>1549</v>
      </c>
      <c r="B3104">
        <v>239</v>
      </c>
      <c r="C3104" t="s">
        <v>5269</v>
      </c>
      <c r="D3104" t="s">
        <v>26</v>
      </c>
      <c r="E3104" t="s">
        <v>533</v>
      </c>
      <c r="F3104" t="s">
        <v>5270</v>
      </c>
      <c r="G3104" t="str">
        <f>"201512001709"</f>
        <v>201512001709</v>
      </c>
      <c r="H3104">
        <v>715</v>
      </c>
      <c r="I3104">
        <v>0</v>
      </c>
      <c r="J3104">
        <v>0</v>
      </c>
      <c r="K3104">
        <v>0</v>
      </c>
      <c r="L3104">
        <v>0</v>
      </c>
      <c r="M3104">
        <v>0</v>
      </c>
      <c r="N3104">
        <v>0</v>
      </c>
      <c r="O3104">
        <v>0</v>
      </c>
      <c r="P3104">
        <v>0</v>
      </c>
      <c r="Q3104">
        <v>0</v>
      </c>
      <c r="T3104">
        <v>1</v>
      </c>
      <c r="U3104">
        <v>715</v>
      </c>
    </row>
    <row r="3105" spans="1:21" x14ac:dyDescent="0.25">
      <c r="H3105" t="s">
        <v>5271</v>
      </c>
    </row>
    <row r="3106" spans="1:21" x14ac:dyDescent="0.25">
      <c r="A3106">
        <v>1550</v>
      </c>
      <c r="B3106">
        <v>6489</v>
      </c>
      <c r="C3106" t="s">
        <v>5272</v>
      </c>
      <c r="D3106" t="s">
        <v>69</v>
      </c>
      <c r="E3106" t="s">
        <v>122</v>
      </c>
      <c r="F3106" t="s">
        <v>5273</v>
      </c>
      <c r="G3106" t="str">
        <f>"00046626"</f>
        <v>00046626</v>
      </c>
      <c r="H3106">
        <v>715</v>
      </c>
      <c r="I3106">
        <v>0</v>
      </c>
      <c r="J3106">
        <v>0</v>
      </c>
      <c r="K3106">
        <v>0</v>
      </c>
      <c r="L3106">
        <v>0</v>
      </c>
      <c r="M3106">
        <v>0</v>
      </c>
      <c r="N3106">
        <v>0</v>
      </c>
      <c r="O3106">
        <v>0</v>
      </c>
      <c r="P3106">
        <v>0</v>
      </c>
      <c r="Q3106">
        <v>0</v>
      </c>
      <c r="T3106">
        <v>0</v>
      </c>
      <c r="U3106">
        <v>715</v>
      </c>
    </row>
    <row r="3107" spans="1:21" x14ac:dyDescent="0.25">
      <c r="H3107" t="s">
        <v>5274</v>
      </c>
    </row>
    <row r="3108" spans="1:21" x14ac:dyDescent="0.25">
      <c r="A3108">
        <v>1551</v>
      </c>
      <c r="B3108">
        <v>7952</v>
      </c>
      <c r="C3108" t="s">
        <v>5275</v>
      </c>
      <c r="D3108" t="s">
        <v>42</v>
      </c>
      <c r="E3108" t="s">
        <v>36</v>
      </c>
      <c r="F3108" t="s">
        <v>5276</v>
      </c>
      <c r="G3108" t="str">
        <f>"00102382"</f>
        <v>00102382</v>
      </c>
      <c r="H3108">
        <v>715</v>
      </c>
      <c r="I3108">
        <v>0</v>
      </c>
      <c r="J3108">
        <v>0</v>
      </c>
      <c r="K3108">
        <v>0</v>
      </c>
      <c r="L3108">
        <v>0</v>
      </c>
      <c r="M3108">
        <v>0</v>
      </c>
      <c r="N3108">
        <v>0</v>
      </c>
      <c r="O3108">
        <v>0</v>
      </c>
      <c r="P3108">
        <v>0</v>
      </c>
      <c r="Q3108">
        <v>0</v>
      </c>
      <c r="T3108">
        <v>2</v>
      </c>
      <c r="U3108">
        <v>715</v>
      </c>
    </row>
    <row r="3109" spans="1:21" x14ac:dyDescent="0.25">
      <c r="H3109" t="s">
        <v>5277</v>
      </c>
    </row>
    <row r="3110" spans="1:21" x14ac:dyDescent="0.25">
      <c r="A3110">
        <v>1552</v>
      </c>
      <c r="B3110">
        <v>6474</v>
      </c>
      <c r="C3110" t="s">
        <v>5278</v>
      </c>
      <c r="D3110" t="s">
        <v>128</v>
      </c>
      <c r="E3110" t="s">
        <v>259</v>
      </c>
      <c r="F3110" t="s">
        <v>5279</v>
      </c>
      <c r="G3110" t="str">
        <f>"00079336"</f>
        <v>00079336</v>
      </c>
      <c r="H3110" t="s">
        <v>4318</v>
      </c>
      <c r="I3110">
        <v>0</v>
      </c>
      <c r="J3110">
        <v>0</v>
      </c>
      <c r="K3110">
        <v>30</v>
      </c>
      <c r="L3110">
        <v>0</v>
      </c>
      <c r="M3110">
        <v>0</v>
      </c>
      <c r="N3110">
        <v>0</v>
      </c>
      <c r="O3110">
        <v>0</v>
      </c>
      <c r="P3110">
        <v>0</v>
      </c>
      <c r="Q3110">
        <v>0</v>
      </c>
      <c r="T3110">
        <v>2</v>
      </c>
      <c r="U3110" t="s">
        <v>5280</v>
      </c>
    </row>
    <row r="3111" spans="1:21" x14ac:dyDescent="0.25">
      <c r="H3111" t="s">
        <v>5281</v>
      </c>
    </row>
    <row r="3112" spans="1:21" x14ac:dyDescent="0.25">
      <c r="A3112">
        <v>1553</v>
      </c>
      <c r="B3112">
        <v>108</v>
      </c>
      <c r="C3112" t="s">
        <v>1840</v>
      </c>
      <c r="D3112" t="s">
        <v>1254</v>
      </c>
      <c r="E3112" t="s">
        <v>647</v>
      </c>
      <c r="F3112" t="s">
        <v>5282</v>
      </c>
      <c r="G3112" t="str">
        <f>"201511027031"</f>
        <v>201511027031</v>
      </c>
      <c r="H3112" t="s">
        <v>4056</v>
      </c>
      <c r="I3112">
        <v>0</v>
      </c>
      <c r="J3112">
        <v>0</v>
      </c>
      <c r="K3112">
        <v>0</v>
      </c>
      <c r="L3112">
        <v>0</v>
      </c>
      <c r="M3112">
        <v>0</v>
      </c>
      <c r="N3112">
        <v>0</v>
      </c>
      <c r="O3112">
        <v>0</v>
      </c>
      <c r="P3112">
        <v>0</v>
      </c>
      <c r="Q3112">
        <v>0</v>
      </c>
      <c r="T3112">
        <v>1</v>
      </c>
      <c r="U3112" t="s">
        <v>4056</v>
      </c>
    </row>
    <row r="3113" spans="1:21" x14ac:dyDescent="0.25">
      <c r="H3113" t="s">
        <v>5283</v>
      </c>
    </row>
    <row r="3114" spans="1:21" x14ac:dyDescent="0.25">
      <c r="A3114">
        <v>1554</v>
      </c>
      <c r="B3114">
        <v>8387</v>
      </c>
      <c r="C3114" t="s">
        <v>5284</v>
      </c>
      <c r="D3114" t="s">
        <v>121</v>
      </c>
      <c r="E3114" t="s">
        <v>122</v>
      </c>
      <c r="F3114" t="s">
        <v>5285</v>
      </c>
      <c r="G3114" t="str">
        <f>"00047032"</f>
        <v>00047032</v>
      </c>
      <c r="H3114" t="s">
        <v>4056</v>
      </c>
      <c r="I3114">
        <v>0</v>
      </c>
      <c r="J3114">
        <v>0</v>
      </c>
      <c r="K3114">
        <v>0</v>
      </c>
      <c r="L3114">
        <v>0</v>
      </c>
      <c r="M3114">
        <v>0</v>
      </c>
      <c r="N3114">
        <v>0</v>
      </c>
      <c r="O3114">
        <v>0</v>
      </c>
      <c r="P3114">
        <v>0</v>
      </c>
      <c r="Q3114">
        <v>0</v>
      </c>
      <c r="T3114">
        <v>0</v>
      </c>
      <c r="U3114" t="s">
        <v>4056</v>
      </c>
    </row>
    <row r="3115" spans="1:21" x14ac:dyDescent="0.25">
      <c r="H3115" t="s">
        <v>5286</v>
      </c>
    </row>
    <row r="3116" spans="1:21" x14ac:dyDescent="0.25">
      <c r="A3116">
        <v>1555</v>
      </c>
      <c r="B3116">
        <v>7563</v>
      </c>
      <c r="C3116" t="s">
        <v>1123</v>
      </c>
      <c r="D3116" t="s">
        <v>85</v>
      </c>
      <c r="E3116" t="s">
        <v>135</v>
      </c>
      <c r="F3116" t="s">
        <v>5287</v>
      </c>
      <c r="G3116" t="str">
        <f>"201511040801"</f>
        <v>201511040801</v>
      </c>
      <c r="H3116" t="s">
        <v>4056</v>
      </c>
      <c r="I3116">
        <v>0</v>
      </c>
      <c r="J3116">
        <v>0</v>
      </c>
      <c r="K3116">
        <v>0</v>
      </c>
      <c r="L3116">
        <v>0</v>
      </c>
      <c r="M3116">
        <v>0</v>
      </c>
      <c r="N3116">
        <v>0</v>
      </c>
      <c r="O3116">
        <v>0</v>
      </c>
      <c r="P3116">
        <v>0</v>
      </c>
      <c r="Q3116">
        <v>0</v>
      </c>
      <c r="T3116">
        <v>0</v>
      </c>
      <c r="U3116" t="s">
        <v>4056</v>
      </c>
    </row>
    <row r="3117" spans="1:21" x14ac:dyDescent="0.25">
      <c r="H3117" t="s">
        <v>5288</v>
      </c>
    </row>
    <row r="3118" spans="1:21" x14ac:dyDescent="0.25">
      <c r="A3118">
        <v>1556</v>
      </c>
      <c r="B3118">
        <v>8536</v>
      </c>
      <c r="C3118" t="s">
        <v>5289</v>
      </c>
      <c r="D3118" t="s">
        <v>5290</v>
      </c>
      <c r="E3118" t="s">
        <v>122</v>
      </c>
      <c r="F3118" t="s">
        <v>5291</v>
      </c>
      <c r="G3118" t="str">
        <f>"00082106"</f>
        <v>00082106</v>
      </c>
      <c r="H3118" t="s">
        <v>4056</v>
      </c>
      <c r="I3118">
        <v>0</v>
      </c>
      <c r="J3118">
        <v>0</v>
      </c>
      <c r="K3118">
        <v>0</v>
      </c>
      <c r="L3118">
        <v>0</v>
      </c>
      <c r="M3118">
        <v>0</v>
      </c>
      <c r="N3118">
        <v>0</v>
      </c>
      <c r="O3118">
        <v>0</v>
      </c>
      <c r="P3118">
        <v>0</v>
      </c>
      <c r="Q3118">
        <v>0</v>
      </c>
      <c r="T3118">
        <v>0</v>
      </c>
      <c r="U3118" t="s">
        <v>4056</v>
      </c>
    </row>
    <row r="3119" spans="1:21" x14ac:dyDescent="0.25">
      <c r="H3119" t="s">
        <v>5292</v>
      </c>
    </row>
    <row r="3120" spans="1:21" x14ac:dyDescent="0.25">
      <c r="A3120">
        <v>1557</v>
      </c>
      <c r="B3120">
        <v>5333</v>
      </c>
      <c r="C3120" t="s">
        <v>5293</v>
      </c>
      <c r="D3120" t="s">
        <v>5294</v>
      </c>
      <c r="E3120" t="s">
        <v>614</v>
      </c>
      <c r="F3120" t="s">
        <v>5295</v>
      </c>
      <c r="G3120" t="str">
        <f>"00044713"</f>
        <v>00044713</v>
      </c>
      <c r="H3120" t="s">
        <v>4056</v>
      </c>
      <c r="I3120">
        <v>0</v>
      </c>
      <c r="J3120">
        <v>0</v>
      </c>
      <c r="K3120">
        <v>0</v>
      </c>
      <c r="L3120">
        <v>0</v>
      </c>
      <c r="M3120">
        <v>0</v>
      </c>
      <c r="N3120">
        <v>0</v>
      </c>
      <c r="O3120">
        <v>0</v>
      </c>
      <c r="P3120">
        <v>0</v>
      </c>
      <c r="Q3120">
        <v>0</v>
      </c>
      <c r="T3120">
        <v>0</v>
      </c>
      <c r="U3120" t="s">
        <v>4056</v>
      </c>
    </row>
    <row r="3121" spans="1:21" x14ac:dyDescent="0.25">
      <c r="H3121" t="s">
        <v>929</v>
      </c>
    </row>
    <row r="3122" spans="1:21" x14ac:dyDescent="0.25">
      <c r="A3122">
        <v>1558</v>
      </c>
      <c r="B3122">
        <v>1531</v>
      </c>
      <c r="C3122" t="s">
        <v>5296</v>
      </c>
      <c r="D3122" t="s">
        <v>5297</v>
      </c>
      <c r="E3122" t="s">
        <v>5298</v>
      </c>
      <c r="F3122" t="s">
        <v>5299</v>
      </c>
      <c r="G3122" t="str">
        <f>"201511039015"</f>
        <v>201511039015</v>
      </c>
      <c r="H3122">
        <v>660</v>
      </c>
      <c r="I3122">
        <v>0</v>
      </c>
      <c r="J3122">
        <v>50</v>
      </c>
      <c r="K3122">
        <v>0</v>
      </c>
      <c r="L3122">
        <v>0</v>
      </c>
      <c r="M3122">
        <v>0</v>
      </c>
      <c r="N3122">
        <v>0</v>
      </c>
      <c r="O3122">
        <v>0</v>
      </c>
      <c r="P3122">
        <v>0</v>
      </c>
      <c r="Q3122">
        <v>0</v>
      </c>
      <c r="T3122">
        <v>0</v>
      </c>
      <c r="U3122">
        <v>710</v>
      </c>
    </row>
    <row r="3123" spans="1:21" x14ac:dyDescent="0.25">
      <c r="H3123" t="s">
        <v>2139</v>
      </c>
    </row>
    <row r="3124" spans="1:21" x14ac:dyDescent="0.25">
      <c r="A3124">
        <v>1559</v>
      </c>
      <c r="B3124">
        <v>404</v>
      </c>
      <c r="C3124" t="s">
        <v>5300</v>
      </c>
      <c r="D3124" t="s">
        <v>57</v>
      </c>
      <c r="E3124" t="s">
        <v>614</v>
      </c>
      <c r="F3124" t="s">
        <v>5301</v>
      </c>
      <c r="G3124" t="str">
        <f>"00046196"</f>
        <v>00046196</v>
      </c>
      <c r="H3124">
        <v>660</v>
      </c>
      <c r="I3124">
        <v>0</v>
      </c>
      <c r="J3124">
        <v>50</v>
      </c>
      <c r="K3124">
        <v>0</v>
      </c>
      <c r="L3124">
        <v>0</v>
      </c>
      <c r="M3124">
        <v>0</v>
      </c>
      <c r="N3124">
        <v>0</v>
      </c>
      <c r="O3124">
        <v>0</v>
      </c>
      <c r="P3124">
        <v>0</v>
      </c>
      <c r="Q3124">
        <v>0</v>
      </c>
      <c r="T3124">
        <v>0</v>
      </c>
      <c r="U3124">
        <v>710</v>
      </c>
    </row>
    <row r="3125" spans="1:21" x14ac:dyDescent="0.25">
      <c r="H3125" t="s">
        <v>5302</v>
      </c>
    </row>
    <row r="3126" spans="1:21" x14ac:dyDescent="0.25">
      <c r="A3126">
        <v>1560</v>
      </c>
      <c r="B3126">
        <v>5066</v>
      </c>
      <c r="C3126" t="s">
        <v>4082</v>
      </c>
      <c r="D3126" t="s">
        <v>121</v>
      </c>
      <c r="E3126" t="s">
        <v>27</v>
      </c>
      <c r="F3126" t="s">
        <v>5303</v>
      </c>
      <c r="G3126" t="str">
        <f>"00067330"</f>
        <v>00067330</v>
      </c>
      <c r="H3126">
        <v>660</v>
      </c>
      <c r="I3126">
        <v>0</v>
      </c>
      <c r="J3126">
        <v>50</v>
      </c>
      <c r="K3126">
        <v>0</v>
      </c>
      <c r="L3126">
        <v>0</v>
      </c>
      <c r="M3126">
        <v>0</v>
      </c>
      <c r="N3126">
        <v>0</v>
      </c>
      <c r="O3126">
        <v>0</v>
      </c>
      <c r="P3126">
        <v>0</v>
      </c>
      <c r="Q3126">
        <v>0</v>
      </c>
      <c r="T3126">
        <v>0</v>
      </c>
      <c r="U3126">
        <v>710</v>
      </c>
    </row>
    <row r="3127" spans="1:21" x14ac:dyDescent="0.25">
      <c r="H3127" t="s">
        <v>5304</v>
      </c>
    </row>
    <row r="3128" spans="1:21" x14ac:dyDescent="0.25">
      <c r="A3128">
        <v>1561</v>
      </c>
      <c r="B3128">
        <v>9399</v>
      </c>
      <c r="C3128" t="s">
        <v>5305</v>
      </c>
      <c r="D3128" t="s">
        <v>1348</v>
      </c>
      <c r="E3128" t="s">
        <v>449</v>
      </c>
      <c r="F3128" t="s">
        <v>5306</v>
      </c>
      <c r="G3128" t="str">
        <f>"00026906"</f>
        <v>00026906</v>
      </c>
      <c r="H3128">
        <v>660</v>
      </c>
      <c r="I3128">
        <v>0</v>
      </c>
      <c r="J3128">
        <v>50</v>
      </c>
      <c r="K3128">
        <v>0</v>
      </c>
      <c r="L3128">
        <v>0</v>
      </c>
      <c r="M3128">
        <v>0</v>
      </c>
      <c r="N3128">
        <v>0</v>
      </c>
      <c r="O3128">
        <v>0</v>
      </c>
      <c r="P3128">
        <v>0</v>
      </c>
      <c r="Q3128">
        <v>0</v>
      </c>
      <c r="T3128">
        <v>0</v>
      </c>
      <c r="U3128">
        <v>710</v>
      </c>
    </row>
    <row r="3129" spans="1:21" x14ac:dyDescent="0.25">
      <c r="H3129" t="s">
        <v>5307</v>
      </c>
    </row>
    <row r="3130" spans="1:21" x14ac:dyDescent="0.25">
      <c r="A3130">
        <v>1562</v>
      </c>
      <c r="B3130">
        <v>6184</v>
      </c>
      <c r="C3130" t="s">
        <v>5308</v>
      </c>
      <c r="D3130" t="s">
        <v>5309</v>
      </c>
      <c r="E3130" t="s">
        <v>225</v>
      </c>
      <c r="F3130" t="s">
        <v>5310</v>
      </c>
      <c r="G3130" t="str">
        <f>"00021263"</f>
        <v>00021263</v>
      </c>
      <c r="H3130" t="s">
        <v>3760</v>
      </c>
      <c r="I3130">
        <v>0</v>
      </c>
      <c r="J3130">
        <v>0</v>
      </c>
      <c r="K3130">
        <v>0</v>
      </c>
      <c r="L3130">
        <v>0</v>
      </c>
      <c r="M3130">
        <v>0</v>
      </c>
      <c r="N3130">
        <v>0</v>
      </c>
      <c r="O3130">
        <v>0</v>
      </c>
      <c r="P3130">
        <v>0</v>
      </c>
      <c r="Q3130">
        <v>0</v>
      </c>
      <c r="T3130">
        <v>0</v>
      </c>
      <c r="U3130" t="s">
        <v>3760</v>
      </c>
    </row>
    <row r="3131" spans="1:21" x14ac:dyDescent="0.25">
      <c r="H3131" t="s">
        <v>5311</v>
      </c>
    </row>
    <row r="3132" spans="1:21" x14ac:dyDescent="0.25">
      <c r="A3132">
        <v>1563</v>
      </c>
      <c r="B3132">
        <v>1505</v>
      </c>
      <c r="C3132" t="s">
        <v>1944</v>
      </c>
      <c r="D3132" t="s">
        <v>2483</v>
      </c>
      <c r="E3132" t="s">
        <v>773</v>
      </c>
      <c r="F3132" t="s">
        <v>5312</v>
      </c>
      <c r="G3132" t="str">
        <f>"201210000028"</f>
        <v>201210000028</v>
      </c>
      <c r="H3132" t="s">
        <v>3760</v>
      </c>
      <c r="I3132">
        <v>0</v>
      </c>
      <c r="J3132">
        <v>0</v>
      </c>
      <c r="K3132">
        <v>0</v>
      </c>
      <c r="L3132">
        <v>0</v>
      </c>
      <c r="M3132">
        <v>0</v>
      </c>
      <c r="N3132">
        <v>0</v>
      </c>
      <c r="O3132">
        <v>0</v>
      </c>
      <c r="P3132">
        <v>0</v>
      </c>
      <c r="Q3132">
        <v>0</v>
      </c>
      <c r="T3132">
        <v>0</v>
      </c>
      <c r="U3132" t="s">
        <v>3760</v>
      </c>
    </row>
    <row r="3133" spans="1:21" x14ac:dyDescent="0.25">
      <c r="H3133" t="s">
        <v>5313</v>
      </c>
    </row>
    <row r="3134" spans="1:21" x14ac:dyDescent="0.25">
      <c r="A3134">
        <v>1564</v>
      </c>
      <c r="B3134">
        <v>1887</v>
      </c>
      <c r="C3134" t="s">
        <v>1679</v>
      </c>
      <c r="D3134" t="s">
        <v>121</v>
      </c>
      <c r="E3134" t="s">
        <v>449</v>
      </c>
      <c r="F3134" t="s">
        <v>5314</v>
      </c>
      <c r="G3134" t="str">
        <f>"201511028514"</f>
        <v>201511028514</v>
      </c>
      <c r="H3134" t="s">
        <v>5315</v>
      </c>
      <c r="I3134">
        <v>0</v>
      </c>
      <c r="J3134">
        <v>30</v>
      </c>
      <c r="K3134">
        <v>0</v>
      </c>
      <c r="L3134">
        <v>0</v>
      </c>
      <c r="M3134">
        <v>0</v>
      </c>
      <c r="N3134">
        <v>0</v>
      </c>
      <c r="O3134">
        <v>0</v>
      </c>
      <c r="P3134">
        <v>0</v>
      </c>
      <c r="Q3134">
        <v>0</v>
      </c>
      <c r="T3134">
        <v>1</v>
      </c>
      <c r="U3134" t="s">
        <v>5316</v>
      </c>
    </row>
    <row r="3135" spans="1:21" x14ac:dyDescent="0.25">
      <c r="H3135" t="s">
        <v>5317</v>
      </c>
    </row>
    <row r="3136" spans="1:21" x14ac:dyDescent="0.25">
      <c r="A3136">
        <v>1565</v>
      </c>
      <c r="B3136">
        <v>9756</v>
      </c>
      <c r="C3136" t="s">
        <v>5318</v>
      </c>
      <c r="D3136" t="s">
        <v>5319</v>
      </c>
      <c r="E3136" t="s">
        <v>5320</v>
      </c>
      <c r="F3136" t="s">
        <v>5321</v>
      </c>
      <c r="G3136" t="str">
        <f>"00102797"</f>
        <v>00102797</v>
      </c>
      <c r="H3136" t="s">
        <v>4118</v>
      </c>
      <c r="I3136">
        <v>0</v>
      </c>
      <c r="J3136">
        <v>0</v>
      </c>
      <c r="K3136">
        <v>0</v>
      </c>
      <c r="L3136">
        <v>0</v>
      </c>
      <c r="M3136">
        <v>0</v>
      </c>
      <c r="N3136">
        <v>0</v>
      </c>
      <c r="O3136">
        <v>0</v>
      </c>
      <c r="P3136">
        <v>0</v>
      </c>
      <c r="Q3136">
        <v>0</v>
      </c>
      <c r="T3136">
        <v>0</v>
      </c>
      <c r="U3136" t="s">
        <v>4118</v>
      </c>
    </row>
    <row r="3137" spans="1:21" x14ac:dyDescent="0.25">
      <c r="H3137" t="s">
        <v>5014</v>
      </c>
    </row>
    <row r="3138" spans="1:21" x14ac:dyDescent="0.25">
      <c r="A3138">
        <v>1566</v>
      </c>
      <c r="B3138">
        <v>2278</v>
      </c>
      <c r="C3138" t="s">
        <v>5322</v>
      </c>
      <c r="D3138" t="s">
        <v>533</v>
      </c>
      <c r="E3138" t="s">
        <v>122</v>
      </c>
      <c r="F3138" t="s">
        <v>5323</v>
      </c>
      <c r="G3138" t="str">
        <f>"00036121"</f>
        <v>00036121</v>
      </c>
      <c r="H3138" t="s">
        <v>4118</v>
      </c>
      <c r="I3138">
        <v>0</v>
      </c>
      <c r="J3138">
        <v>0</v>
      </c>
      <c r="K3138">
        <v>0</v>
      </c>
      <c r="L3138">
        <v>0</v>
      </c>
      <c r="M3138">
        <v>0</v>
      </c>
      <c r="N3138">
        <v>0</v>
      </c>
      <c r="O3138">
        <v>0</v>
      </c>
      <c r="P3138">
        <v>0</v>
      </c>
      <c r="Q3138">
        <v>0</v>
      </c>
      <c r="T3138">
        <v>0</v>
      </c>
      <c r="U3138" t="s">
        <v>4118</v>
      </c>
    </row>
    <row r="3139" spans="1:21" x14ac:dyDescent="0.25">
      <c r="H3139" t="s">
        <v>491</v>
      </c>
    </row>
    <row r="3140" spans="1:21" x14ac:dyDescent="0.25">
      <c r="A3140">
        <v>1567</v>
      </c>
      <c r="B3140">
        <v>5529</v>
      </c>
      <c r="C3140" t="s">
        <v>5324</v>
      </c>
      <c r="D3140" t="s">
        <v>453</v>
      </c>
      <c r="E3140" t="s">
        <v>42</v>
      </c>
      <c r="F3140" t="s">
        <v>5325</v>
      </c>
      <c r="G3140" t="str">
        <f>"201512000951"</f>
        <v>201512000951</v>
      </c>
      <c r="H3140">
        <v>704</v>
      </c>
      <c r="I3140">
        <v>0</v>
      </c>
      <c r="J3140">
        <v>0</v>
      </c>
      <c r="K3140">
        <v>0</v>
      </c>
      <c r="L3140">
        <v>0</v>
      </c>
      <c r="M3140">
        <v>0</v>
      </c>
      <c r="N3140">
        <v>0</v>
      </c>
      <c r="O3140">
        <v>0</v>
      </c>
      <c r="P3140">
        <v>0</v>
      </c>
      <c r="Q3140">
        <v>0</v>
      </c>
      <c r="T3140">
        <v>0</v>
      </c>
      <c r="U3140">
        <v>704</v>
      </c>
    </row>
    <row r="3141" spans="1:21" x14ac:dyDescent="0.25">
      <c r="H3141" t="s">
        <v>5326</v>
      </c>
    </row>
    <row r="3142" spans="1:21" x14ac:dyDescent="0.25">
      <c r="A3142">
        <v>1568</v>
      </c>
      <c r="B3142">
        <v>569</v>
      </c>
      <c r="C3142" t="s">
        <v>5327</v>
      </c>
      <c r="D3142" t="s">
        <v>313</v>
      </c>
      <c r="E3142" t="s">
        <v>533</v>
      </c>
      <c r="F3142" t="s">
        <v>5328</v>
      </c>
      <c r="G3142" t="str">
        <f>"00026624"</f>
        <v>00026624</v>
      </c>
      <c r="H3142" t="s">
        <v>5329</v>
      </c>
      <c r="I3142">
        <v>0</v>
      </c>
      <c r="J3142">
        <v>0</v>
      </c>
      <c r="K3142">
        <v>0</v>
      </c>
      <c r="L3142">
        <v>0</v>
      </c>
      <c r="M3142">
        <v>0</v>
      </c>
      <c r="N3142">
        <v>0</v>
      </c>
      <c r="O3142">
        <v>0</v>
      </c>
      <c r="P3142">
        <v>0</v>
      </c>
      <c r="Q3142">
        <v>0</v>
      </c>
      <c r="T3142">
        <v>1</v>
      </c>
      <c r="U3142" t="s">
        <v>5329</v>
      </c>
    </row>
    <row r="3143" spans="1:21" x14ac:dyDescent="0.25">
      <c r="H3143" t="s">
        <v>5330</v>
      </c>
    </row>
    <row r="3144" spans="1:21" x14ac:dyDescent="0.25">
      <c r="A3144">
        <v>1569</v>
      </c>
      <c r="B3144">
        <v>1387</v>
      </c>
      <c r="C3144" t="s">
        <v>3267</v>
      </c>
      <c r="D3144" t="s">
        <v>285</v>
      </c>
      <c r="E3144" t="s">
        <v>647</v>
      </c>
      <c r="F3144" t="s">
        <v>5331</v>
      </c>
      <c r="G3144" t="str">
        <f>"201604002887"</f>
        <v>201604002887</v>
      </c>
      <c r="H3144" t="s">
        <v>5177</v>
      </c>
      <c r="I3144">
        <v>0</v>
      </c>
      <c r="J3144">
        <v>0</v>
      </c>
      <c r="K3144">
        <v>0</v>
      </c>
      <c r="L3144">
        <v>0</v>
      </c>
      <c r="M3144">
        <v>0</v>
      </c>
      <c r="N3144">
        <v>0</v>
      </c>
      <c r="O3144">
        <v>0</v>
      </c>
      <c r="P3144">
        <v>0</v>
      </c>
      <c r="Q3144">
        <v>0</v>
      </c>
      <c r="T3144">
        <v>0</v>
      </c>
      <c r="U3144" t="s">
        <v>5177</v>
      </c>
    </row>
    <row r="3145" spans="1:21" x14ac:dyDescent="0.25">
      <c r="H3145" t="s">
        <v>5332</v>
      </c>
    </row>
    <row r="3146" spans="1:21" x14ac:dyDescent="0.25">
      <c r="A3146">
        <v>1570</v>
      </c>
      <c r="B3146">
        <v>836</v>
      </c>
      <c r="C3146" t="s">
        <v>5333</v>
      </c>
      <c r="D3146" t="s">
        <v>95</v>
      </c>
      <c r="E3146" t="s">
        <v>533</v>
      </c>
      <c r="F3146" t="s">
        <v>5334</v>
      </c>
      <c r="G3146" t="str">
        <f>"00030436"</f>
        <v>00030436</v>
      </c>
      <c r="H3146" t="s">
        <v>5177</v>
      </c>
      <c r="I3146">
        <v>0</v>
      </c>
      <c r="J3146">
        <v>0</v>
      </c>
      <c r="K3146">
        <v>0</v>
      </c>
      <c r="L3146">
        <v>0</v>
      </c>
      <c r="M3146">
        <v>0</v>
      </c>
      <c r="N3146">
        <v>0</v>
      </c>
      <c r="O3146">
        <v>0</v>
      </c>
      <c r="P3146">
        <v>0</v>
      </c>
      <c r="Q3146">
        <v>0</v>
      </c>
      <c r="T3146">
        <v>0</v>
      </c>
      <c r="U3146" t="s">
        <v>5177</v>
      </c>
    </row>
    <row r="3147" spans="1:21" x14ac:dyDescent="0.25">
      <c r="H3147" t="s">
        <v>5335</v>
      </c>
    </row>
    <row r="3148" spans="1:21" x14ac:dyDescent="0.25">
      <c r="A3148">
        <v>1571</v>
      </c>
      <c r="B3148">
        <v>5241</v>
      </c>
      <c r="C3148" t="s">
        <v>5336</v>
      </c>
      <c r="D3148" t="s">
        <v>240</v>
      </c>
      <c r="E3148" t="s">
        <v>36</v>
      </c>
      <c r="F3148" t="s">
        <v>5337</v>
      </c>
      <c r="G3148" t="str">
        <f>"201511040829"</f>
        <v>201511040829</v>
      </c>
      <c r="H3148" t="s">
        <v>5338</v>
      </c>
      <c r="I3148">
        <v>0</v>
      </c>
      <c r="J3148">
        <v>0</v>
      </c>
      <c r="K3148">
        <v>0</v>
      </c>
      <c r="L3148">
        <v>0</v>
      </c>
      <c r="M3148">
        <v>0</v>
      </c>
      <c r="N3148">
        <v>0</v>
      </c>
      <c r="O3148">
        <v>0</v>
      </c>
      <c r="P3148">
        <v>0</v>
      </c>
      <c r="Q3148">
        <v>0</v>
      </c>
      <c r="T3148">
        <v>1</v>
      </c>
      <c r="U3148" t="s">
        <v>5338</v>
      </c>
    </row>
    <row r="3149" spans="1:21" x14ac:dyDescent="0.25">
      <c r="H3149" t="s">
        <v>5339</v>
      </c>
    </row>
    <row r="3150" spans="1:21" x14ac:dyDescent="0.25">
      <c r="A3150">
        <v>1572</v>
      </c>
      <c r="B3150">
        <v>6299</v>
      </c>
      <c r="C3150" t="s">
        <v>4620</v>
      </c>
      <c r="D3150" t="s">
        <v>5340</v>
      </c>
      <c r="E3150" t="s">
        <v>5341</v>
      </c>
      <c r="F3150" t="s">
        <v>5342</v>
      </c>
      <c r="G3150" t="str">
        <f>"00040323"</f>
        <v>00040323</v>
      </c>
      <c r="H3150" t="s">
        <v>5338</v>
      </c>
      <c r="I3150">
        <v>0</v>
      </c>
      <c r="J3150">
        <v>0</v>
      </c>
      <c r="K3150">
        <v>0</v>
      </c>
      <c r="L3150">
        <v>0</v>
      </c>
      <c r="M3150">
        <v>0</v>
      </c>
      <c r="N3150">
        <v>0</v>
      </c>
      <c r="O3150">
        <v>0</v>
      </c>
      <c r="P3150">
        <v>0</v>
      </c>
      <c r="Q3150">
        <v>0</v>
      </c>
      <c r="T3150">
        <v>2</v>
      </c>
      <c r="U3150" t="s">
        <v>5338</v>
      </c>
    </row>
    <row r="3151" spans="1:21" x14ac:dyDescent="0.25">
      <c r="H3151" t="s">
        <v>5343</v>
      </c>
    </row>
    <row r="3152" spans="1:21" x14ac:dyDescent="0.25">
      <c r="A3152">
        <v>1573</v>
      </c>
      <c r="B3152">
        <v>6678</v>
      </c>
      <c r="C3152" t="s">
        <v>5344</v>
      </c>
      <c r="D3152" t="s">
        <v>528</v>
      </c>
      <c r="E3152" t="s">
        <v>122</v>
      </c>
      <c r="F3152" t="s">
        <v>5345</v>
      </c>
      <c r="G3152" t="str">
        <f>"201511026830"</f>
        <v>201511026830</v>
      </c>
      <c r="H3152" t="s">
        <v>5338</v>
      </c>
      <c r="I3152">
        <v>0</v>
      </c>
      <c r="J3152">
        <v>0</v>
      </c>
      <c r="K3152">
        <v>0</v>
      </c>
      <c r="L3152">
        <v>0</v>
      </c>
      <c r="M3152">
        <v>0</v>
      </c>
      <c r="N3152">
        <v>0</v>
      </c>
      <c r="O3152">
        <v>0</v>
      </c>
      <c r="P3152">
        <v>0</v>
      </c>
      <c r="Q3152">
        <v>0</v>
      </c>
      <c r="T3152">
        <v>0</v>
      </c>
      <c r="U3152" t="s">
        <v>5338</v>
      </c>
    </row>
    <row r="3153" spans="1:21" x14ac:dyDescent="0.25">
      <c r="H3153" t="s">
        <v>5346</v>
      </c>
    </row>
    <row r="3154" spans="1:21" x14ac:dyDescent="0.25">
      <c r="A3154">
        <v>1574</v>
      </c>
      <c r="B3154">
        <v>9349</v>
      </c>
      <c r="C3154" t="s">
        <v>1724</v>
      </c>
      <c r="D3154" t="s">
        <v>78</v>
      </c>
      <c r="E3154" t="s">
        <v>231</v>
      </c>
      <c r="F3154" t="s">
        <v>5347</v>
      </c>
      <c r="G3154" t="str">
        <f>"201511043197"</f>
        <v>201511043197</v>
      </c>
      <c r="H3154">
        <v>550</v>
      </c>
      <c r="I3154">
        <v>150</v>
      </c>
      <c r="J3154">
        <v>0</v>
      </c>
      <c r="K3154">
        <v>0</v>
      </c>
      <c r="L3154">
        <v>0</v>
      </c>
      <c r="M3154">
        <v>0</v>
      </c>
      <c r="N3154">
        <v>0</v>
      </c>
      <c r="O3154">
        <v>0</v>
      </c>
      <c r="P3154">
        <v>0</v>
      </c>
      <c r="Q3154">
        <v>0</v>
      </c>
      <c r="T3154">
        <v>0</v>
      </c>
      <c r="U3154">
        <v>700</v>
      </c>
    </row>
    <row r="3155" spans="1:21" x14ac:dyDescent="0.25">
      <c r="H3155" t="s">
        <v>5348</v>
      </c>
    </row>
    <row r="3156" spans="1:21" x14ac:dyDescent="0.25">
      <c r="A3156">
        <v>1575</v>
      </c>
      <c r="B3156">
        <v>7152</v>
      </c>
      <c r="C3156" t="s">
        <v>1931</v>
      </c>
      <c r="D3156" t="s">
        <v>46</v>
      </c>
      <c r="E3156" t="s">
        <v>259</v>
      </c>
      <c r="F3156" t="s">
        <v>5349</v>
      </c>
      <c r="G3156" t="str">
        <f>"201511030864"</f>
        <v>201511030864</v>
      </c>
      <c r="H3156">
        <v>550</v>
      </c>
      <c r="I3156">
        <v>150</v>
      </c>
      <c r="J3156">
        <v>0</v>
      </c>
      <c r="K3156">
        <v>0</v>
      </c>
      <c r="L3156">
        <v>0</v>
      </c>
      <c r="M3156">
        <v>0</v>
      </c>
      <c r="N3156">
        <v>0</v>
      </c>
      <c r="O3156">
        <v>0</v>
      </c>
      <c r="P3156">
        <v>0</v>
      </c>
      <c r="Q3156">
        <v>0</v>
      </c>
      <c r="T3156">
        <v>0</v>
      </c>
      <c r="U3156">
        <v>700</v>
      </c>
    </row>
    <row r="3157" spans="1:21" x14ac:dyDescent="0.25">
      <c r="H3157" t="s">
        <v>5350</v>
      </c>
    </row>
    <row r="3158" spans="1:21" x14ac:dyDescent="0.25">
      <c r="A3158">
        <v>1576</v>
      </c>
      <c r="B3158">
        <v>9436</v>
      </c>
      <c r="C3158" t="s">
        <v>5351</v>
      </c>
      <c r="D3158" t="s">
        <v>64</v>
      </c>
      <c r="E3158" t="s">
        <v>191</v>
      </c>
      <c r="F3158" t="s">
        <v>5352</v>
      </c>
      <c r="G3158" t="str">
        <f>"201511026207"</f>
        <v>201511026207</v>
      </c>
      <c r="H3158">
        <v>550</v>
      </c>
      <c r="I3158">
        <v>150</v>
      </c>
      <c r="J3158">
        <v>0</v>
      </c>
      <c r="K3158">
        <v>0</v>
      </c>
      <c r="L3158">
        <v>0</v>
      </c>
      <c r="M3158">
        <v>0</v>
      </c>
      <c r="N3158">
        <v>0</v>
      </c>
      <c r="O3158">
        <v>0</v>
      </c>
      <c r="P3158">
        <v>0</v>
      </c>
      <c r="Q3158">
        <v>0</v>
      </c>
      <c r="T3158">
        <v>0</v>
      </c>
      <c r="U3158">
        <v>700</v>
      </c>
    </row>
    <row r="3159" spans="1:21" x14ac:dyDescent="0.25">
      <c r="H3159" t="s">
        <v>5353</v>
      </c>
    </row>
    <row r="3160" spans="1:21" x14ac:dyDescent="0.25">
      <c r="A3160">
        <v>1577</v>
      </c>
      <c r="B3160">
        <v>6924</v>
      </c>
      <c r="C3160" t="s">
        <v>5354</v>
      </c>
      <c r="D3160" t="s">
        <v>185</v>
      </c>
      <c r="E3160" t="s">
        <v>112</v>
      </c>
      <c r="F3160" t="s">
        <v>5355</v>
      </c>
      <c r="G3160" t="str">
        <f>"201511025872"</f>
        <v>201511025872</v>
      </c>
      <c r="H3160">
        <v>550</v>
      </c>
      <c r="I3160">
        <v>150</v>
      </c>
      <c r="J3160">
        <v>0</v>
      </c>
      <c r="K3160">
        <v>0</v>
      </c>
      <c r="L3160">
        <v>0</v>
      </c>
      <c r="M3160">
        <v>0</v>
      </c>
      <c r="N3160">
        <v>0</v>
      </c>
      <c r="O3160">
        <v>0</v>
      </c>
      <c r="P3160">
        <v>0</v>
      </c>
      <c r="Q3160">
        <v>0</v>
      </c>
      <c r="T3160">
        <v>0</v>
      </c>
      <c r="U3160">
        <v>700</v>
      </c>
    </row>
    <row r="3161" spans="1:21" x14ac:dyDescent="0.25">
      <c r="H3161" t="s">
        <v>5356</v>
      </c>
    </row>
    <row r="3162" spans="1:21" x14ac:dyDescent="0.25">
      <c r="A3162">
        <v>1578</v>
      </c>
      <c r="B3162">
        <v>9825</v>
      </c>
      <c r="C3162" t="s">
        <v>5357</v>
      </c>
      <c r="D3162" t="s">
        <v>5358</v>
      </c>
      <c r="E3162" t="s">
        <v>20</v>
      </c>
      <c r="F3162" t="s">
        <v>5359</v>
      </c>
      <c r="G3162" t="str">
        <f>"201005000058"</f>
        <v>201005000058</v>
      </c>
      <c r="H3162">
        <v>550</v>
      </c>
      <c r="I3162">
        <v>150</v>
      </c>
      <c r="J3162">
        <v>0</v>
      </c>
      <c r="K3162">
        <v>0</v>
      </c>
      <c r="L3162">
        <v>0</v>
      </c>
      <c r="M3162">
        <v>0</v>
      </c>
      <c r="N3162">
        <v>0</v>
      </c>
      <c r="O3162">
        <v>0</v>
      </c>
      <c r="P3162">
        <v>0</v>
      </c>
      <c r="Q3162">
        <v>0</v>
      </c>
      <c r="T3162">
        <v>0</v>
      </c>
      <c r="U3162">
        <v>700</v>
      </c>
    </row>
    <row r="3163" spans="1:21" x14ac:dyDescent="0.25">
      <c r="H3163" t="s">
        <v>5360</v>
      </c>
    </row>
    <row r="3164" spans="1:21" x14ac:dyDescent="0.25">
      <c r="A3164">
        <v>1579</v>
      </c>
      <c r="B3164">
        <v>5615</v>
      </c>
      <c r="C3164" t="s">
        <v>5361</v>
      </c>
      <c r="D3164" t="s">
        <v>64</v>
      </c>
      <c r="E3164" t="s">
        <v>225</v>
      </c>
      <c r="F3164" t="s">
        <v>5362</v>
      </c>
      <c r="G3164" t="str">
        <f>"200805000215"</f>
        <v>200805000215</v>
      </c>
      <c r="H3164" t="s">
        <v>5046</v>
      </c>
      <c r="I3164">
        <v>0</v>
      </c>
      <c r="J3164">
        <v>0</v>
      </c>
      <c r="K3164">
        <v>0</v>
      </c>
      <c r="L3164">
        <v>0</v>
      </c>
      <c r="M3164">
        <v>0</v>
      </c>
      <c r="N3164">
        <v>0</v>
      </c>
      <c r="O3164">
        <v>0</v>
      </c>
      <c r="P3164">
        <v>0</v>
      </c>
      <c r="Q3164">
        <v>0</v>
      </c>
      <c r="T3164">
        <v>0</v>
      </c>
      <c r="U3164" t="s">
        <v>5046</v>
      </c>
    </row>
    <row r="3165" spans="1:21" x14ac:dyDescent="0.25">
      <c r="H3165" t="s">
        <v>5363</v>
      </c>
    </row>
    <row r="3166" spans="1:21" x14ac:dyDescent="0.25">
      <c r="A3166">
        <v>1580</v>
      </c>
      <c r="B3166">
        <v>7826</v>
      </c>
      <c r="C3166" t="s">
        <v>5364</v>
      </c>
      <c r="D3166" t="s">
        <v>85</v>
      </c>
      <c r="E3166" t="s">
        <v>366</v>
      </c>
      <c r="F3166" t="s">
        <v>5365</v>
      </c>
      <c r="G3166" t="str">
        <f>"00091160"</f>
        <v>00091160</v>
      </c>
      <c r="H3166" t="s">
        <v>5046</v>
      </c>
      <c r="I3166">
        <v>0</v>
      </c>
      <c r="J3166">
        <v>0</v>
      </c>
      <c r="K3166">
        <v>0</v>
      </c>
      <c r="L3166">
        <v>0</v>
      </c>
      <c r="M3166">
        <v>0</v>
      </c>
      <c r="N3166">
        <v>0</v>
      </c>
      <c r="O3166">
        <v>0</v>
      </c>
      <c r="P3166">
        <v>0</v>
      </c>
      <c r="Q3166">
        <v>0</v>
      </c>
      <c r="T3166">
        <v>0</v>
      </c>
      <c r="U3166" t="s">
        <v>5046</v>
      </c>
    </row>
    <row r="3167" spans="1:21" x14ac:dyDescent="0.25">
      <c r="H3167" t="s">
        <v>5366</v>
      </c>
    </row>
    <row r="3168" spans="1:21" x14ac:dyDescent="0.25">
      <c r="A3168">
        <v>1581</v>
      </c>
      <c r="B3168">
        <v>9692</v>
      </c>
      <c r="C3168" t="s">
        <v>5367</v>
      </c>
      <c r="D3168" t="s">
        <v>164</v>
      </c>
      <c r="E3168" t="s">
        <v>135</v>
      </c>
      <c r="F3168" t="s">
        <v>5368</v>
      </c>
      <c r="G3168" t="str">
        <f>"00095852"</f>
        <v>00095852</v>
      </c>
      <c r="H3168" t="s">
        <v>5046</v>
      </c>
      <c r="I3168">
        <v>0</v>
      </c>
      <c r="J3168">
        <v>0</v>
      </c>
      <c r="K3168">
        <v>0</v>
      </c>
      <c r="L3168">
        <v>0</v>
      </c>
      <c r="M3168">
        <v>0</v>
      </c>
      <c r="N3168">
        <v>0</v>
      </c>
      <c r="O3168">
        <v>0</v>
      </c>
      <c r="P3168">
        <v>0</v>
      </c>
      <c r="Q3168">
        <v>0</v>
      </c>
      <c r="T3168">
        <v>0</v>
      </c>
      <c r="U3168" t="s">
        <v>5046</v>
      </c>
    </row>
    <row r="3169" spans="1:21" x14ac:dyDescent="0.25">
      <c r="H3169" t="s">
        <v>5369</v>
      </c>
    </row>
    <row r="3170" spans="1:21" x14ac:dyDescent="0.25">
      <c r="A3170">
        <v>1582</v>
      </c>
      <c r="B3170">
        <v>3122</v>
      </c>
      <c r="C3170" t="s">
        <v>5370</v>
      </c>
      <c r="D3170" t="s">
        <v>37</v>
      </c>
      <c r="E3170" t="s">
        <v>1506</v>
      </c>
      <c r="F3170" t="s">
        <v>5371</v>
      </c>
      <c r="G3170" t="str">
        <f>"201511012003"</f>
        <v>201511012003</v>
      </c>
      <c r="H3170" t="s">
        <v>5046</v>
      </c>
      <c r="I3170">
        <v>0</v>
      </c>
      <c r="J3170">
        <v>0</v>
      </c>
      <c r="K3170">
        <v>0</v>
      </c>
      <c r="L3170">
        <v>0</v>
      </c>
      <c r="M3170">
        <v>0</v>
      </c>
      <c r="N3170">
        <v>0</v>
      </c>
      <c r="O3170">
        <v>0</v>
      </c>
      <c r="P3170">
        <v>0</v>
      </c>
      <c r="Q3170">
        <v>0</v>
      </c>
      <c r="T3170">
        <v>2</v>
      </c>
      <c r="U3170" t="s">
        <v>5046</v>
      </c>
    </row>
    <row r="3171" spans="1:21" x14ac:dyDescent="0.25">
      <c r="H3171" t="s">
        <v>5372</v>
      </c>
    </row>
    <row r="3172" spans="1:21" x14ac:dyDescent="0.25">
      <c r="A3172">
        <v>1583</v>
      </c>
      <c r="B3172">
        <v>864</v>
      </c>
      <c r="C3172" t="s">
        <v>5373</v>
      </c>
      <c r="D3172" t="s">
        <v>911</v>
      </c>
      <c r="E3172" t="s">
        <v>27</v>
      </c>
      <c r="F3172" t="s">
        <v>5374</v>
      </c>
      <c r="G3172" t="str">
        <f>"00029503"</f>
        <v>00029503</v>
      </c>
      <c r="H3172" t="s">
        <v>5046</v>
      </c>
      <c r="I3172">
        <v>0</v>
      </c>
      <c r="J3172">
        <v>0</v>
      </c>
      <c r="K3172">
        <v>0</v>
      </c>
      <c r="L3172">
        <v>0</v>
      </c>
      <c r="M3172">
        <v>0</v>
      </c>
      <c r="N3172">
        <v>0</v>
      </c>
      <c r="O3172">
        <v>0</v>
      </c>
      <c r="P3172">
        <v>0</v>
      </c>
      <c r="Q3172">
        <v>0</v>
      </c>
      <c r="T3172">
        <v>1</v>
      </c>
      <c r="U3172" t="s">
        <v>5046</v>
      </c>
    </row>
    <row r="3173" spans="1:21" x14ac:dyDescent="0.25">
      <c r="H3173" t="s">
        <v>5375</v>
      </c>
    </row>
    <row r="3174" spans="1:21" x14ac:dyDescent="0.25">
      <c r="A3174">
        <v>1584</v>
      </c>
      <c r="B3174">
        <v>2975</v>
      </c>
      <c r="C3174" t="s">
        <v>5376</v>
      </c>
      <c r="D3174" t="s">
        <v>5377</v>
      </c>
      <c r="E3174" t="s">
        <v>5378</v>
      </c>
      <c r="F3174" t="s">
        <v>5379</v>
      </c>
      <c r="G3174" t="str">
        <f>"00028645"</f>
        <v>00028645</v>
      </c>
      <c r="H3174" t="s">
        <v>5380</v>
      </c>
      <c r="I3174">
        <v>0</v>
      </c>
      <c r="J3174">
        <v>0</v>
      </c>
      <c r="K3174">
        <v>0</v>
      </c>
      <c r="L3174">
        <v>0</v>
      </c>
      <c r="M3174">
        <v>0</v>
      </c>
      <c r="N3174">
        <v>0</v>
      </c>
      <c r="O3174">
        <v>0</v>
      </c>
      <c r="P3174">
        <v>0</v>
      </c>
      <c r="Q3174">
        <v>0</v>
      </c>
      <c r="T3174">
        <v>0</v>
      </c>
      <c r="U3174" t="s">
        <v>5380</v>
      </c>
    </row>
    <row r="3175" spans="1:21" x14ac:dyDescent="0.25">
      <c r="H3175" t="s">
        <v>1465</v>
      </c>
    </row>
    <row r="3176" spans="1:21" x14ac:dyDescent="0.25">
      <c r="A3176">
        <v>1585</v>
      </c>
      <c r="B3176">
        <v>9606</v>
      </c>
      <c r="C3176" t="s">
        <v>1903</v>
      </c>
      <c r="D3176" t="s">
        <v>27</v>
      </c>
      <c r="E3176" t="s">
        <v>533</v>
      </c>
      <c r="F3176" t="s">
        <v>4233</v>
      </c>
      <c r="G3176" t="str">
        <f>"00030704"</f>
        <v>00030704</v>
      </c>
      <c r="H3176" t="s">
        <v>4234</v>
      </c>
      <c r="I3176">
        <v>0</v>
      </c>
      <c r="J3176">
        <v>0</v>
      </c>
      <c r="K3176">
        <v>0</v>
      </c>
      <c r="L3176">
        <v>0</v>
      </c>
      <c r="M3176">
        <v>0</v>
      </c>
      <c r="N3176">
        <v>0</v>
      </c>
      <c r="O3176">
        <v>0</v>
      </c>
      <c r="P3176">
        <v>0</v>
      </c>
      <c r="Q3176">
        <v>0</v>
      </c>
      <c r="T3176">
        <v>0</v>
      </c>
      <c r="U3176" t="s">
        <v>4234</v>
      </c>
    </row>
    <row r="3177" spans="1:21" x14ac:dyDescent="0.25">
      <c r="H3177" t="s">
        <v>4236</v>
      </c>
    </row>
    <row r="3178" spans="1:21" x14ac:dyDescent="0.25">
      <c r="A3178">
        <v>1586</v>
      </c>
      <c r="B3178">
        <v>9529</v>
      </c>
      <c r="C3178" t="s">
        <v>1064</v>
      </c>
      <c r="D3178" t="s">
        <v>1326</v>
      </c>
      <c r="E3178" t="s">
        <v>1471</v>
      </c>
      <c r="F3178" t="s">
        <v>5381</v>
      </c>
      <c r="G3178" t="str">
        <f>"201511016440"</f>
        <v>201511016440</v>
      </c>
      <c r="H3178" t="s">
        <v>4234</v>
      </c>
      <c r="I3178">
        <v>0</v>
      </c>
      <c r="J3178">
        <v>0</v>
      </c>
      <c r="K3178">
        <v>0</v>
      </c>
      <c r="L3178">
        <v>0</v>
      </c>
      <c r="M3178">
        <v>0</v>
      </c>
      <c r="N3178">
        <v>0</v>
      </c>
      <c r="O3178">
        <v>0</v>
      </c>
      <c r="P3178">
        <v>0</v>
      </c>
      <c r="Q3178">
        <v>0</v>
      </c>
      <c r="T3178">
        <v>1</v>
      </c>
      <c r="U3178" t="s">
        <v>4234</v>
      </c>
    </row>
    <row r="3179" spans="1:21" x14ac:dyDescent="0.25">
      <c r="H3179" t="s">
        <v>5382</v>
      </c>
    </row>
    <row r="3180" spans="1:21" x14ac:dyDescent="0.25">
      <c r="A3180">
        <v>1587</v>
      </c>
      <c r="B3180">
        <v>6927</v>
      </c>
      <c r="C3180" t="s">
        <v>5383</v>
      </c>
      <c r="D3180" t="s">
        <v>589</v>
      </c>
      <c r="E3180" t="s">
        <v>42</v>
      </c>
      <c r="F3180" t="s">
        <v>5384</v>
      </c>
      <c r="G3180" t="str">
        <f>"201511006971"</f>
        <v>201511006971</v>
      </c>
      <c r="H3180" t="s">
        <v>5385</v>
      </c>
      <c r="I3180">
        <v>0</v>
      </c>
      <c r="J3180">
        <v>0</v>
      </c>
      <c r="K3180">
        <v>0</v>
      </c>
      <c r="L3180">
        <v>0</v>
      </c>
      <c r="M3180">
        <v>0</v>
      </c>
      <c r="N3180">
        <v>0</v>
      </c>
      <c r="O3180">
        <v>0</v>
      </c>
      <c r="P3180">
        <v>0</v>
      </c>
      <c r="Q3180">
        <v>0</v>
      </c>
      <c r="T3180">
        <v>2</v>
      </c>
      <c r="U3180" t="s">
        <v>5385</v>
      </c>
    </row>
    <row r="3181" spans="1:21" x14ac:dyDescent="0.25">
      <c r="H3181" t="s">
        <v>5386</v>
      </c>
    </row>
    <row r="3182" spans="1:21" x14ac:dyDescent="0.25">
      <c r="A3182">
        <v>1588</v>
      </c>
      <c r="B3182">
        <v>1919</v>
      </c>
      <c r="C3182" t="s">
        <v>4525</v>
      </c>
      <c r="D3182" t="s">
        <v>835</v>
      </c>
      <c r="E3182" t="s">
        <v>533</v>
      </c>
      <c r="F3182" t="s">
        <v>5387</v>
      </c>
      <c r="G3182" t="str">
        <f>"00069860"</f>
        <v>00069860</v>
      </c>
      <c r="H3182">
        <v>693</v>
      </c>
      <c r="I3182">
        <v>0</v>
      </c>
      <c r="J3182">
        <v>0</v>
      </c>
      <c r="K3182">
        <v>0</v>
      </c>
      <c r="L3182">
        <v>0</v>
      </c>
      <c r="M3182">
        <v>0</v>
      </c>
      <c r="N3182">
        <v>0</v>
      </c>
      <c r="O3182">
        <v>0</v>
      </c>
      <c r="P3182">
        <v>0</v>
      </c>
      <c r="Q3182">
        <v>0</v>
      </c>
      <c r="T3182">
        <v>0</v>
      </c>
      <c r="U3182">
        <v>693</v>
      </c>
    </row>
    <row r="3183" spans="1:21" x14ac:dyDescent="0.25">
      <c r="H3183" t="s">
        <v>5388</v>
      </c>
    </row>
    <row r="3184" spans="1:21" x14ac:dyDescent="0.25">
      <c r="A3184">
        <v>1589</v>
      </c>
      <c r="B3184">
        <v>11</v>
      </c>
      <c r="C3184" t="s">
        <v>5389</v>
      </c>
      <c r="D3184" t="s">
        <v>57</v>
      </c>
      <c r="E3184" t="s">
        <v>366</v>
      </c>
      <c r="F3184" t="s">
        <v>5390</v>
      </c>
      <c r="G3184" t="str">
        <f>"201511018199"</f>
        <v>201511018199</v>
      </c>
      <c r="H3184">
        <v>693</v>
      </c>
      <c r="I3184">
        <v>0</v>
      </c>
      <c r="J3184">
        <v>0</v>
      </c>
      <c r="K3184">
        <v>0</v>
      </c>
      <c r="L3184">
        <v>0</v>
      </c>
      <c r="M3184">
        <v>0</v>
      </c>
      <c r="N3184">
        <v>0</v>
      </c>
      <c r="O3184">
        <v>0</v>
      </c>
      <c r="P3184">
        <v>0</v>
      </c>
      <c r="Q3184">
        <v>0</v>
      </c>
      <c r="T3184">
        <v>0</v>
      </c>
      <c r="U3184">
        <v>693</v>
      </c>
    </row>
    <row r="3185" spans="1:21" x14ac:dyDescent="0.25">
      <c r="H3185" t="s">
        <v>5391</v>
      </c>
    </row>
    <row r="3186" spans="1:21" x14ac:dyDescent="0.25">
      <c r="A3186">
        <v>1590</v>
      </c>
      <c r="B3186">
        <v>2066</v>
      </c>
      <c r="C3186" t="s">
        <v>5392</v>
      </c>
      <c r="D3186" t="s">
        <v>185</v>
      </c>
      <c r="E3186" t="s">
        <v>1673</v>
      </c>
      <c r="F3186" t="s">
        <v>5393</v>
      </c>
      <c r="G3186" t="str">
        <f>"00027891"</f>
        <v>00027891</v>
      </c>
      <c r="H3186">
        <v>693</v>
      </c>
      <c r="I3186">
        <v>0</v>
      </c>
      <c r="J3186">
        <v>0</v>
      </c>
      <c r="K3186">
        <v>0</v>
      </c>
      <c r="L3186">
        <v>0</v>
      </c>
      <c r="M3186">
        <v>0</v>
      </c>
      <c r="N3186">
        <v>0</v>
      </c>
      <c r="O3186">
        <v>0</v>
      </c>
      <c r="P3186">
        <v>0</v>
      </c>
      <c r="Q3186">
        <v>0</v>
      </c>
      <c r="T3186">
        <v>0</v>
      </c>
      <c r="U3186">
        <v>693</v>
      </c>
    </row>
    <row r="3187" spans="1:21" x14ac:dyDescent="0.25">
      <c r="H3187" t="s">
        <v>5394</v>
      </c>
    </row>
    <row r="3188" spans="1:21" x14ac:dyDescent="0.25">
      <c r="A3188">
        <v>1591</v>
      </c>
      <c r="B3188">
        <v>9288</v>
      </c>
      <c r="C3188" t="s">
        <v>5395</v>
      </c>
      <c r="D3188" t="s">
        <v>5396</v>
      </c>
      <c r="E3188" t="s">
        <v>2642</v>
      </c>
      <c r="F3188" t="s">
        <v>5397</v>
      </c>
      <c r="G3188" t="str">
        <f>"00087524"</f>
        <v>00087524</v>
      </c>
      <c r="H3188">
        <v>660</v>
      </c>
      <c r="I3188">
        <v>0</v>
      </c>
      <c r="J3188">
        <v>30</v>
      </c>
      <c r="K3188">
        <v>0</v>
      </c>
      <c r="L3188">
        <v>0</v>
      </c>
      <c r="M3188">
        <v>0</v>
      </c>
      <c r="N3188">
        <v>0</v>
      </c>
      <c r="O3188">
        <v>0</v>
      </c>
      <c r="P3188">
        <v>0</v>
      </c>
      <c r="Q3188">
        <v>0</v>
      </c>
      <c r="T3188">
        <v>0</v>
      </c>
      <c r="U3188">
        <v>690</v>
      </c>
    </row>
    <row r="3189" spans="1:21" x14ac:dyDescent="0.25">
      <c r="H3189" t="s">
        <v>5398</v>
      </c>
    </row>
    <row r="3190" spans="1:21" x14ac:dyDescent="0.25">
      <c r="A3190">
        <v>1592</v>
      </c>
      <c r="B3190">
        <v>8070</v>
      </c>
      <c r="C3190" t="s">
        <v>4082</v>
      </c>
      <c r="D3190" t="s">
        <v>3510</v>
      </c>
      <c r="E3190" t="s">
        <v>231</v>
      </c>
      <c r="F3190" t="s">
        <v>5399</v>
      </c>
      <c r="G3190" t="str">
        <f>"00101298"</f>
        <v>00101298</v>
      </c>
      <c r="H3190">
        <v>660</v>
      </c>
      <c r="I3190">
        <v>0</v>
      </c>
      <c r="J3190">
        <v>30</v>
      </c>
      <c r="K3190">
        <v>0</v>
      </c>
      <c r="L3190">
        <v>0</v>
      </c>
      <c r="M3190">
        <v>0</v>
      </c>
      <c r="N3190">
        <v>0</v>
      </c>
      <c r="O3190">
        <v>0</v>
      </c>
      <c r="P3190">
        <v>0</v>
      </c>
      <c r="Q3190">
        <v>0</v>
      </c>
      <c r="T3190">
        <v>0</v>
      </c>
      <c r="U3190">
        <v>690</v>
      </c>
    </row>
    <row r="3191" spans="1:21" x14ac:dyDescent="0.25">
      <c r="H3191" t="s">
        <v>5400</v>
      </c>
    </row>
    <row r="3192" spans="1:21" x14ac:dyDescent="0.25">
      <c r="A3192">
        <v>1593</v>
      </c>
      <c r="B3192">
        <v>6785</v>
      </c>
      <c r="C3192" t="s">
        <v>5401</v>
      </c>
      <c r="D3192" t="s">
        <v>185</v>
      </c>
      <c r="E3192" t="s">
        <v>533</v>
      </c>
      <c r="F3192">
        <v>1056442</v>
      </c>
      <c r="G3192" t="str">
        <f>"00102356"</f>
        <v>00102356</v>
      </c>
      <c r="H3192">
        <v>660</v>
      </c>
      <c r="I3192">
        <v>0</v>
      </c>
      <c r="J3192">
        <v>30</v>
      </c>
      <c r="K3192">
        <v>0</v>
      </c>
      <c r="L3192">
        <v>0</v>
      </c>
      <c r="M3192">
        <v>0</v>
      </c>
      <c r="N3192">
        <v>0</v>
      </c>
      <c r="O3192">
        <v>0</v>
      </c>
      <c r="P3192">
        <v>0</v>
      </c>
      <c r="Q3192">
        <v>0</v>
      </c>
      <c r="T3192">
        <v>1</v>
      </c>
      <c r="U3192">
        <v>690</v>
      </c>
    </row>
    <row r="3193" spans="1:21" x14ac:dyDescent="0.25">
      <c r="H3193" t="s">
        <v>2739</v>
      </c>
    </row>
    <row r="3194" spans="1:21" x14ac:dyDescent="0.25">
      <c r="A3194">
        <v>1594</v>
      </c>
      <c r="B3194">
        <v>641</v>
      </c>
      <c r="C3194" t="s">
        <v>5402</v>
      </c>
      <c r="D3194" t="s">
        <v>759</v>
      </c>
      <c r="E3194" t="s">
        <v>5403</v>
      </c>
      <c r="F3194" t="s">
        <v>5404</v>
      </c>
      <c r="G3194" t="str">
        <f>"00020977"</f>
        <v>00020977</v>
      </c>
      <c r="H3194">
        <v>660</v>
      </c>
      <c r="I3194">
        <v>0</v>
      </c>
      <c r="J3194">
        <v>0</v>
      </c>
      <c r="K3194">
        <v>30</v>
      </c>
      <c r="L3194">
        <v>0</v>
      </c>
      <c r="M3194">
        <v>0</v>
      </c>
      <c r="N3194">
        <v>0</v>
      </c>
      <c r="O3194">
        <v>0</v>
      </c>
      <c r="P3194">
        <v>0</v>
      </c>
      <c r="Q3194">
        <v>0</v>
      </c>
      <c r="T3194">
        <v>0</v>
      </c>
      <c r="U3194">
        <v>690</v>
      </c>
    </row>
    <row r="3195" spans="1:21" x14ac:dyDescent="0.25">
      <c r="H3195" t="s">
        <v>5405</v>
      </c>
    </row>
    <row r="3196" spans="1:21" x14ac:dyDescent="0.25">
      <c r="A3196">
        <v>1595</v>
      </c>
      <c r="B3196">
        <v>9277</v>
      </c>
      <c r="C3196" t="s">
        <v>5406</v>
      </c>
      <c r="D3196" t="s">
        <v>1136</v>
      </c>
      <c r="E3196" t="s">
        <v>859</v>
      </c>
      <c r="F3196" t="s">
        <v>5407</v>
      </c>
      <c r="G3196" t="str">
        <f>"00045168"</f>
        <v>00045168</v>
      </c>
      <c r="H3196">
        <v>660</v>
      </c>
      <c r="I3196">
        <v>0</v>
      </c>
      <c r="J3196">
        <v>0</v>
      </c>
      <c r="K3196">
        <v>0</v>
      </c>
      <c r="L3196">
        <v>0</v>
      </c>
      <c r="M3196">
        <v>0</v>
      </c>
      <c r="N3196">
        <v>0</v>
      </c>
      <c r="O3196">
        <v>30</v>
      </c>
      <c r="P3196">
        <v>0</v>
      </c>
      <c r="Q3196">
        <v>0</v>
      </c>
      <c r="T3196">
        <v>0</v>
      </c>
      <c r="U3196">
        <v>690</v>
      </c>
    </row>
    <row r="3197" spans="1:21" x14ac:dyDescent="0.25">
      <c r="H3197" t="s">
        <v>5408</v>
      </c>
    </row>
    <row r="3198" spans="1:21" x14ac:dyDescent="0.25">
      <c r="A3198">
        <v>1596</v>
      </c>
      <c r="B3198">
        <v>5004</v>
      </c>
      <c r="C3198" t="s">
        <v>5409</v>
      </c>
      <c r="D3198" t="s">
        <v>64</v>
      </c>
      <c r="E3198" t="s">
        <v>36</v>
      </c>
      <c r="F3198" t="s">
        <v>5410</v>
      </c>
      <c r="G3198" t="str">
        <f>"201511036878"</f>
        <v>201511036878</v>
      </c>
      <c r="H3198">
        <v>660</v>
      </c>
      <c r="I3198">
        <v>0</v>
      </c>
      <c r="J3198">
        <v>30</v>
      </c>
      <c r="K3198">
        <v>0</v>
      </c>
      <c r="L3198">
        <v>0</v>
      </c>
      <c r="M3198">
        <v>0</v>
      </c>
      <c r="N3198">
        <v>0</v>
      </c>
      <c r="O3198">
        <v>0</v>
      </c>
      <c r="P3198">
        <v>0</v>
      </c>
      <c r="Q3198">
        <v>0</v>
      </c>
      <c r="T3198">
        <v>0</v>
      </c>
      <c r="U3198">
        <v>690</v>
      </c>
    </row>
    <row r="3199" spans="1:21" x14ac:dyDescent="0.25">
      <c r="H3199" t="s">
        <v>5411</v>
      </c>
    </row>
    <row r="3200" spans="1:21" x14ac:dyDescent="0.25">
      <c r="A3200">
        <v>1597</v>
      </c>
      <c r="B3200">
        <v>7836</v>
      </c>
      <c r="C3200" t="s">
        <v>5412</v>
      </c>
      <c r="D3200" t="s">
        <v>64</v>
      </c>
      <c r="E3200" t="s">
        <v>155</v>
      </c>
      <c r="F3200" t="s">
        <v>5413</v>
      </c>
      <c r="G3200" t="str">
        <f>"00057992"</f>
        <v>00057992</v>
      </c>
      <c r="H3200">
        <v>660</v>
      </c>
      <c r="I3200">
        <v>0</v>
      </c>
      <c r="J3200">
        <v>30</v>
      </c>
      <c r="K3200">
        <v>0</v>
      </c>
      <c r="L3200">
        <v>0</v>
      </c>
      <c r="M3200">
        <v>0</v>
      </c>
      <c r="N3200">
        <v>0</v>
      </c>
      <c r="O3200">
        <v>0</v>
      </c>
      <c r="P3200">
        <v>0</v>
      </c>
      <c r="Q3200">
        <v>0</v>
      </c>
      <c r="T3200">
        <v>2</v>
      </c>
      <c r="U3200">
        <v>690</v>
      </c>
    </row>
    <row r="3201" spans="1:21" x14ac:dyDescent="0.25">
      <c r="H3201" t="s">
        <v>5414</v>
      </c>
    </row>
    <row r="3202" spans="1:21" x14ac:dyDescent="0.25">
      <c r="A3202">
        <v>1598</v>
      </c>
      <c r="B3202">
        <v>871</v>
      </c>
      <c r="C3202" t="s">
        <v>5415</v>
      </c>
      <c r="D3202" t="s">
        <v>145</v>
      </c>
      <c r="E3202" t="s">
        <v>852</v>
      </c>
      <c r="F3202" t="s">
        <v>5416</v>
      </c>
      <c r="G3202" t="str">
        <f>"201511028783"</f>
        <v>201511028783</v>
      </c>
      <c r="H3202">
        <v>660</v>
      </c>
      <c r="I3202">
        <v>0</v>
      </c>
      <c r="J3202">
        <v>30</v>
      </c>
      <c r="K3202">
        <v>0</v>
      </c>
      <c r="L3202">
        <v>0</v>
      </c>
      <c r="M3202">
        <v>0</v>
      </c>
      <c r="N3202">
        <v>0</v>
      </c>
      <c r="O3202">
        <v>0</v>
      </c>
      <c r="P3202">
        <v>0</v>
      </c>
      <c r="Q3202">
        <v>0</v>
      </c>
      <c r="T3202">
        <v>1</v>
      </c>
      <c r="U3202">
        <v>690</v>
      </c>
    </row>
    <row r="3203" spans="1:21" x14ac:dyDescent="0.25">
      <c r="H3203" t="s">
        <v>5417</v>
      </c>
    </row>
    <row r="3204" spans="1:21" x14ac:dyDescent="0.25">
      <c r="A3204">
        <v>1599</v>
      </c>
      <c r="B3204">
        <v>445</v>
      </c>
      <c r="C3204" t="s">
        <v>5418</v>
      </c>
      <c r="D3204" t="s">
        <v>164</v>
      </c>
      <c r="E3204" t="s">
        <v>122</v>
      </c>
      <c r="F3204" t="s">
        <v>5419</v>
      </c>
      <c r="G3204" t="str">
        <f>"00047392"</f>
        <v>00047392</v>
      </c>
      <c r="H3204">
        <v>660</v>
      </c>
      <c r="I3204">
        <v>0</v>
      </c>
      <c r="J3204">
        <v>30</v>
      </c>
      <c r="K3204">
        <v>0</v>
      </c>
      <c r="L3204">
        <v>0</v>
      </c>
      <c r="M3204">
        <v>0</v>
      </c>
      <c r="N3204">
        <v>0</v>
      </c>
      <c r="O3204">
        <v>0</v>
      </c>
      <c r="P3204">
        <v>0</v>
      </c>
      <c r="Q3204">
        <v>0</v>
      </c>
      <c r="T3204">
        <v>2</v>
      </c>
      <c r="U3204">
        <v>690</v>
      </c>
    </row>
    <row r="3205" spans="1:21" x14ac:dyDescent="0.25">
      <c r="H3205" t="s">
        <v>5420</v>
      </c>
    </row>
    <row r="3206" spans="1:21" x14ac:dyDescent="0.25">
      <c r="A3206">
        <v>1600</v>
      </c>
      <c r="B3206">
        <v>9595</v>
      </c>
      <c r="C3206" t="s">
        <v>444</v>
      </c>
      <c r="D3206" t="s">
        <v>5421</v>
      </c>
      <c r="E3206" t="s">
        <v>4967</v>
      </c>
      <c r="F3206" t="s">
        <v>5422</v>
      </c>
      <c r="G3206" t="str">
        <f>"201511006775"</f>
        <v>201511006775</v>
      </c>
      <c r="H3206">
        <v>660</v>
      </c>
      <c r="I3206">
        <v>0</v>
      </c>
      <c r="J3206">
        <v>30</v>
      </c>
      <c r="K3206">
        <v>0</v>
      </c>
      <c r="L3206">
        <v>0</v>
      </c>
      <c r="M3206">
        <v>0</v>
      </c>
      <c r="N3206">
        <v>0</v>
      </c>
      <c r="O3206">
        <v>0</v>
      </c>
      <c r="P3206">
        <v>0</v>
      </c>
      <c r="Q3206">
        <v>0</v>
      </c>
      <c r="T3206">
        <v>0</v>
      </c>
      <c r="U3206">
        <v>690</v>
      </c>
    </row>
    <row r="3207" spans="1:21" x14ac:dyDescent="0.25">
      <c r="H3207" t="s">
        <v>5423</v>
      </c>
    </row>
    <row r="3208" spans="1:21" x14ac:dyDescent="0.25">
      <c r="A3208">
        <v>1601</v>
      </c>
      <c r="B3208">
        <v>136</v>
      </c>
      <c r="C3208" t="s">
        <v>5424</v>
      </c>
      <c r="D3208" t="s">
        <v>5425</v>
      </c>
      <c r="E3208" t="s">
        <v>36</v>
      </c>
      <c r="F3208" t="s">
        <v>5426</v>
      </c>
      <c r="G3208" t="str">
        <f>"00016429"</f>
        <v>00016429</v>
      </c>
      <c r="H3208">
        <v>660</v>
      </c>
      <c r="I3208">
        <v>0</v>
      </c>
      <c r="J3208">
        <v>30</v>
      </c>
      <c r="K3208">
        <v>0</v>
      </c>
      <c r="L3208">
        <v>0</v>
      </c>
      <c r="M3208">
        <v>0</v>
      </c>
      <c r="N3208">
        <v>0</v>
      </c>
      <c r="O3208">
        <v>0</v>
      </c>
      <c r="P3208">
        <v>0</v>
      </c>
      <c r="Q3208">
        <v>0</v>
      </c>
      <c r="T3208">
        <v>0</v>
      </c>
      <c r="U3208">
        <v>690</v>
      </c>
    </row>
    <row r="3209" spans="1:21" x14ac:dyDescent="0.25">
      <c r="H3209" t="s">
        <v>5427</v>
      </c>
    </row>
    <row r="3210" spans="1:21" x14ac:dyDescent="0.25">
      <c r="A3210">
        <v>1602</v>
      </c>
      <c r="B3210">
        <v>136</v>
      </c>
      <c r="C3210" t="s">
        <v>5424</v>
      </c>
      <c r="D3210" t="s">
        <v>5425</v>
      </c>
      <c r="E3210" t="s">
        <v>36</v>
      </c>
      <c r="F3210" t="s">
        <v>5426</v>
      </c>
      <c r="G3210" t="str">
        <f>"00016429"</f>
        <v>00016429</v>
      </c>
      <c r="H3210">
        <v>660</v>
      </c>
      <c r="I3210">
        <v>0</v>
      </c>
      <c r="J3210">
        <v>30</v>
      </c>
      <c r="K3210">
        <v>0</v>
      </c>
      <c r="L3210">
        <v>0</v>
      </c>
      <c r="M3210">
        <v>0</v>
      </c>
      <c r="N3210">
        <v>0</v>
      </c>
      <c r="O3210">
        <v>0</v>
      </c>
      <c r="P3210">
        <v>0</v>
      </c>
      <c r="Q3210">
        <v>0</v>
      </c>
      <c r="R3210">
        <v>6</v>
      </c>
      <c r="S3210">
        <v>804</v>
      </c>
      <c r="T3210">
        <v>0</v>
      </c>
      <c r="U3210">
        <v>690</v>
      </c>
    </row>
    <row r="3211" spans="1:21" x14ac:dyDescent="0.25">
      <c r="H3211" t="s">
        <v>5427</v>
      </c>
    </row>
    <row r="3212" spans="1:21" x14ac:dyDescent="0.25">
      <c r="A3212">
        <v>1603</v>
      </c>
      <c r="B3212">
        <v>1006</v>
      </c>
      <c r="C3212" t="s">
        <v>1130</v>
      </c>
      <c r="D3212" t="s">
        <v>3604</v>
      </c>
      <c r="E3212" t="s">
        <v>533</v>
      </c>
      <c r="F3212" t="s">
        <v>5428</v>
      </c>
      <c r="G3212" t="str">
        <f>"201006000147"</f>
        <v>201006000147</v>
      </c>
      <c r="H3212" t="s">
        <v>3772</v>
      </c>
      <c r="I3212">
        <v>0</v>
      </c>
      <c r="J3212">
        <v>0</v>
      </c>
      <c r="K3212">
        <v>0</v>
      </c>
      <c r="L3212">
        <v>0</v>
      </c>
      <c r="M3212">
        <v>0</v>
      </c>
      <c r="N3212">
        <v>0</v>
      </c>
      <c r="O3212">
        <v>0</v>
      </c>
      <c r="P3212">
        <v>0</v>
      </c>
      <c r="Q3212">
        <v>0</v>
      </c>
      <c r="T3212">
        <v>2</v>
      </c>
      <c r="U3212" t="s">
        <v>3772</v>
      </c>
    </row>
    <row r="3213" spans="1:21" x14ac:dyDescent="0.25">
      <c r="H3213" t="s">
        <v>5429</v>
      </c>
    </row>
    <row r="3214" spans="1:21" x14ac:dyDescent="0.25">
      <c r="A3214">
        <v>1604</v>
      </c>
      <c r="B3214">
        <v>8607</v>
      </c>
      <c r="C3214" t="s">
        <v>5430</v>
      </c>
      <c r="D3214" t="s">
        <v>85</v>
      </c>
      <c r="E3214" t="s">
        <v>36</v>
      </c>
      <c r="F3214" t="s">
        <v>5431</v>
      </c>
      <c r="G3214" t="str">
        <f>"00092994"</f>
        <v>00092994</v>
      </c>
      <c r="H3214" t="s">
        <v>3806</v>
      </c>
      <c r="I3214">
        <v>0</v>
      </c>
      <c r="J3214">
        <v>0</v>
      </c>
      <c r="K3214">
        <v>0</v>
      </c>
      <c r="L3214">
        <v>0</v>
      </c>
      <c r="M3214">
        <v>0</v>
      </c>
      <c r="N3214">
        <v>0</v>
      </c>
      <c r="O3214">
        <v>0</v>
      </c>
      <c r="P3214">
        <v>0</v>
      </c>
      <c r="Q3214">
        <v>0</v>
      </c>
      <c r="T3214">
        <v>0</v>
      </c>
      <c r="U3214" t="s">
        <v>3806</v>
      </c>
    </row>
    <row r="3215" spans="1:21" x14ac:dyDescent="0.25">
      <c r="H3215" t="s">
        <v>5432</v>
      </c>
    </row>
    <row r="3216" spans="1:21" x14ac:dyDescent="0.25">
      <c r="A3216">
        <v>1605</v>
      </c>
      <c r="B3216">
        <v>3985</v>
      </c>
      <c r="C3216" t="s">
        <v>5433</v>
      </c>
      <c r="D3216" t="s">
        <v>5434</v>
      </c>
      <c r="E3216" t="s">
        <v>773</v>
      </c>
      <c r="F3216" t="s">
        <v>5435</v>
      </c>
      <c r="G3216" t="str">
        <f>"00084746"</f>
        <v>00084746</v>
      </c>
      <c r="H3216" t="s">
        <v>3806</v>
      </c>
      <c r="I3216">
        <v>0</v>
      </c>
      <c r="J3216">
        <v>0</v>
      </c>
      <c r="K3216">
        <v>0</v>
      </c>
      <c r="L3216">
        <v>0</v>
      </c>
      <c r="M3216">
        <v>0</v>
      </c>
      <c r="N3216">
        <v>0</v>
      </c>
      <c r="O3216">
        <v>0</v>
      </c>
      <c r="P3216">
        <v>0</v>
      </c>
      <c r="Q3216">
        <v>0</v>
      </c>
      <c r="T3216">
        <v>0</v>
      </c>
      <c r="U3216" t="s">
        <v>3806</v>
      </c>
    </row>
    <row r="3217" spans="1:21" x14ac:dyDescent="0.25">
      <c r="H3217" t="s">
        <v>5436</v>
      </c>
    </row>
    <row r="3218" spans="1:21" x14ac:dyDescent="0.25">
      <c r="A3218">
        <v>1606</v>
      </c>
      <c r="B3218">
        <v>6243</v>
      </c>
      <c r="C3218" t="s">
        <v>35</v>
      </c>
      <c r="D3218" t="s">
        <v>366</v>
      </c>
      <c r="E3218" t="s">
        <v>27</v>
      </c>
      <c r="F3218" t="s">
        <v>5437</v>
      </c>
      <c r="G3218" t="str">
        <f>"201511043232"</f>
        <v>201511043232</v>
      </c>
      <c r="H3218" t="s">
        <v>3806</v>
      </c>
      <c r="I3218">
        <v>0</v>
      </c>
      <c r="J3218">
        <v>0</v>
      </c>
      <c r="K3218">
        <v>0</v>
      </c>
      <c r="L3218">
        <v>0</v>
      </c>
      <c r="M3218">
        <v>0</v>
      </c>
      <c r="N3218">
        <v>0</v>
      </c>
      <c r="O3218">
        <v>0</v>
      </c>
      <c r="P3218">
        <v>0</v>
      </c>
      <c r="Q3218">
        <v>0</v>
      </c>
      <c r="T3218">
        <v>1</v>
      </c>
      <c r="U3218" t="s">
        <v>3806</v>
      </c>
    </row>
    <row r="3219" spans="1:21" x14ac:dyDescent="0.25">
      <c r="H3219" t="s">
        <v>5438</v>
      </c>
    </row>
    <row r="3220" spans="1:21" x14ac:dyDescent="0.25">
      <c r="A3220">
        <v>1607</v>
      </c>
      <c r="B3220">
        <v>2794</v>
      </c>
      <c r="C3220" t="s">
        <v>5439</v>
      </c>
      <c r="D3220" t="s">
        <v>85</v>
      </c>
      <c r="E3220" t="s">
        <v>975</v>
      </c>
      <c r="F3220" t="s">
        <v>5440</v>
      </c>
      <c r="G3220" t="str">
        <f>"201511009625"</f>
        <v>201511009625</v>
      </c>
      <c r="H3220" t="s">
        <v>4318</v>
      </c>
      <c r="I3220">
        <v>0</v>
      </c>
      <c r="J3220">
        <v>0</v>
      </c>
      <c r="K3220">
        <v>0</v>
      </c>
      <c r="L3220">
        <v>0</v>
      </c>
      <c r="M3220">
        <v>0</v>
      </c>
      <c r="N3220">
        <v>0</v>
      </c>
      <c r="O3220">
        <v>0</v>
      </c>
      <c r="P3220">
        <v>0</v>
      </c>
      <c r="Q3220">
        <v>0</v>
      </c>
      <c r="T3220">
        <v>2</v>
      </c>
      <c r="U3220" t="s">
        <v>4318</v>
      </c>
    </row>
    <row r="3221" spans="1:21" x14ac:dyDescent="0.25">
      <c r="H3221" t="s">
        <v>4952</v>
      </c>
    </row>
    <row r="3222" spans="1:21" x14ac:dyDescent="0.25">
      <c r="A3222">
        <v>1608</v>
      </c>
      <c r="B3222">
        <v>3133</v>
      </c>
      <c r="C3222" t="s">
        <v>5441</v>
      </c>
      <c r="D3222" t="s">
        <v>141</v>
      </c>
      <c r="E3222" t="s">
        <v>1005</v>
      </c>
      <c r="F3222" t="s">
        <v>5442</v>
      </c>
      <c r="G3222" t="str">
        <f>"00024659"</f>
        <v>00024659</v>
      </c>
      <c r="H3222">
        <v>682</v>
      </c>
      <c r="I3222">
        <v>0</v>
      </c>
      <c r="J3222">
        <v>0</v>
      </c>
      <c r="K3222">
        <v>0</v>
      </c>
      <c r="L3222">
        <v>0</v>
      </c>
      <c r="M3222">
        <v>0</v>
      </c>
      <c r="N3222">
        <v>0</v>
      </c>
      <c r="O3222">
        <v>0</v>
      </c>
      <c r="P3222">
        <v>0</v>
      </c>
      <c r="Q3222">
        <v>0</v>
      </c>
      <c r="T3222">
        <v>0</v>
      </c>
      <c r="U3222">
        <v>682</v>
      </c>
    </row>
    <row r="3223" spans="1:21" x14ac:dyDescent="0.25">
      <c r="H3223" t="s">
        <v>5443</v>
      </c>
    </row>
    <row r="3224" spans="1:21" x14ac:dyDescent="0.25">
      <c r="A3224">
        <v>1609</v>
      </c>
      <c r="B3224">
        <v>7734</v>
      </c>
      <c r="C3224" t="s">
        <v>5444</v>
      </c>
      <c r="D3224" t="s">
        <v>5445</v>
      </c>
      <c r="E3224" t="s">
        <v>37</v>
      </c>
      <c r="F3224" t="s">
        <v>5446</v>
      </c>
      <c r="G3224" t="str">
        <f>"00030253"</f>
        <v>00030253</v>
      </c>
      <c r="H3224">
        <v>682</v>
      </c>
      <c r="I3224">
        <v>0</v>
      </c>
      <c r="J3224">
        <v>0</v>
      </c>
      <c r="K3224">
        <v>0</v>
      </c>
      <c r="L3224">
        <v>0</v>
      </c>
      <c r="M3224">
        <v>0</v>
      </c>
      <c r="N3224">
        <v>0</v>
      </c>
      <c r="O3224">
        <v>0</v>
      </c>
      <c r="P3224">
        <v>0</v>
      </c>
      <c r="Q3224">
        <v>0</v>
      </c>
      <c r="T3224">
        <v>0</v>
      </c>
      <c r="U3224">
        <v>682</v>
      </c>
    </row>
    <row r="3225" spans="1:21" x14ac:dyDescent="0.25">
      <c r="H3225" t="s">
        <v>491</v>
      </c>
    </row>
    <row r="3226" spans="1:21" x14ac:dyDescent="0.25">
      <c r="A3226">
        <v>1610</v>
      </c>
      <c r="B3226">
        <v>9746</v>
      </c>
      <c r="C3226" t="s">
        <v>5447</v>
      </c>
      <c r="D3226" t="s">
        <v>78</v>
      </c>
      <c r="E3226" t="s">
        <v>37</v>
      </c>
      <c r="F3226" t="s">
        <v>5448</v>
      </c>
      <c r="G3226" t="str">
        <f>"201102000726"</f>
        <v>201102000726</v>
      </c>
      <c r="H3226" t="s">
        <v>5449</v>
      </c>
      <c r="I3226">
        <v>0</v>
      </c>
      <c r="J3226">
        <v>0</v>
      </c>
      <c r="K3226">
        <v>0</v>
      </c>
      <c r="L3226">
        <v>0</v>
      </c>
      <c r="M3226">
        <v>0</v>
      </c>
      <c r="N3226">
        <v>0</v>
      </c>
      <c r="O3226">
        <v>0</v>
      </c>
      <c r="P3226">
        <v>0</v>
      </c>
      <c r="Q3226">
        <v>0</v>
      </c>
      <c r="T3226">
        <v>0</v>
      </c>
      <c r="U3226" t="s">
        <v>5449</v>
      </c>
    </row>
    <row r="3227" spans="1:21" x14ac:dyDescent="0.25">
      <c r="H3227" t="s">
        <v>5450</v>
      </c>
    </row>
    <row r="3228" spans="1:21" x14ac:dyDescent="0.25">
      <c r="A3228">
        <v>1611</v>
      </c>
      <c r="B3228">
        <v>3863</v>
      </c>
      <c r="C3228" t="s">
        <v>4744</v>
      </c>
      <c r="D3228" t="s">
        <v>26</v>
      </c>
      <c r="E3228" t="s">
        <v>42</v>
      </c>
      <c r="F3228" t="s">
        <v>5451</v>
      </c>
      <c r="G3228" t="str">
        <f>"201511038092"</f>
        <v>201511038092</v>
      </c>
      <c r="H3228" t="s">
        <v>5449</v>
      </c>
      <c r="I3228">
        <v>0</v>
      </c>
      <c r="J3228">
        <v>0</v>
      </c>
      <c r="K3228">
        <v>0</v>
      </c>
      <c r="L3228">
        <v>0</v>
      </c>
      <c r="M3228">
        <v>0</v>
      </c>
      <c r="N3228">
        <v>0</v>
      </c>
      <c r="O3228">
        <v>0</v>
      </c>
      <c r="P3228">
        <v>0</v>
      </c>
      <c r="Q3228">
        <v>0</v>
      </c>
      <c r="T3228">
        <v>0</v>
      </c>
      <c r="U3228" t="s">
        <v>5449</v>
      </c>
    </row>
    <row r="3229" spans="1:21" x14ac:dyDescent="0.25">
      <c r="H3229" t="s">
        <v>5452</v>
      </c>
    </row>
    <row r="3230" spans="1:21" x14ac:dyDescent="0.25">
      <c r="A3230">
        <v>1612</v>
      </c>
      <c r="B3230">
        <v>7163</v>
      </c>
      <c r="C3230" t="s">
        <v>1589</v>
      </c>
      <c r="D3230" t="s">
        <v>64</v>
      </c>
      <c r="E3230" t="s">
        <v>36</v>
      </c>
      <c r="F3230" t="s">
        <v>5453</v>
      </c>
      <c r="G3230" t="str">
        <f>"00069934"</f>
        <v>00069934</v>
      </c>
      <c r="H3230">
        <v>649</v>
      </c>
      <c r="I3230">
        <v>0</v>
      </c>
      <c r="J3230">
        <v>30</v>
      </c>
      <c r="K3230">
        <v>0</v>
      </c>
      <c r="L3230">
        <v>0</v>
      </c>
      <c r="M3230">
        <v>0</v>
      </c>
      <c r="N3230">
        <v>0</v>
      </c>
      <c r="O3230">
        <v>0</v>
      </c>
      <c r="P3230">
        <v>0</v>
      </c>
      <c r="Q3230">
        <v>0</v>
      </c>
      <c r="T3230">
        <v>0</v>
      </c>
      <c r="U3230">
        <v>679</v>
      </c>
    </row>
    <row r="3231" spans="1:21" x14ac:dyDescent="0.25">
      <c r="H3231" t="s">
        <v>4299</v>
      </c>
    </row>
    <row r="3232" spans="1:21" x14ac:dyDescent="0.25">
      <c r="A3232">
        <v>1613</v>
      </c>
      <c r="B3232">
        <v>4024</v>
      </c>
      <c r="C3232" t="s">
        <v>5454</v>
      </c>
      <c r="D3232" t="s">
        <v>533</v>
      </c>
      <c r="E3232" t="s">
        <v>773</v>
      </c>
      <c r="F3232" t="s">
        <v>5455</v>
      </c>
      <c r="G3232" t="str">
        <f>"00047812"</f>
        <v>00047812</v>
      </c>
      <c r="H3232" t="s">
        <v>5456</v>
      </c>
      <c r="I3232">
        <v>0</v>
      </c>
      <c r="J3232">
        <v>0</v>
      </c>
      <c r="K3232">
        <v>0</v>
      </c>
      <c r="L3232">
        <v>0</v>
      </c>
      <c r="M3232">
        <v>0</v>
      </c>
      <c r="N3232">
        <v>0</v>
      </c>
      <c r="O3232">
        <v>0</v>
      </c>
      <c r="P3232">
        <v>0</v>
      </c>
      <c r="Q3232">
        <v>0</v>
      </c>
      <c r="T3232">
        <v>0</v>
      </c>
      <c r="U3232" t="s">
        <v>5456</v>
      </c>
    </row>
    <row r="3233" spans="1:21" x14ac:dyDescent="0.25">
      <c r="H3233" t="s">
        <v>5457</v>
      </c>
    </row>
    <row r="3234" spans="1:21" x14ac:dyDescent="0.25">
      <c r="A3234">
        <v>1614</v>
      </c>
      <c r="B3234">
        <v>2619</v>
      </c>
      <c r="C3234" t="s">
        <v>4358</v>
      </c>
      <c r="D3234" t="s">
        <v>781</v>
      </c>
      <c r="E3234" t="s">
        <v>42</v>
      </c>
      <c r="F3234" t="s">
        <v>5458</v>
      </c>
      <c r="G3234" t="str">
        <f>"201511027164"</f>
        <v>201511027164</v>
      </c>
      <c r="H3234" t="s">
        <v>5456</v>
      </c>
      <c r="I3234">
        <v>0</v>
      </c>
      <c r="J3234">
        <v>0</v>
      </c>
      <c r="K3234">
        <v>0</v>
      </c>
      <c r="L3234">
        <v>0</v>
      </c>
      <c r="M3234">
        <v>0</v>
      </c>
      <c r="N3234">
        <v>0</v>
      </c>
      <c r="O3234">
        <v>0</v>
      </c>
      <c r="P3234">
        <v>0</v>
      </c>
      <c r="Q3234">
        <v>0</v>
      </c>
      <c r="T3234">
        <v>0</v>
      </c>
      <c r="U3234" t="s">
        <v>5456</v>
      </c>
    </row>
    <row r="3235" spans="1:21" x14ac:dyDescent="0.25">
      <c r="H3235" t="s">
        <v>5459</v>
      </c>
    </row>
    <row r="3236" spans="1:21" x14ac:dyDescent="0.25">
      <c r="A3236">
        <v>1615</v>
      </c>
      <c r="B3236">
        <v>8451</v>
      </c>
      <c r="C3236" t="s">
        <v>5460</v>
      </c>
      <c r="D3236" t="s">
        <v>64</v>
      </c>
      <c r="E3236" t="s">
        <v>231</v>
      </c>
      <c r="F3236" t="s">
        <v>5461</v>
      </c>
      <c r="G3236" t="str">
        <f>"201006000066"</f>
        <v>201006000066</v>
      </c>
      <c r="H3236" t="s">
        <v>5456</v>
      </c>
      <c r="I3236">
        <v>0</v>
      </c>
      <c r="J3236">
        <v>0</v>
      </c>
      <c r="K3236">
        <v>0</v>
      </c>
      <c r="L3236">
        <v>0</v>
      </c>
      <c r="M3236">
        <v>0</v>
      </c>
      <c r="N3236">
        <v>0</v>
      </c>
      <c r="O3236">
        <v>0</v>
      </c>
      <c r="P3236">
        <v>0</v>
      </c>
      <c r="Q3236">
        <v>0</v>
      </c>
      <c r="T3236">
        <v>2</v>
      </c>
      <c r="U3236" t="s">
        <v>5456</v>
      </c>
    </row>
    <row r="3237" spans="1:21" x14ac:dyDescent="0.25">
      <c r="H3237" t="s">
        <v>5462</v>
      </c>
    </row>
    <row r="3238" spans="1:21" x14ac:dyDescent="0.25">
      <c r="A3238">
        <v>1616</v>
      </c>
      <c r="B3238">
        <v>6550</v>
      </c>
      <c r="C3238" t="s">
        <v>5463</v>
      </c>
      <c r="D3238" t="s">
        <v>5464</v>
      </c>
      <c r="E3238" t="s">
        <v>37</v>
      </c>
      <c r="F3238" t="s">
        <v>5465</v>
      </c>
      <c r="G3238" t="str">
        <f>"00046337"</f>
        <v>00046337</v>
      </c>
      <c r="H3238" t="s">
        <v>5456</v>
      </c>
      <c r="I3238">
        <v>0</v>
      </c>
      <c r="J3238">
        <v>0</v>
      </c>
      <c r="K3238">
        <v>0</v>
      </c>
      <c r="L3238">
        <v>0</v>
      </c>
      <c r="M3238">
        <v>0</v>
      </c>
      <c r="N3238">
        <v>0</v>
      </c>
      <c r="O3238">
        <v>0</v>
      </c>
      <c r="P3238">
        <v>0</v>
      </c>
      <c r="Q3238">
        <v>0</v>
      </c>
      <c r="T3238">
        <v>0</v>
      </c>
      <c r="U3238" t="s">
        <v>5456</v>
      </c>
    </row>
    <row r="3239" spans="1:21" x14ac:dyDescent="0.25">
      <c r="H3239" t="s">
        <v>5466</v>
      </c>
    </row>
    <row r="3240" spans="1:21" x14ac:dyDescent="0.25">
      <c r="A3240">
        <v>1617</v>
      </c>
      <c r="B3240">
        <v>8749</v>
      </c>
      <c r="C3240" t="s">
        <v>5467</v>
      </c>
      <c r="D3240" t="s">
        <v>70</v>
      </c>
      <c r="E3240" t="s">
        <v>5468</v>
      </c>
      <c r="F3240" t="s">
        <v>5469</v>
      </c>
      <c r="G3240" t="str">
        <f>"201510001342"</f>
        <v>201510001342</v>
      </c>
      <c r="H3240" t="s">
        <v>5470</v>
      </c>
      <c r="I3240">
        <v>0</v>
      </c>
      <c r="J3240">
        <v>0</v>
      </c>
      <c r="K3240">
        <v>0</v>
      </c>
      <c r="L3240">
        <v>0</v>
      </c>
      <c r="M3240">
        <v>0</v>
      </c>
      <c r="N3240">
        <v>0</v>
      </c>
      <c r="O3240">
        <v>0</v>
      </c>
      <c r="P3240">
        <v>0</v>
      </c>
      <c r="Q3240">
        <v>0</v>
      </c>
      <c r="T3240">
        <v>0</v>
      </c>
      <c r="U3240" t="s">
        <v>5470</v>
      </c>
    </row>
    <row r="3241" spans="1:21" x14ac:dyDescent="0.25">
      <c r="H3241" t="s">
        <v>1763</v>
      </c>
    </row>
    <row r="3242" spans="1:21" x14ac:dyDescent="0.25">
      <c r="A3242">
        <v>1618</v>
      </c>
      <c r="B3242">
        <v>8763</v>
      </c>
      <c r="C3242" t="s">
        <v>5471</v>
      </c>
      <c r="D3242" t="s">
        <v>5472</v>
      </c>
      <c r="E3242" t="s">
        <v>5473</v>
      </c>
      <c r="F3242" t="s">
        <v>5474</v>
      </c>
      <c r="G3242" t="str">
        <f>"00101592"</f>
        <v>00101592</v>
      </c>
      <c r="H3242">
        <v>605</v>
      </c>
      <c r="I3242">
        <v>0</v>
      </c>
      <c r="J3242">
        <v>0</v>
      </c>
      <c r="K3242">
        <v>0</v>
      </c>
      <c r="L3242">
        <v>0</v>
      </c>
      <c r="M3242">
        <v>0</v>
      </c>
      <c r="N3242">
        <v>0</v>
      </c>
      <c r="O3242">
        <v>0</v>
      </c>
      <c r="P3242">
        <v>70</v>
      </c>
      <c r="Q3242">
        <v>0</v>
      </c>
      <c r="T3242">
        <v>0</v>
      </c>
      <c r="U3242">
        <v>675</v>
      </c>
    </row>
    <row r="3243" spans="1:21" x14ac:dyDescent="0.25">
      <c r="H3243" t="s">
        <v>5475</v>
      </c>
    </row>
    <row r="3244" spans="1:21" x14ac:dyDescent="0.25">
      <c r="A3244">
        <v>1619</v>
      </c>
      <c r="B3244">
        <v>2312</v>
      </c>
      <c r="C3244" t="s">
        <v>2975</v>
      </c>
      <c r="D3244" t="s">
        <v>57</v>
      </c>
      <c r="E3244" t="s">
        <v>3600</v>
      </c>
      <c r="F3244" t="s">
        <v>5476</v>
      </c>
      <c r="G3244" t="str">
        <f>"201510000163"</f>
        <v>201510000163</v>
      </c>
      <c r="H3244">
        <v>605</v>
      </c>
      <c r="I3244">
        <v>0</v>
      </c>
      <c r="J3244">
        <v>0</v>
      </c>
      <c r="K3244">
        <v>0</v>
      </c>
      <c r="L3244">
        <v>0</v>
      </c>
      <c r="M3244">
        <v>0</v>
      </c>
      <c r="N3244">
        <v>0</v>
      </c>
      <c r="O3244">
        <v>0</v>
      </c>
      <c r="P3244">
        <v>0</v>
      </c>
      <c r="Q3244">
        <v>70</v>
      </c>
      <c r="T3244">
        <v>0</v>
      </c>
      <c r="U3244">
        <v>675</v>
      </c>
    </row>
    <row r="3245" spans="1:21" x14ac:dyDescent="0.25">
      <c r="H3245" t="s">
        <v>5477</v>
      </c>
    </row>
    <row r="3246" spans="1:21" x14ac:dyDescent="0.25">
      <c r="A3246">
        <v>1620</v>
      </c>
      <c r="B3246">
        <v>6629</v>
      </c>
      <c r="C3246" t="s">
        <v>5478</v>
      </c>
      <c r="D3246" t="s">
        <v>646</v>
      </c>
      <c r="E3246" t="s">
        <v>42</v>
      </c>
      <c r="F3246" t="s">
        <v>5479</v>
      </c>
      <c r="G3246" t="str">
        <f>"00040136"</f>
        <v>00040136</v>
      </c>
      <c r="H3246">
        <v>605</v>
      </c>
      <c r="I3246">
        <v>0</v>
      </c>
      <c r="J3246">
        <v>70</v>
      </c>
      <c r="K3246">
        <v>0</v>
      </c>
      <c r="L3246">
        <v>0</v>
      </c>
      <c r="M3246">
        <v>0</v>
      </c>
      <c r="N3246">
        <v>0</v>
      </c>
      <c r="O3246">
        <v>0</v>
      </c>
      <c r="P3246">
        <v>0</v>
      </c>
      <c r="Q3246">
        <v>0</v>
      </c>
      <c r="T3246">
        <v>2</v>
      </c>
      <c r="U3246">
        <v>675</v>
      </c>
    </row>
    <row r="3247" spans="1:21" x14ac:dyDescent="0.25">
      <c r="H3247" t="s">
        <v>5480</v>
      </c>
    </row>
    <row r="3248" spans="1:21" x14ac:dyDescent="0.25">
      <c r="A3248">
        <v>1621</v>
      </c>
      <c r="B3248">
        <v>6331</v>
      </c>
      <c r="C3248" t="s">
        <v>5481</v>
      </c>
      <c r="D3248" t="s">
        <v>1435</v>
      </c>
      <c r="E3248" t="s">
        <v>5482</v>
      </c>
      <c r="F3248" t="s">
        <v>5483</v>
      </c>
      <c r="G3248" t="str">
        <f>"201510001716"</f>
        <v>201510001716</v>
      </c>
      <c r="H3248" t="s">
        <v>5484</v>
      </c>
      <c r="I3248">
        <v>0</v>
      </c>
      <c r="J3248">
        <v>0</v>
      </c>
      <c r="K3248">
        <v>0</v>
      </c>
      <c r="L3248">
        <v>0</v>
      </c>
      <c r="M3248">
        <v>0</v>
      </c>
      <c r="N3248">
        <v>0</v>
      </c>
      <c r="O3248">
        <v>0</v>
      </c>
      <c r="P3248">
        <v>0</v>
      </c>
      <c r="Q3248">
        <v>0</v>
      </c>
      <c r="T3248">
        <v>0</v>
      </c>
      <c r="U3248" t="s">
        <v>5484</v>
      </c>
    </row>
    <row r="3249" spans="1:21" x14ac:dyDescent="0.25">
      <c r="H3249" t="s">
        <v>5485</v>
      </c>
    </row>
    <row r="3250" spans="1:21" x14ac:dyDescent="0.25">
      <c r="A3250">
        <v>1622</v>
      </c>
      <c r="B3250">
        <v>3789</v>
      </c>
      <c r="C3250" t="s">
        <v>5486</v>
      </c>
      <c r="D3250" t="s">
        <v>141</v>
      </c>
      <c r="E3250" t="s">
        <v>5487</v>
      </c>
      <c r="F3250" t="s">
        <v>5488</v>
      </c>
      <c r="G3250" t="str">
        <f>"00086520"</f>
        <v>00086520</v>
      </c>
      <c r="H3250" t="s">
        <v>3970</v>
      </c>
      <c r="I3250">
        <v>0</v>
      </c>
      <c r="J3250">
        <v>0</v>
      </c>
      <c r="K3250">
        <v>0</v>
      </c>
      <c r="L3250">
        <v>0</v>
      </c>
      <c r="M3250">
        <v>0</v>
      </c>
      <c r="N3250">
        <v>0</v>
      </c>
      <c r="O3250">
        <v>0</v>
      </c>
      <c r="P3250">
        <v>0</v>
      </c>
      <c r="Q3250">
        <v>0</v>
      </c>
      <c r="T3250">
        <v>0</v>
      </c>
      <c r="U3250" t="s">
        <v>3970</v>
      </c>
    </row>
    <row r="3251" spans="1:21" x14ac:dyDescent="0.25">
      <c r="H3251" t="s">
        <v>5489</v>
      </c>
    </row>
    <row r="3252" spans="1:21" x14ac:dyDescent="0.25">
      <c r="A3252">
        <v>1623</v>
      </c>
      <c r="B3252">
        <v>3245</v>
      </c>
      <c r="C3252" t="s">
        <v>5490</v>
      </c>
      <c r="D3252" t="s">
        <v>5491</v>
      </c>
      <c r="E3252" t="s">
        <v>37</v>
      </c>
      <c r="F3252" t="s">
        <v>5492</v>
      </c>
      <c r="G3252" t="str">
        <f>"201511008662"</f>
        <v>201511008662</v>
      </c>
      <c r="H3252">
        <v>638</v>
      </c>
      <c r="I3252">
        <v>0</v>
      </c>
      <c r="J3252">
        <v>30</v>
      </c>
      <c r="K3252">
        <v>0</v>
      </c>
      <c r="L3252">
        <v>0</v>
      </c>
      <c r="M3252">
        <v>0</v>
      </c>
      <c r="N3252">
        <v>0</v>
      </c>
      <c r="O3252">
        <v>0</v>
      </c>
      <c r="P3252">
        <v>0</v>
      </c>
      <c r="Q3252">
        <v>0</v>
      </c>
      <c r="T3252">
        <v>0</v>
      </c>
      <c r="U3252">
        <v>668</v>
      </c>
    </row>
    <row r="3253" spans="1:21" x14ac:dyDescent="0.25">
      <c r="H3253" t="s">
        <v>5493</v>
      </c>
    </row>
    <row r="3254" spans="1:21" x14ac:dyDescent="0.25">
      <c r="A3254">
        <v>1624</v>
      </c>
      <c r="B3254">
        <v>4872</v>
      </c>
      <c r="C3254" t="s">
        <v>5494</v>
      </c>
      <c r="D3254" t="s">
        <v>185</v>
      </c>
      <c r="E3254" t="s">
        <v>191</v>
      </c>
      <c r="F3254" t="s">
        <v>5495</v>
      </c>
      <c r="G3254" t="str">
        <f>"00091503"</f>
        <v>00091503</v>
      </c>
      <c r="H3254" t="s">
        <v>5496</v>
      </c>
      <c r="I3254">
        <v>0</v>
      </c>
      <c r="J3254">
        <v>0</v>
      </c>
      <c r="K3254">
        <v>0</v>
      </c>
      <c r="L3254">
        <v>0</v>
      </c>
      <c r="M3254">
        <v>0</v>
      </c>
      <c r="N3254">
        <v>0</v>
      </c>
      <c r="O3254">
        <v>0</v>
      </c>
      <c r="P3254">
        <v>0</v>
      </c>
      <c r="Q3254">
        <v>0</v>
      </c>
      <c r="T3254">
        <v>0</v>
      </c>
      <c r="U3254" t="s">
        <v>5496</v>
      </c>
    </row>
    <row r="3255" spans="1:21" x14ac:dyDescent="0.25">
      <c r="H3255" t="s">
        <v>5497</v>
      </c>
    </row>
    <row r="3256" spans="1:21" x14ac:dyDescent="0.25">
      <c r="A3256">
        <v>1625</v>
      </c>
      <c r="B3256">
        <v>617</v>
      </c>
      <c r="C3256" t="s">
        <v>5498</v>
      </c>
      <c r="D3256" t="s">
        <v>141</v>
      </c>
      <c r="E3256" t="s">
        <v>263</v>
      </c>
      <c r="F3256" t="s">
        <v>5499</v>
      </c>
      <c r="G3256" t="str">
        <f>"00021049"</f>
        <v>00021049</v>
      </c>
      <c r="H3256" t="s">
        <v>5496</v>
      </c>
      <c r="I3256">
        <v>0</v>
      </c>
      <c r="J3256">
        <v>0</v>
      </c>
      <c r="K3256">
        <v>0</v>
      </c>
      <c r="L3256">
        <v>0</v>
      </c>
      <c r="M3256">
        <v>0</v>
      </c>
      <c r="N3256">
        <v>0</v>
      </c>
      <c r="O3256">
        <v>0</v>
      </c>
      <c r="P3256">
        <v>0</v>
      </c>
      <c r="Q3256">
        <v>0</v>
      </c>
      <c r="T3256">
        <v>0</v>
      </c>
      <c r="U3256" t="s">
        <v>5496</v>
      </c>
    </row>
    <row r="3257" spans="1:21" x14ac:dyDescent="0.25">
      <c r="H3257" t="s">
        <v>5500</v>
      </c>
    </row>
    <row r="3258" spans="1:21" x14ac:dyDescent="0.25">
      <c r="A3258">
        <v>1626</v>
      </c>
      <c r="B3258">
        <v>9585</v>
      </c>
      <c r="C3258" t="s">
        <v>5501</v>
      </c>
      <c r="D3258" t="s">
        <v>64</v>
      </c>
      <c r="E3258" t="s">
        <v>112</v>
      </c>
      <c r="F3258" t="s">
        <v>5502</v>
      </c>
      <c r="G3258" t="str">
        <f>"00079144"</f>
        <v>00079144</v>
      </c>
      <c r="H3258" t="s">
        <v>5503</v>
      </c>
      <c r="I3258">
        <v>0</v>
      </c>
      <c r="J3258">
        <v>0</v>
      </c>
      <c r="K3258">
        <v>0</v>
      </c>
      <c r="L3258">
        <v>0</v>
      </c>
      <c r="M3258">
        <v>0</v>
      </c>
      <c r="N3258">
        <v>0</v>
      </c>
      <c r="O3258">
        <v>0</v>
      </c>
      <c r="P3258">
        <v>0</v>
      </c>
      <c r="Q3258">
        <v>0</v>
      </c>
      <c r="T3258">
        <v>0</v>
      </c>
      <c r="U3258" t="s">
        <v>5503</v>
      </c>
    </row>
    <row r="3259" spans="1:21" x14ac:dyDescent="0.25">
      <c r="H3259" t="s">
        <v>5504</v>
      </c>
    </row>
    <row r="3260" spans="1:21" x14ac:dyDescent="0.25">
      <c r="A3260">
        <v>1627</v>
      </c>
      <c r="B3260">
        <v>8950</v>
      </c>
      <c r="C3260" t="s">
        <v>5505</v>
      </c>
      <c r="D3260" t="s">
        <v>1012</v>
      </c>
      <c r="E3260" t="s">
        <v>122</v>
      </c>
      <c r="F3260" t="s">
        <v>5506</v>
      </c>
      <c r="G3260" t="str">
        <f>"00093637"</f>
        <v>00093637</v>
      </c>
      <c r="H3260" t="s">
        <v>5507</v>
      </c>
      <c r="I3260">
        <v>0</v>
      </c>
      <c r="J3260">
        <v>0</v>
      </c>
      <c r="K3260">
        <v>0</v>
      </c>
      <c r="L3260">
        <v>0</v>
      </c>
      <c r="M3260">
        <v>0</v>
      </c>
      <c r="N3260">
        <v>0</v>
      </c>
      <c r="O3260">
        <v>0</v>
      </c>
      <c r="P3260">
        <v>0</v>
      </c>
      <c r="Q3260">
        <v>0</v>
      </c>
      <c r="T3260">
        <v>0</v>
      </c>
      <c r="U3260" t="s">
        <v>5507</v>
      </c>
    </row>
    <row r="3261" spans="1:21" x14ac:dyDescent="0.25">
      <c r="H3261" t="s">
        <v>5508</v>
      </c>
    </row>
    <row r="3262" spans="1:21" x14ac:dyDescent="0.25">
      <c r="A3262">
        <v>1628</v>
      </c>
      <c r="B3262">
        <v>231</v>
      </c>
      <c r="C3262" t="s">
        <v>5509</v>
      </c>
      <c r="D3262" t="s">
        <v>5510</v>
      </c>
      <c r="E3262" t="s">
        <v>259</v>
      </c>
      <c r="F3262" t="s">
        <v>5511</v>
      </c>
      <c r="G3262" t="str">
        <f>"201510003123"</f>
        <v>201510003123</v>
      </c>
      <c r="H3262">
        <v>605</v>
      </c>
      <c r="I3262">
        <v>0</v>
      </c>
      <c r="J3262">
        <v>30</v>
      </c>
      <c r="K3262">
        <v>0</v>
      </c>
      <c r="L3262">
        <v>0</v>
      </c>
      <c r="M3262">
        <v>30</v>
      </c>
      <c r="N3262">
        <v>0</v>
      </c>
      <c r="O3262">
        <v>0</v>
      </c>
      <c r="P3262">
        <v>0</v>
      </c>
      <c r="Q3262">
        <v>0</v>
      </c>
      <c r="T3262">
        <v>0</v>
      </c>
      <c r="U3262">
        <v>665</v>
      </c>
    </row>
    <row r="3263" spans="1:21" x14ac:dyDescent="0.25">
      <c r="H3263" t="s">
        <v>5512</v>
      </c>
    </row>
    <row r="3264" spans="1:21" x14ac:dyDescent="0.25">
      <c r="A3264">
        <v>1629</v>
      </c>
      <c r="B3264">
        <v>8723</v>
      </c>
      <c r="C3264" t="s">
        <v>5513</v>
      </c>
      <c r="D3264" t="s">
        <v>5514</v>
      </c>
      <c r="E3264" t="s">
        <v>231</v>
      </c>
      <c r="F3264" t="s">
        <v>5515</v>
      </c>
      <c r="G3264" t="str">
        <f>"201511042904"</f>
        <v>201511042904</v>
      </c>
      <c r="H3264">
        <v>605</v>
      </c>
      <c r="I3264">
        <v>0</v>
      </c>
      <c r="J3264">
        <v>30</v>
      </c>
      <c r="K3264">
        <v>30</v>
      </c>
      <c r="L3264">
        <v>0</v>
      </c>
      <c r="M3264">
        <v>0</v>
      </c>
      <c r="N3264">
        <v>0</v>
      </c>
      <c r="O3264">
        <v>0</v>
      </c>
      <c r="P3264">
        <v>0</v>
      </c>
      <c r="Q3264">
        <v>0</v>
      </c>
      <c r="T3264">
        <v>0</v>
      </c>
      <c r="U3264">
        <v>665</v>
      </c>
    </row>
    <row r="3265" spans="1:21" x14ac:dyDescent="0.25">
      <c r="H3265" t="s">
        <v>3701</v>
      </c>
    </row>
    <row r="3266" spans="1:21" x14ac:dyDescent="0.25">
      <c r="A3266">
        <v>1630</v>
      </c>
      <c r="B3266">
        <v>4468</v>
      </c>
      <c r="C3266" t="s">
        <v>5516</v>
      </c>
      <c r="D3266" t="s">
        <v>212</v>
      </c>
      <c r="E3266" t="s">
        <v>764</v>
      </c>
      <c r="F3266" t="s">
        <v>5517</v>
      </c>
      <c r="G3266" t="str">
        <f>"201511041815"</f>
        <v>201511041815</v>
      </c>
      <c r="H3266" t="s">
        <v>5518</v>
      </c>
      <c r="I3266">
        <v>0</v>
      </c>
      <c r="J3266">
        <v>30</v>
      </c>
      <c r="K3266">
        <v>0</v>
      </c>
      <c r="L3266">
        <v>0</v>
      </c>
      <c r="M3266">
        <v>0</v>
      </c>
      <c r="N3266">
        <v>0</v>
      </c>
      <c r="O3266">
        <v>0</v>
      </c>
      <c r="P3266">
        <v>0</v>
      </c>
      <c r="Q3266">
        <v>0</v>
      </c>
      <c r="T3266">
        <v>0</v>
      </c>
      <c r="U3266" t="s">
        <v>5519</v>
      </c>
    </row>
    <row r="3267" spans="1:21" x14ac:dyDescent="0.25">
      <c r="H3267" t="s">
        <v>5520</v>
      </c>
    </row>
    <row r="3268" spans="1:21" x14ac:dyDescent="0.25">
      <c r="A3268">
        <v>1631</v>
      </c>
      <c r="B3268">
        <v>3351</v>
      </c>
      <c r="C3268" t="s">
        <v>5521</v>
      </c>
      <c r="D3268" t="s">
        <v>74</v>
      </c>
      <c r="E3268" t="s">
        <v>614</v>
      </c>
      <c r="F3268" t="s">
        <v>5522</v>
      </c>
      <c r="G3268" t="str">
        <f>"201511037734"</f>
        <v>201511037734</v>
      </c>
      <c r="H3268" t="s">
        <v>5523</v>
      </c>
      <c r="I3268">
        <v>0</v>
      </c>
      <c r="J3268">
        <v>0</v>
      </c>
      <c r="K3268">
        <v>0</v>
      </c>
      <c r="L3268">
        <v>0</v>
      </c>
      <c r="M3268">
        <v>0</v>
      </c>
      <c r="N3268">
        <v>0</v>
      </c>
      <c r="O3268">
        <v>0</v>
      </c>
      <c r="P3268">
        <v>0</v>
      </c>
      <c r="Q3268">
        <v>0</v>
      </c>
      <c r="T3268">
        <v>0</v>
      </c>
      <c r="U3268" t="s">
        <v>5523</v>
      </c>
    </row>
    <row r="3269" spans="1:21" x14ac:dyDescent="0.25">
      <c r="H3269" t="s">
        <v>5524</v>
      </c>
    </row>
    <row r="3270" spans="1:21" x14ac:dyDescent="0.25">
      <c r="A3270">
        <v>1632</v>
      </c>
      <c r="B3270">
        <v>6916</v>
      </c>
      <c r="C3270" t="s">
        <v>5525</v>
      </c>
      <c r="D3270" t="s">
        <v>3510</v>
      </c>
      <c r="E3270" t="s">
        <v>696</v>
      </c>
      <c r="F3270" t="s">
        <v>5526</v>
      </c>
      <c r="G3270" t="str">
        <f>"00024476"</f>
        <v>00024476</v>
      </c>
      <c r="H3270" t="s">
        <v>5523</v>
      </c>
      <c r="I3270">
        <v>0</v>
      </c>
      <c r="J3270">
        <v>0</v>
      </c>
      <c r="K3270">
        <v>0</v>
      </c>
      <c r="L3270">
        <v>0</v>
      </c>
      <c r="M3270">
        <v>0</v>
      </c>
      <c r="N3270">
        <v>0</v>
      </c>
      <c r="O3270">
        <v>0</v>
      </c>
      <c r="P3270">
        <v>0</v>
      </c>
      <c r="Q3270">
        <v>0</v>
      </c>
      <c r="T3270">
        <v>2</v>
      </c>
      <c r="U3270" t="s">
        <v>5523</v>
      </c>
    </row>
    <row r="3271" spans="1:21" x14ac:dyDescent="0.25">
      <c r="H3271" t="s">
        <v>754</v>
      </c>
    </row>
    <row r="3272" spans="1:21" x14ac:dyDescent="0.25">
      <c r="A3272">
        <v>1633</v>
      </c>
      <c r="B3272">
        <v>3538</v>
      </c>
      <c r="C3272" t="s">
        <v>5527</v>
      </c>
      <c r="D3272" t="s">
        <v>1194</v>
      </c>
      <c r="E3272" t="s">
        <v>263</v>
      </c>
      <c r="F3272" t="s">
        <v>5528</v>
      </c>
      <c r="G3272" t="str">
        <f>"00049515"</f>
        <v>00049515</v>
      </c>
      <c r="H3272" t="s">
        <v>5523</v>
      </c>
      <c r="I3272">
        <v>0</v>
      </c>
      <c r="J3272">
        <v>0</v>
      </c>
      <c r="K3272">
        <v>0</v>
      </c>
      <c r="L3272">
        <v>0</v>
      </c>
      <c r="M3272">
        <v>0</v>
      </c>
      <c r="N3272">
        <v>0</v>
      </c>
      <c r="O3272">
        <v>0</v>
      </c>
      <c r="P3272">
        <v>0</v>
      </c>
      <c r="Q3272">
        <v>0</v>
      </c>
      <c r="T3272">
        <v>0</v>
      </c>
      <c r="U3272" t="s">
        <v>5523</v>
      </c>
    </row>
    <row r="3273" spans="1:21" x14ac:dyDescent="0.25">
      <c r="H3273" t="s">
        <v>1763</v>
      </c>
    </row>
    <row r="3274" spans="1:21" x14ac:dyDescent="0.25">
      <c r="A3274">
        <v>1634</v>
      </c>
      <c r="B3274">
        <v>7047</v>
      </c>
      <c r="C3274" t="s">
        <v>5529</v>
      </c>
      <c r="D3274" t="s">
        <v>1012</v>
      </c>
      <c r="E3274" t="s">
        <v>122</v>
      </c>
      <c r="F3274" t="s">
        <v>5530</v>
      </c>
      <c r="G3274" t="str">
        <f>"00036507"</f>
        <v>00036507</v>
      </c>
      <c r="H3274">
        <v>660</v>
      </c>
      <c r="I3274">
        <v>0</v>
      </c>
      <c r="J3274">
        <v>0</v>
      </c>
      <c r="K3274">
        <v>0</v>
      </c>
      <c r="L3274">
        <v>0</v>
      </c>
      <c r="M3274">
        <v>0</v>
      </c>
      <c r="N3274">
        <v>0</v>
      </c>
      <c r="O3274">
        <v>0</v>
      </c>
      <c r="P3274">
        <v>0</v>
      </c>
      <c r="Q3274">
        <v>0</v>
      </c>
      <c r="T3274">
        <v>1</v>
      </c>
      <c r="U3274">
        <v>660</v>
      </c>
    </row>
    <row r="3275" spans="1:21" x14ac:dyDescent="0.25">
      <c r="H3275" t="s">
        <v>5531</v>
      </c>
    </row>
    <row r="3276" spans="1:21" x14ac:dyDescent="0.25">
      <c r="A3276">
        <v>1635</v>
      </c>
      <c r="B3276">
        <v>318</v>
      </c>
      <c r="C3276" t="s">
        <v>5532</v>
      </c>
      <c r="D3276" t="s">
        <v>121</v>
      </c>
      <c r="E3276" t="s">
        <v>155</v>
      </c>
      <c r="F3276" t="s">
        <v>5533</v>
      </c>
      <c r="G3276" t="str">
        <f>"201511028848"</f>
        <v>201511028848</v>
      </c>
      <c r="H3276">
        <v>660</v>
      </c>
      <c r="I3276">
        <v>0</v>
      </c>
      <c r="J3276">
        <v>0</v>
      </c>
      <c r="K3276">
        <v>0</v>
      </c>
      <c r="L3276">
        <v>0</v>
      </c>
      <c r="M3276">
        <v>0</v>
      </c>
      <c r="N3276">
        <v>0</v>
      </c>
      <c r="O3276">
        <v>0</v>
      </c>
      <c r="P3276">
        <v>0</v>
      </c>
      <c r="Q3276">
        <v>0</v>
      </c>
      <c r="T3276">
        <v>0</v>
      </c>
      <c r="U3276">
        <v>660</v>
      </c>
    </row>
    <row r="3277" spans="1:21" x14ac:dyDescent="0.25">
      <c r="H3277" t="s">
        <v>5534</v>
      </c>
    </row>
    <row r="3278" spans="1:21" x14ac:dyDescent="0.25">
      <c r="A3278">
        <v>1636</v>
      </c>
      <c r="B3278">
        <v>5555</v>
      </c>
      <c r="C3278" t="s">
        <v>5535</v>
      </c>
      <c r="D3278" t="s">
        <v>179</v>
      </c>
      <c r="E3278" t="s">
        <v>614</v>
      </c>
      <c r="F3278" t="s">
        <v>5536</v>
      </c>
      <c r="G3278" t="str">
        <f>"00068805"</f>
        <v>00068805</v>
      </c>
      <c r="H3278">
        <v>660</v>
      </c>
      <c r="I3278">
        <v>0</v>
      </c>
      <c r="J3278">
        <v>0</v>
      </c>
      <c r="K3278">
        <v>0</v>
      </c>
      <c r="L3278">
        <v>0</v>
      </c>
      <c r="M3278">
        <v>0</v>
      </c>
      <c r="N3278">
        <v>0</v>
      </c>
      <c r="O3278">
        <v>0</v>
      </c>
      <c r="P3278">
        <v>0</v>
      </c>
      <c r="Q3278">
        <v>0</v>
      </c>
      <c r="T3278">
        <v>0</v>
      </c>
      <c r="U3278">
        <v>660</v>
      </c>
    </row>
    <row r="3279" spans="1:21" x14ac:dyDescent="0.25">
      <c r="H3279" t="s">
        <v>5537</v>
      </c>
    </row>
    <row r="3280" spans="1:21" x14ac:dyDescent="0.25">
      <c r="A3280">
        <v>1637</v>
      </c>
      <c r="B3280">
        <v>7119</v>
      </c>
      <c r="C3280" t="s">
        <v>5538</v>
      </c>
      <c r="D3280" t="s">
        <v>164</v>
      </c>
      <c r="E3280" t="s">
        <v>70</v>
      </c>
      <c r="F3280" t="s">
        <v>5539</v>
      </c>
      <c r="G3280" t="str">
        <f>"00075388"</f>
        <v>00075388</v>
      </c>
      <c r="H3280">
        <v>660</v>
      </c>
      <c r="I3280">
        <v>0</v>
      </c>
      <c r="J3280">
        <v>0</v>
      </c>
      <c r="K3280">
        <v>0</v>
      </c>
      <c r="L3280">
        <v>0</v>
      </c>
      <c r="M3280">
        <v>0</v>
      </c>
      <c r="N3280">
        <v>0</v>
      </c>
      <c r="O3280">
        <v>0</v>
      </c>
      <c r="P3280">
        <v>0</v>
      </c>
      <c r="Q3280">
        <v>0</v>
      </c>
      <c r="T3280">
        <v>1</v>
      </c>
      <c r="U3280">
        <v>660</v>
      </c>
    </row>
    <row r="3281" spans="1:21" x14ac:dyDescent="0.25">
      <c r="H3281" t="s">
        <v>5540</v>
      </c>
    </row>
    <row r="3282" spans="1:21" x14ac:dyDescent="0.25">
      <c r="A3282">
        <v>1638</v>
      </c>
      <c r="B3282">
        <v>8731</v>
      </c>
      <c r="C3282" t="s">
        <v>5541</v>
      </c>
      <c r="D3282" t="s">
        <v>394</v>
      </c>
      <c r="E3282" t="s">
        <v>42</v>
      </c>
      <c r="F3282" t="s">
        <v>5542</v>
      </c>
      <c r="G3282" t="str">
        <f>"00076573"</f>
        <v>00076573</v>
      </c>
      <c r="H3282">
        <v>660</v>
      </c>
      <c r="I3282">
        <v>0</v>
      </c>
      <c r="J3282">
        <v>0</v>
      </c>
      <c r="K3282">
        <v>0</v>
      </c>
      <c r="L3282">
        <v>0</v>
      </c>
      <c r="M3282">
        <v>0</v>
      </c>
      <c r="N3282">
        <v>0</v>
      </c>
      <c r="O3282">
        <v>0</v>
      </c>
      <c r="P3282">
        <v>0</v>
      </c>
      <c r="Q3282">
        <v>0</v>
      </c>
      <c r="T3282">
        <v>0</v>
      </c>
      <c r="U3282">
        <v>660</v>
      </c>
    </row>
    <row r="3283" spans="1:21" x14ac:dyDescent="0.25">
      <c r="H3283" t="s">
        <v>5543</v>
      </c>
    </row>
    <row r="3284" spans="1:21" x14ac:dyDescent="0.25">
      <c r="A3284">
        <v>1639</v>
      </c>
      <c r="B3284">
        <v>5543</v>
      </c>
      <c r="C3284" t="s">
        <v>5544</v>
      </c>
      <c r="D3284" t="s">
        <v>64</v>
      </c>
      <c r="E3284" t="s">
        <v>449</v>
      </c>
      <c r="F3284" t="s">
        <v>5545</v>
      </c>
      <c r="G3284" t="str">
        <f>"201511035587"</f>
        <v>201511035587</v>
      </c>
      <c r="H3284">
        <v>660</v>
      </c>
      <c r="I3284">
        <v>0</v>
      </c>
      <c r="J3284">
        <v>0</v>
      </c>
      <c r="K3284">
        <v>0</v>
      </c>
      <c r="L3284">
        <v>0</v>
      </c>
      <c r="M3284">
        <v>0</v>
      </c>
      <c r="N3284">
        <v>0</v>
      </c>
      <c r="O3284">
        <v>0</v>
      </c>
      <c r="P3284">
        <v>0</v>
      </c>
      <c r="Q3284">
        <v>0</v>
      </c>
      <c r="T3284">
        <v>0</v>
      </c>
      <c r="U3284">
        <v>660</v>
      </c>
    </row>
    <row r="3285" spans="1:21" x14ac:dyDescent="0.25">
      <c r="H3285" t="s">
        <v>5546</v>
      </c>
    </row>
    <row r="3286" spans="1:21" x14ac:dyDescent="0.25">
      <c r="A3286">
        <v>1640</v>
      </c>
      <c r="B3286">
        <v>7694</v>
      </c>
      <c r="C3286" t="s">
        <v>5547</v>
      </c>
      <c r="D3286" t="s">
        <v>5548</v>
      </c>
      <c r="E3286" t="s">
        <v>5549</v>
      </c>
      <c r="F3286" t="s">
        <v>5550</v>
      </c>
      <c r="G3286" t="str">
        <f>"00094743"</f>
        <v>00094743</v>
      </c>
      <c r="H3286">
        <v>660</v>
      </c>
      <c r="I3286">
        <v>0</v>
      </c>
      <c r="J3286">
        <v>0</v>
      </c>
      <c r="K3286">
        <v>0</v>
      </c>
      <c r="L3286">
        <v>0</v>
      </c>
      <c r="M3286">
        <v>0</v>
      </c>
      <c r="N3286">
        <v>0</v>
      </c>
      <c r="O3286">
        <v>0</v>
      </c>
      <c r="P3286">
        <v>0</v>
      </c>
      <c r="Q3286">
        <v>0</v>
      </c>
      <c r="R3286">
        <v>6</v>
      </c>
      <c r="S3286">
        <v>809</v>
      </c>
      <c r="T3286">
        <v>0</v>
      </c>
      <c r="U3286">
        <v>660</v>
      </c>
    </row>
    <row r="3287" spans="1:21" x14ac:dyDescent="0.25">
      <c r="H3287" t="s">
        <v>5551</v>
      </c>
    </row>
    <row r="3288" spans="1:21" x14ac:dyDescent="0.25">
      <c r="A3288">
        <v>1641</v>
      </c>
      <c r="B3288">
        <v>7694</v>
      </c>
      <c r="C3288" t="s">
        <v>5547</v>
      </c>
      <c r="D3288" t="s">
        <v>5548</v>
      </c>
      <c r="E3288" t="s">
        <v>5549</v>
      </c>
      <c r="F3288" t="s">
        <v>5550</v>
      </c>
      <c r="G3288" t="str">
        <f>"00094743"</f>
        <v>00094743</v>
      </c>
      <c r="H3288">
        <v>660</v>
      </c>
      <c r="I3288">
        <v>0</v>
      </c>
      <c r="J3288">
        <v>0</v>
      </c>
      <c r="K3288">
        <v>0</v>
      </c>
      <c r="L3288">
        <v>0</v>
      </c>
      <c r="M3288">
        <v>0</v>
      </c>
      <c r="N3288">
        <v>0</v>
      </c>
      <c r="O3288">
        <v>0</v>
      </c>
      <c r="P3288">
        <v>0</v>
      </c>
      <c r="Q3288">
        <v>0</v>
      </c>
      <c r="T3288">
        <v>0</v>
      </c>
      <c r="U3288">
        <v>660</v>
      </c>
    </row>
    <row r="3289" spans="1:21" x14ac:dyDescent="0.25">
      <c r="H3289" t="s">
        <v>5551</v>
      </c>
    </row>
    <row r="3290" spans="1:21" x14ac:dyDescent="0.25">
      <c r="A3290">
        <v>1642</v>
      </c>
      <c r="B3290">
        <v>9734</v>
      </c>
      <c r="C3290" t="s">
        <v>5552</v>
      </c>
      <c r="D3290" t="s">
        <v>5553</v>
      </c>
      <c r="E3290" t="s">
        <v>366</v>
      </c>
      <c r="F3290" t="s">
        <v>5554</v>
      </c>
      <c r="G3290" t="str">
        <f>"00094543"</f>
        <v>00094543</v>
      </c>
      <c r="H3290">
        <v>660</v>
      </c>
      <c r="I3290">
        <v>0</v>
      </c>
      <c r="J3290">
        <v>0</v>
      </c>
      <c r="K3290">
        <v>0</v>
      </c>
      <c r="L3290">
        <v>0</v>
      </c>
      <c r="M3290">
        <v>0</v>
      </c>
      <c r="N3290">
        <v>0</v>
      </c>
      <c r="O3290">
        <v>0</v>
      </c>
      <c r="P3290">
        <v>0</v>
      </c>
      <c r="Q3290">
        <v>0</v>
      </c>
      <c r="T3290">
        <v>0</v>
      </c>
      <c r="U3290">
        <v>660</v>
      </c>
    </row>
    <row r="3291" spans="1:21" x14ac:dyDescent="0.25">
      <c r="H3291" t="s">
        <v>5115</v>
      </c>
    </row>
    <row r="3292" spans="1:21" x14ac:dyDescent="0.25">
      <c r="A3292">
        <v>1643</v>
      </c>
      <c r="B3292">
        <v>4017</v>
      </c>
      <c r="C3292" t="s">
        <v>5555</v>
      </c>
      <c r="D3292" t="s">
        <v>4265</v>
      </c>
      <c r="E3292" t="s">
        <v>42</v>
      </c>
      <c r="F3292" t="s">
        <v>5556</v>
      </c>
      <c r="G3292" t="str">
        <f>"201102000357"</f>
        <v>201102000357</v>
      </c>
      <c r="H3292">
        <v>660</v>
      </c>
      <c r="I3292">
        <v>0</v>
      </c>
      <c r="J3292">
        <v>0</v>
      </c>
      <c r="K3292">
        <v>0</v>
      </c>
      <c r="L3292">
        <v>0</v>
      </c>
      <c r="M3292">
        <v>0</v>
      </c>
      <c r="N3292">
        <v>0</v>
      </c>
      <c r="O3292">
        <v>0</v>
      </c>
      <c r="P3292">
        <v>0</v>
      </c>
      <c r="Q3292">
        <v>0</v>
      </c>
      <c r="T3292">
        <v>0</v>
      </c>
      <c r="U3292">
        <v>660</v>
      </c>
    </row>
    <row r="3293" spans="1:21" x14ac:dyDescent="0.25">
      <c r="H3293" t="s">
        <v>5557</v>
      </c>
    </row>
    <row r="3294" spans="1:21" x14ac:dyDescent="0.25">
      <c r="A3294">
        <v>1644</v>
      </c>
      <c r="B3294">
        <v>3868</v>
      </c>
      <c r="C3294" t="s">
        <v>5558</v>
      </c>
      <c r="D3294" t="s">
        <v>95</v>
      </c>
      <c r="E3294" t="s">
        <v>37</v>
      </c>
      <c r="F3294" t="s">
        <v>5559</v>
      </c>
      <c r="G3294" t="str">
        <f>"201511039280"</f>
        <v>201511039280</v>
      </c>
      <c r="H3294">
        <v>660</v>
      </c>
      <c r="I3294">
        <v>0</v>
      </c>
      <c r="J3294">
        <v>0</v>
      </c>
      <c r="K3294">
        <v>0</v>
      </c>
      <c r="L3294">
        <v>0</v>
      </c>
      <c r="M3294">
        <v>0</v>
      </c>
      <c r="N3294">
        <v>0</v>
      </c>
      <c r="O3294">
        <v>0</v>
      </c>
      <c r="P3294">
        <v>0</v>
      </c>
      <c r="Q3294">
        <v>0</v>
      </c>
      <c r="T3294">
        <v>0</v>
      </c>
      <c r="U3294">
        <v>660</v>
      </c>
    </row>
    <row r="3295" spans="1:21" x14ac:dyDescent="0.25">
      <c r="H3295" t="s">
        <v>1902</v>
      </c>
    </row>
    <row r="3296" spans="1:21" x14ac:dyDescent="0.25">
      <c r="A3296">
        <v>1645</v>
      </c>
      <c r="B3296">
        <v>10270</v>
      </c>
      <c r="C3296" t="s">
        <v>5560</v>
      </c>
      <c r="D3296" t="s">
        <v>285</v>
      </c>
      <c r="E3296" t="s">
        <v>5561</v>
      </c>
      <c r="F3296" t="s">
        <v>5562</v>
      </c>
      <c r="G3296" t="str">
        <f>"201511033443"</f>
        <v>201511033443</v>
      </c>
      <c r="H3296">
        <v>660</v>
      </c>
      <c r="I3296">
        <v>0</v>
      </c>
      <c r="J3296">
        <v>0</v>
      </c>
      <c r="K3296">
        <v>0</v>
      </c>
      <c r="L3296">
        <v>0</v>
      </c>
      <c r="M3296">
        <v>0</v>
      </c>
      <c r="N3296">
        <v>0</v>
      </c>
      <c r="O3296">
        <v>0</v>
      </c>
      <c r="P3296">
        <v>0</v>
      </c>
      <c r="Q3296">
        <v>0</v>
      </c>
      <c r="T3296">
        <v>0</v>
      </c>
      <c r="U3296">
        <v>660</v>
      </c>
    </row>
    <row r="3297" spans="1:21" x14ac:dyDescent="0.25">
      <c r="H3297" t="s">
        <v>5563</v>
      </c>
    </row>
    <row r="3298" spans="1:21" x14ac:dyDescent="0.25">
      <c r="A3298">
        <v>1646</v>
      </c>
      <c r="B3298">
        <v>9942</v>
      </c>
      <c r="C3298" t="s">
        <v>867</v>
      </c>
      <c r="D3298" t="s">
        <v>185</v>
      </c>
      <c r="E3298" t="s">
        <v>5564</v>
      </c>
      <c r="F3298" t="s">
        <v>5565</v>
      </c>
      <c r="G3298" t="str">
        <f>"00103425"</f>
        <v>00103425</v>
      </c>
      <c r="H3298">
        <v>660</v>
      </c>
      <c r="I3298">
        <v>0</v>
      </c>
      <c r="J3298">
        <v>0</v>
      </c>
      <c r="K3298">
        <v>0</v>
      </c>
      <c r="L3298">
        <v>0</v>
      </c>
      <c r="M3298">
        <v>0</v>
      </c>
      <c r="N3298">
        <v>0</v>
      </c>
      <c r="O3298">
        <v>0</v>
      </c>
      <c r="P3298">
        <v>0</v>
      </c>
      <c r="Q3298">
        <v>0</v>
      </c>
      <c r="T3298">
        <v>0</v>
      </c>
      <c r="U3298">
        <v>660</v>
      </c>
    </row>
    <row r="3299" spans="1:21" x14ac:dyDescent="0.25">
      <c r="H3299" t="s">
        <v>5566</v>
      </c>
    </row>
    <row r="3300" spans="1:21" x14ac:dyDescent="0.25">
      <c r="A3300">
        <v>1647</v>
      </c>
      <c r="B3300">
        <v>2884</v>
      </c>
      <c r="C3300" t="s">
        <v>5567</v>
      </c>
      <c r="D3300" t="s">
        <v>313</v>
      </c>
      <c r="E3300" t="s">
        <v>366</v>
      </c>
      <c r="F3300" t="s">
        <v>5568</v>
      </c>
      <c r="G3300" t="str">
        <f>"201511024944"</f>
        <v>201511024944</v>
      </c>
      <c r="H3300">
        <v>660</v>
      </c>
      <c r="I3300">
        <v>0</v>
      </c>
      <c r="J3300">
        <v>0</v>
      </c>
      <c r="K3300">
        <v>0</v>
      </c>
      <c r="L3300">
        <v>0</v>
      </c>
      <c r="M3300">
        <v>0</v>
      </c>
      <c r="N3300">
        <v>0</v>
      </c>
      <c r="O3300">
        <v>0</v>
      </c>
      <c r="P3300">
        <v>0</v>
      </c>
      <c r="Q3300">
        <v>0</v>
      </c>
      <c r="T3300">
        <v>0</v>
      </c>
      <c r="U3300">
        <v>660</v>
      </c>
    </row>
    <row r="3301" spans="1:21" x14ac:dyDescent="0.25">
      <c r="H3301" t="s">
        <v>5569</v>
      </c>
    </row>
    <row r="3302" spans="1:21" x14ac:dyDescent="0.25">
      <c r="A3302">
        <v>1648</v>
      </c>
      <c r="B3302">
        <v>3325</v>
      </c>
      <c r="C3302" t="s">
        <v>5570</v>
      </c>
      <c r="D3302" t="s">
        <v>1005</v>
      </c>
      <c r="E3302" t="s">
        <v>37</v>
      </c>
      <c r="F3302" t="s">
        <v>5571</v>
      </c>
      <c r="G3302" t="str">
        <f>"201511038236"</f>
        <v>201511038236</v>
      </c>
      <c r="H3302">
        <v>660</v>
      </c>
      <c r="I3302">
        <v>0</v>
      </c>
      <c r="J3302">
        <v>0</v>
      </c>
      <c r="K3302">
        <v>0</v>
      </c>
      <c r="L3302">
        <v>0</v>
      </c>
      <c r="M3302">
        <v>0</v>
      </c>
      <c r="N3302">
        <v>0</v>
      </c>
      <c r="O3302">
        <v>0</v>
      </c>
      <c r="P3302">
        <v>0</v>
      </c>
      <c r="Q3302">
        <v>0</v>
      </c>
      <c r="T3302">
        <v>0</v>
      </c>
      <c r="U3302">
        <v>660</v>
      </c>
    </row>
    <row r="3303" spans="1:21" x14ac:dyDescent="0.25">
      <c r="H3303" t="s">
        <v>5572</v>
      </c>
    </row>
    <row r="3304" spans="1:21" x14ac:dyDescent="0.25">
      <c r="A3304">
        <v>1649</v>
      </c>
      <c r="B3304">
        <v>4143</v>
      </c>
      <c r="C3304" t="s">
        <v>5573</v>
      </c>
      <c r="D3304" t="s">
        <v>1131</v>
      </c>
      <c r="E3304" t="s">
        <v>366</v>
      </c>
      <c r="F3304" t="s">
        <v>5574</v>
      </c>
      <c r="G3304" t="str">
        <f>"201511026548"</f>
        <v>201511026548</v>
      </c>
      <c r="H3304">
        <v>660</v>
      </c>
      <c r="I3304">
        <v>0</v>
      </c>
      <c r="J3304">
        <v>0</v>
      </c>
      <c r="K3304">
        <v>0</v>
      </c>
      <c r="L3304">
        <v>0</v>
      </c>
      <c r="M3304">
        <v>0</v>
      </c>
      <c r="N3304">
        <v>0</v>
      </c>
      <c r="O3304">
        <v>0</v>
      </c>
      <c r="P3304">
        <v>0</v>
      </c>
      <c r="Q3304">
        <v>0</v>
      </c>
      <c r="T3304">
        <v>0</v>
      </c>
      <c r="U3304">
        <v>660</v>
      </c>
    </row>
    <row r="3305" spans="1:21" x14ac:dyDescent="0.25">
      <c r="H3305" t="s">
        <v>1763</v>
      </c>
    </row>
    <row r="3306" spans="1:21" x14ac:dyDescent="0.25">
      <c r="A3306">
        <v>1650</v>
      </c>
      <c r="B3306">
        <v>8245</v>
      </c>
      <c r="C3306" t="s">
        <v>5575</v>
      </c>
      <c r="D3306" t="s">
        <v>589</v>
      </c>
      <c r="E3306" t="s">
        <v>4227</v>
      </c>
      <c r="F3306" t="s">
        <v>5576</v>
      </c>
      <c r="G3306" t="str">
        <f>"00024694"</f>
        <v>00024694</v>
      </c>
      <c r="H3306">
        <v>660</v>
      </c>
      <c r="I3306">
        <v>0</v>
      </c>
      <c r="J3306">
        <v>0</v>
      </c>
      <c r="K3306">
        <v>0</v>
      </c>
      <c r="L3306">
        <v>0</v>
      </c>
      <c r="M3306">
        <v>0</v>
      </c>
      <c r="N3306">
        <v>0</v>
      </c>
      <c r="O3306">
        <v>0</v>
      </c>
      <c r="P3306">
        <v>0</v>
      </c>
      <c r="Q3306">
        <v>0</v>
      </c>
      <c r="T3306">
        <v>0</v>
      </c>
      <c r="U3306">
        <v>660</v>
      </c>
    </row>
    <row r="3307" spans="1:21" x14ac:dyDescent="0.25">
      <c r="H3307" t="s">
        <v>5577</v>
      </c>
    </row>
    <row r="3308" spans="1:21" x14ac:dyDescent="0.25">
      <c r="A3308">
        <v>1651</v>
      </c>
      <c r="B3308">
        <v>1183</v>
      </c>
      <c r="C3308" t="s">
        <v>5578</v>
      </c>
      <c r="D3308" t="s">
        <v>572</v>
      </c>
      <c r="E3308" t="s">
        <v>36</v>
      </c>
      <c r="F3308" t="s">
        <v>5579</v>
      </c>
      <c r="G3308" t="str">
        <f>"200802009531"</f>
        <v>200802009531</v>
      </c>
      <c r="H3308">
        <v>660</v>
      </c>
      <c r="I3308">
        <v>0</v>
      </c>
      <c r="J3308">
        <v>0</v>
      </c>
      <c r="K3308">
        <v>0</v>
      </c>
      <c r="L3308">
        <v>0</v>
      </c>
      <c r="M3308">
        <v>0</v>
      </c>
      <c r="N3308">
        <v>0</v>
      </c>
      <c r="O3308">
        <v>0</v>
      </c>
      <c r="P3308">
        <v>0</v>
      </c>
      <c r="Q3308">
        <v>0</v>
      </c>
      <c r="T3308">
        <v>0</v>
      </c>
      <c r="U3308">
        <v>660</v>
      </c>
    </row>
    <row r="3309" spans="1:21" x14ac:dyDescent="0.25">
      <c r="H3309" t="s">
        <v>1046</v>
      </c>
    </row>
    <row r="3310" spans="1:21" x14ac:dyDescent="0.25">
      <c r="A3310">
        <v>1652</v>
      </c>
      <c r="B3310">
        <v>673</v>
      </c>
      <c r="C3310" t="s">
        <v>5580</v>
      </c>
      <c r="D3310" t="s">
        <v>5581</v>
      </c>
      <c r="E3310" t="s">
        <v>135</v>
      </c>
      <c r="F3310" t="s">
        <v>5582</v>
      </c>
      <c r="G3310" t="str">
        <f>"201511019799"</f>
        <v>201511019799</v>
      </c>
      <c r="H3310">
        <v>660</v>
      </c>
      <c r="I3310">
        <v>0</v>
      </c>
      <c r="J3310">
        <v>0</v>
      </c>
      <c r="K3310">
        <v>0</v>
      </c>
      <c r="L3310">
        <v>0</v>
      </c>
      <c r="M3310">
        <v>0</v>
      </c>
      <c r="N3310">
        <v>0</v>
      </c>
      <c r="O3310">
        <v>0</v>
      </c>
      <c r="P3310">
        <v>0</v>
      </c>
      <c r="Q3310">
        <v>0</v>
      </c>
      <c r="T3310">
        <v>0</v>
      </c>
      <c r="U3310">
        <v>660</v>
      </c>
    </row>
    <row r="3311" spans="1:21" x14ac:dyDescent="0.25">
      <c r="H3311" t="s">
        <v>5583</v>
      </c>
    </row>
    <row r="3312" spans="1:21" x14ac:dyDescent="0.25">
      <c r="A3312">
        <v>1653</v>
      </c>
      <c r="B3312">
        <v>6768</v>
      </c>
      <c r="C3312" t="s">
        <v>5584</v>
      </c>
      <c r="D3312" t="s">
        <v>121</v>
      </c>
      <c r="E3312" t="s">
        <v>773</v>
      </c>
      <c r="F3312" t="s">
        <v>5585</v>
      </c>
      <c r="G3312" t="str">
        <f>"00077377"</f>
        <v>00077377</v>
      </c>
      <c r="H3312">
        <v>660</v>
      </c>
      <c r="I3312">
        <v>0</v>
      </c>
      <c r="J3312">
        <v>0</v>
      </c>
      <c r="K3312">
        <v>0</v>
      </c>
      <c r="L3312">
        <v>0</v>
      </c>
      <c r="M3312">
        <v>0</v>
      </c>
      <c r="N3312">
        <v>0</v>
      </c>
      <c r="O3312">
        <v>0</v>
      </c>
      <c r="P3312">
        <v>0</v>
      </c>
      <c r="Q3312">
        <v>0</v>
      </c>
      <c r="T3312">
        <v>0</v>
      </c>
      <c r="U3312">
        <v>660</v>
      </c>
    </row>
    <row r="3313" spans="1:21" x14ac:dyDescent="0.25">
      <c r="H3313" t="s">
        <v>5586</v>
      </c>
    </row>
    <row r="3314" spans="1:21" x14ac:dyDescent="0.25">
      <c r="A3314">
        <v>1654</v>
      </c>
      <c r="B3314">
        <v>3733</v>
      </c>
      <c r="C3314" t="s">
        <v>5587</v>
      </c>
      <c r="D3314" t="s">
        <v>5588</v>
      </c>
      <c r="E3314" t="s">
        <v>36</v>
      </c>
      <c r="F3314" t="s">
        <v>5589</v>
      </c>
      <c r="G3314" t="str">
        <f>"201402003290"</f>
        <v>201402003290</v>
      </c>
      <c r="H3314">
        <v>660</v>
      </c>
      <c r="I3314">
        <v>0</v>
      </c>
      <c r="J3314">
        <v>0</v>
      </c>
      <c r="K3314">
        <v>0</v>
      </c>
      <c r="L3314">
        <v>0</v>
      </c>
      <c r="M3314">
        <v>0</v>
      </c>
      <c r="N3314">
        <v>0</v>
      </c>
      <c r="O3314">
        <v>0</v>
      </c>
      <c r="P3314">
        <v>0</v>
      </c>
      <c r="Q3314">
        <v>0</v>
      </c>
      <c r="T3314">
        <v>0</v>
      </c>
      <c r="U3314">
        <v>660</v>
      </c>
    </row>
    <row r="3315" spans="1:21" x14ac:dyDescent="0.25">
      <c r="H3315" t="s">
        <v>5590</v>
      </c>
    </row>
    <row r="3316" spans="1:21" x14ac:dyDescent="0.25">
      <c r="A3316">
        <v>1655</v>
      </c>
      <c r="B3316">
        <v>7124</v>
      </c>
      <c r="C3316" t="s">
        <v>5591</v>
      </c>
      <c r="D3316" t="s">
        <v>5592</v>
      </c>
      <c r="E3316" t="s">
        <v>5593</v>
      </c>
      <c r="F3316" t="s">
        <v>5594</v>
      </c>
      <c r="G3316" t="str">
        <f>"00069247"</f>
        <v>00069247</v>
      </c>
      <c r="H3316">
        <v>660</v>
      </c>
      <c r="I3316">
        <v>0</v>
      </c>
      <c r="J3316">
        <v>0</v>
      </c>
      <c r="K3316">
        <v>0</v>
      </c>
      <c r="L3316">
        <v>0</v>
      </c>
      <c r="M3316">
        <v>0</v>
      </c>
      <c r="N3316">
        <v>0</v>
      </c>
      <c r="O3316">
        <v>0</v>
      </c>
      <c r="P3316">
        <v>0</v>
      </c>
      <c r="Q3316">
        <v>0</v>
      </c>
      <c r="T3316">
        <v>0</v>
      </c>
      <c r="U3316">
        <v>660</v>
      </c>
    </row>
    <row r="3317" spans="1:21" x14ac:dyDescent="0.25">
      <c r="H3317" t="s">
        <v>1958</v>
      </c>
    </row>
    <row r="3318" spans="1:21" x14ac:dyDescent="0.25">
      <c r="A3318">
        <v>1656</v>
      </c>
      <c r="B3318">
        <v>3790</v>
      </c>
      <c r="C3318" t="s">
        <v>5595</v>
      </c>
      <c r="D3318" t="s">
        <v>141</v>
      </c>
      <c r="E3318" t="s">
        <v>37</v>
      </c>
      <c r="F3318" t="s">
        <v>5596</v>
      </c>
      <c r="G3318" t="str">
        <f>"201511030342"</f>
        <v>201511030342</v>
      </c>
      <c r="H3318">
        <v>660</v>
      </c>
      <c r="I3318">
        <v>0</v>
      </c>
      <c r="J3318">
        <v>0</v>
      </c>
      <c r="K3318">
        <v>0</v>
      </c>
      <c r="L3318">
        <v>0</v>
      </c>
      <c r="M3318">
        <v>0</v>
      </c>
      <c r="N3318">
        <v>0</v>
      </c>
      <c r="O3318">
        <v>0</v>
      </c>
      <c r="P3318">
        <v>0</v>
      </c>
      <c r="Q3318">
        <v>0</v>
      </c>
      <c r="T3318">
        <v>1</v>
      </c>
      <c r="U3318">
        <v>660</v>
      </c>
    </row>
    <row r="3319" spans="1:21" x14ac:dyDescent="0.25">
      <c r="H3319" t="s">
        <v>5597</v>
      </c>
    </row>
    <row r="3320" spans="1:21" x14ac:dyDescent="0.25">
      <c r="A3320">
        <v>1657</v>
      </c>
      <c r="B3320">
        <v>1309</v>
      </c>
      <c r="C3320" t="s">
        <v>5598</v>
      </c>
      <c r="D3320" t="s">
        <v>5599</v>
      </c>
      <c r="E3320" t="s">
        <v>37</v>
      </c>
      <c r="F3320" t="s">
        <v>5600</v>
      </c>
      <c r="G3320" t="str">
        <f>"00024822"</f>
        <v>00024822</v>
      </c>
      <c r="H3320">
        <v>660</v>
      </c>
      <c r="I3320">
        <v>0</v>
      </c>
      <c r="J3320">
        <v>0</v>
      </c>
      <c r="K3320">
        <v>0</v>
      </c>
      <c r="L3320">
        <v>0</v>
      </c>
      <c r="M3320">
        <v>0</v>
      </c>
      <c r="N3320">
        <v>0</v>
      </c>
      <c r="O3320">
        <v>0</v>
      </c>
      <c r="P3320">
        <v>0</v>
      </c>
      <c r="Q3320">
        <v>0</v>
      </c>
      <c r="T3320">
        <v>1</v>
      </c>
      <c r="U3320">
        <v>660</v>
      </c>
    </row>
    <row r="3321" spans="1:21" x14ac:dyDescent="0.25">
      <c r="H3321" t="s">
        <v>5601</v>
      </c>
    </row>
    <row r="3322" spans="1:21" x14ac:dyDescent="0.25">
      <c r="A3322">
        <v>1658</v>
      </c>
      <c r="B3322">
        <v>8158</v>
      </c>
      <c r="C3322" t="s">
        <v>5602</v>
      </c>
      <c r="D3322" t="s">
        <v>5603</v>
      </c>
      <c r="E3322" t="s">
        <v>5604</v>
      </c>
      <c r="F3322" t="s">
        <v>5605</v>
      </c>
      <c r="G3322" t="str">
        <f>"00003069"</f>
        <v>00003069</v>
      </c>
      <c r="H3322">
        <v>660</v>
      </c>
      <c r="I3322">
        <v>0</v>
      </c>
      <c r="J3322">
        <v>0</v>
      </c>
      <c r="K3322">
        <v>0</v>
      </c>
      <c r="L3322">
        <v>0</v>
      </c>
      <c r="M3322">
        <v>0</v>
      </c>
      <c r="N3322">
        <v>0</v>
      </c>
      <c r="O3322">
        <v>0</v>
      </c>
      <c r="P3322">
        <v>0</v>
      </c>
      <c r="Q3322">
        <v>0</v>
      </c>
      <c r="T3322">
        <v>0</v>
      </c>
      <c r="U3322">
        <v>660</v>
      </c>
    </row>
    <row r="3323" spans="1:21" x14ac:dyDescent="0.25">
      <c r="H3323" t="s">
        <v>1138</v>
      </c>
    </row>
    <row r="3324" spans="1:21" x14ac:dyDescent="0.25">
      <c r="A3324">
        <v>1659</v>
      </c>
      <c r="B3324">
        <v>8976</v>
      </c>
      <c r="C3324" t="s">
        <v>5606</v>
      </c>
      <c r="D3324" t="s">
        <v>3465</v>
      </c>
      <c r="E3324" t="s">
        <v>122</v>
      </c>
      <c r="F3324" t="s">
        <v>5607</v>
      </c>
      <c r="G3324" t="str">
        <f>"00016058"</f>
        <v>00016058</v>
      </c>
      <c r="H3324">
        <v>660</v>
      </c>
      <c r="I3324">
        <v>0</v>
      </c>
      <c r="J3324">
        <v>0</v>
      </c>
      <c r="K3324">
        <v>0</v>
      </c>
      <c r="L3324">
        <v>0</v>
      </c>
      <c r="M3324">
        <v>0</v>
      </c>
      <c r="N3324">
        <v>0</v>
      </c>
      <c r="O3324">
        <v>0</v>
      </c>
      <c r="P3324">
        <v>0</v>
      </c>
      <c r="Q3324">
        <v>0</v>
      </c>
      <c r="T3324">
        <v>0</v>
      </c>
      <c r="U3324">
        <v>660</v>
      </c>
    </row>
    <row r="3325" spans="1:21" x14ac:dyDescent="0.25">
      <c r="H3325" t="s">
        <v>5608</v>
      </c>
    </row>
    <row r="3326" spans="1:21" x14ac:dyDescent="0.25">
      <c r="A3326">
        <v>1660</v>
      </c>
      <c r="B3326">
        <v>4394</v>
      </c>
      <c r="C3326" t="s">
        <v>5609</v>
      </c>
      <c r="D3326" t="s">
        <v>285</v>
      </c>
      <c r="E3326" t="s">
        <v>533</v>
      </c>
      <c r="F3326" t="s">
        <v>5610</v>
      </c>
      <c r="G3326" t="str">
        <f>"00092683"</f>
        <v>00092683</v>
      </c>
      <c r="H3326" t="s">
        <v>4571</v>
      </c>
      <c r="I3326">
        <v>0</v>
      </c>
      <c r="J3326">
        <v>0</v>
      </c>
      <c r="K3326">
        <v>0</v>
      </c>
      <c r="L3326">
        <v>0</v>
      </c>
      <c r="M3326">
        <v>0</v>
      </c>
      <c r="N3326">
        <v>0</v>
      </c>
      <c r="O3326">
        <v>0</v>
      </c>
      <c r="P3326">
        <v>0</v>
      </c>
      <c r="Q3326">
        <v>0</v>
      </c>
      <c r="T3326">
        <v>2</v>
      </c>
      <c r="U3326" t="s">
        <v>4571</v>
      </c>
    </row>
    <row r="3327" spans="1:21" x14ac:dyDescent="0.25">
      <c r="H3327" t="s">
        <v>5611</v>
      </c>
    </row>
    <row r="3328" spans="1:21" x14ac:dyDescent="0.25">
      <c r="A3328">
        <v>1661</v>
      </c>
      <c r="B3328">
        <v>2980</v>
      </c>
      <c r="C3328" t="s">
        <v>5612</v>
      </c>
      <c r="D3328" t="s">
        <v>1477</v>
      </c>
      <c r="E3328" t="s">
        <v>1136</v>
      </c>
      <c r="F3328" t="s">
        <v>5613</v>
      </c>
      <c r="G3328" t="str">
        <f>"201510000294"</f>
        <v>201510000294</v>
      </c>
      <c r="H3328" t="s">
        <v>4571</v>
      </c>
      <c r="I3328">
        <v>0</v>
      </c>
      <c r="J3328">
        <v>0</v>
      </c>
      <c r="K3328">
        <v>0</v>
      </c>
      <c r="L3328">
        <v>0</v>
      </c>
      <c r="M3328">
        <v>0</v>
      </c>
      <c r="N3328">
        <v>0</v>
      </c>
      <c r="O3328">
        <v>0</v>
      </c>
      <c r="P3328">
        <v>0</v>
      </c>
      <c r="Q3328">
        <v>0</v>
      </c>
      <c r="T3328">
        <v>0</v>
      </c>
      <c r="U3328" t="s">
        <v>4571</v>
      </c>
    </row>
    <row r="3329" spans="1:21" x14ac:dyDescent="0.25">
      <c r="H3329" t="s">
        <v>5614</v>
      </c>
    </row>
    <row r="3330" spans="1:21" x14ac:dyDescent="0.25">
      <c r="A3330">
        <v>1662</v>
      </c>
      <c r="B3330">
        <v>7778</v>
      </c>
      <c r="C3330" t="s">
        <v>2227</v>
      </c>
      <c r="D3330" t="s">
        <v>781</v>
      </c>
      <c r="E3330" t="s">
        <v>231</v>
      </c>
      <c r="F3330" t="s">
        <v>5615</v>
      </c>
      <c r="G3330" t="str">
        <f>"201406002347"</f>
        <v>201406002347</v>
      </c>
      <c r="H3330" t="s">
        <v>4571</v>
      </c>
      <c r="I3330">
        <v>0</v>
      </c>
      <c r="J3330">
        <v>0</v>
      </c>
      <c r="K3330">
        <v>0</v>
      </c>
      <c r="L3330">
        <v>0</v>
      </c>
      <c r="M3330">
        <v>0</v>
      </c>
      <c r="N3330">
        <v>0</v>
      </c>
      <c r="O3330">
        <v>0</v>
      </c>
      <c r="P3330">
        <v>0</v>
      </c>
      <c r="Q3330">
        <v>0</v>
      </c>
      <c r="T3330">
        <v>0</v>
      </c>
      <c r="U3330" t="s">
        <v>4571</v>
      </c>
    </row>
    <row r="3331" spans="1:21" x14ac:dyDescent="0.25">
      <c r="H3331" t="s">
        <v>5616</v>
      </c>
    </row>
    <row r="3332" spans="1:21" x14ac:dyDescent="0.25">
      <c r="A3332">
        <v>1663</v>
      </c>
      <c r="B3332">
        <v>8166</v>
      </c>
      <c r="C3332" t="s">
        <v>5617</v>
      </c>
      <c r="D3332" t="s">
        <v>121</v>
      </c>
      <c r="E3332" t="s">
        <v>533</v>
      </c>
      <c r="F3332" t="s">
        <v>5618</v>
      </c>
      <c r="G3332" t="str">
        <f>"201512001164"</f>
        <v>201512001164</v>
      </c>
      <c r="H3332">
        <v>605</v>
      </c>
      <c r="I3332">
        <v>0</v>
      </c>
      <c r="J3332">
        <v>50</v>
      </c>
      <c r="K3332">
        <v>0</v>
      </c>
      <c r="L3332">
        <v>0</v>
      </c>
      <c r="M3332">
        <v>0</v>
      </c>
      <c r="N3332">
        <v>0</v>
      </c>
      <c r="O3332">
        <v>0</v>
      </c>
      <c r="P3332">
        <v>0</v>
      </c>
      <c r="Q3332">
        <v>0</v>
      </c>
      <c r="T3332">
        <v>0</v>
      </c>
      <c r="U3332">
        <v>655</v>
      </c>
    </row>
    <row r="3333" spans="1:21" x14ac:dyDescent="0.25">
      <c r="H3333" t="s">
        <v>5619</v>
      </c>
    </row>
    <row r="3334" spans="1:21" x14ac:dyDescent="0.25">
      <c r="A3334">
        <v>1664</v>
      </c>
      <c r="B3334">
        <v>4945</v>
      </c>
      <c r="C3334" t="s">
        <v>5620</v>
      </c>
      <c r="D3334" t="s">
        <v>121</v>
      </c>
      <c r="E3334" t="s">
        <v>5621</v>
      </c>
      <c r="F3334" t="s">
        <v>5622</v>
      </c>
      <c r="G3334" t="str">
        <f>"00043294"</f>
        <v>00043294</v>
      </c>
      <c r="H3334" t="s">
        <v>5623</v>
      </c>
      <c r="I3334">
        <v>0</v>
      </c>
      <c r="J3334">
        <v>0</v>
      </c>
      <c r="K3334">
        <v>0</v>
      </c>
      <c r="L3334">
        <v>0</v>
      </c>
      <c r="M3334">
        <v>0</v>
      </c>
      <c r="N3334">
        <v>0</v>
      </c>
      <c r="O3334">
        <v>0</v>
      </c>
      <c r="P3334">
        <v>0</v>
      </c>
      <c r="Q3334">
        <v>0</v>
      </c>
      <c r="T3334">
        <v>2</v>
      </c>
      <c r="U3334" t="s">
        <v>5623</v>
      </c>
    </row>
    <row r="3335" spans="1:21" x14ac:dyDescent="0.25">
      <c r="H3335" t="s">
        <v>5624</v>
      </c>
    </row>
    <row r="3336" spans="1:21" x14ac:dyDescent="0.25">
      <c r="A3336">
        <v>1665</v>
      </c>
      <c r="B3336">
        <v>9696</v>
      </c>
      <c r="C3336" t="s">
        <v>5289</v>
      </c>
      <c r="D3336" t="s">
        <v>5625</v>
      </c>
      <c r="E3336" t="s">
        <v>70</v>
      </c>
      <c r="F3336" t="s">
        <v>5626</v>
      </c>
      <c r="G3336" t="str">
        <f>"201511031584"</f>
        <v>201511031584</v>
      </c>
      <c r="H3336" t="s">
        <v>5623</v>
      </c>
      <c r="I3336">
        <v>0</v>
      </c>
      <c r="J3336">
        <v>0</v>
      </c>
      <c r="K3336">
        <v>0</v>
      </c>
      <c r="L3336">
        <v>0</v>
      </c>
      <c r="M3336">
        <v>0</v>
      </c>
      <c r="N3336">
        <v>0</v>
      </c>
      <c r="O3336">
        <v>0</v>
      </c>
      <c r="P3336">
        <v>0</v>
      </c>
      <c r="Q3336">
        <v>0</v>
      </c>
      <c r="T3336">
        <v>2</v>
      </c>
      <c r="U3336" t="s">
        <v>5623</v>
      </c>
    </row>
    <row r="3337" spans="1:21" x14ac:dyDescent="0.25">
      <c r="H3337" t="s">
        <v>2846</v>
      </c>
    </row>
    <row r="3338" spans="1:21" x14ac:dyDescent="0.25">
      <c r="A3338">
        <v>1666</v>
      </c>
      <c r="B3338">
        <v>893</v>
      </c>
      <c r="C3338" t="s">
        <v>5627</v>
      </c>
      <c r="D3338" t="s">
        <v>155</v>
      </c>
      <c r="E3338" t="s">
        <v>533</v>
      </c>
      <c r="F3338" t="s">
        <v>5628</v>
      </c>
      <c r="G3338" t="str">
        <f>"201511013254"</f>
        <v>201511013254</v>
      </c>
      <c r="H3338" t="s">
        <v>5623</v>
      </c>
      <c r="I3338">
        <v>0</v>
      </c>
      <c r="J3338">
        <v>0</v>
      </c>
      <c r="K3338">
        <v>0</v>
      </c>
      <c r="L3338">
        <v>0</v>
      </c>
      <c r="M3338">
        <v>0</v>
      </c>
      <c r="N3338">
        <v>0</v>
      </c>
      <c r="O3338">
        <v>0</v>
      </c>
      <c r="P3338">
        <v>0</v>
      </c>
      <c r="Q3338">
        <v>0</v>
      </c>
      <c r="T3338">
        <v>0</v>
      </c>
      <c r="U3338" t="s">
        <v>5623</v>
      </c>
    </row>
    <row r="3339" spans="1:21" x14ac:dyDescent="0.25">
      <c r="H3339" t="s">
        <v>5629</v>
      </c>
    </row>
    <row r="3340" spans="1:21" x14ac:dyDescent="0.25">
      <c r="A3340">
        <v>1667</v>
      </c>
      <c r="B3340">
        <v>143</v>
      </c>
      <c r="C3340" t="s">
        <v>5630</v>
      </c>
      <c r="D3340" t="s">
        <v>37</v>
      </c>
      <c r="E3340" t="s">
        <v>32</v>
      </c>
      <c r="F3340" t="s">
        <v>5631</v>
      </c>
      <c r="G3340" t="str">
        <f>"200712005903"</f>
        <v>200712005903</v>
      </c>
      <c r="H3340" t="s">
        <v>5632</v>
      </c>
      <c r="I3340">
        <v>0</v>
      </c>
      <c r="J3340">
        <v>30</v>
      </c>
      <c r="K3340">
        <v>0</v>
      </c>
      <c r="L3340">
        <v>0</v>
      </c>
      <c r="M3340">
        <v>0</v>
      </c>
      <c r="N3340">
        <v>0</v>
      </c>
      <c r="O3340">
        <v>0</v>
      </c>
      <c r="P3340">
        <v>0</v>
      </c>
      <c r="Q3340">
        <v>0</v>
      </c>
      <c r="T3340">
        <v>0</v>
      </c>
      <c r="U3340" t="s">
        <v>5633</v>
      </c>
    </row>
    <row r="3341" spans="1:21" x14ac:dyDescent="0.25">
      <c r="H3341" t="s">
        <v>5634</v>
      </c>
    </row>
    <row r="3342" spans="1:21" x14ac:dyDescent="0.25">
      <c r="A3342">
        <v>1668</v>
      </c>
      <c r="B3342">
        <v>8048</v>
      </c>
      <c r="C3342" t="s">
        <v>5635</v>
      </c>
      <c r="D3342" t="s">
        <v>5636</v>
      </c>
      <c r="E3342" t="s">
        <v>373</v>
      </c>
      <c r="F3342" t="s">
        <v>5637</v>
      </c>
      <c r="G3342" t="str">
        <f>"00089524"</f>
        <v>00089524</v>
      </c>
      <c r="H3342" t="s">
        <v>5638</v>
      </c>
      <c r="I3342">
        <v>0</v>
      </c>
      <c r="J3342">
        <v>0</v>
      </c>
      <c r="K3342">
        <v>0</v>
      </c>
      <c r="L3342">
        <v>0</v>
      </c>
      <c r="M3342">
        <v>0</v>
      </c>
      <c r="N3342">
        <v>0</v>
      </c>
      <c r="O3342">
        <v>0</v>
      </c>
      <c r="P3342">
        <v>0</v>
      </c>
      <c r="Q3342">
        <v>0</v>
      </c>
      <c r="T3342">
        <v>0</v>
      </c>
      <c r="U3342" t="s">
        <v>5638</v>
      </c>
    </row>
    <row r="3343" spans="1:21" x14ac:dyDescent="0.25">
      <c r="H3343" t="s">
        <v>5639</v>
      </c>
    </row>
    <row r="3344" spans="1:21" x14ac:dyDescent="0.25">
      <c r="A3344">
        <v>1669</v>
      </c>
      <c r="B3344">
        <v>3609</v>
      </c>
      <c r="C3344" t="s">
        <v>5640</v>
      </c>
      <c r="D3344" t="s">
        <v>5641</v>
      </c>
      <c r="E3344" t="s">
        <v>5642</v>
      </c>
      <c r="F3344" t="s">
        <v>5643</v>
      </c>
      <c r="G3344" t="str">
        <f>"201511033130"</f>
        <v>201511033130</v>
      </c>
      <c r="H3344" t="s">
        <v>5638</v>
      </c>
      <c r="I3344">
        <v>0</v>
      </c>
      <c r="J3344">
        <v>0</v>
      </c>
      <c r="K3344">
        <v>0</v>
      </c>
      <c r="L3344">
        <v>0</v>
      </c>
      <c r="M3344">
        <v>0</v>
      </c>
      <c r="N3344">
        <v>0</v>
      </c>
      <c r="O3344">
        <v>0</v>
      </c>
      <c r="P3344">
        <v>0</v>
      </c>
      <c r="Q3344">
        <v>0</v>
      </c>
      <c r="T3344">
        <v>0</v>
      </c>
      <c r="U3344" t="s">
        <v>5638</v>
      </c>
    </row>
    <row r="3345" spans="1:21" x14ac:dyDescent="0.25">
      <c r="H3345" t="s">
        <v>5644</v>
      </c>
    </row>
    <row r="3346" spans="1:21" x14ac:dyDescent="0.25">
      <c r="A3346">
        <v>1670</v>
      </c>
      <c r="B3346">
        <v>662</v>
      </c>
      <c r="C3346" t="s">
        <v>5645</v>
      </c>
      <c r="D3346" t="s">
        <v>154</v>
      </c>
      <c r="E3346" t="s">
        <v>36</v>
      </c>
      <c r="F3346" t="s">
        <v>5646</v>
      </c>
      <c r="G3346" t="str">
        <f>"201511028752"</f>
        <v>201511028752</v>
      </c>
      <c r="H3346" t="s">
        <v>5638</v>
      </c>
      <c r="I3346">
        <v>0</v>
      </c>
      <c r="J3346">
        <v>0</v>
      </c>
      <c r="K3346">
        <v>0</v>
      </c>
      <c r="L3346">
        <v>0</v>
      </c>
      <c r="M3346">
        <v>0</v>
      </c>
      <c r="N3346">
        <v>0</v>
      </c>
      <c r="O3346">
        <v>0</v>
      </c>
      <c r="P3346">
        <v>0</v>
      </c>
      <c r="Q3346">
        <v>0</v>
      </c>
      <c r="T3346">
        <v>0</v>
      </c>
      <c r="U3346" t="s">
        <v>5638</v>
      </c>
    </row>
    <row r="3347" spans="1:21" x14ac:dyDescent="0.25">
      <c r="H3347" t="s">
        <v>5647</v>
      </c>
    </row>
    <row r="3348" spans="1:21" x14ac:dyDescent="0.25">
      <c r="A3348">
        <v>1671</v>
      </c>
      <c r="B3348">
        <v>7149</v>
      </c>
      <c r="C3348" t="s">
        <v>5648</v>
      </c>
      <c r="D3348" t="s">
        <v>64</v>
      </c>
      <c r="E3348" t="s">
        <v>42</v>
      </c>
      <c r="F3348" t="s">
        <v>5649</v>
      </c>
      <c r="G3348" t="str">
        <f>"00029240"</f>
        <v>00029240</v>
      </c>
      <c r="H3348">
        <v>649</v>
      </c>
      <c r="I3348">
        <v>0</v>
      </c>
      <c r="J3348">
        <v>0</v>
      </c>
      <c r="K3348">
        <v>0</v>
      </c>
      <c r="L3348">
        <v>0</v>
      </c>
      <c r="M3348">
        <v>0</v>
      </c>
      <c r="N3348">
        <v>0</v>
      </c>
      <c r="O3348">
        <v>0</v>
      </c>
      <c r="P3348">
        <v>0</v>
      </c>
      <c r="Q3348">
        <v>0</v>
      </c>
      <c r="T3348">
        <v>2</v>
      </c>
      <c r="U3348">
        <v>649</v>
      </c>
    </row>
    <row r="3349" spans="1:21" x14ac:dyDescent="0.25">
      <c r="H3349" t="s">
        <v>5650</v>
      </c>
    </row>
    <row r="3350" spans="1:21" x14ac:dyDescent="0.25">
      <c r="A3350">
        <v>1672</v>
      </c>
      <c r="B3350">
        <v>8346</v>
      </c>
      <c r="C3350" t="s">
        <v>5651</v>
      </c>
      <c r="D3350" t="s">
        <v>74</v>
      </c>
      <c r="E3350" t="s">
        <v>70</v>
      </c>
      <c r="F3350" t="s">
        <v>5652</v>
      </c>
      <c r="G3350" t="str">
        <f>"201206000035"</f>
        <v>201206000035</v>
      </c>
      <c r="H3350" t="s">
        <v>5653</v>
      </c>
      <c r="I3350">
        <v>0</v>
      </c>
      <c r="J3350">
        <v>0</v>
      </c>
      <c r="K3350">
        <v>0</v>
      </c>
      <c r="L3350">
        <v>0</v>
      </c>
      <c r="M3350">
        <v>0</v>
      </c>
      <c r="N3350">
        <v>0</v>
      </c>
      <c r="O3350">
        <v>0</v>
      </c>
      <c r="P3350">
        <v>0</v>
      </c>
      <c r="Q3350">
        <v>0</v>
      </c>
      <c r="T3350">
        <v>1</v>
      </c>
      <c r="U3350" t="s">
        <v>5653</v>
      </c>
    </row>
    <row r="3351" spans="1:21" x14ac:dyDescent="0.25">
      <c r="H3351" t="s">
        <v>5654</v>
      </c>
    </row>
    <row r="3352" spans="1:21" x14ac:dyDescent="0.25">
      <c r="A3352">
        <v>1673</v>
      </c>
      <c r="B3352">
        <v>6254</v>
      </c>
      <c r="C3352" t="s">
        <v>905</v>
      </c>
      <c r="D3352" t="s">
        <v>78</v>
      </c>
      <c r="E3352" t="s">
        <v>5378</v>
      </c>
      <c r="F3352" t="s">
        <v>5655</v>
      </c>
      <c r="G3352" t="str">
        <f>"00041428"</f>
        <v>00041428</v>
      </c>
      <c r="H3352" t="s">
        <v>5653</v>
      </c>
      <c r="I3352">
        <v>0</v>
      </c>
      <c r="J3352">
        <v>0</v>
      </c>
      <c r="K3352">
        <v>0</v>
      </c>
      <c r="L3352">
        <v>0</v>
      </c>
      <c r="M3352">
        <v>0</v>
      </c>
      <c r="N3352">
        <v>0</v>
      </c>
      <c r="O3352">
        <v>0</v>
      </c>
      <c r="P3352">
        <v>0</v>
      </c>
      <c r="Q3352">
        <v>0</v>
      </c>
      <c r="T3352">
        <v>0</v>
      </c>
      <c r="U3352" t="s">
        <v>5653</v>
      </c>
    </row>
    <row r="3353" spans="1:21" x14ac:dyDescent="0.25">
      <c r="H3353" t="s">
        <v>5656</v>
      </c>
    </row>
    <row r="3354" spans="1:21" x14ac:dyDescent="0.25">
      <c r="A3354">
        <v>1674</v>
      </c>
      <c r="B3354">
        <v>8431</v>
      </c>
      <c r="C3354" t="s">
        <v>4648</v>
      </c>
      <c r="D3354" t="s">
        <v>95</v>
      </c>
      <c r="E3354" t="s">
        <v>37</v>
      </c>
      <c r="F3354" t="s">
        <v>4649</v>
      </c>
      <c r="G3354" t="str">
        <f>"201511016973"</f>
        <v>201511016973</v>
      </c>
      <c r="H3354">
        <v>616</v>
      </c>
      <c r="I3354">
        <v>0</v>
      </c>
      <c r="J3354">
        <v>30</v>
      </c>
      <c r="K3354">
        <v>0</v>
      </c>
      <c r="L3354">
        <v>0</v>
      </c>
      <c r="M3354">
        <v>0</v>
      </c>
      <c r="N3354">
        <v>0</v>
      </c>
      <c r="O3354">
        <v>0</v>
      </c>
      <c r="P3354">
        <v>0</v>
      </c>
      <c r="Q3354">
        <v>0</v>
      </c>
      <c r="T3354">
        <v>0</v>
      </c>
      <c r="U3354">
        <v>646</v>
      </c>
    </row>
    <row r="3355" spans="1:21" x14ac:dyDescent="0.25">
      <c r="H3355" t="s">
        <v>4650</v>
      </c>
    </row>
    <row r="3356" spans="1:21" x14ac:dyDescent="0.25">
      <c r="A3356">
        <v>1675</v>
      </c>
      <c r="B3356">
        <v>3522</v>
      </c>
      <c r="C3356" t="s">
        <v>5657</v>
      </c>
      <c r="D3356" t="s">
        <v>85</v>
      </c>
      <c r="E3356" t="s">
        <v>36</v>
      </c>
      <c r="F3356" t="s">
        <v>5658</v>
      </c>
      <c r="G3356" t="str">
        <f>"00037330"</f>
        <v>00037330</v>
      </c>
      <c r="H3356" t="s">
        <v>4672</v>
      </c>
      <c r="I3356">
        <v>0</v>
      </c>
      <c r="J3356">
        <v>0</v>
      </c>
      <c r="K3356">
        <v>0</v>
      </c>
      <c r="L3356">
        <v>0</v>
      </c>
      <c r="M3356">
        <v>0</v>
      </c>
      <c r="N3356">
        <v>0</v>
      </c>
      <c r="O3356">
        <v>0</v>
      </c>
      <c r="P3356">
        <v>0</v>
      </c>
      <c r="Q3356">
        <v>0</v>
      </c>
      <c r="T3356">
        <v>1</v>
      </c>
      <c r="U3356" t="s">
        <v>4672</v>
      </c>
    </row>
    <row r="3357" spans="1:21" x14ac:dyDescent="0.25">
      <c r="H3357" t="s">
        <v>1763</v>
      </c>
    </row>
    <row r="3358" spans="1:21" x14ac:dyDescent="0.25">
      <c r="A3358">
        <v>1676</v>
      </c>
      <c r="B3358">
        <v>6804</v>
      </c>
      <c r="C3358" t="s">
        <v>5659</v>
      </c>
      <c r="D3358" t="s">
        <v>57</v>
      </c>
      <c r="E3358" t="s">
        <v>27</v>
      </c>
      <c r="F3358" t="s">
        <v>5660</v>
      </c>
      <c r="G3358" t="str">
        <f>"201512000266"</f>
        <v>201512000266</v>
      </c>
      <c r="H3358" t="s">
        <v>4697</v>
      </c>
      <c r="I3358">
        <v>0</v>
      </c>
      <c r="J3358">
        <v>0</v>
      </c>
      <c r="K3358">
        <v>0</v>
      </c>
      <c r="L3358">
        <v>0</v>
      </c>
      <c r="M3358">
        <v>0</v>
      </c>
      <c r="N3358">
        <v>0</v>
      </c>
      <c r="O3358">
        <v>0</v>
      </c>
      <c r="P3358">
        <v>0</v>
      </c>
      <c r="Q3358">
        <v>0</v>
      </c>
      <c r="T3358">
        <v>2</v>
      </c>
      <c r="U3358" t="s">
        <v>4697</v>
      </c>
    </row>
    <row r="3359" spans="1:21" x14ac:dyDescent="0.25">
      <c r="H3359" t="s">
        <v>5661</v>
      </c>
    </row>
    <row r="3360" spans="1:21" x14ac:dyDescent="0.25">
      <c r="A3360">
        <v>1677</v>
      </c>
      <c r="B3360">
        <v>2461</v>
      </c>
      <c r="C3360" t="s">
        <v>5662</v>
      </c>
      <c r="D3360" t="s">
        <v>2375</v>
      </c>
      <c r="E3360" t="s">
        <v>36</v>
      </c>
      <c r="F3360" t="s">
        <v>5663</v>
      </c>
      <c r="G3360" t="str">
        <f>"00035915"</f>
        <v>00035915</v>
      </c>
      <c r="H3360">
        <v>638</v>
      </c>
      <c r="I3360">
        <v>0</v>
      </c>
      <c r="J3360">
        <v>0</v>
      </c>
      <c r="K3360">
        <v>0</v>
      </c>
      <c r="L3360">
        <v>0</v>
      </c>
      <c r="M3360">
        <v>0</v>
      </c>
      <c r="N3360">
        <v>0</v>
      </c>
      <c r="O3360">
        <v>0</v>
      </c>
      <c r="P3360">
        <v>0</v>
      </c>
      <c r="Q3360">
        <v>0</v>
      </c>
      <c r="T3360">
        <v>0</v>
      </c>
      <c r="U3360">
        <v>638</v>
      </c>
    </row>
    <row r="3361" spans="1:21" x14ac:dyDescent="0.25">
      <c r="H3361" t="s">
        <v>5664</v>
      </c>
    </row>
    <row r="3362" spans="1:21" x14ac:dyDescent="0.25">
      <c r="A3362">
        <v>1678</v>
      </c>
      <c r="B3362">
        <v>10073</v>
      </c>
      <c r="C3362" t="s">
        <v>5665</v>
      </c>
      <c r="D3362" t="s">
        <v>1194</v>
      </c>
      <c r="E3362" t="s">
        <v>155</v>
      </c>
      <c r="F3362" t="s">
        <v>5666</v>
      </c>
      <c r="G3362" t="str">
        <f>"00022233"</f>
        <v>00022233</v>
      </c>
      <c r="H3362">
        <v>638</v>
      </c>
      <c r="I3362">
        <v>0</v>
      </c>
      <c r="J3362">
        <v>0</v>
      </c>
      <c r="K3362">
        <v>0</v>
      </c>
      <c r="L3362">
        <v>0</v>
      </c>
      <c r="M3362">
        <v>0</v>
      </c>
      <c r="N3362">
        <v>0</v>
      </c>
      <c r="O3362">
        <v>0</v>
      </c>
      <c r="P3362">
        <v>0</v>
      </c>
      <c r="Q3362">
        <v>0</v>
      </c>
      <c r="T3362">
        <v>1</v>
      </c>
      <c r="U3362">
        <v>638</v>
      </c>
    </row>
    <row r="3363" spans="1:21" x14ac:dyDescent="0.25">
      <c r="H3363" t="s">
        <v>2515</v>
      </c>
    </row>
    <row r="3364" spans="1:21" x14ac:dyDescent="0.25">
      <c r="A3364">
        <v>1679</v>
      </c>
      <c r="B3364">
        <v>4232</v>
      </c>
      <c r="C3364" t="s">
        <v>2641</v>
      </c>
      <c r="D3364" t="s">
        <v>212</v>
      </c>
      <c r="E3364" t="s">
        <v>42</v>
      </c>
      <c r="F3364" t="s">
        <v>5667</v>
      </c>
      <c r="G3364" t="str">
        <f>"201511012582"</f>
        <v>201511012582</v>
      </c>
      <c r="H3364" t="s">
        <v>5668</v>
      </c>
      <c r="I3364">
        <v>0</v>
      </c>
      <c r="J3364">
        <v>0</v>
      </c>
      <c r="K3364">
        <v>0</v>
      </c>
      <c r="L3364">
        <v>0</v>
      </c>
      <c r="M3364">
        <v>0</v>
      </c>
      <c r="N3364">
        <v>0</v>
      </c>
      <c r="O3364">
        <v>0</v>
      </c>
      <c r="P3364">
        <v>0</v>
      </c>
      <c r="Q3364">
        <v>0</v>
      </c>
      <c r="T3364">
        <v>0</v>
      </c>
      <c r="U3364" t="s">
        <v>5668</v>
      </c>
    </row>
    <row r="3365" spans="1:21" x14ac:dyDescent="0.25">
      <c r="H3365" t="s">
        <v>5669</v>
      </c>
    </row>
    <row r="3366" spans="1:21" x14ac:dyDescent="0.25">
      <c r="A3366">
        <v>1680</v>
      </c>
      <c r="B3366">
        <v>8404</v>
      </c>
      <c r="C3366" t="s">
        <v>4390</v>
      </c>
      <c r="D3366" t="s">
        <v>1093</v>
      </c>
      <c r="E3366" t="s">
        <v>1355</v>
      </c>
      <c r="F3366" t="s">
        <v>5670</v>
      </c>
      <c r="G3366" t="str">
        <f>"00028977"</f>
        <v>00028977</v>
      </c>
      <c r="H3366">
        <v>605</v>
      </c>
      <c r="I3366">
        <v>0</v>
      </c>
      <c r="J3366">
        <v>30</v>
      </c>
      <c r="K3366">
        <v>0</v>
      </c>
      <c r="L3366">
        <v>0</v>
      </c>
      <c r="M3366">
        <v>0</v>
      </c>
      <c r="N3366">
        <v>0</v>
      </c>
      <c r="O3366">
        <v>0</v>
      </c>
      <c r="P3366">
        <v>0</v>
      </c>
      <c r="Q3366">
        <v>0</v>
      </c>
      <c r="T3366">
        <v>0</v>
      </c>
      <c r="U3366">
        <v>635</v>
      </c>
    </row>
    <row r="3367" spans="1:21" x14ac:dyDescent="0.25">
      <c r="H3367" t="s">
        <v>5671</v>
      </c>
    </row>
    <row r="3368" spans="1:21" x14ac:dyDescent="0.25">
      <c r="A3368">
        <v>1681</v>
      </c>
      <c r="B3368">
        <v>386</v>
      </c>
      <c r="C3368" t="s">
        <v>472</v>
      </c>
      <c r="D3368" t="s">
        <v>1435</v>
      </c>
      <c r="E3368" t="s">
        <v>764</v>
      </c>
      <c r="F3368" t="s">
        <v>5672</v>
      </c>
      <c r="G3368" t="str">
        <f>"00029566"</f>
        <v>00029566</v>
      </c>
      <c r="H3368">
        <v>605</v>
      </c>
      <c r="I3368">
        <v>0</v>
      </c>
      <c r="J3368">
        <v>30</v>
      </c>
      <c r="K3368">
        <v>0</v>
      </c>
      <c r="L3368">
        <v>0</v>
      </c>
      <c r="M3368">
        <v>0</v>
      </c>
      <c r="N3368">
        <v>0</v>
      </c>
      <c r="O3368">
        <v>0</v>
      </c>
      <c r="P3368">
        <v>0</v>
      </c>
      <c r="Q3368">
        <v>0</v>
      </c>
      <c r="T3368">
        <v>0</v>
      </c>
      <c r="U3368">
        <v>635</v>
      </c>
    </row>
    <row r="3369" spans="1:21" x14ac:dyDescent="0.25">
      <c r="H3369" t="s">
        <v>3794</v>
      </c>
    </row>
    <row r="3370" spans="1:21" x14ac:dyDescent="0.25">
      <c r="A3370">
        <v>1682</v>
      </c>
      <c r="B3370">
        <v>7699</v>
      </c>
      <c r="C3370" t="s">
        <v>5673</v>
      </c>
      <c r="D3370" t="s">
        <v>179</v>
      </c>
      <c r="E3370" t="s">
        <v>5674</v>
      </c>
      <c r="F3370" t="s">
        <v>5675</v>
      </c>
      <c r="G3370" t="str">
        <f>"00044504"</f>
        <v>00044504</v>
      </c>
      <c r="H3370">
        <v>605</v>
      </c>
      <c r="I3370">
        <v>0</v>
      </c>
      <c r="J3370">
        <v>30</v>
      </c>
      <c r="K3370">
        <v>0</v>
      </c>
      <c r="L3370">
        <v>0</v>
      </c>
      <c r="M3370">
        <v>0</v>
      </c>
      <c r="N3370">
        <v>0</v>
      </c>
      <c r="O3370">
        <v>0</v>
      </c>
      <c r="P3370">
        <v>0</v>
      </c>
      <c r="Q3370">
        <v>0</v>
      </c>
      <c r="T3370">
        <v>0</v>
      </c>
      <c r="U3370">
        <v>635</v>
      </c>
    </row>
    <row r="3371" spans="1:21" x14ac:dyDescent="0.25">
      <c r="H3371" t="s">
        <v>5676</v>
      </c>
    </row>
    <row r="3372" spans="1:21" x14ac:dyDescent="0.25">
      <c r="A3372">
        <v>1683</v>
      </c>
      <c r="B3372">
        <v>1817</v>
      </c>
      <c r="C3372" t="s">
        <v>5441</v>
      </c>
      <c r="D3372" t="s">
        <v>134</v>
      </c>
      <c r="E3372" t="s">
        <v>533</v>
      </c>
      <c r="F3372" t="s">
        <v>5677</v>
      </c>
      <c r="G3372" t="str">
        <f>"00021838"</f>
        <v>00021838</v>
      </c>
      <c r="H3372">
        <v>605</v>
      </c>
      <c r="I3372">
        <v>0</v>
      </c>
      <c r="J3372">
        <v>30</v>
      </c>
      <c r="K3372">
        <v>0</v>
      </c>
      <c r="L3372">
        <v>0</v>
      </c>
      <c r="M3372">
        <v>0</v>
      </c>
      <c r="N3372">
        <v>0</v>
      </c>
      <c r="O3372">
        <v>0</v>
      </c>
      <c r="P3372">
        <v>0</v>
      </c>
      <c r="Q3372">
        <v>0</v>
      </c>
      <c r="T3372">
        <v>0</v>
      </c>
      <c r="U3372">
        <v>635</v>
      </c>
    </row>
    <row r="3373" spans="1:21" x14ac:dyDescent="0.25">
      <c r="H3373">
        <v>801</v>
      </c>
    </row>
    <row r="3374" spans="1:21" x14ac:dyDescent="0.25">
      <c r="A3374">
        <v>1684</v>
      </c>
      <c r="B3374">
        <v>5155</v>
      </c>
      <c r="C3374" t="s">
        <v>2127</v>
      </c>
      <c r="D3374" t="s">
        <v>582</v>
      </c>
      <c r="E3374" t="s">
        <v>3579</v>
      </c>
      <c r="F3374" t="s">
        <v>5678</v>
      </c>
      <c r="G3374" t="str">
        <f>"00093411"</f>
        <v>00093411</v>
      </c>
      <c r="H3374">
        <v>605</v>
      </c>
      <c r="I3374">
        <v>0</v>
      </c>
      <c r="J3374">
        <v>30</v>
      </c>
      <c r="K3374">
        <v>0</v>
      </c>
      <c r="L3374">
        <v>0</v>
      </c>
      <c r="M3374">
        <v>0</v>
      </c>
      <c r="N3374">
        <v>0</v>
      </c>
      <c r="O3374">
        <v>0</v>
      </c>
      <c r="P3374">
        <v>0</v>
      </c>
      <c r="Q3374">
        <v>0</v>
      </c>
      <c r="T3374">
        <v>0</v>
      </c>
      <c r="U3374">
        <v>635</v>
      </c>
    </row>
    <row r="3375" spans="1:21" x14ac:dyDescent="0.25">
      <c r="H3375" t="s">
        <v>5679</v>
      </c>
    </row>
    <row r="3376" spans="1:21" x14ac:dyDescent="0.25">
      <c r="A3376">
        <v>1685</v>
      </c>
      <c r="B3376">
        <v>7045</v>
      </c>
      <c r="C3376" t="s">
        <v>1910</v>
      </c>
      <c r="D3376" t="s">
        <v>121</v>
      </c>
      <c r="E3376" t="s">
        <v>582</v>
      </c>
      <c r="F3376" t="s">
        <v>5680</v>
      </c>
      <c r="G3376" t="str">
        <f>"201511039573"</f>
        <v>201511039573</v>
      </c>
      <c r="H3376">
        <v>605</v>
      </c>
      <c r="I3376">
        <v>0</v>
      </c>
      <c r="J3376">
        <v>30</v>
      </c>
      <c r="K3376">
        <v>0</v>
      </c>
      <c r="L3376">
        <v>0</v>
      </c>
      <c r="M3376">
        <v>0</v>
      </c>
      <c r="N3376">
        <v>0</v>
      </c>
      <c r="O3376">
        <v>0</v>
      </c>
      <c r="P3376">
        <v>0</v>
      </c>
      <c r="Q3376">
        <v>0</v>
      </c>
      <c r="T3376">
        <v>0</v>
      </c>
      <c r="U3376">
        <v>635</v>
      </c>
    </row>
    <row r="3377" spans="1:21" x14ac:dyDescent="0.25">
      <c r="H3377" t="s">
        <v>5681</v>
      </c>
    </row>
    <row r="3378" spans="1:21" x14ac:dyDescent="0.25">
      <c r="A3378">
        <v>1686</v>
      </c>
      <c r="B3378">
        <v>7324</v>
      </c>
      <c r="C3378" t="s">
        <v>4755</v>
      </c>
      <c r="D3378" t="s">
        <v>4756</v>
      </c>
      <c r="E3378" t="s">
        <v>42</v>
      </c>
      <c r="F3378" t="s">
        <v>4757</v>
      </c>
      <c r="G3378" t="str">
        <f>"201511038107"</f>
        <v>201511038107</v>
      </c>
      <c r="H3378">
        <v>605</v>
      </c>
      <c r="I3378">
        <v>0</v>
      </c>
      <c r="J3378">
        <v>30</v>
      </c>
      <c r="K3378">
        <v>0</v>
      </c>
      <c r="L3378">
        <v>0</v>
      </c>
      <c r="M3378">
        <v>0</v>
      </c>
      <c r="N3378">
        <v>0</v>
      </c>
      <c r="O3378">
        <v>0</v>
      </c>
      <c r="P3378">
        <v>0</v>
      </c>
      <c r="Q3378">
        <v>0</v>
      </c>
      <c r="T3378">
        <v>0</v>
      </c>
      <c r="U3378">
        <v>635</v>
      </c>
    </row>
    <row r="3379" spans="1:21" x14ac:dyDescent="0.25">
      <c r="H3379" t="s">
        <v>4758</v>
      </c>
    </row>
    <row r="3380" spans="1:21" x14ac:dyDescent="0.25">
      <c r="A3380">
        <v>1687</v>
      </c>
      <c r="B3380">
        <v>6953</v>
      </c>
      <c r="C3380" t="s">
        <v>3301</v>
      </c>
      <c r="D3380" t="s">
        <v>377</v>
      </c>
      <c r="E3380" t="s">
        <v>27</v>
      </c>
      <c r="F3380" t="s">
        <v>5682</v>
      </c>
      <c r="G3380" t="str">
        <f>"201103000011"</f>
        <v>201103000011</v>
      </c>
      <c r="H3380">
        <v>605</v>
      </c>
      <c r="I3380">
        <v>0</v>
      </c>
      <c r="J3380">
        <v>30</v>
      </c>
      <c r="K3380">
        <v>0</v>
      </c>
      <c r="L3380">
        <v>0</v>
      </c>
      <c r="M3380">
        <v>0</v>
      </c>
      <c r="N3380">
        <v>0</v>
      </c>
      <c r="O3380">
        <v>0</v>
      </c>
      <c r="P3380">
        <v>0</v>
      </c>
      <c r="Q3380">
        <v>0</v>
      </c>
      <c r="T3380">
        <v>0</v>
      </c>
      <c r="U3380">
        <v>635</v>
      </c>
    </row>
    <row r="3381" spans="1:21" x14ac:dyDescent="0.25">
      <c r="H3381" t="s">
        <v>3303</v>
      </c>
    </row>
    <row r="3382" spans="1:21" x14ac:dyDescent="0.25">
      <c r="A3382">
        <v>1688</v>
      </c>
      <c r="B3382">
        <v>1659</v>
      </c>
      <c r="C3382" t="s">
        <v>5683</v>
      </c>
      <c r="D3382" t="s">
        <v>852</v>
      </c>
      <c r="E3382" t="s">
        <v>27</v>
      </c>
      <c r="F3382" t="s">
        <v>5684</v>
      </c>
      <c r="G3382" t="str">
        <f>"201511031673"</f>
        <v>201511031673</v>
      </c>
      <c r="H3382">
        <v>605</v>
      </c>
      <c r="I3382">
        <v>0</v>
      </c>
      <c r="J3382">
        <v>0</v>
      </c>
      <c r="K3382">
        <v>0</v>
      </c>
      <c r="L3382">
        <v>30</v>
      </c>
      <c r="M3382">
        <v>0</v>
      </c>
      <c r="N3382">
        <v>0</v>
      </c>
      <c r="O3382">
        <v>0</v>
      </c>
      <c r="P3382">
        <v>0</v>
      </c>
      <c r="Q3382">
        <v>0</v>
      </c>
      <c r="T3382">
        <v>2</v>
      </c>
      <c r="U3382">
        <v>635</v>
      </c>
    </row>
    <row r="3383" spans="1:21" x14ac:dyDescent="0.25">
      <c r="H3383" t="s">
        <v>5685</v>
      </c>
    </row>
    <row r="3384" spans="1:21" x14ac:dyDescent="0.25">
      <c r="A3384">
        <v>1689</v>
      </c>
      <c r="B3384">
        <v>1656</v>
      </c>
      <c r="C3384" t="s">
        <v>1903</v>
      </c>
      <c r="D3384" t="s">
        <v>5686</v>
      </c>
      <c r="E3384" t="s">
        <v>614</v>
      </c>
      <c r="F3384" t="s">
        <v>5687</v>
      </c>
      <c r="G3384" t="str">
        <f>"201511019824"</f>
        <v>201511019824</v>
      </c>
      <c r="H3384">
        <v>605</v>
      </c>
      <c r="I3384">
        <v>0</v>
      </c>
      <c r="J3384">
        <v>30</v>
      </c>
      <c r="K3384">
        <v>0</v>
      </c>
      <c r="L3384">
        <v>0</v>
      </c>
      <c r="M3384">
        <v>0</v>
      </c>
      <c r="N3384">
        <v>0</v>
      </c>
      <c r="O3384">
        <v>0</v>
      </c>
      <c r="P3384">
        <v>0</v>
      </c>
      <c r="Q3384">
        <v>0</v>
      </c>
      <c r="T3384">
        <v>0</v>
      </c>
      <c r="U3384">
        <v>635</v>
      </c>
    </row>
    <row r="3385" spans="1:21" x14ac:dyDescent="0.25">
      <c r="H3385" t="s">
        <v>5688</v>
      </c>
    </row>
    <row r="3386" spans="1:21" x14ac:dyDescent="0.25">
      <c r="A3386">
        <v>1690</v>
      </c>
      <c r="B3386">
        <v>2330</v>
      </c>
      <c r="C3386" t="s">
        <v>5689</v>
      </c>
      <c r="D3386" t="s">
        <v>85</v>
      </c>
      <c r="E3386" t="s">
        <v>122</v>
      </c>
      <c r="F3386" t="s">
        <v>5690</v>
      </c>
      <c r="G3386" t="str">
        <f>"201511029583"</f>
        <v>201511029583</v>
      </c>
      <c r="H3386">
        <v>605</v>
      </c>
      <c r="I3386">
        <v>0</v>
      </c>
      <c r="J3386">
        <v>30</v>
      </c>
      <c r="K3386">
        <v>0</v>
      </c>
      <c r="L3386">
        <v>0</v>
      </c>
      <c r="M3386">
        <v>0</v>
      </c>
      <c r="N3386">
        <v>0</v>
      </c>
      <c r="O3386">
        <v>0</v>
      </c>
      <c r="P3386">
        <v>0</v>
      </c>
      <c r="Q3386">
        <v>0</v>
      </c>
      <c r="T3386">
        <v>0</v>
      </c>
      <c r="U3386">
        <v>635</v>
      </c>
    </row>
    <row r="3387" spans="1:21" x14ac:dyDescent="0.25">
      <c r="H3387" t="s">
        <v>5691</v>
      </c>
    </row>
    <row r="3388" spans="1:21" x14ac:dyDescent="0.25">
      <c r="A3388">
        <v>1691</v>
      </c>
      <c r="B3388">
        <v>7581</v>
      </c>
      <c r="C3388" t="s">
        <v>5692</v>
      </c>
      <c r="D3388" t="s">
        <v>502</v>
      </c>
      <c r="E3388" t="s">
        <v>259</v>
      </c>
      <c r="F3388" t="s">
        <v>5693</v>
      </c>
      <c r="G3388" t="str">
        <f>"201510002685"</f>
        <v>201510002685</v>
      </c>
      <c r="H3388">
        <v>605</v>
      </c>
      <c r="I3388">
        <v>0</v>
      </c>
      <c r="J3388">
        <v>30</v>
      </c>
      <c r="K3388">
        <v>0</v>
      </c>
      <c r="L3388">
        <v>0</v>
      </c>
      <c r="M3388">
        <v>0</v>
      </c>
      <c r="N3388">
        <v>0</v>
      </c>
      <c r="O3388">
        <v>0</v>
      </c>
      <c r="P3388">
        <v>0</v>
      </c>
      <c r="Q3388">
        <v>0</v>
      </c>
      <c r="T3388">
        <v>0</v>
      </c>
      <c r="U3388">
        <v>635</v>
      </c>
    </row>
    <row r="3389" spans="1:21" x14ac:dyDescent="0.25">
      <c r="H3389" t="s">
        <v>5694</v>
      </c>
    </row>
    <row r="3390" spans="1:21" x14ac:dyDescent="0.25">
      <c r="A3390">
        <v>1692</v>
      </c>
      <c r="B3390">
        <v>7495</v>
      </c>
      <c r="C3390" t="s">
        <v>4867</v>
      </c>
      <c r="D3390" t="s">
        <v>78</v>
      </c>
      <c r="E3390" t="s">
        <v>42</v>
      </c>
      <c r="F3390" t="s">
        <v>5695</v>
      </c>
      <c r="G3390" t="str">
        <f>"201511018615"</f>
        <v>201511018615</v>
      </c>
      <c r="H3390">
        <v>605</v>
      </c>
      <c r="I3390">
        <v>0</v>
      </c>
      <c r="J3390">
        <v>30</v>
      </c>
      <c r="K3390">
        <v>0</v>
      </c>
      <c r="L3390">
        <v>0</v>
      </c>
      <c r="M3390">
        <v>0</v>
      </c>
      <c r="N3390">
        <v>0</v>
      </c>
      <c r="O3390">
        <v>0</v>
      </c>
      <c r="P3390">
        <v>0</v>
      </c>
      <c r="Q3390">
        <v>0</v>
      </c>
      <c r="T3390">
        <v>0</v>
      </c>
      <c r="U3390">
        <v>635</v>
      </c>
    </row>
    <row r="3391" spans="1:21" x14ac:dyDescent="0.25">
      <c r="H3391" t="s">
        <v>5031</v>
      </c>
    </row>
    <row r="3392" spans="1:21" x14ac:dyDescent="0.25">
      <c r="A3392">
        <v>1693</v>
      </c>
      <c r="B3392">
        <v>10360</v>
      </c>
      <c r="C3392" t="s">
        <v>5696</v>
      </c>
      <c r="D3392" t="s">
        <v>36</v>
      </c>
      <c r="E3392" t="s">
        <v>37</v>
      </c>
      <c r="F3392" t="s">
        <v>5697</v>
      </c>
      <c r="G3392" t="str">
        <f>"00076013"</f>
        <v>00076013</v>
      </c>
      <c r="H3392">
        <v>605</v>
      </c>
      <c r="I3392">
        <v>0</v>
      </c>
      <c r="J3392">
        <v>30</v>
      </c>
      <c r="K3392">
        <v>0</v>
      </c>
      <c r="L3392">
        <v>0</v>
      </c>
      <c r="M3392">
        <v>0</v>
      </c>
      <c r="N3392">
        <v>0</v>
      </c>
      <c r="O3392">
        <v>0</v>
      </c>
      <c r="P3392">
        <v>0</v>
      </c>
      <c r="Q3392">
        <v>0</v>
      </c>
      <c r="T3392">
        <v>0</v>
      </c>
      <c r="U3392">
        <v>635</v>
      </c>
    </row>
    <row r="3393" spans="1:21" x14ac:dyDescent="0.25">
      <c r="H3393" t="s">
        <v>5698</v>
      </c>
    </row>
    <row r="3394" spans="1:21" x14ac:dyDescent="0.25">
      <c r="A3394">
        <v>1694</v>
      </c>
      <c r="B3394">
        <v>2076</v>
      </c>
      <c r="C3394" t="s">
        <v>1023</v>
      </c>
      <c r="D3394" t="s">
        <v>5699</v>
      </c>
      <c r="E3394" t="s">
        <v>449</v>
      </c>
      <c r="F3394" t="s">
        <v>5700</v>
      </c>
      <c r="G3394" t="str">
        <f>"201511040647"</f>
        <v>201511040647</v>
      </c>
      <c r="H3394" t="s">
        <v>5518</v>
      </c>
      <c r="I3394">
        <v>0</v>
      </c>
      <c r="J3394">
        <v>0</v>
      </c>
      <c r="K3394">
        <v>0</v>
      </c>
      <c r="L3394">
        <v>0</v>
      </c>
      <c r="M3394">
        <v>0</v>
      </c>
      <c r="N3394">
        <v>0</v>
      </c>
      <c r="O3394">
        <v>0</v>
      </c>
      <c r="P3394">
        <v>0</v>
      </c>
      <c r="Q3394">
        <v>0</v>
      </c>
      <c r="T3394">
        <v>0</v>
      </c>
      <c r="U3394" t="s">
        <v>5518</v>
      </c>
    </row>
    <row r="3395" spans="1:21" x14ac:dyDescent="0.25">
      <c r="H3395" t="s">
        <v>5701</v>
      </c>
    </row>
    <row r="3396" spans="1:21" x14ac:dyDescent="0.25">
      <c r="A3396">
        <v>1695</v>
      </c>
      <c r="B3396">
        <v>7372</v>
      </c>
      <c r="C3396" t="s">
        <v>5702</v>
      </c>
      <c r="D3396" t="s">
        <v>453</v>
      </c>
      <c r="E3396" t="s">
        <v>366</v>
      </c>
      <c r="F3396" t="s">
        <v>5703</v>
      </c>
      <c r="G3396" t="str">
        <f>"00021455"</f>
        <v>00021455</v>
      </c>
      <c r="H3396" t="s">
        <v>5704</v>
      </c>
      <c r="I3396">
        <v>0</v>
      </c>
      <c r="J3396">
        <v>0</v>
      </c>
      <c r="K3396">
        <v>0</v>
      </c>
      <c r="L3396">
        <v>0</v>
      </c>
      <c r="M3396">
        <v>0</v>
      </c>
      <c r="N3396">
        <v>0</v>
      </c>
      <c r="O3396">
        <v>0</v>
      </c>
      <c r="P3396">
        <v>0</v>
      </c>
      <c r="Q3396">
        <v>0</v>
      </c>
      <c r="T3396">
        <v>0</v>
      </c>
      <c r="U3396" t="s">
        <v>5704</v>
      </c>
    </row>
    <row r="3397" spans="1:21" x14ac:dyDescent="0.25">
      <c r="H3397" t="s">
        <v>5705</v>
      </c>
    </row>
    <row r="3398" spans="1:21" x14ac:dyDescent="0.25">
      <c r="A3398">
        <v>1696</v>
      </c>
      <c r="B3398">
        <v>6141</v>
      </c>
      <c r="C3398" t="s">
        <v>5706</v>
      </c>
      <c r="D3398" t="s">
        <v>449</v>
      </c>
      <c r="E3398" t="s">
        <v>65</v>
      </c>
      <c r="F3398" t="s">
        <v>5707</v>
      </c>
      <c r="G3398" t="str">
        <f>"00097634"</f>
        <v>00097634</v>
      </c>
      <c r="H3398">
        <v>627</v>
      </c>
      <c r="I3398">
        <v>0</v>
      </c>
      <c r="J3398">
        <v>0</v>
      </c>
      <c r="K3398">
        <v>0</v>
      </c>
      <c r="L3398">
        <v>0</v>
      </c>
      <c r="M3398">
        <v>0</v>
      </c>
      <c r="N3398">
        <v>0</v>
      </c>
      <c r="O3398">
        <v>0</v>
      </c>
      <c r="P3398">
        <v>0</v>
      </c>
      <c r="Q3398">
        <v>0</v>
      </c>
      <c r="T3398">
        <v>0</v>
      </c>
      <c r="U3398">
        <v>627</v>
      </c>
    </row>
    <row r="3399" spans="1:21" x14ac:dyDescent="0.25">
      <c r="H3399" t="s">
        <v>5708</v>
      </c>
    </row>
    <row r="3400" spans="1:21" x14ac:dyDescent="0.25">
      <c r="A3400">
        <v>1697</v>
      </c>
      <c r="B3400">
        <v>2459</v>
      </c>
      <c r="C3400" t="s">
        <v>5709</v>
      </c>
      <c r="D3400" t="s">
        <v>667</v>
      </c>
      <c r="E3400" t="s">
        <v>225</v>
      </c>
      <c r="F3400" t="s">
        <v>5710</v>
      </c>
      <c r="G3400" t="str">
        <f>"201511021799"</f>
        <v>201511021799</v>
      </c>
      <c r="H3400">
        <v>627</v>
      </c>
      <c r="I3400">
        <v>0</v>
      </c>
      <c r="J3400">
        <v>0</v>
      </c>
      <c r="K3400">
        <v>0</v>
      </c>
      <c r="L3400">
        <v>0</v>
      </c>
      <c r="M3400">
        <v>0</v>
      </c>
      <c r="N3400">
        <v>0</v>
      </c>
      <c r="O3400">
        <v>0</v>
      </c>
      <c r="P3400">
        <v>0</v>
      </c>
      <c r="Q3400">
        <v>0</v>
      </c>
      <c r="T3400">
        <v>0</v>
      </c>
      <c r="U3400">
        <v>627</v>
      </c>
    </row>
    <row r="3401" spans="1:21" x14ac:dyDescent="0.25">
      <c r="H3401" t="s">
        <v>5711</v>
      </c>
    </row>
    <row r="3402" spans="1:21" x14ac:dyDescent="0.25">
      <c r="A3402">
        <v>1698</v>
      </c>
      <c r="B3402">
        <v>2812</v>
      </c>
      <c r="C3402" t="s">
        <v>5712</v>
      </c>
      <c r="D3402" t="s">
        <v>57</v>
      </c>
      <c r="E3402" t="s">
        <v>614</v>
      </c>
      <c r="F3402" t="s">
        <v>5713</v>
      </c>
      <c r="G3402" t="str">
        <f>"00057149"</f>
        <v>00057149</v>
      </c>
      <c r="H3402" t="s">
        <v>4830</v>
      </c>
      <c r="I3402">
        <v>0</v>
      </c>
      <c r="J3402">
        <v>0</v>
      </c>
      <c r="K3402">
        <v>0</v>
      </c>
      <c r="L3402">
        <v>0</v>
      </c>
      <c r="M3402">
        <v>0</v>
      </c>
      <c r="N3402">
        <v>0</v>
      </c>
      <c r="O3402">
        <v>0</v>
      </c>
      <c r="P3402">
        <v>0</v>
      </c>
      <c r="Q3402">
        <v>0</v>
      </c>
      <c r="T3402">
        <v>2</v>
      </c>
      <c r="U3402" t="s">
        <v>4830</v>
      </c>
    </row>
    <row r="3403" spans="1:21" x14ac:dyDescent="0.25">
      <c r="H3403" t="s">
        <v>5714</v>
      </c>
    </row>
    <row r="3404" spans="1:21" x14ac:dyDescent="0.25">
      <c r="A3404">
        <v>1699</v>
      </c>
      <c r="B3404">
        <v>10284</v>
      </c>
      <c r="C3404" t="s">
        <v>5715</v>
      </c>
      <c r="D3404" t="s">
        <v>372</v>
      </c>
      <c r="E3404" t="s">
        <v>533</v>
      </c>
      <c r="F3404" t="s">
        <v>5716</v>
      </c>
      <c r="G3404" t="str">
        <f>"00095216"</f>
        <v>00095216</v>
      </c>
      <c r="H3404">
        <v>550</v>
      </c>
      <c r="I3404">
        <v>0</v>
      </c>
      <c r="J3404">
        <v>70</v>
      </c>
      <c r="K3404">
        <v>0</v>
      </c>
      <c r="L3404">
        <v>0</v>
      </c>
      <c r="M3404">
        <v>0</v>
      </c>
      <c r="N3404">
        <v>0</v>
      </c>
      <c r="O3404">
        <v>0</v>
      </c>
      <c r="P3404">
        <v>0</v>
      </c>
      <c r="Q3404">
        <v>0</v>
      </c>
      <c r="T3404">
        <v>0</v>
      </c>
      <c r="U3404">
        <v>620</v>
      </c>
    </row>
    <row r="3405" spans="1:21" x14ac:dyDescent="0.25">
      <c r="H3405" t="s">
        <v>5717</v>
      </c>
    </row>
    <row r="3406" spans="1:21" x14ac:dyDescent="0.25">
      <c r="A3406">
        <v>1700</v>
      </c>
      <c r="B3406">
        <v>997</v>
      </c>
      <c r="C3406" t="s">
        <v>5718</v>
      </c>
      <c r="D3406" t="s">
        <v>1605</v>
      </c>
      <c r="E3406" t="s">
        <v>1636</v>
      </c>
      <c r="F3406" t="s">
        <v>5719</v>
      </c>
      <c r="G3406" t="str">
        <f>"00027143"</f>
        <v>00027143</v>
      </c>
      <c r="H3406" t="s">
        <v>5720</v>
      </c>
      <c r="I3406">
        <v>0</v>
      </c>
      <c r="J3406">
        <v>30</v>
      </c>
      <c r="K3406">
        <v>0</v>
      </c>
      <c r="L3406">
        <v>0</v>
      </c>
      <c r="M3406">
        <v>0</v>
      </c>
      <c r="N3406">
        <v>0</v>
      </c>
      <c r="O3406">
        <v>0</v>
      </c>
      <c r="P3406">
        <v>0</v>
      </c>
      <c r="Q3406">
        <v>0</v>
      </c>
      <c r="T3406">
        <v>0</v>
      </c>
      <c r="U3406" t="s">
        <v>5721</v>
      </c>
    </row>
    <row r="3407" spans="1:21" x14ac:dyDescent="0.25">
      <c r="H3407" t="s">
        <v>1046</v>
      </c>
    </row>
    <row r="3408" spans="1:21" x14ac:dyDescent="0.25">
      <c r="A3408">
        <v>1701</v>
      </c>
      <c r="B3408">
        <v>1753</v>
      </c>
      <c r="C3408" t="s">
        <v>472</v>
      </c>
      <c r="D3408" t="s">
        <v>185</v>
      </c>
      <c r="E3408" t="s">
        <v>696</v>
      </c>
      <c r="F3408" t="s">
        <v>5722</v>
      </c>
      <c r="G3408" t="str">
        <f>"00046396"</f>
        <v>00046396</v>
      </c>
      <c r="H3408" t="s">
        <v>5723</v>
      </c>
      <c r="I3408">
        <v>0</v>
      </c>
      <c r="J3408">
        <v>0</v>
      </c>
      <c r="K3408">
        <v>0</v>
      </c>
      <c r="L3408">
        <v>0</v>
      </c>
      <c r="M3408">
        <v>0</v>
      </c>
      <c r="N3408">
        <v>0</v>
      </c>
      <c r="O3408">
        <v>0</v>
      </c>
      <c r="P3408">
        <v>0</v>
      </c>
      <c r="Q3408">
        <v>0</v>
      </c>
      <c r="T3408">
        <v>0</v>
      </c>
      <c r="U3408" t="s">
        <v>5723</v>
      </c>
    </row>
    <row r="3409" spans="1:21" x14ac:dyDescent="0.25">
      <c r="H3409" t="s">
        <v>5724</v>
      </c>
    </row>
    <row r="3410" spans="1:21" x14ac:dyDescent="0.25">
      <c r="A3410">
        <v>1702</v>
      </c>
      <c r="B3410">
        <v>8413</v>
      </c>
      <c r="C3410" t="s">
        <v>1523</v>
      </c>
      <c r="D3410" t="s">
        <v>85</v>
      </c>
      <c r="E3410" t="s">
        <v>122</v>
      </c>
      <c r="F3410" t="s">
        <v>5725</v>
      </c>
      <c r="G3410" t="str">
        <f>"00083400"</f>
        <v>00083400</v>
      </c>
      <c r="H3410" t="s">
        <v>5726</v>
      </c>
      <c r="I3410">
        <v>0</v>
      </c>
      <c r="J3410">
        <v>0</v>
      </c>
      <c r="K3410">
        <v>0</v>
      </c>
      <c r="L3410">
        <v>0</v>
      </c>
      <c r="M3410">
        <v>0</v>
      </c>
      <c r="N3410">
        <v>0</v>
      </c>
      <c r="O3410">
        <v>0</v>
      </c>
      <c r="P3410">
        <v>0</v>
      </c>
      <c r="Q3410">
        <v>0</v>
      </c>
      <c r="T3410">
        <v>0</v>
      </c>
      <c r="U3410" t="s">
        <v>5726</v>
      </c>
    </row>
    <row r="3411" spans="1:21" x14ac:dyDescent="0.25">
      <c r="H3411" t="s">
        <v>5727</v>
      </c>
    </row>
    <row r="3412" spans="1:21" x14ac:dyDescent="0.25">
      <c r="A3412">
        <v>1703</v>
      </c>
      <c r="B3412">
        <v>6098</v>
      </c>
      <c r="C3412" t="s">
        <v>5728</v>
      </c>
      <c r="D3412" t="s">
        <v>2290</v>
      </c>
      <c r="E3412" t="s">
        <v>764</v>
      </c>
      <c r="F3412" t="s">
        <v>5729</v>
      </c>
      <c r="G3412" t="str">
        <f>"00082797"</f>
        <v>00082797</v>
      </c>
      <c r="H3412" t="s">
        <v>5730</v>
      </c>
      <c r="I3412">
        <v>0</v>
      </c>
      <c r="J3412">
        <v>0</v>
      </c>
      <c r="K3412">
        <v>0</v>
      </c>
      <c r="L3412">
        <v>0</v>
      </c>
      <c r="M3412">
        <v>0</v>
      </c>
      <c r="N3412">
        <v>0</v>
      </c>
      <c r="O3412">
        <v>0</v>
      </c>
      <c r="P3412">
        <v>0</v>
      </c>
      <c r="Q3412">
        <v>0</v>
      </c>
      <c r="T3412">
        <v>0</v>
      </c>
      <c r="U3412" t="s">
        <v>5730</v>
      </c>
    </row>
    <row r="3413" spans="1:21" x14ac:dyDescent="0.25">
      <c r="H3413" t="s">
        <v>5731</v>
      </c>
    </row>
    <row r="3414" spans="1:21" x14ac:dyDescent="0.25">
      <c r="A3414">
        <v>1704</v>
      </c>
      <c r="B3414">
        <v>1220</v>
      </c>
      <c r="C3414" t="s">
        <v>5732</v>
      </c>
      <c r="D3414" t="s">
        <v>64</v>
      </c>
      <c r="E3414" t="s">
        <v>36</v>
      </c>
      <c r="F3414" t="s">
        <v>5733</v>
      </c>
      <c r="G3414" t="str">
        <f>"201502002446"</f>
        <v>201502002446</v>
      </c>
      <c r="H3414" t="s">
        <v>5734</v>
      </c>
      <c r="I3414">
        <v>0</v>
      </c>
      <c r="J3414">
        <v>0</v>
      </c>
      <c r="K3414">
        <v>0</v>
      </c>
      <c r="L3414">
        <v>0</v>
      </c>
      <c r="M3414">
        <v>0</v>
      </c>
      <c r="N3414">
        <v>0</v>
      </c>
      <c r="O3414">
        <v>0</v>
      </c>
      <c r="P3414">
        <v>0</v>
      </c>
      <c r="Q3414">
        <v>0</v>
      </c>
      <c r="T3414">
        <v>0</v>
      </c>
      <c r="U3414" t="s">
        <v>5734</v>
      </c>
    </row>
    <row r="3415" spans="1:21" x14ac:dyDescent="0.25">
      <c r="H3415" t="s">
        <v>5735</v>
      </c>
    </row>
    <row r="3416" spans="1:21" x14ac:dyDescent="0.25">
      <c r="A3416">
        <v>1705</v>
      </c>
      <c r="B3416">
        <v>483</v>
      </c>
      <c r="C3416" t="s">
        <v>5736</v>
      </c>
      <c r="D3416" t="s">
        <v>116</v>
      </c>
      <c r="E3416" t="s">
        <v>135</v>
      </c>
      <c r="F3416" t="s">
        <v>5737</v>
      </c>
      <c r="G3416" t="str">
        <f>"201511041612"</f>
        <v>201511041612</v>
      </c>
      <c r="H3416">
        <v>605</v>
      </c>
      <c r="I3416">
        <v>0</v>
      </c>
      <c r="J3416">
        <v>0</v>
      </c>
      <c r="K3416">
        <v>0</v>
      </c>
      <c r="L3416">
        <v>0</v>
      </c>
      <c r="M3416">
        <v>0</v>
      </c>
      <c r="N3416">
        <v>0</v>
      </c>
      <c r="O3416">
        <v>0</v>
      </c>
      <c r="P3416">
        <v>0</v>
      </c>
      <c r="Q3416">
        <v>0</v>
      </c>
      <c r="T3416">
        <v>0</v>
      </c>
      <c r="U3416">
        <v>605</v>
      </c>
    </row>
    <row r="3417" spans="1:21" x14ac:dyDescent="0.25">
      <c r="H3417" t="s">
        <v>5738</v>
      </c>
    </row>
    <row r="3418" spans="1:21" x14ac:dyDescent="0.25">
      <c r="A3418">
        <v>1706</v>
      </c>
      <c r="B3418">
        <v>4966</v>
      </c>
      <c r="C3418" t="s">
        <v>5739</v>
      </c>
      <c r="D3418" t="s">
        <v>78</v>
      </c>
      <c r="E3418" t="s">
        <v>696</v>
      </c>
      <c r="F3418" t="s">
        <v>5740</v>
      </c>
      <c r="G3418" t="str">
        <f>"00037014"</f>
        <v>00037014</v>
      </c>
      <c r="H3418">
        <v>605</v>
      </c>
      <c r="I3418">
        <v>0</v>
      </c>
      <c r="J3418">
        <v>0</v>
      </c>
      <c r="K3418">
        <v>0</v>
      </c>
      <c r="L3418">
        <v>0</v>
      </c>
      <c r="M3418">
        <v>0</v>
      </c>
      <c r="N3418">
        <v>0</v>
      </c>
      <c r="O3418">
        <v>0</v>
      </c>
      <c r="P3418">
        <v>0</v>
      </c>
      <c r="Q3418">
        <v>0</v>
      </c>
      <c r="T3418">
        <v>0</v>
      </c>
      <c r="U3418">
        <v>605</v>
      </c>
    </row>
    <row r="3419" spans="1:21" x14ac:dyDescent="0.25">
      <c r="H3419" t="s">
        <v>5741</v>
      </c>
    </row>
    <row r="3420" spans="1:21" x14ac:dyDescent="0.25">
      <c r="A3420">
        <v>1707</v>
      </c>
      <c r="B3420">
        <v>10122</v>
      </c>
      <c r="C3420" t="s">
        <v>2296</v>
      </c>
      <c r="D3420" t="s">
        <v>164</v>
      </c>
      <c r="E3420" t="s">
        <v>975</v>
      </c>
      <c r="F3420" t="s">
        <v>5742</v>
      </c>
      <c r="G3420" t="str">
        <f>"00046667"</f>
        <v>00046667</v>
      </c>
      <c r="H3420">
        <v>605</v>
      </c>
      <c r="I3420">
        <v>0</v>
      </c>
      <c r="J3420">
        <v>0</v>
      </c>
      <c r="K3420">
        <v>0</v>
      </c>
      <c r="L3420">
        <v>0</v>
      </c>
      <c r="M3420">
        <v>0</v>
      </c>
      <c r="N3420">
        <v>0</v>
      </c>
      <c r="O3420">
        <v>0</v>
      </c>
      <c r="P3420">
        <v>0</v>
      </c>
      <c r="Q3420">
        <v>0</v>
      </c>
      <c r="T3420">
        <v>0</v>
      </c>
      <c r="U3420">
        <v>605</v>
      </c>
    </row>
    <row r="3421" spans="1:21" x14ac:dyDescent="0.25">
      <c r="H3421" t="s">
        <v>5743</v>
      </c>
    </row>
    <row r="3422" spans="1:21" x14ac:dyDescent="0.25">
      <c r="A3422">
        <v>1708</v>
      </c>
      <c r="B3422">
        <v>8296</v>
      </c>
      <c r="C3422" t="s">
        <v>3003</v>
      </c>
      <c r="D3422" t="s">
        <v>5744</v>
      </c>
      <c r="E3422" t="s">
        <v>2591</v>
      </c>
      <c r="F3422" t="s">
        <v>5745</v>
      </c>
      <c r="G3422" t="str">
        <f>"201511030780"</f>
        <v>201511030780</v>
      </c>
      <c r="H3422">
        <v>605</v>
      </c>
      <c r="I3422">
        <v>0</v>
      </c>
      <c r="J3422">
        <v>0</v>
      </c>
      <c r="K3422">
        <v>0</v>
      </c>
      <c r="L3422">
        <v>0</v>
      </c>
      <c r="M3422">
        <v>0</v>
      </c>
      <c r="N3422">
        <v>0</v>
      </c>
      <c r="O3422">
        <v>0</v>
      </c>
      <c r="P3422">
        <v>0</v>
      </c>
      <c r="Q3422">
        <v>0</v>
      </c>
      <c r="T3422">
        <v>0</v>
      </c>
      <c r="U3422">
        <v>605</v>
      </c>
    </row>
    <row r="3423" spans="1:21" x14ac:dyDescent="0.25">
      <c r="H3423" t="s">
        <v>5746</v>
      </c>
    </row>
    <row r="3424" spans="1:21" x14ac:dyDescent="0.25">
      <c r="A3424">
        <v>1709</v>
      </c>
      <c r="B3424">
        <v>10457</v>
      </c>
      <c r="C3424" t="s">
        <v>5747</v>
      </c>
      <c r="D3424" t="s">
        <v>528</v>
      </c>
      <c r="E3424" t="s">
        <v>1551</v>
      </c>
      <c r="F3424" t="s">
        <v>5748</v>
      </c>
      <c r="G3424" t="str">
        <f>"00005073"</f>
        <v>00005073</v>
      </c>
      <c r="H3424">
        <v>605</v>
      </c>
      <c r="I3424">
        <v>0</v>
      </c>
      <c r="J3424">
        <v>0</v>
      </c>
      <c r="K3424">
        <v>0</v>
      </c>
      <c r="L3424">
        <v>0</v>
      </c>
      <c r="M3424">
        <v>0</v>
      </c>
      <c r="N3424">
        <v>0</v>
      </c>
      <c r="O3424">
        <v>0</v>
      </c>
      <c r="P3424">
        <v>0</v>
      </c>
      <c r="Q3424">
        <v>0</v>
      </c>
      <c r="T3424">
        <v>0</v>
      </c>
      <c r="U3424">
        <v>605</v>
      </c>
    </row>
    <row r="3425" spans="1:21" x14ac:dyDescent="0.25">
      <c r="H3425" t="s">
        <v>5749</v>
      </c>
    </row>
    <row r="3426" spans="1:21" x14ac:dyDescent="0.25">
      <c r="A3426">
        <v>1710</v>
      </c>
      <c r="B3426">
        <v>7779</v>
      </c>
      <c r="C3426" t="s">
        <v>5750</v>
      </c>
      <c r="D3426" t="s">
        <v>1524</v>
      </c>
      <c r="E3426" t="s">
        <v>36</v>
      </c>
      <c r="F3426" t="s">
        <v>5751</v>
      </c>
      <c r="G3426" t="str">
        <f>"00093218"</f>
        <v>00093218</v>
      </c>
      <c r="H3426">
        <v>605</v>
      </c>
      <c r="I3426">
        <v>0</v>
      </c>
      <c r="J3426">
        <v>0</v>
      </c>
      <c r="K3426">
        <v>0</v>
      </c>
      <c r="L3426">
        <v>0</v>
      </c>
      <c r="M3426">
        <v>0</v>
      </c>
      <c r="N3426">
        <v>0</v>
      </c>
      <c r="O3426">
        <v>0</v>
      </c>
      <c r="P3426">
        <v>0</v>
      </c>
      <c r="Q3426">
        <v>0</v>
      </c>
      <c r="T3426">
        <v>0</v>
      </c>
      <c r="U3426">
        <v>605</v>
      </c>
    </row>
    <row r="3427" spans="1:21" x14ac:dyDescent="0.25">
      <c r="H3427" t="s">
        <v>5752</v>
      </c>
    </row>
    <row r="3428" spans="1:21" x14ac:dyDescent="0.25">
      <c r="A3428">
        <v>1711</v>
      </c>
      <c r="B3428">
        <v>6871</v>
      </c>
      <c r="C3428" t="s">
        <v>5753</v>
      </c>
      <c r="D3428" t="s">
        <v>2931</v>
      </c>
      <c r="E3428" t="s">
        <v>263</v>
      </c>
      <c r="F3428" t="s">
        <v>5754</v>
      </c>
      <c r="G3428" t="str">
        <f>"201502001194"</f>
        <v>201502001194</v>
      </c>
      <c r="H3428">
        <v>605</v>
      </c>
      <c r="I3428">
        <v>0</v>
      </c>
      <c r="J3428">
        <v>0</v>
      </c>
      <c r="K3428">
        <v>0</v>
      </c>
      <c r="L3428">
        <v>0</v>
      </c>
      <c r="M3428">
        <v>0</v>
      </c>
      <c r="N3428">
        <v>0</v>
      </c>
      <c r="O3428">
        <v>0</v>
      </c>
      <c r="P3428">
        <v>0</v>
      </c>
      <c r="Q3428">
        <v>0</v>
      </c>
      <c r="T3428">
        <v>0</v>
      </c>
      <c r="U3428">
        <v>605</v>
      </c>
    </row>
    <row r="3429" spans="1:21" x14ac:dyDescent="0.25">
      <c r="H3429" t="s">
        <v>5755</v>
      </c>
    </row>
    <row r="3430" spans="1:21" x14ac:dyDescent="0.25">
      <c r="A3430">
        <v>1712</v>
      </c>
      <c r="B3430">
        <v>5021</v>
      </c>
      <c r="C3430" t="s">
        <v>5756</v>
      </c>
      <c r="D3430" t="s">
        <v>121</v>
      </c>
      <c r="E3430" t="s">
        <v>1501</v>
      </c>
      <c r="F3430" t="s">
        <v>5757</v>
      </c>
      <c r="G3430" t="str">
        <f>"201511010263"</f>
        <v>201511010263</v>
      </c>
      <c r="H3430">
        <v>605</v>
      </c>
      <c r="I3430">
        <v>0</v>
      </c>
      <c r="J3430">
        <v>0</v>
      </c>
      <c r="K3430">
        <v>0</v>
      </c>
      <c r="L3430">
        <v>0</v>
      </c>
      <c r="M3430">
        <v>0</v>
      </c>
      <c r="N3430">
        <v>0</v>
      </c>
      <c r="O3430">
        <v>0</v>
      </c>
      <c r="P3430">
        <v>0</v>
      </c>
      <c r="Q3430">
        <v>0</v>
      </c>
      <c r="T3430">
        <v>0</v>
      </c>
      <c r="U3430">
        <v>605</v>
      </c>
    </row>
    <row r="3431" spans="1:21" x14ac:dyDescent="0.25">
      <c r="H3431" t="s">
        <v>5758</v>
      </c>
    </row>
    <row r="3432" spans="1:21" x14ac:dyDescent="0.25">
      <c r="A3432">
        <v>1713</v>
      </c>
      <c r="B3432">
        <v>10499</v>
      </c>
      <c r="C3432" t="s">
        <v>5759</v>
      </c>
      <c r="D3432" t="s">
        <v>285</v>
      </c>
      <c r="E3432" t="s">
        <v>42</v>
      </c>
      <c r="F3432" t="s">
        <v>5760</v>
      </c>
      <c r="G3432" t="str">
        <f>"00073338"</f>
        <v>00073338</v>
      </c>
      <c r="H3432">
        <v>605</v>
      </c>
      <c r="I3432">
        <v>0</v>
      </c>
      <c r="J3432">
        <v>0</v>
      </c>
      <c r="K3432">
        <v>0</v>
      </c>
      <c r="L3432">
        <v>0</v>
      </c>
      <c r="M3432">
        <v>0</v>
      </c>
      <c r="N3432">
        <v>0</v>
      </c>
      <c r="O3432">
        <v>0</v>
      </c>
      <c r="P3432">
        <v>0</v>
      </c>
      <c r="Q3432">
        <v>0</v>
      </c>
      <c r="T3432">
        <v>0</v>
      </c>
      <c r="U3432">
        <v>605</v>
      </c>
    </row>
    <row r="3433" spans="1:21" x14ac:dyDescent="0.25">
      <c r="H3433" t="s">
        <v>5761</v>
      </c>
    </row>
    <row r="3434" spans="1:21" x14ac:dyDescent="0.25">
      <c r="A3434">
        <v>1714</v>
      </c>
      <c r="B3434">
        <v>2785</v>
      </c>
      <c r="C3434" t="s">
        <v>5762</v>
      </c>
      <c r="D3434" t="s">
        <v>121</v>
      </c>
      <c r="E3434" t="s">
        <v>5763</v>
      </c>
      <c r="F3434" t="s">
        <v>5764</v>
      </c>
      <c r="G3434" t="str">
        <f>"201511040013"</f>
        <v>201511040013</v>
      </c>
      <c r="H3434">
        <v>605</v>
      </c>
      <c r="I3434">
        <v>0</v>
      </c>
      <c r="J3434">
        <v>0</v>
      </c>
      <c r="K3434">
        <v>0</v>
      </c>
      <c r="L3434">
        <v>0</v>
      </c>
      <c r="M3434">
        <v>0</v>
      </c>
      <c r="N3434">
        <v>0</v>
      </c>
      <c r="O3434">
        <v>0</v>
      </c>
      <c r="P3434">
        <v>0</v>
      </c>
      <c r="Q3434">
        <v>0</v>
      </c>
      <c r="T3434">
        <v>0</v>
      </c>
      <c r="U3434">
        <v>605</v>
      </c>
    </row>
    <row r="3435" spans="1:21" x14ac:dyDescent="0.25">
      <c r="H3435" t="s">
        <v>5765</v>
      </c>
    </row>
    <row r="3436" spans="1:21" x14ac:dyDescent="0.25">
      <c r="A3436">
        <v>1715</v>
      </c>
      <c r="B3436">
        <v>2486</v>
      </c>
      <c r="C3436" t="s">
        <v>5766</v>
      </c>
      <c r="D3436" t="s">
        <v>453</v>
      </c>
      <c r="E3436" t="s">
        <v>37</v>
      </c>
      <c r="F3436" t="s">
        <v>5767</v>
      </c>
      <c r="G3436" t="str">
        <f>"00022752"</f>
        <v>00022752</v>
      </c>
      <c r="H3436">
        <v>605</v>
      </c>
      <c r="I3436">
        <v>0</v>
      </c>
      <c r="J3436">
        <v>0</v>
      </c>
      <c r="K3436">
        <v>0</v>
      </c>
      <c r="L3436">
        <v>0</v>
      </c>
      <c r="M3436">
        <v>0</v>
      </c>
      <c r="N3436">
        <v>0</v>
      </c>
      <c r="O3436">
        <v>0</v>
      </c>
      <c r="P3436">
        <v>0</v>
      </c>
      <c r="Q3436">
        <v>0</v>
      </c>
      <c r="T3436">
        <v>0</v>
      </c>
      <c r="U3436">
        <v>605</v>
      </c>
    </row>
    <row r="3437" spans="1:21" x14ac:dyDescent="0.25">
      <c r="H3437">
        <v>764</v>
      </c>
    </row>
    <row r="3438" spans="1:21" x14ac:dyDescent="0.25">
      <c r="A3438">
        <v>1716</v>
      </c>
      <c r="B3438">
        <v>3041</v>
      </c>
      <c r="C3438" t="s">
        <v>5768</v>
      </c>
      <c r="D3438" t="s">
        <v>26</v>
      </c>
      <c r="E3438" t="s">
        <v>5769</v>
      </c>
      <c r="F3438" t="s">
        <v>5770</v>
      </c>
      <c r="G3438" t="str">
        <f>"201511032202"</f>
        <v>201511032202</v>
      </c>
      <c r="H3438">
        <v>605</v>
      </c>
      <c r="I3438">
        <v>0</v>
      </c>
      <c r="J3438">
        <v>0</v>
      </c>
      <c r="K3438">
        <v>0</v>
      </c>
      <c r="L3438">
        <v>0</v>
      </c>
      <c r="M3438">
        <v>0</v>
      </c>
      <c r="N3438">
        <v>0</v>
      </c>
      <c r="O3438">
        <v>0</v>
      </c>
      <c r="P3438">
        <v>0</v>
      </c>
      <c r="Q3438">
        <v>0</v>
      </c>
      <c r="T3438">
        <v>2</v>
      </c>
      <c r="U3438">
        <v>605</v>
      </c>
    </row>
    <row r="3439" spans="1:21" x14ac:dyDescent="0.25">
      <c r="H3439" t="s">
        <v>5771</v>
      </c>
    </row>
    <row r="3440" spans="1:21" x14ac:dyDescent="0.25">
      <c r="A3440">
        <v>1717</v>
      </c>
      <c r="B3440">
        <v>5917</v>
      </c>
      <c r="C3440" t="s">
        <v>5772</v>
      </c>
      <c r="D3440" t="s">
        <v>2234</v>
      </c>
      <c r="E3440" t="s">
        <v>5482</v>
      </c>
      <c r="F3440" t="s">
        <v>5773</v>
      </c>
      <c r="G3440" t="str">
        <f>"201511026902"</f>
        <v>201511026902</v>
      </c>
      <c r="H3440">
        <v>605</v>
      </c>
      <c r="I3440">
        <v>0</v>
      </c>
      <c r="J3440">
        <v>0</v>
      </c>
      <c r="K3440">
        <v>0</v>
      </c>
      <c r="L3440">
        <v>0</v>
      </c>
      <c r="M3440">
        <v>0</v>
      </c>
      <c r="N3440">
        <v>0</v>
      </c>
      <c r="O3440">
        <v>0</v>
      </c>
      <c r="P3440">
        <v>0</v>
      </c>
      <c r="Q3440">
        <v>0</v>
      </c>
      <c r="T3440">
        <v>0</v>
      </c>
      <c r="U3440">
        <v>605</v>
      </c>
    </row>
    <row r="3441" spans="1:21" x14ac:dyDescent="0.25">
      <c r="H3441" t="s">
        <v>5774</v>
      </c>
    </row>
    <row r="3442" spans="1:21" x14ac:dyDescent="0.25">
      <c r="A3442">
        <v>1718</v>
      </c>
      <c r="B3442">
        <v>4022</v>
      </c>
      <c r="C3442" t="s">
        <v>5775</v>
      </c>
      <c r="D3442" t="s">
        <v>1625</v>
      </c>
      <c r="E3442" t="s">
        <v>614</v>
      </c>
      <c r="F3442" t="s">
        <v>5776</v>
      </c>
      <c r="G3442" t="str">
        <f>"201502001110"</f>
        <v>201502001110</v>
      </c>
      <c r="H3442">
        <v>605</v>
      </c>
      <c r="I3442">
        <v>0</v>
      </c>
      <c r="J3442">
        <v>0</v>
      </c>
      <c r="K3442">
        <v>0</v>
      </c>
      <c r="L3442">
        <v>0</v>
      </c>
      <c r="M3442">
        <v>0</v>
      </c>
      <c r="N3442">
        <v>0</v>
      </c>
      <c r="O3442">
        <v>0</v>
      </c>
      <c r="P3442">
        <v>0</v>
      </c>
      <c r="Q3442">
        <v>0</v>
      </c>
      <c r="T3442">
        <v>0</v>
      </c>
      <c r="U3442">
        <v>605</v>
      </c>
    </row>
    <row r="3443" spans="1:21" x14ac:dyDescent="0.25">
      <c r="H3443" t="s">
        <v>2280</v>
      </c>
    </row>
    <row r="3444" spans="1:21" x14ac:dyDescent="0.25">
      <c r="A3444">
        <v>1719</v>
      </c>
      <c r="B3444">
        <v>6879</v>
      </c>
      <c r="C3444" t="s">
        <v>3186</v>
      </c>
      <c r="D3444" t="s">
        <v>95</v>
      </c>
      <c r="E3444" t="s">
        <v>614</v>
      </c>
      <c r="F3444" t="s">
        <v>5777</v>
      </c>
      <c r="G3444" t="str">
        <f>"201102000136"</f>
        <v>201102000136</v>
      </c>
      <c r="H3444">
        <v>605</v>
      </c>
      <c r="I3444">
        <v>0</v>
      </c>
      <c r="J3444">
        <v>0</v>
      </c>
      <c r="K3444">
        <v>0</v>
      </c>
      <c r="L3444">
        <v>0</v>
      </c>
      <c r="M3444">
        <v>0</v>
      </c>
      <c r="N3444">
        <v>0</v>
      </c>
      <c r="O3444">
        <v>0</v>
      </c>
      <c r="P3444">
        <v>0</v>
      </c>
      <c r="Q3444">
        <v>0</v>
      </c>
      <c r="T3444">
        <v>1</v>
      </c>
      <c r="U3444">
        <v>605</v>
      </c>
    </row>
    <row r="3445" spans="1:21" x14ac:dyDescent="0.25">
      <c r="H3445" t="s">
        <v>1763</v>
      </c>
    </row>
    <row r="3446" spans="1:21" x14ac:dyDescent="0.25">
      <c r="A3446">
        <v>1720</v>
      </c>
      <c r="B3446">
        <v>2598</v>
      </c>
      <c r="C3446" t="s">
        <v>5778</v>
      </c>
      <c r="D3446" t="s">
        <v>85</v>
      </c>
      <c r="E3446" t="s">
        <v>533</v>
      </c>
      <c r="F3446" t="s">
        <v>5779</v>
      </c>
      <c r="G3446" t="str">
        <f>"201511021139"</f>
        <v>201511021139</v>
      </c>
      <c r="H3446">
        <v>605</v>
      </c>
      <c r="I3446">
        <v>0</v>
      </c>
      <c r="J3446">
        <v>0</v>
      </c>
      <c r="K3446">
        <v>0</v>
      </c>
      <c r="L3446">
        <v>0</v>
      </c>
      <c r="M3446">
        <v>0</v>
      </c>
      <c r="N3446">
        <v>0</v>
      </c>
      <c r="O3446">
        <v>0</v>
      </c>
      <c r="P3446">
        <v>0</v>
      </c>
      <c r="Q3446">
        <v>0</v>
      </c>
      <c r="T3446">
        <v>0</v>
      </c>
      <c r="U3446">
        <v>605</v>
      </c>
    </row>
    <row r="3447" spans="1:21" x14ac:dyDescent="0.25">
      <c r="H3447" t="s">
        <v>2280</v>
      </c>
    </row>
    <row r="3448" spans="1:21" x14ac:dyDescent="0.25">
      <c r="A3448">
        <v>1721</v>
      </c>
      <c r="B3448">
        <v>3754</v>
      </c>
      <c r="C3448" t="s">
        <v>5595</v>
      </c>
      <c r="D3448" t="s">
        <v>145</v>
      </c>
      <c r="E3448" t="s">
        <v>37</v>
      </c>
      <c r="F3448" t="s">
        <v>5780</v>
      </c>
      <c r="G3448" t="str">
        <f>"201511031726"</f>
        <v>201511031726</v>
      </c>
      <c r="H3448">
        <v>605</v>
      </c>
      <c r="I3448">
        <v>0</v>
      </c>
      <c r="J3448">
        <v>0</v>
      </c>
      <c r="K3448">
        <v>0</v>
      </c>
      <c r="L3448">
        <v>0</v>
      </c>
      <c r="M3448">
        <v>0</v>
      </c>
      <c r="N3448">
        <v>0</v>
      </c>
      <c r="O3448">
        <v>0</v>
      </c>
      <c r="P3448">
        <v>0</v>
      </c>
      <c r="Q3448">
        <v>0</v>
      </c>
      <c r="T3448">
        <v>1</v>
      </c>
      <c r="U3448">
        <v>605</v>
      </c>
    </row>
    <row r="3449" spans="1:21" x14ac:dyDescent="0.25">
      <c r="H3449" t="s">
        <v>5781</v>
      </c>
    </row>
    <row r="3450" spans="1:21" x14ac:dyDescent="0.25">
      <c r="A3450">
        <v>1722</v>
      </c>
      <c r="B3450">
        <v>4041</v>
      </c>
      <c r="C3450" t="s">
        <v>1582</v>
      </c>
      <c r="D3450" t="s">
        <v>285</v>
      </c>
      <c r="E3450" t="s">
        <v>36</v>
      </c>
      <c r="F3450" t="s">
        <v>5782</v>
      </c>
      <c r="G3450" t="str">
        <f>"201601000172"</f>
        <v>201601000172</v>
      </c>
      <c r="H3450">
        <v>605</v>
      </c>
      <c r="I3450">
        <v>0</v>
      </c>
      <c r="J3450">
        <v>0</v>
      </c>
      <c r="K3450">
        <v>0</v>
      </c>
      <c r="L3450">
        <v>0</v>
      </c>
      <c r="M3450">
        <v>0</v>
      </c>
      <c r="N3450">
        <v>0</v>
      </c>
      <c r="O3450">
        <v>0</v>
      </c>
      <c r="P3450">
        <v>0</v>
      </c>
      <c r="Q3450">
        <v>0</v>
      </c>
      <c r="T3450">
        <v>1</v>
      </c>
      <c r="U3450">
        <v>605</v>
      </c>
    </row>
    <row r="3451" spans="1:21" x14ac:dyDescent="0.25">
      <c r="H3451" t="s">
        <v>5783</v>
      </c>
    </row>
    <row r="3452" spans="1:21" x14ac:dyDescent="0.25">
      <c r="A3452">
        <v>1723</v>
      </c>
      <c r="B3452">
        <v>1294</v>
      </c>
      <c r="C3452" t="s">
        <v>5784</v>
      </c>
      <c r="D3452" t="s">
        <v>36</v>
      </c>
      <c r="E3452" t="s">
        <v>259</v>
      </c>
      <c r="F3452" t="s">
        <v>5785</v>
      </c>
      <c r="G3452" t="str">
        <f>"00016927"</f>
        <v>00016927</v>
      </c>
      <c r="H3452">
        <v>605</v>
      </c>
      <c r="I3452">
        <v>0</v>
      </c>
      <c r="J3452">
        <v>0</v>
      </c>
      <c r="K3452">
        <v>0</v>
      </c>
      <c r="L3452">
        <v>0</v>
      </c>
      <c r="M3452">
        <v>0</v>
      </c>
      <c r="N3452">
        <v>0</v>
      </c>
      <c r="O3452">
        <v>0</v>
      </c>
      <c r="P3452">
        <v>0</v>
      </c>
      <c r="Q3452">
        <v>0</v>
      </c>
      <c r="T3452">
        <v>1</v>
      </c>
      <c r="U3452">
        <v>605</v>
      </c>
    </row>
    <row r="3453" spans="1:21" x14ac:dyDescent="0.25">
      <c r="H3453" t="s">
        <v>5786</v>
      </c>
    </row>
    <row r="3454" spans="1:21" x14ac:dyDescent="0.25">
      <c r="A3454">
        <v>1724</v>
      </c>
      <c r="B3454">
        <v>5623</v>
      </c>
      <c r="C3454" t="s">
        <v>5787</v>
      </c>
      <c r="D3454" t="s">
        <v>173</v>
      </c>
      <c r="E3454" t="s">
        <v>332</v>
      </c>
      <c r="F3454" t="s">
        <v>5788</v>
      </c>
      <c r="G3454" t="str">
        <f>"201511042664"</f>
        <v>201511042664</v>
      </c>
      <c r="H3454">
        <v>605</v>
      </c>
      <c r="I3454">
        <v>0</v>
      </c>
      <c r="J3454">
        <v>0</v>
      </c>
      <c r="K3454">
        <v>0</v>
      </c>
      <c r="L3454">
        <v>0</v>
      </c>
      <c r="M3454">
        <v>0</v>
      </c>
      <c r="N3454">
        <v>0</v>
      </c>
      <c r="O3454">
        <v>0</v>
      </c>
      <c r="P3454">
        <v>0</v>
      </c>
      <c r="Q3454">
        <v>0</v>
      </c>
      <c r="T3454">
        <v>0</v>
      </c>
      <c r="U3454">
        <v>605</v>
      </c>
    </row>
    <row r="3455" spans="1:21" x14ac:dyDescent="0.25">
      <c r="H3455" t="s">
        <v>5789</v>
      </c>
    </row>
    <row r="3456" spans="1:21" x14ac:dyDescent="0.25">
      <c r="A3456">
        <v>1725</v>
      </c>
      <c r="B3456">
        <v>4857</v>
      </c>
      <c r="C3456" t="s">
        <v>1563</v>
      </c>
      <c r="D3456" t="s">
        <v>313</v>
      </c>
      <c r="E3456" t="s">
        <v>42</v>
      </c>
      <c r="F3456" t="s">
        <v>5790</v>
      </c>
      <c r="G3456" t="str">
        <f>"00025440"</f>
        <v>00025440</v>
      </c>
      <c r="H3456">
        <v>605</v>
      </c>
      <c r="I3456">
        <v>0</v>
      </c>
      <c r="J3456">
        <v>0</v>
      </c>
      <c r="K3456">
        <v>0</v>
      </c>
      <c r="L3456">
        <v>0</v>
      </c>
      <c r="M3456">
        <v>0</v>
      </c>
      <c r="N3456">
        <v>0</v>
      </c>
      <c r="O3456">
        <v>0</v>
      </c>
      <c r="P3456">
        <v>0</v>
      </c>
      <c r="Q3456">
        <v>0</v>
      </c>
      <c r="T3456">
        <v>0</v>
      </c>
      <c r="U3456">
        <v>605</v>
      </c>
    </row>
    <row r="3457" spans="1:21" x14ac:dyDescent="0.25">
      <c r="H3457" t="s">
        <v>5791</v>
      </c>
    </row>
    <row r="3458" spans="1:21" x14ac:dyDescent="0.25">
      <c r="A3458">
        <v>1726</v>
      </c>
      <c r="B3458">
        <v>3439</v>
      </c>
      <c r="C3458" t="s">
        <v>5505</v>
      </c>
      <c r="D3458" t="s">
        <v>313</v>
      </c>
      <c r="E3458" t="s">
        <v>122</v>
      </c>
      <c r="F3458" t="s">
        <v>5792</v>
      </c>
      <c r="G3458" t="str">
        <f>"201511037864"</f>
        <v>201511037864</v>
      </c>
      <c r="H3458">
        <v>605</v>
      </c>
      <c r="I3458">
        <v>0</v>
      </c>
      <c r="J3458">
        <v>0</v>
      </c>
      <c r="K3458">
        <v>0</v>
      </c>
      <c r="L3458">
        <v>0</v>
      </c>
      <c r="M3458">
        <v>0</v>
      </c>
      <c r="N3458">
        <v>0</v>
      </c>
      <c r="O3458">
        <v>0</v>
      </c>
      <c r="P3458">
        <v>0</v>
      </c>
      <c r="Q3458">
        <v>0</v>
      </c>
      <c r="T3458">
        <v>0</v>
      </c>
      <c r="U3458">
        <v>605</v>
      </c>
    </row>
    <row r="3459" spans="1:21" x14ac:dyDescent="0.25">
      <c r="H3459" t="s">
        <v>5793</v>
      </c>
    </row>
    <row r="3460" spans="1:21" x14ac:dyDescent="0.25">
      <c r="A3460">
        <v>1727</v>
      </c>
      <c r="B3460">
        <v>5476</v>
      </c>
      <c r="C3460" t="s">
        <v>5794</v>
      </c>
      <c r="D3460" t="s">
        <v>27</v>
      </c>
      <c r="E3460" t="s">
        <v>3786</v>
      </c>
      <c r="F3460" t="s">
        <v>5795</v>
      </c>
      <c r="G3460" t="str">
        <f>"201511039480"</f>
        <v>201511039480</v>
      </c>
      <c r="H3460">
        <v>605</v>
      </c>
      <c r="I3460">
        <v>0</v>
      </c>
      <c r="J3460">
        <v>0</v>
      </c>
      <c r="K3460">
        <v>0</v>
      </c>
      <c r="L3460">
        <v>0</v>
      </c>
      <c r="M3460">
        <v>0</v>
      </c>
      <c r="N3460">
        <v>0</v>
      </c>
      <c r="O3460">
        <v>0</v>
      </c>
      <c r="P3460">
        <v>0</v>
      </c>
      <c r="Q3460">
        <v>0</v>
      </c>
      <c r="T3460">
        <v>1</v>
      </c>
      <c r="U3460">
        <v>605</v>
      </c>
    </row>
    <row r="3461" spans="1:21" x14ac:dyDescent="0.25">
      <c r="H3461" t="s">
        <v>5796</v>
      </c>
    </row>
    <row r="3462" spans="1:21" x14ac:dyDescent="0.25">
      <c r="A3462">
        <v>1728</v>
      </c>
      <c r="B3462">
        <v>2576</v>
      </c>
      <c r="C3462" t="s">
        <v>5797</v>
      </c>
      <c r="D3462" t="s">
        <v>319</v>
      </c>
      <c r="E3462" t="s">
        <v>835</v>
      </c>
      <c r="F3462" t="s">
        <v>5798</v>
      </c>
      <c r="G3462" t="str">
        <f>"00044901"</f>
        <v>00044901</v>
      </c>
      <c r="H3462">
        <v>605</v>
      </c>
      <c r="I3462">
        <v>0</v>
      </c>
      <c r="J3462">
        <v>0</v>
      </c>
      <c r="K3462">
        <v>0</v>
      </c>
      <c r="L3462">
        <v>0</v>
      </c>
      <c r="M3462">
        <v>0</v>
      </c>
      <c r="N3462">
        <v>0</v>
      </c>
      <c r="O3462">
        <v>0</v>
      </c>
      <c r="P3462">
        <v>0</v>
      </c>
      <c r="Q3462">
        <v>0</v>
      </c>
      <c r="T3462">
        <v>0</v>
      </c>
      <c r="U3462">
        <v>605</v>
      </c>
    </row>
    <row r="3463" spans="1:21" x14ac:dyDescent="0.25">
      <c r="H3463" t="s">
        <v>5799</v>
      </c>
    </row>
    <row r="3464" spans="1:21" x14ac:dyDescent="0.25">
      <c r="A3464">
        <v>1729</v>
      </c>
      <c r="B3464">
        <v>8891</v>
      </c>
      <c r="C3464" t="s">
        <v>4426</v>
      </c>
      <c r="D3464" t="s">
        <v>2375</v>
      </c>
      <c r="E3464" t="s">
        <v>70</v>
      </c>
      <c r="F3464" t="s">
        <v>5800</v>
      </c>
      <c r="G3464" t="str">
        <f>"201512002824"</f>
        <v>201512002824</v>
      </c>
      <c r="H3464">
        <v>594</v>
      </c>
      <c r="I3464">
        <v>0</v>
      </c>
      <c r="J3464">
        <v>0</v>
      </c>
      <c r="K3464">
        <v>0</v>
      </c>
      <c r="L3464">
        <v>0</v>
      </c>
      <c r="M3464">
        <v>0</v>
      </c>
      <c r="N3464">
        <v>0</v>
      </c>
      <c r="O3464">
        <v>0</v>
      </c>
      <c r="P3464">
        <v>0</v>
      </c>
      <c r="Q3464">
        <v>0</v>
      </c>
      <c r="T3464">
        <v>0</v>
      </c>
      <c r="U3464">
        <v>594</v>
      </c>
    </row>
    <row r="3465" spans="1:21" x14ac:dyDescent="0.25">
      <c r="H3465" t="s">
        <v>5801</v>
      </c>
    </row>
    <row r="3466" spans="1:21" x14ac:dyDescent="0.25">
      <c r="A3466">
        <v>1730</v>
      </c>
      <c r="B3466">
        <v>9710</v>
      </c>
      <c r="C3466" t="s">
        <v>3609</v>
      </c>
      <c r="D3466" t="s">
        <v>692</v>
      </c>
      <c r="E3466" t="s">
        <v>1501</v>
      </c>
      <c r="F3466" t="s">
        <v>5802</v>
      </c>
      <c r="G3466" t="str">
        <f>"201510004590"</f>
        <v>201510004590</v>
      </c>
      <c r="H3466" t="s">
        <v>5803</v>
      </c>
      <c r="I3466">
        <v>0</v>
      </c>
      <c r="J3466">
        <v>0</v>
      </c>
      <c r="K3466">
        <v>0</v>
      </c>
      <c r="L3466">
        <v>0</v>
      </c>
      <c r="M3466">
        <v>0</v>
      </c>
      <c r="N3466">
        <v>0</v>
      </c>
      <c r="O3466">
        <v>0</v>
      </c>
      <c r="P3466">
        <v>0</v>
      </c>
      <c r="Q3466">
        <v>0</v>
      </c>
      <c r="T3466">
        <v>0</v>
      </c>
      <c r="U3466" t="s">
        <v>5803</v>
      </c>
    </row>
    <row r="3467" spans="1:21" x14ac:dyDescent="0.25">
      <c r="H3467" t="s">
        <v>5804</v>
      </c>
    </row>
    <row r="3468" spans="1:21" x14ac:dyDescent="0.25">
      <c r="A3468">
        <v>1731</v>
      </c>
      <c r="B3468">
        <v>8624</v>
      </c>
      <c r="C3468" t="s">
        <v>2296</v>
      </c>
      <c r="D3468" t="s">
        <v>585</v>
      </c>
      <c r="E3468" t="s">
        <v>191</v>
      </c>
      <c r="F3468" t="s">
        <v>5805</v>
      </c>
      <c r="G3468" t="str">
        <f>"00086855"</f>
        <v>00086855</v>
      </c>
      <c r="H3468" t="s">
        <v>5806</v>
      </c>
      <c r="I3468">
        <v>0</v>
      </c>
      <c r="J3468">
        <v>0</v>
      </c>
      <c r="K3468">
        <v>0</v>
      </c>
      <c r="L3468">
        <v>0</v>
      </c>
      <c r="M3468">
        <v>0</v>
      </c>
      <c r="N3468">
        <v>0</v>
      </c>
      <c r="O3468">
        <v>0</v>
      </c>
      <c r="P3468">
        <v>0</v>
      </c>
      <c r="Q3468">
        <v>0</v>
      </c>
      <c r="T3468">
        <v>1</v>
      </c>
      <c r="U3468" t="s">
        <v>5806</v>
      </c>
    </row>
    <row r="3469" spans="1:21" x14ac:dyDescent="0.25">
      <c r="H3469" t="s">
        <v>491</v>
      </c>
    </row>
    <row r="3470" spans="1:21" x14ac:dyDescent="0.25">
      <c r="A3470">
        <v>1732</v>
      </c>
      <c r="B3470">
        <v>2394</v>
      </c>
      <c r="C3470" t="s">
        <v>5807</v>
      </c>
      <c r="D3470" t="s">
        <v>121</v>
      </c>
      <c r="E3470" t="s">
        <v>112</v>
      </c>
      <c r="F3470" t="s">
        <v>5808</v>
      </c>
      <c r="G3470" t="str">
        <f>"201511007026"</f>
        <v>201511007026</v>
      </c>
      <c r="H3470">
        <v>550</v>
      </c>
      <c r="I3470">
        <v>0</v>
      </c>
      <c r="J3470">
        <v>30</v>
      </c>
      <c r="K3470">
        <v>0</v>
      </c>
      <c r="L3470">
        <v>0</v>
      </c>
      <c r="M3470">
        <v>0</v>
      </c>
      <c r="N3470">
        <v>0</v>
      </c>
      <c r="O3470">
        <v>0</v>
      </c>
      <c r="P3470">
        <v>0</v>
      </c>
      <c r="Q3470">
        <v>0</v>
      </c>
      <c r="T3470">
        <v>0</v>
      </c>
      <c r="U3470">
        <v>580</v>
      </c>
    </row>
    <row r="3471" spans="1:21" x14ac:dyDescent="0.25">
      <c r="H3471" t="s">
        <v>5809</v>
      </c>
    </row>
    <row r="3472" spans="1:21" x14ac:dyDescent="0.25">
      <c r="A3472">
        <v>1733</v>
      </c>
      <c r="B3472">
        <v>10490</v>
      </c>
      <c r="C3472" t="s">
        <v>5810</v>
      </c>
      <c r="D3472" t="s">
        <v>372</v>
      </c>
      <c r="E3472" t="s">
        <v>42</v>
      </c>
      <c r="F3472" t="s">
        <v>5811</v>
      </c>
      <c r="G3472" t="str">
        <f>"201511013741"</f>
        <v>201511013741</v>
      </c>
      <c r="H3472">
        <v>550</v>
      </c>
      <c r="I3472">
        <v>0</v>
      </c>
      <c r="J3472">
        <v>30</v>
      </c>
      <c r="K3472">
        <v>0</v>
      </c>
      <c r="L3472">
        <v>0</v>
      </c>
      <c r="M3472">
        <v>0</v>
      </c>
      <c r="N3472">
        <v>0</v>
      </c>
      <c r="O3472">
        <v>0</v>
      </c>
      <c r="P3472">
        <v>0</v>
      </c>
      <c r="Q3472">
        <v>0</v>
      </c>
      <c r="T3472">
        <v>0</v>
      </c>
      <c r="U3472">
        <v>580</v>
      </c>
    </row>
    <row r="3473" spans="1:21" x14ac:dyDescent="0.25">
      <c r="H3473" t="s">
        <v>5812</v>
      </c>
    </row>
    <row r="3474" spans="1:21" x14ac:dyDescent="0.25">
      <c r="A3474">
        <v>1734</v>
      </c>
      <c r="B3474">
        <v>3229</v>
      </c>
      <c r="C3474" t="s">
        <v>5813</v>
      </c>
      <c r="D3474" t="s">
        <v>65</v>
      </c>
      <c r="E3474" t="s">
        <v>191</v>
      </c>
      <c r="F3474" t="s">
        <v>5814</v>
      </c>
      <c r="G3474" t="str">
        <f>"201405000012"</f>
        <v>201405000012</v>
      </c>
      <c r="H3474">
        <v>550</v>
      </c>
      <c r="I3474">
        <v>0</v>
      </c>
      <c r="J3474">
        <v>30</v>
      </c>
      <c r="K3474">
        <v>0</v>
      </c>
      <c r="L3474">
        <v>0</v>
      </c>
      <c r="M3474">
        <v>0</v>
      </c>
      <c r="N3474">
        <v>0</v>
      </c>
      <c r="O3474">
        <v>0</v>
      </c>
      <c r="P3474">
        <v>0</v>
      </c>
      <c r="Q3474">
        <v>0</v>
      </c>
      <c r="T3474">
        <v>0</v>
      </c>
      <c r="U3474">
        <v>580</v>
      </c>
    </row>
    <row r="3475" spans="1:21" x14ac:dyDescent="0.25">
      <c r="H3475" t="s">
        <v>5815</v>
      </c>
    </row>
    <row r="3476" spans="1:21" x14ac:dyDescent="0.25">
      <c r="A3476">
        <v>1735</v>
      </c>
      <c r="B3476">
        <v>4573</v>
      </c>
      <c r="C3476" t="s">
        <v>5816</v>
      </c>
      <c r="D3476" t="s">
        <v>64</v>
      </c>
      <c r="E3476" t="s">
        <v>27</v>
      </c>
      <c r="F3476" t="s">
        <v>5817</v>
      </c>
      <c r="G3476" t="str">
        <f>"00070315"</f>
        <v>00070315</v>
      </c>
      <c r="H3476">
        <v>550</v>
      </c>
      <c r="I3476">
        <v>0</v>
      </c>
      <c r="J3476">
        <v>30</v>
      </c>
      <c r="K3476">
        <v>0</v>
      </c>
      <c r="L3476">
        <v>0</v>
      </c>
      <c r="M3476">
        <v>0</v>
      </c>
      <c r="N3476">
        <v>0</v>
      </c>
      <c r="O3476">
        <v>0</v>
      </c>
      <c r="P3476">
        <v>0</v>
      </c>
      <c r="Q3476">
        <v>0</v>
      </c>
      <c r="T3476">
        <v>0</v>
      </c>
      <c r="U3476">
        <v>580</v>
      </c>
    </row>
    <row r="3477" spans="1:21" x14ac:dyDescent="0.25">
      <c r="H3477" t="s">
        <v>5818</v>
      </c>
    </row>
    <row r="3478" spans="1:21" x14ac:dyDescent="0.25">
      <c r="A3478">
        <v>1736</v>
      </c>
      <c r="B3478">
        <v>9957</v>
      </c>
      <c r="C3478" t="s">
        <v>5819</v>
      </c>
      <c r="D3478" t="s">
        <v>313</v>
      </c>
      <c r="E3478" t="s">
        <v>27</v>
      </c>
      <c r="F3478" t="s">
        <v>5820</v>
      </c>
      <c r="G3478" t="str">
        <f>"201505000063"</f>
        <v>201505000063</v>
      </c>
      <c r="H3478">
        <v>550</v>
      </c>
      <c r="I3478">
        <v>0</v>
      </c>
      <c r="J3478">
        <v>0</v>
      </c>
      <c r="K3478">
        <v>0</v>
      </c>
      <c r="L3478">
        <v>30</v>
      </c>
      <c r="M3478">
        <v>0</v>
      </c>
      <c r="N3478">
        <v>0</v>
      </c>
      <c r="O3478">
        <v>0</v>
      </c>
      <c r="P3478">
        <v>0</v>
      </c>
      <c r="Q3478">
        <v>0</v>
      </c>
      <c r="T3478">
        <v>0</v>
      </c>
      <c r="U3478">
        <v>580</v>
      </c>
    </row>
    <row r="3479" spans="1:21" x14ac:dyDescent="0.25">
      <c r="H3479" t="s">
        <v>5821</v>
      </c>
    </row>
    <row r="3480" spans="1:21" x14ac:dyDescent="0.25">
      <c r="A3480">
        <v>1737</v>
      </c>
      <c r="B3480">
        <v>170</v>
      </c>
      <c r="C3480" t="s">
        <v>5822</v>
      </c>
      <c r="D3480" t="s">
        <v>57</v>
      </c>
      <c r="E3480" t="s">
        <v>122</v>
      </c>
      <c r="F3480" t="s">
        <v>5823</v>
      </c>
      <c r="G3480" t="str">
        <f>"201510004936"</f>
        <v>201510004936</v>
      </c>
      <c r="H3480">
        <v>550</v>
      </c>
      <c r="I3480">
        <v>0</v>
      </c>
      <c r="J3480">
        <v>30</v>
      </c>
      <c r="K3480">
        <v>0</v>
      </c>
      <c r="L3480">
        <v>0</v>
      </c>
      <c r="M3480">
        <v>0</v>
      </c>
      <c r="N3480">
        <v>0</v>
      </c>
      <c r="O3480">
        <v>0</v>
      </c>
      <c r="P3480">
        <v>0</v>
      </c>
      <c r="Q3480">
        <v>0</v>
      </c>
      <c r="T3480">
        <v>1</v>
      </c>
      <c r="U3480">
        <v>580</v>
      </c>
    </row>
    <row r="3481" spans="1:21" x14ac:dyDescent="0.25">
      <c r="H3481" t="s">
        <v>5824</v>
      </c>
    </row>
    <row r="3482" spans="1:21" x14ac:dyDescent="0.25">
      <c r="A3482">
        <v>1738</v>
      </c>
      <c r="B3482">
        <v>8004</v>
      </c>
      <c r="C3482" t="s">
        <v>5825</v>
      </c>
      <c r="D3482" t="s">
        <v>128</v>
      </c>
      <c r="E3482" t="s">
        <v>36</v>
      </c>
      <c r="F3482" t="s">
        <v>5826</v>
      </c>
      <c r="G3482" t="str">
        <f>"201511033693"</f>
        <v>201511033693</v>
      </c>
      <c r="H3482">
        <v>550</v>
      </c>
      <c r="I3482">
        <v>0</v>
      </c>
      <c r="J3482">
        <v>30</v>
      </c>
      <c r="K3482">
        <v>0</v>
      </c>
      <c r="L3482">
        <v>0</v>
      </c>
      <c r="M3482">
        <v>0</v>
      </c>
      <c r="N3482">
        <v>0</v>
      </c>
      <c r="O3482">
        <v>0</v>
      </c>
      <c r="P3482">
        <v>0</v>
      </c>
      <c r="Q3482">
        <v>0</v>
      </c>
      <c r="T3482">
        <v>0</v>
      </c>
      <c r="U3482">
        <v>580</v>
      </c>
    </row>
    <row r="3483" spans="1:21" x14ac:dyDescent="0.25">
      <c r="H3483" t="s">
        <v>5827</v>
      </c>
    </row>
    <row r="3484" spans="1:21" x14ac:dyDescent="0.25">
      <c r="A3484">
        <v>1739</v>
      </c>
      <c r="B3484">
        <v>8116</v>
      </c>
      <c r="C3484" t="s">
        <v>5828</v>
      </c>
      <c r="D3484" t="s">
        <v>57</v>
      </c>
      <c r="E3484" t="s">
        <v>36</v>
      </c>
      <c r="F3484" t="s">
        <v>5829</v>
      </c>
      <c r="G3484" t="str">
        <f>"201511039830"</f>
        <v>201511039830</v>
      </c>
      <c r="H3484" t="s">
        <v>5830</v>
      </c>
      <c r="I3484">
        <v>0</v>
      </c>
      <c r="J3484">
        <v>0</v>
      </c>
      <c r="K3484">
        <v>0</v>
      </c>
      <c r="L3484">
        <v>0</v>
      </c>
      <c r="M3484">
        <v>0</v>
      </c>
      <c r="N3484">
        <v>0</v>
      </c>
      <c r="O3484">
        <v>0</v>
      </c>
      <c r="P3484">
        <v>0</v>
      </c>
      <c r="Q3484">
        <v>0</v>
      </c>
      <c r="T3484">
        <v>0</v>
      </c>
      <c r="U3484" t="s">
        <v>5830</v>
      </c>
    </row>
    <row r="3485" spans="1:21" x14ac:dyDescent="0.25">
      <c r="H3485" t="s">
        <v>5831</v>
      </c>
    </row>
    <row r="3486" spans="1:21" x14ac:dyDescent="0.25">
      <c r="A3486">
        <v>1740</v>
      </c>
      <c r="B3486">
        <v>399</v>
      </c>
      <c r="C3486" t="s">
        <v>5832</v>
      </c>
      <c r="D3486" t="s">
        <v>3101</v>
      </c>
      <c r="E3486" t="s">
        <v>27</v>
      </c>
      <c r="F3486" t="s">
        <v>5833</v>
      </c>
      <c r="G3486" t="str">
        <f>"00022860"</f>
        <v>00022860</v>
      </c>
      <c r="H3486" t="s">
        <v>5830</v>
      </c>
      <c r="I3486">
        <v>0</v>
      </c>
      <c r="J3486">
        <v>0</v>
      </c>
      <c r="K3486">
        <v>0</v>
      </c>
      <c r="L3486">
        <v>0</v>
      </c>
      <c r="M3486">
        <v>0</v>
      </c>
      <c r="N3486">
        <v>0</v>
      </c>
      <c r="O3486">
        <v>0</v>
      </c>
      <c r="P3486">
        <v>0</v>
      </c>
      <c r="Q3486">
        <v>0</v>
      </c>
      <c r="T3486">
        <v>2</v>
      </c>
      <c r="U3486" t="s">
        <v>5830</v>
      </c>
    </row>
    <row r="3487" spans="1:21" x14ac:dyDescent="0.25">
      <c r="H3487" t="s">
        <v>5834</v>
      </c>
    </row>
    <row r="3488" spans="1:21" x14ac:dyDescent="0.25">
      <c r="A3488">
        <v>1741</v>
      </c>
      <c r="B3488">
        <v>4998</v>
      </c>
      <c r="C3488" t="s">
        <v>5835</v>
      </c>
      <c r="D3488" t="s">
        <v>366</v>
      </c>
      <c r="E3488" t="s">
        <v>42</v>
      </c>
      <c r="F3488" t="s">
        <v>5836</v>
      </c>
      <c r="G3488" t="str">
        <f>"00029396"</f>
        <v>00029396</v>
      </c>
      <c r="H3488" t="s">
        <v>5830</v>
      </c>
      <c r="I3488">
        <v>0</v>
      </c>
      <c r="J3488">
        <v>0</v>
      </c>
      <c r="K3488">
        <v>0</v>
      </c>
      <c r="L3488">
        <v>0</v>
      </c>
      <c r="M3488">
        <v>0</v>
      </c>
      <c r="N3488">
        <v>0</v>
      </c>
      <c r="O3488">
        <v>0</v>
      </c>
      <c r="P3488">
        <v>0</v>
      </c>
      <c r="Q3488">
        <v>0</v>
      </c>
      <c r="T3488">
        <v>1</v>
      </c>
      <c r="U3488" t="s">
        <v>5830</v>
      </c>
    </row>
    <row r="3489" spans="1:21" x14ac:dyDescent="0.25">
      <c r="H3489" t="s">
        <v>5837</v>
      </c>
    </row>
    <row r="3490" spans="1:21" x14ac:dyDescent="0.25">
      <c r="A3490">
        <v>1742</v>
      </c>
      <c r="B3490">
        <v>8180</v>
      </c>
      <c r="C3490" t="s">
        <v>5838</v>
      </c>
      <c r="D3490" t="s">
        <v>185</v>
      </c>
      <c r="E3490" t="s">
        <v>135</v>
      </c>
      <c r="F3490" t="s">
        <v>5839</v>
      </c>
      <c r="G3490" t="str">
        <f>"00085761"</f>
        <v>00085761</v>
      </c>
      <c r="H3490" t="s">
        <v>5840</v>
      </c>
      <c r="I3490">
        <v>0</v>
      </c>
      <c r="J3490">
        <v>0</v>
      </c>
      <c r="K3490">
        <v>0</v>
      </c>
      <c r="L3490">
        <v>0</v>
      </c>
      <c r="M3490">
        <v>0</v>
      </c>
      <c r="N3490">
        <v>0</v>
      </c>
      <c r="O3490">
        <v>0</v>
      </c>
      <c r="P3490">
        <v>0</v>
      </c>
      <c r="Q3490">
        <v>0</v>
      </c>
      <c r="T3490">
        <v>0</v>
      </c>
      <c r="U3490" t="s">
        <v>5840</v>
      </c>
    </row>
    <row r="3491" spans="1:21" x14ac:dyDescent="0.25">
      <c r="H3491" t="s">
        <v>710</v>
      </c>
    </row>
    <row r="3492" spans="1:21" x14ac:dyDescent="0.25">
      <c r="A3492">
        <v>1743</v>
      </c>
      <c r="B3492">
        <v>9855</v>
      </c>
      <c r="C3492" t="s">
        <v>2962</v>
      </c>
      <c r="D3492" t="s">
        <v>207</v>
      </c>
      <c r="E3492" t="s">
        <v>614</v>
      </c>
      <c r="F3492" t="s">
        <v>5841</v>
      </c>
      <c r="G3492" t="str">
        <f>"00061560"</f>
        <v>00061560</v>
      </c>
      <c r="H3492">
        <v>550</v>
      </c>
      <c r="I3492">
        <v>0</v>
      </c>
      <c r="J3492">
        <v>0</v>
      </c>
      <c r="K3492">
        <v>0</v>
      </c>
      <c r="L3492">
        <v>0</v>
      </c>
      <c r="M3492">
        <v>0</v>
      </c>
      <c r="N3492">
        <v>0</v>
      </c>
      <c r="O3492">
        <v>0</v>
      </c>
      <c r="P3492">
        <v>0</v>
      </c>
      <c r="Q3492">
        <v>0</v>
      </c>
      <c r="T3492">
        <v>0</v>
      </c>
      <c r="U3492">
        <v>550</v>
      </c>
    </row>
    <row r="3493" spans="1:21" x14ac:dyDescent="0.25">
      <c r="H3493" t="s">
        <v>5842</v>
      </c>
    </row>
    <row r="3494" spans="1:21" x14ac:dyDescent="0.25">
      <c r="A3494">
        <v>1744</v>
      </c>
      <c r="B3494">
        <v>9781</v>
      </c>
      <c r="C3494" t="s">
        <v>5843</v>
      </c>
      <c r="D3494" t="s">
        <v>179</v>
      </c>
      <c r="E3494" t="s">
        <v>1941</v>
      </c>
      <c r="F3494" t="s">
        <v>5844</v>
      </c>
      <c r="G3494" t="str">
        <f>"201511025023"</f>
        <v>201511025023</v>
      </c>
      <c r="H3494">
        <v>550</v>
      </c>
      <c r="I3494">
        <v>0</v>
      </c>
      <c r="J3494">
        <v>0</v>
      </c>
      <c r="K3494">
        <v>0</v>
      </c>
      <c r="L3494">
        <v>0</v>
      </c>
      <c r="M3494">
        <v>0</v>
      </c>
      <c r="N3494">
        <v>0</v>
      </c>
      <c r="O3494">
        <v>0</v>
      </c>
      <c r="P3494">
        <v>0</v>
      </c>
      <c r="Q3494">
        <v>0</v>
      </c>
      <c r="T3494">
        <v>0</v>
      </c>
      <c r="U3494">
        <v>550</v>
      </c>
    </row>
    <row r="3495" spans="1:21" x14ac:dyDescent="0.25">
      <c r="H3495" t="s">
        <v>5845</v>
      </c>
    </row>
    <row r="3496" spans="1:21" x14ac:dyDescent="0.25">
      <c r="A3496">
        <v>1745</v>
      </c>
      <c r="B3496">
        <v>9829</v>
      </c>
      <c r="C3496" t="s">
        <v>5846</v>
      </c>
      <c r="D3496" t="s">
        <v>5847</v>
      </c>
      <c r="E3496" t="s">
        <v>27</v>
      </c>
      <c r="F3496" t="s">
        <v>5848</v>
      </c>
      <c r="G3496" t="str">
        <f>"00073927"</f>
        <v>00073927</v>
      </c>
      <c r="H3496">
        <v>550</v>
      </c>
      <c r="I3496">
        <v>0</v>
      </c>
      <c r="J3496">
        <v>0</v>
      </c>
      <c r="K3496">
        <v>0</v>
      </c>
      <c r="L3496">
        <v>0</v>
      </c>
      <c r="M3496">
        <v>0</v>
      </c>
      <c r="N3496">
        <v>0</v>
      </c>
      <c r="O3496">
        <v>0</v>
      </c>
      <c r="P3496">
        <v>0</v>
      </c>
      <c r="Q3496">
        <v>0</v>
      </c>
      <c r="T3496">
        <v>0</v>
      </c>
      <c r="U3496">
        <v>550</v>
      </c>
    </row>
    <row r="3497" spans="1:21" x14ac:dyDescent="0.25">
      <c r="H3497" t="s">
        <v>5849</v>
      </c>
    </row>
    <row r="3498" spans="1:21" x14ac:dyDescent="0.25">
      <c r="A3498">
        <v>1746</v>
      </c>
      <c r="B3498">
        <v>3503</v>
      </c>
      <c r="C3498" t="s">
        <v>5850</v>
      </c>
      <c r="D3498" t="s">
        <v>85</v>
      </c>
      <c r="E3498" t="s">
        <v>1684</v>
      </c>
      <c r="F3498" t="s">
        <v>5851</v>
      </c>
      <c r="G3498" t="str">
        <f>"00044763"</f>
        <v>00044763</v>
      </c>
      <c r="H3498">
        <v>550</v>
      </c>
      <c r="I3498">
        <v>0</v>
      </c>
      <c r="J3498">
        <v>0</v>
      </c>
      <c r="K3498">
        <v>0</v>
      </c>
      <c r="L3498">
        <v>0</v>
      </c>
      <c r="M3498">
        <v>0</v>
      </c>
      <c r="N3498">
        <v>0</v>
      </c>
      <c r="O3498">
        <v>0</v>
      </c>
      <c r="P3498">
        <v>0</v>
      </c>
      <c r="Q3498">
        <v>0</v>
      </c>
      <c r="T3498">
        <v>0</v>
      </c>
      <c r="U3498">
        <v>550</v>
      </c>
    </row>
    <row r="3499" spans="1:21" x14ac:dyDescent="0.25">
      <c r="H3499" t="s">
        <v>5724</v>
      </c>
    </row>
    <row r="3500" spans="1:21" x14ac:dyDescent="0.25">
      <c r="A3500">
        <v>1747</v>
      </c>
      <c r="B3500">
        <v>8372</v>
      </c>
      <c r="C3500" t="s">
        <v>1123</v>
      </c>
      <c r="D3500" t="s">
        <v>121</v>
      </c>
      <c r="E3500" t="s">
        <v>366</v>
      </c>
      <c r="F3500" t="s">
        <v>5852</v>
      </c>
      <c r="G3500" t="str">
        <f>"201511022367"</f>
        <v>201511022367</v>
      </c>
      <c r="H3500">
        <v>550</v>
      </c>
      <c r="I3500">
        <v>0</v>
      </c>
      <c r="J3500">
        <v>0</v>
      </c>
      <c r="K3500">
        <v>0</v>
      </c>
      <c r="L3500">
        <v>0</v>
      </c>
      <c r="M3500">
        <v>0</v>
      </c>
      <c r="N3500">
        <v>0</v>
      </c>
      <c r="O3500">
        <v>0</v>
      </c>
      <c r="P3500">
        <v>0</v>
      </c>
      <c r="Q3500">
        <v>0</v>
      </c>
      <c r="T3500">
        <v>1</v>
      </c>
      <c r="U3500">
        <v>550</v>
      </c>
    </row>
    <row r="3501" spans="1:21" x14ac:dyDescent="0.25">
      <c r="H3501" t="s">
        <v>5853</v>
      </c>
    </row>
    <row r="3502" spans="1:21" x14ac:dyDescent="0.25">
      <c r="A3502">
        <v>1748</v>
      </c>
      <c r="B3502">
        <v>4355</v>
      </c>
      <c r="C3502" t="s">
        <v>5854</v>
      </c>
      <c r="D3502" t="s">
        <v>764</v>
      </c>
      <c r="E3502" t="s">
        <v>42</v>
      </c>
      <c r="F3502" t="s">
        <v>5855</v>
      </c>
      <c r="G3502" t="str">
        <f>"201410000246"</f>
        <v>201410000246</v>
      </c>
      <c r="H3502">
        <v>550</v>
      </c>
      <c r="I3502">
        <v>0</v>
      </c>
      <c r="J3502">
        <v>0</v>
      </c>
      <c r="K3502">
        <v>0</v>
      </c>
      <c r="L3502">
        <v>0</v>
      </c>
      <c r="M3502">
        <v>0</v>
      </c>
      <c r="N3502">
        <v>0</v>
      </c>
      <c r="O3502">
        <v>0</v>
      </c>
      <c r="P3502">
        <v>0</v>
      </c>
      <c r="Q3502">
        <v>0</v>
      </c>
      <c r="T3502">
        <v>1</v>
      </c>
      <c r="U3502">
        <v>550</v>
      </c>
    </row>
    <row r="3503" spans="1:21" x14ac:dyDescent="0.25">
      <c r="H3503" t="s">
        <v>3525</v>
      </c>
    </row>
    <row r="3504" spans="1:21" x14ac:dyDescent="0.25">
      <c r="A3504">
        <v>1749</v>
      </c>
      <c r="B3504">
        <v>3706</v>
      </c>
      <c r="C3504" t="s">
        <v>5856</v>
      </c>
      <c r="D3504" t="s">
        <v>5241</v>
      </c>
      <c r="E3504" t="s">
        <v>191</v>
      </c>
      <c r="F3504" t="s">
        <v>5857</v>
      </c>
      <c r="G3504" t="str">
        <f>"201510001947"</f>
        <v>201510001947</v>
      </c>
      <c r="H3504">
        <v>550</v>
      </c>
      <c r="I3504">
        <v>0</v>
      </c>
      <c r="J3504">
        <v>0</v>
      </c>
      <c r="K3504">
        <v>0</v>
      </c>
      <c r="L3504">
        <v>0</v>
      </c>
      <c r="M3504">
        <v>0</v>
      </c>
      <c r="N3504">
        <v>0</v>
      </c>
      <c r="O3504">
        <v>0</v>
      </c>
      <c r="P3504">
        <v>0</v>
      </c>
      <c r="Q3504">
        <v>0</v>
      </c>
      <c r="T3504">
        <v>0</v>
      </c>
      <c r="U3504">
        <v>550</v>
      </c>
    </row>
    <row r="3505" spans="1:21" x14ac:dyDescent="0.25">
      <c r="H3505" t="s">
        <v>5858</v>
      </c>
    </row>
    <row r="3506" spans="1:21" x14ac:dyDescent="0.25">
      <c r="A3506">
        <v>1750</v>
      </c>
      <c r="B3506">
        <v>906</v>
      </c>
      <c r="C3506" t="s">
        <v>5532</v>
      </c>
      <c r="D3506" t="s">
        <v>128</v>
      </c>
      <c r="E3506" t="s">
        <v>155</v>
      </c>
      <c r="F3506" t="s">
        <v>5859</v>
      </c>
      <c r="G3506" t="str">
        <f>"00020346"</f>
        <v>00020346</v>
      </c>
      <c r="H3506">
        <v>550</v>
      </c>
      <c r="I3506">
        <v>0</v>
      </c>
      <c r="J3506">
        <v>0</v>
      </c>
      <c r="K3506">
        <v>0</v>
      </c>
      <c r="L3506">
        <v>0</v>
      </c>
      <c r="M3506">
        <v>0</v>
      </c>
      <c r="N3506">
        <v>0</v>
      </c>
      <c r="O3506">
        <v>0</v>
      </c>
      <c r="P3506">
        <v>0</v>
      </c>
      <c r="Q3506">
        <v>0</v>
      </c>
      <c r="T3506">
        <v>0</v>
      </c>
      <c r="U3506">
        <v>550</v>
      </c>
    </row>
    <row r="3507" spans="1:21" x14ac:dyDescent="0.25">
      <c r="H3507" t="s">
        <v>5860</v>
      </c>
    </row>
    <row r="3508" spans="1:21" x14ac:dyDescent="0.25">
      <c r="A3508">
        <v>1751</v>
      </c>
      <c r="B3508">
        <v>1147</v>
      </c>
      <c r="C3508" t="s">
        <v>5861</v>
      </c>
      <c r="D3508" t="s">
        <v>5862</v>
      </c>
      <c r="E3508" t="s">
        <v>5863</v>
      </c>
      <c r="F3508" t="s">
        <v>5864</v>
      </c>
      <c r="G3508" t="str">
        <f>"00024639"</f>
        <v>00024639</v>
      </c>
      <c r="H3508">
        <v>550</v>
      </c>
      <c r="I3508">
        <v>0</v>
      </c>
      <c r="J3508">
        <v>0</v>
      </c>
      <c r="K3508">
        <v>0</v>
      </c>
      <c r="L3508">
        <v>0</v>
      </c>
      <c r="M3508">
        <v>0</v>
      </c>
      <c r="N3508">
        <v>0</v>
      </c>
      <c r="O3508">
        <v>0</v>
      </c>
      <c r="P3508">
        <v>0</v>
      </c>
      <c r="Q3508">
        <v>0</v>
      </c>
      <c r="T3508">
        <v>0</v>
      </c>
      <c r="U3508">
        <v>550</v>
      </c>
    </row>
    <row r="3509" spans="1:21" x14ac:dyDescent="0.25">
      <c r="H3509" t="s">
        <v>5865</v>
      </c>
    </row>
    <row r="3510" spans="1:21" x14ac:dyDescent="0.25">
      <c r="A3510">
        <v>1752</v>
      </c>
      <c r="B3510">
        <v>2910</v>
      </c>
      <c r="C3510" t="s">
        <v>5866</v>
      </c>
      <c r="D3510" t="s">
        <v>5867</v>
      </c>
      <c r="E3510" t="s">
        <v>5868</v>
      </c>
      <c r="F3510" t="s">
        <v>5869</v>
      </c>
      <c r="G3510" t="str">
        <f>"00022047"</f>
        <v>00022047</v>
      </c>
      <c r="H3510">
        <v>550</v>
      </c>
      <c r="I3510">
        <v>0</v>
      </c>
      <c r="J3510">
        <v>0</v>
      </c>
      <c r="K3510">
        <v>0</v>
      </c>
      <c r="L3510">
        <v>0</v>
      </c>
      <c r="M3510">
        <v>0</v>
      </c>
      <c r="N3510">
        <v>0</v>
      </c>
      <c r="O3510">
        <v>0</v>
      </c>
      <c r="P3510">
        <v>0</v>
      </c>
      <c r="Q3510">
        <v>0</v>
      </c>
      <c r="R3510">
        <v>6</v>
      </c>
      <c r="S3510">
        <v>807</v>
      </c>
      <c r="T3510">
        <v>0</v>
      </c>
      <c r="U3510">
        <v>550</v>
      </c>
    </row>
    <row r="3511" spans="1:21" x14ac:dyDescent="0.25">
      <c r="H3511">
        <v>807</v>
      </c>
    </row>
    <row r="3512" spans="1:21" x14ac:dyDescent="0.25">
      <c r="A3512">
        <v>1753</v>
      </c>
      <c r="B3512">
        <v>178</v>
      </c>
      <c r="C3512" t="s">
        <v>5870</v>
      </c>
      <c r="D3512" t="s">
        <v>5871</v>
      </c>
      <c r="E3512" t="s">
        <v>5872</v>
      </c>
      <c r="F3512" t="s">
        <v>5873</v>
      </c>
      <c r="G3512" t="str">
        <f>"201511039507"</f>
        <v>201511039507</v>
      </c>
      <c r="H3512">
        <v>550</v>
      </c>
      <c r="I3512">
        <v>0</v>
      </c>
      <c r="J3512">
        <v>0</v>
      </c>
      <c r="K3512">
        <v>0</v>
      </c>
      <c r="L3512">
        <v>0</v>
      </c>
      <c r="M3512">
        <v>0</v>
      </c>
      <c r="N3512">
        <v>0</v>
      </c>
      <c r="O3512">
        <v>0</v>
      </c>
      <c r="P3512">
        <v>0</v>
      </c>
      <c r="Q3512">
        <v>0</v>
      </c>
      <c r="T3512">
        <v>0</v>
      </c>
      <c r="U3512">
        <v>550</v>
      </c>
    </row>
    <row r="3513" spans="1:21" x14ac:dyDescent="0.25">
      <c r="H3513" t="s">
        <v>5874</v>
      </c>
    </row>
    <row r="3514" spans="1:21" x14ac:dyDescent="0.25">
      <c r="A3514">
        <v>1754</v>
      </c>
      <c r="B3514">
        <v>849</v>
      </c>
      <c r="C3514" t="s">
        <v>5875</v>
      </c>
      <c r="D3514" t="s">
        <v>759</v>
      </c>
      <c r="E3514" t="s">
        <v>3318</v>
      </c>
      <c r="F3514" t="s">
        <v>5876</v>
      </c>
      <c r="G3514" t="str">
        <f>"00049970"</f>
        <v>00049970</v>
      </c>
      <c r="H3514">
        <v>550</v>
      </c>
      <c r="I3514">
        <v>0</v>
      </c>
      <c r="J3514">
        <v>0</v>
      </c>
      <c r="K3514">
        <v>0</v>
      </c>
      <c r="L3514">
        <v>0</v>
      </c>
      <c r="M3514">
        <v>0</v>
      </c>
      <c r="N3514">
        <v>0</v>
      </c>
      <c r="O3514">
        <v>0</v>
      </c>
      <c r="P3514">
        <v>0</v>
      </c>
      <c r="Q3514">
        <v>0</v>
      </c>
      <c r="T3514">
        <v>2</v>
      </c>
      <c r="U3514">
        <v>550</v>
      </c>
    </row>
    <row r="3515" spans="1:21" x14ac:dyDescent="0.25">
      <c r="H3515" t="s">
        <v>5877</v>
      </c>
    </row>
    <row r="3516" spans="1:21" x14ac:dyDescent="0.25">
      <c r="A3516">
        <v>1755</v>
      </c>
      <c r="B3516">
        <v>1812</v>
      </c>
      <c r="C3516" t="s">
        <v>5878</v>
      </c>
      <c r="D3516" t="s">
        <v>5879</v>
      </c>
      <c r="E3516" t="s">
        <v>155</v>
      </c>
      <c r="F3516" t="s">
        <v>5880</v>
      </c>
      <c r="G3516" t="str">
        <f>"200901000183"</f>
        <v>200901000183</v>
      </c>
      <c r="H3516">
        <v>550</v>
      </c>
      <c r="I3516">
        <v>0</v>
      </c>
      <c r="J3516">
        <v>0</v>
      </c>
      <c r="K3516">
        <v>0</v>
      </c>
      <c r="L3516">
        <v>0</v>
      </c>
      <c r="M3516">
        <v>0</v>
      </c>
      <c r="N3516">
        <v>0</v>
      </c>
      <c r="O3516">
        <v>0</v>
      </c>
      <c r="P3516">
        <v>0</v>
      </c>
      <c r="Q3516">
        <v>0</v>
      </c>
      <c r="T3516">
        <v>0</v>
      </c>
      <c r="U3516">
        <v>550</v>
      </c>
    </row>
    <row r="3517" spans="1:21" x14ac:dyDescent="0.25">
      <c r="H3517" t="s">
        <v>5881</v>
      </c>
    </row>
    <row r="3518" spans="1:21" x14ac:dyDescent="0.25">
      <c r="A3518">
        <v>1756</v>
      </c>
      <c r="B3518">
        <v>9335</v>
      </c>
      <c r="C3518" t="s">
        <v>5882</v>
      </c>
      <c r="D3518" t="s">
        <v>121</v>
      </c>
      <c r="E3518" t="s">
        <v>366</v>
      </c>
      <c r="F3518" t="s">
        <v>5883</v>
      </c>
      <c r="G3518" t="str">
        <f>"00017131"</f>
        <v>00017131</v>
      </c>
      <c r="H3518">
        <v>550</v>
      </c>
      <c r="I3518">
        <v>0</v>
      </c>
      <c r="J3518">
        <v>0</v>
      </c>
      <c r="K3518">
        <v>0</v>
      </c>
      <c r="L3518">
        <v>0</v>
      </c>
      <c r="M3518">
        <v>0</v>
      </c>
      <c r="N3518">
        <v>0</v>
      </c>
      <c r="O3518">
        <v>0</v>
      </c>
      <c r="P3518">
        <v>0</v>
      </c>
      <c r="Q3518">
        <v>0</v>
      </c>
      <c r="T3518">
        <v>0</v>
      </c>
      <c r="U3518">
        <v>550</v>
      </c>
    </row>
    <row r="3519" spans="1:21" x14ac:dyDescent="0.25">
      <c r="H3519" t="s">
        <v>5884</v>
      </c>
    </row>
    <row r="3520" spans="1:21" x14ac:dyDescent="0.25">
      <c r="A3520">
        <v>1757</v>
      </c>
      <c r="B3520">
        <v>8001</v>
      </c>
      <c r="C3520" t="s">
        <v>5885</v>
      </c>
      <c r="D3520" t="s">
        <v>26</v>
      </c>
      <c r="E3520" t="s">
        <v>42</v>
      </c>
      <c r="F3520" t="s">
        <v>5886</v>
      </c>
      <c r="G3520" t="str">
        <f>"00044494"</f>
        <v>00044494</v>
      </c>
      <c r="H3520">
        <v>550</v>
      </c>
      <c r="I3520">
        <v>0</v>
      </c>
      <c r="J3520">
        <v>0</v>
      </c>
      <c r="K3520">
        <v>0</v>
      </c>
      <c r="L3520">
        <v>0</v>
      </c>
      <c r="M3520">
        <v>0</v>
      </c>
      <c r="N3520">
        <v>0</v>
      </c>
      <c r="O3520">
        <v>0</v>
      </c>
      <c r="P3520">
        <v>0</v>
      </c>
      <c r="Q3520">
        <v>0</v>
      </c>
      <c r="T3520">
        <v>2</v>
      </c>
      <c r="U3520">
        <v>550</v>
      </c>
    </row>
    <row r="3521" spans="1:21" x14ac:dyDescent="0.25">
      <c r="H3521" t="s">
        <v>2136</v>
      </c>
    </row>
    <row r="3522" spans="1:21" x14ac:dyDescent="0.25">
      <c r="A3522">
        <v>1758</v>
      </c>
      <c r="B3522">
        <v>4434</v>
      </c>
      <c r="C3522" t="s">
        <v>5887</v>
      </c>
      <c r="D3522" t="s">
        <v>121</v>
      </c>
      <c r="E3522" t="s">
        <v>533</v>
      </c>
      <c r="F3522" t="s">
        <v>5888</v>
      </c>
      <c r="G3522" t="str">
        <f>"201511007712"</f>
        <v>201511007712</v>
      </c>
      <c r="H3522">
        <v>550</v>
      </c>
      <c r="I3522">
        <v>0</v>
      </c>
      <c r="J3522">
        <v>0</v>
      </c>
      <c r="K3522">
        <v>0</v>
      </c>
      <c r="L3522">
        <v>0</v>
      </c>
      <c r="M3522">
        <v>0</v>
      </c>
      <c r="N3522">
        <v>0</v>
      </c>
      <c r="O3522">
        <v>0</v>
      </c>
      <c r="P3522">
        <v>0</v>
      </c>
      <c r="Q3522">
        <v>0</v>
      </c>
      <c r="T3522">
        <v>0</v>
      </c>
      <c r="U3522">
        <v>550</v>
      </c>
    </row>
    <row r="3523" spans="1:21" x14ac:dyDescent="0.25">
      <c r="H3523" t="s">
        <v>5889</v>
      </c>
    </row>
    <row r="3524" spans="1:21" x14ac:dyDescent="0.25">
      <c r="A3524">
        <v>1759</v>
      </c>
      <c r="B3524">
        <v>6044</v>
      </c>
      <c r="C3524" t="s">
        <v>5890</v>
      </c>
      <c r="D3524" t="s">
        <v>1132</v>
      </c>
      <c r="E3524" t="s">
        <v>373</v>
      </c>
      <c r="F3524" t="s">
        <v>5891</v>
      </c>
      <c r="G3524" t="str">
        <f>"201510001712"</f>
        <v>201510001712</v>
      </c>
      <c r="H3524">
        <v>550</v>
      </c>
      <c r="I3524">
        <v>0</v>
      </c>
      <c r="J3524">
        <v>0</v>
      </c>
      <c r="K3524">
        <v>0</v>
      </c>
      <c r="L3524">
        <v>0</v>
      </c>
      <c r="M3524">
        <v>0</v>
      </c>
      <c r="N3524">
        <v>0</v>
      </c>
      <c r="O3524">
        <v>0</v>
      </c>
      <c r="P3524">
        <v>0</v>
      </c>
      <c r="Q3524">
        <v>0</v>
      </c>
      <c r="T3524">
        <v>0</v>
      </c>
      <c r="U3524">
        <v>550</v>
      </c>
    </row>
    <row r="3525" spans="1:21" x14ac:dyDescent="0.25">
      <c r="H3525" t="s">
        <v>5892</v>
      </c>
    </row>
    <row r="3526" spans="1:21" x14ac:dyDescent="0.25">
      <c r="A3526">
        <v>1760</v>
      </c>
      <c r="B3526">
        <v>5407</v>
      </c>
      <c r="C3526" t="s">
        <v>1057</v>
      </c>
      <c r="D3526" t="s">
        <v>1024</v>
      </c>
      <c r="E3526" t="s">
        <v>37</v>
      </c>
      <c r="F3526" t="s">
        <v>5893</v>
      </c>
      <c r="G3526" t="str">
        <f>"201511041035"</f>
        <v>201511041035</v>
      </c>
      <c r="H3526">
        <v>550</v>
      </c>
      <c r="I3526">
        <v>0</v>
      </c>
      <c r="J3526">
        <v>0</v>
      </c>
      <c r="K3526">
        <v>0</v>
      </c>
      <c r="L3526">
        <v>0</v>
      </c>
      <c r="M3526">
        <v>0</v>
      </c>
      <c r="N3526">
        <v>0</v>
      </c>
      <c r="O3526">
        <v>0</v>
      </c>
      <c r="P3526">
        <v>0</v>
      </c>
      <c r="Q3526">
        <v>0</v>
      </c>
      <c r="T3526">
        <v>0</v>
      </c>
      <c r="U3526">
        <v>550</v>
      </c>
    </row>
    <row r="3527" spans="1:21" x14ac:dyDescent="0.25">
      <c r="H3527" t="s">
        <v>5894</v>
      </c>
    </row>
    <row r="3528" spans="1:21" x14ac:dyDescent="0.25">
      <c r="A3528">
        <v>1761</v>
      </c>
      <c r="B3528">
        <v>4188</v>
      </c>
      <c r="C3528" t="s">
        <v>5895</v>
      </c>
      <c r="D3528" t="s">
        <v>64</v>
      </c>
      <c r="E3528" t="s">
        <v>366</v>
      </c>
      <c r="F3528" t="s">
        <v>5896</v>
      </c>
      <c r="G3528" t="str">
        <f>"201511021994"</f>
        <v>201511021994</v>
      </c>
      <c r="H3528">
        <v>550</v>
      </c>
      <c r="I3528">
        <v>0</v>
      </c>
      <c r="J3528">
        <v>0</v>
      </c>
      <c r="K3528">
        <v>0</v>
      </c>
      <c r="L3528">
        <v>0</v>
      </c>
      <c r="M3528">
        <v>0</v>
      </c>
      <c r="N3528">
        <v>0</v>
      </c>
      <c r="O3528">
        <v>0</v>
      </c>
      <c r="P3528">
        <v>0</v>
      </c>
      <c r="Q3528">
        <v>0</v>
      </c>
      <c r="T3528">
        <v>1</v>
      </c>
      <c r="U3528">
        <v>550</v>
      </c>
    </row>
    <row r="3529" spans="1:21" x14ac:dyDescent="0.25">
      <c r="H3529" t="s">
        <v>5897</v>
      </c>
    </row>
    <row r="3530" spans="1:21" x14ac:dyDescent="0.25">
      <c r="A3530">
        <v>1762</v>
      </c>
      <c r="B3530">
        <v>546</v>
      </c>
      <c r="C3530" t="s">
        <v>5898</v>
      </c>
      <c r="D3530" t="s">
        <v>5899</v>
      </c>
      <c r="E3530" t="s">
        <v>42</v>
      </c>
      <c r="F3530" t="s">
        <v>5900</v>
      </c>
      <c r="G3530" t="str">
        <f>"201511041746"</f>
        <v>201511041746</v>
      </c>
      <c r="H3530">
        <v>550</v>
      </c>
      <c r="I3530">
        <v>0</v>
      </c>
      <c r="J3530">
        <v>0</v>
      </c>
      <c r="K3530">
        <v>0</v>
      </c>
      <c r="L3530">
        <v>0</v>
      </c>
      <c r="M3530">
        <v>0</v>
      </c>
      <c r="N3530">
        <v>0</v>
      </c>
      <c r="O3530">
        <v>0</v>
      </c>
      <c r="P3530">
        <v>0</v>
      </c>
      <c r="Q3530">
        <v>0</v>
      </c>
      <c r="T3530">
        <v>0</v>
      </c>
      <c r="U3530">
        <v>550</v>
      </c>
    </row>
    <row r="3531" spans="1:21" x14ac:dyDescent="0.25">
      <c r="H3531" t="s">
        <v>5901</v>
      </c>
    </row>
    <row r="3532" spans="1:21" x14ac:dyDescent="0.25">
      <c r="A3532">
        <v>1763</v>
      </c>
      <c r="B3532">
        <v>2099</v>
      </c>
      <c r="C3532" t="s">
        <v>5902</v>
      </c>
      <c r="D3532" t="s">
        <v>2483</v>
      </c>
      <c r="E3532" t="s">
        <v>135</v>
      </c>
      <c r="F3532" t="s">
        <v>5903</v>
      </c>
      <c r="G3532" t="str">
        <f>"00044409"</f>
        <v>00044409</v>
      </c>
      <c r="H3532">
        <v>550</v>
      </c>
      <c r="I3532">
        <v>0</v>
      </c>
      <c r="J3532">
        <v>0</v>
      </c>
      <c r="K3532">
        <v>0</v>
      </c>
      <c r="L3532">
        <v>0</v>
      </c>
      <c r="M3532">
        <v>0</v>
      </c>
      <c r="N3532">
        <v>0</v>
      </c>
      <c r="O3532">
        <v>0</v>
      </c>
      <c r="P3532">
        <v>0</v>
      </c>
      <c r="Q3532">
        <v>0</v>
      </c>
      <c r="T3532">
        <v>0</v>
      </c>
      <c r="U3532">
        <v>550</v>
      </c>
    </row>
    <row r="3533" spans="1:21" x14ac:dyDescent="0.25">
      <c r="H3533" t="s">
        <v>5904</v>
      </c>
    </row>
    <row r="3534" spans="1:21" x14ac:dyDescent="0.25">
      <c r="A3534">
        <v>1764</v>
      </c>
      <c r="B3534">
        <v>8063</v>
      </c>
      <c r="C3534" t="s">
        <v>5905</v>
      </c>
      <c r="D3534" t="s">
        <v>95</v>
      </c>
      <c r="E3534" t="s">
        <v>36</v>
      </c>
      <c r="F3534" t="s">
        <v>5906</v>
      </c>
      <c r="G3534" t="str">
        <f>"00079264"</f>
        <v>00079264</v>
      </c>
      <c r="H3534">
        <v>550</v>
      </c>
      <c r="I3534">
        <v>0</v>
      </c>
      <c r="J3534">
        <v>0</v>
      </c>
      <c r="K3534">
        <v>0</v>
      </c>
      <c r="L3534">
        <v>0</v>
      </c>
      <c r="M3534">
        <v>0</v>
      </c>
      <c r="N3534">
        <v>0</v>
      </c>
      <c r="O3534">
        <v>0</v>
      </c>
      <c r="P3534">
        <v>0</v>
      </c>
      <c r="Q3534">
        <v>0</v>
      </c>
      <c r="T3534">
        <v>0</v>
      </c>
      <c r="U3534">
        <v>550</v>
      </c>
    </row>
    <row r="3535" spans="1:21" x14ac:dyDescent="0.25">
      <c r="H3535" t="s">
        <v>5907</v>
      </c>
    </row>
    <row r="3536" spans="1:21" x14ac:dyDescent="0.25">
      <c r="A3536">
        <v>1765</v>
      </c>
      <c r="B3536">
        <v>8229</v>
      </c>
      <c r="C3536" t="s">
        <v>5908</v>
      </c>
      <c r="D3536" t="s">
        <v>647</v>
      </c>
      <c r="E3536" t="s">
        <v>135</v>
      </c>
      <c r="F3536" t="s">
        <v>5909</v>
      </c>
      <c r="G3536" t="str">
        <f>"201502001218"</f>
        <v>201502001218</v>
      </c>
      <c r="H3536">
        <v>550</v>
      </c>
      <c r="I3536">
        <v>0</v>
      </c>
      <c r="J3536">
        <v>0</v>
      </c>
      <c r="K3536">
        <v>0</v>
      </c>
      <c r="L3536">
        <v>0</v>
      </c>
      <c r="M3536">
        <v>0</v>
      </c>
      <c r="N3536">
        <v>0</v>
      </c>
      <c r="O3536">
        <v>0</v>
      </c>
      <c r="P3536">
        <v>0</v>
      </c>
      <c r="Q3536">
        <v>0</v>
      </c>
      <c r="T3536">
        <v>0</v>
      </c>
      <c r="U3536">
        <v>550</v>
      </c>
    </row>
    <row r="3537" spans="1:21" x14ac:dyDescent="0.25">
      <c r="H3537" t="s">
        <v>5910</v>
      </c>
    </row>
    <row r="3538" spans="1:21" x14ac:dyDescent="0.25">
      <c r="A3538">
        <v>1766</v>
      </c>
      <c r="B3538">
        <v>1330</v>
      </c>
      <c r="C3538" t="s">
        <v>5911</v>
      </c>
      <c r="D3538" t="s">
        <v>5912</v>
      </c>
      <c r="E3538" t="s">
        <v>3318</v>
      </c>
      <c r="F3538" t="s">
        <v>5913</v>
      </c>
      <c r="G3538" t="str">
        <f>"00028837"</f>
        <v>00028837</v>
      </c>
      <c r="H3538">
        <v>550</v>
      </c>
      <c r="I3538">
        <v>0</v>
      </c>
      <c r="J3538">
        <v>0</v>
      </c>
      <c r="K3538">
        <v>0</v>
      </c>
      <c r="L3538">
        <v>0</v>
      </c>
      <c r="M3538">
        <v>0</v>
      </c>
      <c r="N3538">
        <v>0</v>
      </c>
      <c r="O3538">
        <v>0</v>
      </c>
      <c r="P3538">
        <v>0</v>
      </c>
      <c r="Q3538">
        <v>0</v>
      </c>
      <c r="T3538">
        <v>0</v>
      </c>
      <c r="U3538">
        <v>550</v>
      </c>
    </row>
    <row r="3539" spans="1:21" x14ac:dyDescent="0.25">
      <c r="H3539" t="s">
        <v>5914</v>
      </c>
    </row>
    <row r="3540" spans="1:21" x14ac:dyDescent="0.25">
      <c r="A3540">
        <v>1767</v>
      </c>
      <c r="B3540">
        <v>10608</v>
      </c>
      <c r="C3540" t="s">
        <v>5915</v>
      </c>
      <c r="D3540" t="s">
        <v>5916</v>
      </c>
      <c r="E3540" t="s">
        <v>3392</v>
      </c>
      <c r="F3540" t="s">
        <v>5917</v>
      </c>
      <c r="G3540" t="str">
        <f>"00049723"</f>
        <v>00049723</v>
      </c>
      <c r="H3540">
        <v>550</v>
      </c>
      <c r="I3540">
        <v>0</v>
      </c>
      <c r="J3540">
        <v>0</v>
      </c>
      <c r="K3540">
        <v>0</v>
      </c>
      <c r="L3540">
        <v>0</v>
      </c>
      <c r="M3540">
        <v>0</v>
      </c>
      <c r="N3540">
        <v>0</v>
      </c>
      <c r="O3540">
        <v>0</v>
      </c>
      <c r="P3540">
        <v>0</v>
      </c>
      <c r="Q3540">
        <v>0</v>
      </c>
      <c r="T3540">
        <v>0</v>
      </c>
      <c r="U3540">
        <v>550</v>
      </c>
    </row>
    <row r="3541" spans="1:21" x14ac:dyDescent="0.25">
      <c r="H3541">
        <v>802</v>
      </c>
    </row>
    <row r="3542" spans="1:21" x14ac:dyDescent="0.25">
      <c r="A3542">
        <v>1768</v>
      </c>
      <c r="B3542">
        <v>4223</v>
      </c>
      <c r="C3542" t="s">
        <v>5918</v>
      </c>
      <c r="D3542" t="s">
        <v>122</v>
      </c>
      <c r="E3542" t="s">
        <v>533</v>
      </c>
      <c r="F3542" t="s">
        <v>5919</v>
      </c>
      <c r="G3542" t="str">
        <f>"00021104"</f>
        <v>00021104</v>
      </c>
      <c r="H3542">
        <v>550</v>
      </c>
      <c r="I3542">
        <v>0</v>
      </c>
      <c r="J3542">
        <v>0</v>
      </c>
      <c r="K3542">
        <v>0</v>
      </c>
      <c r="L3542">
        <v>0</v>
      </c>
      <c r="M3542">
        <v>0</v>
      </c>
      <c r="N3542">
        <v>0</v>
      </c>
      <c r="O3542">
        <v>0</v>
      </c>
      <c r="P3542">
        <v>0</v>
      </c>
      <c r="Q3542">
        <v>0</v>
      </c>
      <c r="T3542">
        <v>0</v>
      </c>
      <c r="U3542">
        <v>550</v>
      </c>
    </row>
    <row r="3543" spans="1:21" x14ac:dyDescent="0.25">
      <c r="H3543" t="s">
        <v>382</v>
      </c>
    </row>
    <row r="3544" spans="1:21" x14ac:dyDescent="0.25">
      <c r="A3544">
        <v>1769</v>
      </c>
      <c r="B3544">
        <v>4155</v>
      </c>
      <c r="C3544" t="s">
        <v>5920</v>
      </c>
      <c r="D3544" t="s">
        <v>5921</v>
      </c>
      <c r="E3544" t="s">
        <v>533</v>
      </c>
      <c r="F3544" t="s">
        <v>5922</v>
      </c>
      <c r="G3544" t="str">
        <f>"201412007020"</f>
        <v>201412007020</v>
      </c>
      <c r="H3544">
        <v>550</v>
      </c>
      <c r="I3544">
        <v>0</v>
      </c>
      <c r="J3544">
        <v>0</v>
      </c>
      <c r="K3544">
        <v>0</v>
      </c>
      <c r="L3544">
        <v>0</v>
      </c>
      <c r="M3544">
        <v>0</v>
      </c>
      <c r="N3544">
        <v>0</v>
      </c>
      <c r="O3544">
        <v>0</v>
      </c>
      <c r="P3544">
        <v>0</v>
      </c>
      <c r="Q3544">
        <v>0</v>
      </c>
      <c r="T3544">
        <v>0</v>
      </c>
      <c r="U3544">
        <v>550</v>
      </c>
    </row>
    <row r="3545" spans="1:21" x14ac:dyDescent="0.25">
      <c r="H3545" t="s">
        <v>5923</v>
      </c>
    </row>
    <row r="3546" spans="1:21" x14ac:dyDescent="0.25">
      <c r="A3546">
        <v>1770</v>
      </c>
      <c r="B3546">
        <v>5314</v>
      </c>
      <c r="C3546" t="s">
        <v>5924</v>
      </c>
      <c r="D3546" t="s">
        <v>528</v>
      </c>
      <c r="E3546" t="s">
        <v>122</v>
      </c>
      <c r="F3546" t="s">
        <v>5925</v>
      </c>
      <c r="G3546" t="str">
        <f>"201511023377"</f>
        <v>201511023377</v>
      </c>
      <c r="H3546" t="s">
        <v>5926</v>
      </c>
      <c r="I3546">
        <v>0</v>
      </c>
      <c r="J3546">
        <v>30</v>
      </c>
      <c r="K3546">
        <v>0</v>
      </c>
      <c r="L3546">
        <v>70</v>
      </c>
      <c r="M3546">
        <v>0</v>
      </c>
      <c r="N3546">
        <v>0</v>
      </c>
      <c r="O3546">
        <v>0</v>
      </c>
      <c r="P3546">
        <v>0</v>
      </c>
      <c r="Q3546">
        <v>0</v>
      </c>
      <c r="T3546">
        <v>2</v>
      </c>
      <c r="U3546" t="s">
        <v>5927</v>
      </c>
    </row>
    <row r="3547" spans="1:21" x14ac:dyDescent="0.25">
      <c r="H3547" t="s">
        <v>5928</v>
      </c>
    </row>
    <row r="3548" spans="1:21" x14ac:dyDescent="0.25">
      <c r="A3548">
        <v>1771</v>
      </c>
      <c r="B3548">
        <v>5196</v>
      </c>
      <c r="C3548" t="s">
        <v>5505</v>
      </c>
      <c r="D3548" t="s">
        <v>95</v>
      </c>
      <c r="E3548" t="s">
        <v>27</v>
      </c>
      <c r="F3548" t="s">
        <v>5929</v>
      </c>
      <c r="G3548" t="str">
        <f>"00025532"</f>
        <v>00025532</v>
      </c>
      <c r="H3548" t="s">
        <v>5930</v>
      </c>
      <c r="I3548">
        <v>0</v>
      </c>
      <c r="J3548">
        <v>0</v>
      </c>
      <c r="K3548">
        <v>0</v>
      </c>
      <c r="L3548">
        <v>0</v>
      </c>
      <c r="M3548">
        <v>0</v>
      </c>
      <c r="N3548">
        <v>0</v>
      </c>
      <c r="O3548">
        <v>0</v>
      </c>
      <c r="P3548">
        <v>0</v>
      </c>
      <c r="Q3548">
        <v>0</v>
      </c>
      <c r="T3548">
        <v>2</v>
      </c>
      <c r="U3548" t="s">
        <v>5930</v>
      </c>
    </row>
    <row r="3549" spans="1:21" x14ac:dyDescent="0.25">
      <c r="H3549" t="s">
        <v>2846</v>
      </c>
    </row>
    <row r="3550" spans="1:21" x14ac:dyDescent="0.25">
      <c r="A3550">
        <v>1772</v>
      </c>
      <c r="B3550">
        <v>3266</v>
      </c>
      <c r="C3550" t="s">
        <v>5931</v>
      </c>
      <c r="D3550" t="s">
        <v>5932</v>
      </c>
      <c r="E3550" t="s">
        <v>5933</v>
      </c>
      <c r="F3550" t="s">
        <v>5934</v>
      </c>
      <c r="G3550" t="str">
        <f>"00081038"</f>
        <v>00081038</v>
      </c>
      <c r="H3550">
        <v>506</v>
      </c>
      <c r="I3550">
        <v>0</v>
      </c>
      <c r="J3550">
        <v>0</v>
      </c>
      <c r="K3550">
        <v>0</v>
      </c>
      <c r="L3550">
        <v>0</v>
      </c>
      <c r="M3550">
        <v>0</v>
      </c>
      <c r="N3550">
        <v>0</v>
      </c>
      <c r="O3550">
        <v>0</v>
      </c>
      <c r="P3550">
        <v>0</v>
      </c>
      <c r="Q3550">
        <v>0</v>
      </c>
      <c r="T3550">
        <v>2</v>
      </c>
      <c r="U3550">
        <v>506</v>
      </c>
    </row>
    <row r="3551" spans="1:21" x14ac:dyDescent="0.25">
      <c r="H3551" t="s">
        <v>5935</v>
      </c>
    </row>
    <row r="3552" spans="1:21" x14ac:dyDescent="0.25">
      <c r="A3552">
        <v>1773</v>
      </c>
      <c r="B3552">
        <v>832</v>
      </c>
      <c r="C3552" t="s">
        <v>5936</v>
      </c>
      <c r="D3552" t="s">
        <v>589</v>
      </c>
      <c r="E3552" t="s">
        <v>231</v>
      </c>
      <c r="F3552" t="s">
        <v>5937</v>
      </c>
      <c r="G3552" t="str">
        <f>"200906000539"</f>
        <v>200906000539</v>
      </c>
      <c r="H3552">
        <v>495</v>
      </c>
      <c r="I3552">
        <v>0</v>
      </c>
      <c r="J3552">
        <v>0</v>
      </c>
      <c r="K3552">
        <v>0</v>
      </c>
      <c r="L3552">
        <v>0</v>
      </c>
      <c r="M3552">
        <v>0</v>
      </c>
      <c r="N3552">
        <v>0</v>
      </c>
      <c r="O3552">
        <v>0</v>
      </c>
      <c r="P3552">
        <v>0</v>
      </c>
      <c r="Q3552">
        <v>0</v>
      </c>
      <c r="T3552">
        <v>0</v>
      </c>
      <c r="U3552">
        <v>495</v>
      </c>
    </row>
    <row r="3553" spans="1:21" x14ac:dyDescent="0.25">
      <c r="H3553" t="s">
        <v>5938</v>
      </c>
    </row>
    <row r="3554" spans="1:21" x14ac:dyDescent="0.25">
      <c r="A3554">
        <v>1774</v>
      </c>
      <c r="B3554">
        <v>10364</v>
      </c>
      <c r="C3554" t="s">
        <v>5939</v>
      </c>
      <c r="D3554" t="s">
        <v>164</v>
      </c>
      <c r="E3554" t="s">
        <v>1136</v>
      </c>
      <c r="F3554" t="s">
        <v>5940</v>
      </c>
      <c r="G3554" t="str">
        <f>"00046655"</f>
        <v>00046655</v>
      </c>
      <c r="H3554">
        <v>440</v>
      </c>
      <c r="I3554">
        <v>0</v>
      </c>
      <c r="J3554">
        <v>30</v>
      </c>
      <c r="K3554">
        <v>0</v>
      </c>
      <c r="L3554">
        <v>0</v>
      </c>
      <c r="M3554">
        <v>0</v>
      </c>
      <c r="N3554">
        <v>0</v>
      </c>
      <c r="O3554">
        <v>0</v>
      </c>
      <c r="P3554">
        <v>0</v>
      </c>
      <c r="Q3554">
        <v>0</v>
      </c>
      <c r="T3554">
        <v>2</v>
      </c>
      <c r="U3554">
        <v>470</v>
      </c>
    </row>
    <row r="3555" spans="1:21" x14ac:dyDescent="0.25">
      <c r="H3555" t="s">
        <v>5941</v>
      </c>
    </row>
    <row r="3556" spans="1:21" x14ac:dyDescent="0.25">
      <c r="A3556">
        <v>1775</v>
      </c>
      <c r="B3556">
        <v>8472</v>
      </c>
      <c r="C3556" t="s">
        <v>1193</v>
      </c>
      <c r="D3556" t="s">
        <v>85</v>
      </c>
      <c r="E3556" t="s">
        <v>366</v>
      </c>
      <c r="F3556" t="s">
        <v>5942</v>
      </c>
      <c r="G3556" t="str">
        <f>"201511007643"</f>
        <v>201511007643</v>
      </c>
      <c r="H3556" t="s">
        <v>5943</v>
      </c>
      <c r="I3556">
        <v>0</v>
      </c>
      <c r="J3556">
        <v>0</v>
      </c>
      <c r="K3556">
        <v>0</v>
      </c>
      <c r="L3556">
        <v>0</v>
      </c>
      <c r="M3556">
        <v>0</v>
      </c>
      <c r="N3556">
        <v>0</v>
      </c>
      <c r="O3556">
        <v>0</v>
      </c>
      <c r="P3556">
        <v>0</v>
      </c>
      <c r="Q3556">
        <v>0</v>
      </c>
      <c r="T3556">
        <v>0</v>
      </c>
      <c r="U3556" t="s">
        <v>5943</v>
      </c>
    </row>
    <row r="3557" spans="1:21" x14ac:dyDescent="0.25">
      <c r="H3557" t="s">
        <v>5944</v>
      </c>
    </row>
    <row r="3559" spans="1:21" x14ac:dyDescent="0.25">
      <c r="A3559" t="s">
        <v>5945</v>
      </c>
    </row>
    <row r="3560" spans="1:21" x14ac:dyDescent="0.25">
      <c r="A3560" t="s">
        <v>5946</v>
      </c>
    </row>
    <row r="3561" spans="1:21" x14ac:dyDescent="0.25">
      <c r="A3561" t="s">
        <v>5947</v>
      </c>
    </row>
    <row r="3562" spans="1:21" x14ac:dyDescent="0.25">
      <c r="A3562" t="s">
        <v>5948</v>
      </c>
    </row>
    <row r="3563" spans="1:21" x14ac:dyDescent="0.25">
      <c r="A3563" t="s">
        <v>5949</v>
      </c>
    </row>
    <row r="3564" spans="1:21" x14ac:dyDescent="0.25">
      <c r="A3564" t="s">
        <v>5950</v>
      </c>
    </row>
    <row r="3565" spans="1:21" x14ac:dyDescent="0.25">
      <c r="A3565" t="s">
        <v>5951</v>
      </c>
    </row>
    <row r="3566" spans="1:21" x14ac:dyDescent="0.25">
      <c r="A3566" t="s">
        <v>5952</v>
      </c>
    </row>
    <row r="3567" spans="1:21" x14ac:dyDescent="0.25">
      <c r="A3567" t="s">
        <v>5953</v>
      </c>
    </row>
    <row r="3568" spans="1:21" x14ac:dyDescent="0.25">
      <c r="A3568" t="s">
        <v>5954</v>
      </c>
    </row>
    <row r="3569" spans="1:1" x14ac:dyDescent="0.25">
      <c r="A3569" t="s">
        <v>5955</v>
      </c>
    </row>
    <row r="3570" spans="1:1" x14ac:dyDescent="0.25">
      <c r="A3570" t="s">
        <v>5956</v>
      </c>
    </row>
    <row r="3571" spans="1:1" x14ac:dyDescent="0.25">
      <c r="A3571" t="s">
        <v>5957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2018-04-25T11:18:30Z</dcterms:created>
  <dcterms:modified xsi:type="dcterms:W3CDTF">2018-04-25T11:18:38Z</dcterms:modified>
</cp:coreProperties>
</file>