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878" i="1" l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<sst xmlns="http://schemas.openxmlformats.org/spreadsheetml/2006/main" count="9519" uniqueCount="4553">
  <si>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</si>
  <si>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</si>
  <si>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</si>
  <si>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ΓΕΝΙΚΕΣ ΘΕΣΕΙΣ ΧΩΡΙΣ ΕΜΠΕΙΡΙΑ</t>
  </si>
  <si>
    <t>ΠΕ ΕΦΟΡΙΑΚΩΝ (ΜΕ ΠΤΥΧΙΟ ΝΟΜΙΚΗΣ)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</si>
  <si>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</si>
  <si>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</si>
  <si>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</si>
  <si>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</si>
  <si>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</si>
  <si>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</si>
  <si>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</si>
  <si>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</si>
  <si>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ΚΑΤΡΑΜΑΔΟΣ</t>
  </si>
  <si>
    <t>ΔΑΜΙΑΝΟΣ</t>
  </si>
  <si>
    <t>ΜΙΧΑΗΛ</t>
  </si>
  <si>
    <t>ΑΒ674273</t>
  </si>
  <si>
    <t>1048,3</t>
  </si>
  <si>
    <t>1918,3</t>
  </si>
  <si>
    <t>ΠΕΡΒΟΥ</t>
  </si>
  <si>
    <t>ΙΩΑΝΝΑ</t>
  </si>
  <si>
    <t>ΙΩΑΝΝΗΣ</t>
  </si>
  <si>
    <t>Χ221831</t>
  </si>
  <si>
    <t>101-102-103</t>
  </si>
  <si>
    <t>ΜΗΛΑΠΙΔΟΥ</t>
  </si>
  <si>
    <t>ΜΑΡΙΑ</t>
  </si>
  <si>
    <t>ΑΗ682524</t>
  </si>
  <si>
    <t>941,6</t>
  </si>
  <si>
    <t>1711,6</t>
  </si>
  <si>
    <t>ΠΟΛΙΤΗ</t>
  </si>
  <si>
    <t>ΕΥΣΤΑΘΙΟΣ</t>
  </si>
  <si>
    <t>ΑΒ828922</t>
  </si>
  <si>
    <t>840,4</t>
  </si>
  <si>
    <t>1640,4</t>
  </si>
  <si>
    <t>102-103</t>
  </si>
  <si>
    <t>ΜΙΧΕΛΗ</t>
  </si>
  <si>
    <t>ΠΑΝΑΓΙΩΤΑ</t>
  </si>
  <si>
    <t>ΑΛΕΞΑΝΔΡΟΣ</t>
  </si>
  <si>
    <t>ΑΙ793957</t>
  </si>
  <si>
    <t>854,7</t>
  </si>
  <si>
    <t>1614,7</t>
  </si>
  <si>
    <t>ΤΑΡΑΡΑ</t>
  </si>
  <si>
    <t>EΛΕΝΗ</t>
  </si>
  <si>
    <t>ΝΙΚΟΛΑΟΣ</t>
  </si>
  <si>
    <t>ΑΜ118236</t>
  </si>
  <si>
    <t>1004,3</t>
  </si>
  <si>
    <t>1604,3</t>
  </si>
  <si>
    <t>ΣΑΜΑΡΤΖΗ</t>
  </si>
  <si>
    <t>ΒΑΣΙΛΙΚΗ</t>
  </si>
  <si>
    <t>ΓΕΩΡΓΙΟΣ</t>
  </si>
  <si>
    <t>ΑΚ605279</t>
  </si>
  <si>
    <t>749,1</t>
  </si>
  <si>
    <t>1599,1</t>
  </si>
  <si>
    <t>102-103-101</t>
  </si>
  <si>
    <t>ΠΑΝΑΓΟΣ</t>
  </si>
  <si>
    <t>ΚΩΝΣΤΑΝΤΙΝΟΣ</t>
  </si>
  <si>
    <t>ΑΜ101535</t>
  </si>
  <si>
    <t>852,5</t>
  </si>
  <si>
    <t>1582,5</t>
  </si>
  <si>
    <t>ΑΡΧΟΝΤΑΚΗ</t>
  </si>
  <si>
    <t>ΑΣΠΑΣΙΑ</t>
  </si>
  <si>
    <t>ΑΘΑΝΑΣΙΟΣ</t>
  </si>
  <si>
    <t>ΑΒ052765</t>
  </si>
  <si>
    <t>ΙΩΑΝΝΟΥ</t>
  </si>
  <si>
    <t>ΜΑΡΙΑ - ΕΥΑΝΘΙΑ</t>
  </si>
  <si>
    <t>ΑΝΔΡΕΑΣ</t>
  </si>
  <si>
    <t>ΑΕ574205</t>
  </si>
  <si>
    <t>763,4</t>
  </si>
  <si>
    <t>1543,4</t>
  </si>
  <si>
    <t>ΖΕΗ</t>
  </si>
  <si>
    <t>ΕΙΡΗΝΗ</t>
  </si>
  <si>
    <t>ΠΕΤΡΟΣ</t>
  </si>
  <si>
    <t>ΑΚ544567</t>
  </si>
  <si>
    <t>788,7</t>
  </si>
  <si>
    <t>1528,7</t>
  </si>
  <si>
    <t>ΜΗΤΚΑ</t>
  </si>
  <si>
    <t>ΚΑΛΛΙΟΠΗ</t>
  </si>
  <si>
    <t>Ρ462233</t>
  </si>
  <si>
    <t>999,9</t>
  </si>
  <si>
    <t>1519,9</t>
  </si>
  <si>
    <t>ΚΗΠΟΥΡΙΔΟΥ</t>
  </si>
  <si>
    <t>ΘΕΟΔΩΡΟΣ</t>
  </si>
  <si>
    <t>ΑΚ260524</t>
  </si>
  <si>
    <t>774,4</t>
  </si>
  <si>
    <t>1514,4</t>
  </si>
  <si>
    <t>ΣΤΑΜΕΛΟΣ</t>
  </si>
  <si>
    <t>ΧΑΡΑΛΑΜΠΟΣ</t>
  </si>
  <si>
    <t>ΔΗΜΗΤΡΙΟΣ</t>
  </si>
  <si>
    <t>Χ138626</t>
  </si>
  <si>
    <t>ΑΓΟΡΑΣΤΟΣ</t>
  </si>
  <si>
    <t>ΑΕ366111</t>
  </si>
  <si>
    <t>101-103-102</t>
  </si>
  <si>
    <t>ΜΕΓΡΕΜΗΣ-ΣΤΕΙΑΚΑΚΗΣ</t>
  </si>
  <si>
    <t>ΣΤΥΛΙΑΝΟΣ</t>
  </si>
  <si>
    <t>Τ901767</t>
  </si>
  <si>
    <t>977,9</t>
  </si>
  <si>
    <t>1497,9</t>
  </si>
  <si>
    <t>ΦΑΡΜΑΚΗ</t>
  </si>
  <si>
    <t>ΑΣΗΜΕΝΙΑ</t>
  </si>
  <si>
    <t>ΧΡΗΣΤΟΣ</t>
  </si>
  <si>
    <t>ΑΒ459625</t>
  </si>
  <si>
    <t>796,4</t>
  </si>
  <si>
    <t>1496,4</t>
  </si>
  <si>
    <t>ΙΩΑΝΝΙΔΟΥ</t>
  </si>
  <si>
    <t>ΣΟΥΖΑΝΑ</t>
  </si>
  <si>
    <t>ΑΕ363651</t>
  </si>
  <si>
    <t>ΜΕΣΣΗΝΗ</t>
  </si>
  <si>
    <t>ΕΥΑΓΓΕΛΙΑ-ΠΗΝΕΛΟΠΗ</t>
  </si>
  <si>
    <t>Χ104998</t>
  </si>
  <si>
    <t>864,6</t>
  </si>
  <si>
    <t>1464,6</t>
  </si>
  <si>
    <t>102-103-105-106-101-104</t>
  </si>
  <si>
    <t>ΔΑΒΡΑΔΟΥ</t>
  </si>
  <si>
    <t>ΕΛΕΝΗ</t>
  </si>
  <si>
    <t>ΕΜΜΑΝΟΥΗΛ</t>
  </si>
  <si>
    <t>ΑΙ953259</t>
  </si>
  <si>
    <t>903,1</t>
  </si>
  <si>
    <t>1463,1</t>
  </si>
  <si>
    <t>103-102-101</t>
  </si>
  <si>
    <t>ΠΕΡΡΑΚΗ</t>
  </si>
  <si>
    <t>ΑΒ563545</t>
  </si>
  <si>
    <t>ΚΕΦΑΛΙΑΚΟΥ</t>
  </si>
  <si>
    <t>ΕΥΦΗΜΙΑ</t>
  </si>
  <si>
    <t>ΑΚ223906</t>
  </si>
  <si>
    <t>ΘΕΟΔΟΣΙΑΔΗΣ</t>
  </si>
  <si>
    <t>ΜΑΡΙΟΣ</t>
  </si>
  <si>
    <t>Ρ463138</t>
  </si>
  <si>
    <t>766,7</t>
  </si>
  <si>
    <t>1436,7</t>
  </si>
  <si>
    <t>ΚΟΝΤΗΣ</t>
  </si>
  <si>
    <t>ΑΝΑΣΤΑΣΙΟΣ</t>
  </si>
  <si>
    <t>ΑΜ152897</t>
  </si>
  <si>
    <t>785,4</t>
  </si>
  <si>
    <t>1415,4</t>
  </si>
  <si>
    <t>ΤΑΤΣΗ</t>
  </si>
  <si>
    <t>ΝΕΦΕΛΗ</t>
  </si>
  <si>
    <t>Χ290333</t>
  </si>
  <si>
    <t>815,1</t>
  </si>
  <si>
    <t>1415,1</t>
  </si>
  <si>
    <t>ΧΑΙΔΟΣ</t>
  </si>
  <si>
    <t>ΧΑΡΙΛΑΟΣ ΑΝΔΡΕΑΣ</t>
  </si>
  <si>
    <t>ΧΡΙΣΤΟΔΟΥΛΟΣ</t>
  </si>
  <si>
    <t>ΑΜ398108</t>
  </si>
  <si>
    <t>954,8</t>
  </si>
  <si>
    <t>1404,8</t>
  </si>
  <si>
    <t>101-102-103-104</t>
  </si>
  <si>
    <t>ΚΙΛΤΕΝΗ</t>
  </si>
  <si>
    <t>ΒΑΣΙΛΕΙΟΣ</t>
  </si>
  <si>
    <t>ΑΝ018906</t>
  </si>
  <si>
    <t>ΖΙΩΓΑΣ</t>
  </si>
  <si>
    <t>ΑΛΕΞΗΣ</t>
  </si>
  <si>
    <t>ΑΕ658995</t>
  </si>
  <si>
    <t>823,9</t>
  </si>
  <si>
    <t>1383,9</t>
  </si>
  <si>
    <t>ΧΑΔΙΟΥ</t>
  </si>
  <si>
    <t>ΒΑΙΑ</t>
  </si>
  <si>
    <t>Χ894028</t>
  </si>
  <si>
    <t>1373,1</t>
  </si>
  <si>
    <t>ΤΣΙΑΝΟΠΟΥΛΟΥ</t>
  </si>
  <si>
    <t>ΑΝΑΣΤΑΣΙΑ</t>
  </si>
  <si>
    <t>ΑΖ345142</t>
  </si>
  <si>
    <t>818,4</t>
  </si>
  <si>
    <t>1368,4</t>
  </si>
  <si>
    <t>ΔΗΜΟΠΟΥΛΟΣ</t>
  </si>
  <si>
    <t>Χ241679</t>
  </si>
  <si>
    <t>1364,3</t>
  </si>
  <si>
    <t>ΣΤΟΥΦΗ</t>
  </si>
  <si>
    <t>ΑΕ240479</t>
  </si>
  <si>
    <t>ΒΑΝΤΗ</t>
  </si>
  <si>
    <t>ΜΑΡΟΥΣΑ</t>
  </si>
  <si>
    <t>ΑΖ192681</t>
  </si>
  <si>
    <t>859,1</t>
  </si>
  <si>
    <t>1359,1</t>
  </si>
  <si>
    <t>ΚΟΝΤΟΠΟΥΛΟΥ</t>
  </si>
  <si>
    <t>ΑΗ504292</t>
  </si>
  <si>
    <t>756,8</t>
  </si>
  <si>
    <t>1356,8</t>
  </si>
  <si>
    <t>ΜΙΚΑΕΛΙΑΝ</t>
  </si>
  <si>
    <t>ΕΡΝΑ</t>
  </si>
  <si>
    <t>ΓΙΟΥΡΙΚ</t>
  </si>
  <si>
    <t>ΑΖ846117</t>
  </si>
  <si>
    <t>800,8</t>
  </si>
  <si>
    <t>1340,8</t>
  </si>
  <si>
    <t>ΤΣΑΛΙΔΗΣ</t>
  </si>
  <si>
    <t>ΑΝΤΩΝΙΟΣ</t>
  </si>
  <si>
    <t>Χ892621</t>
  </si>
  <si>
    <t>889,9</t>
  </si>
  <si>
    <t>1339,9</t>
  </si>
  <si>
    <t>ΣΤΑΜΑΤΟΠΟΥΛΟΥ</t>
  </si>
  <si>
    <t>ΜΑΡΙΑ-ΑΓΓΕΛΙΚΗ</t>
  </si>
  <si>
    <t>ΑΙ626739</t>
  </si>
  <si>
    <t>939,4</t>
  </si>
  <si>
    <t>1339,4</t>
  </si>
  <si>
    <t>ΓΕΩΡΓΙΑ</t>
  </si>
  <si>
    <t>ΖΩΗ</t>
  </si>
  <si>
    <t>ΑΜ285922</t>
  </si>
  <si>
    <t>1015,3</t>
  </si>
  <si>
    <t>1335,3</t>
  </si>
  <si>
    <t>ΣΠΥΡΙΔΟΠΟΥΛΟΥ</t>
  </si>
  <si>
    <t>ΑΝΤΩΝΙΑ</t>
  </si>
  <si>
    <t>ΠΑΝΑΓΙΩΤΗΣ</t>
  </si>
  <si>
    <t>ΑΗ296307</t>
  </si>
  <si>
    <t>778,8</t>
  </si>
  <si>
    <t>1328,8</t>
  </si>
  <si>
    <t>ΜΑΥΡΟΜΜΑΤΗΣ</t>
  </si>
  <si>
    <t>ΑΙ196850</t>
  </si>
  <si>
    <t>807,4</t>
  </si>
  <si>
    <t>1327,4</t>
  </si>
  <si>
    <t>ΓΡΥΜΑΝΕΛΗ</t>
  </si>
  <si>
    <t>ΑΙΚΑΤΕΡΙΝΗ</t>
  </si>
  <si>
    <t>Χ287410</t>
  </si>
  <si>
    <t>916,3</t>
  </si>
  <si>
    <t>1326,3</t>
  </si>
  <si>
    <t>103-102</t>
  </si>
  <si>
    <t>ΝΤΟΝΤΟΥΛΟΥ</t>
  </si>
  <si>
    <t>ΔΗΙΑΝΕΙΡΑ</t>
  </si>
  <si>
    <t>Χ256165</t>
  </si>
  <si>
    <t>ΕΥΑΓΓΕΛΙΑ</t>
  </si>
  <si>
    <t>ΑΚ260523</t>
  </si>
  <si>
    <t>754,6</t>
  </si>
  <si>
    <t>1314,6</t>
  </si>
  <si>
    <t>ΜΑΘΗΝΟΥ</t>
  </si>
  <si>
    <t>Ρ763801</t>
  </si>
  <si>
    <t>829,4</t>
  </si>
  <si>
    <t>1309,4</t>
  </si>
  <si>
    <t>ΓΑΡΦΕ</t>
  </si>
  <si>
    <t>ΑΓΑΠΗ-ΟΥΙΝΤΑΝΤ</t>
  </si>
  <si>
    <t>ΔΗΜΗΤΡΗΣ</t>
  </si>
  <si>
    <t>ΑΒ043916</t>
  </si>
  <si>
    <t>888,8</t>
  </si>
  <si>
    <t>1308,8</t>
  </si>
  <si>
    <t>ΜΑΝΤΖΑΦΛΕΡΗ</t>
  </si>
  <si>
    <t>ΜΑΡΘΑ ΑΓΓΕΛΙΚΗ</t>
  </si>
  <si>
    <t>ΑΖ161856</t>
  </si>
  <si>
    <t>828,3</t>
  </si>
  <si>
    <t>1308,3</t>
  </si>
  <si>
    <t>ΚΟΥΡΑΝΤΙΔΟΥ</t>
  </si>
  <si>
    <t>ΧΡΥΣΟΥΛΑ</t>
  </si>
  <si>
    <t>Χ772909</t>
  </si>
  <si>
    <t>907,5</t>
  </si>
  <si>
    <t>1307,5</t>
  </si>
  <si>
    <t>ΖΩΓΡΑΦΟΥ</t>
  </si>
  <si>
    <t>ΣΠΥΡΙΔΟΥΛΑ</t>
  </si>
  <si>
    <t>ΑΒ390319</t>
  </si>
  <si>
    <t>ΚΩΝΣΤΑΝΤΙΝΙΔΟΥ</t>
  </si>
  <si>
    <t>ΔΗΜΗΤΡΑ</t>
  </si>
  <si>
    <t>ΑΖ146904</t>
  </si>
  <si>
    <t>920,7</t>
  </si>
  <si>
    <t>1300,7</t>
  </si>
  <si>
    <t>ΚΑΙΤΑΤΖΟΠΟΥΛΟΥ</t>
  </si>
  <si>
    <t>ΑΕ894560</t>
  </si>
  <si>
    <t>ΜΙΚΑΛΕΦ</t>
  </si>
  <si>
    <t>ΣΩΤΗΡΙΟΣ</t>
  </si>
  <si>
    <t>ΑK396078</t>
  </si>
  <si>
    <t>775,5</t>
  </si>
  <si>
    <t>1295,5</t>
  </si>
  <si>
    <t>102-103-101-105-106-104</t>
  </si>
  <si>
    <t>ΖΗΣΗΣ</t>
  </si>
  <si>
    <t>Φ142571</t>
  </si>
  <si>
    <t>960,3</t>
  </si>
  <si>
    <t>1290,3</t>
  </si>
  <si>
    <t>ΚΑΤΣΑΜΠΑΝΗ</t>
  </si>
  <si>
    <t>Χ519838</t>
  </si>
  <si>
    <t>797,5</t>
  </si>
  <si>
    <t>1287,5</t>
  </si>
  <si>
    <t>ΜΠΑΤΣΙΟΥ</t>
  </si>
  <si>
    <t>ΠΑΡΑΣΚΕΥΗ</t>
  </si>
  <si>
    <t>ΑΖ682610</t>
  </si>
  <si>
    <t>ΑΡΧΑΝΙΩΤΗ</t>
  </si>
  <si>
    <t>ΠΗΝΕΛΟΠΗ-ΣΤΥΛΙΑΝΗ</t>
  </si>
  <si>
    <t>Χ561132</t>
  </si>
  <si>
    <t>873,4</t>
  </si>
  <si>
    <t>1283,4</t>
  </si>
  <si>
    <t>ΙΟΡΔΑΝΙΔΟΥ</t>
  </si>
  <si>
    <t>ΑΒ162612</t>
  </si>
  <si>
    <t>1279,4</t>
  </si>
  <si>
    <t>ΛΥΡΟΥΔΗΣ</t>
  </si>
  <si>
    <t>Χ445824</t>
  </si>
  <si>
    <t>ΓΙΑΝΝΑΚΗΣ</t>
  </si>
  <si>
    <t>Χ584883</t>
  </si>
  <si>
    <t>844,8</t>
  </si>
  <si>
    <t>1274,8</t>
  </si>
  <si>
    <t>ΧΑΤΖΗΚΩΝΣΤΑΝΤΙΝΟΥ</t>
  </si>
  <si>
    <t>ΕΥΑΓΓΕΛΟΣ</t>
  </si>
  <si>
    <t>ΑΗ126748</t>
  </si>
  <si>
    <t>1042,8</t>
  </si>
  <si>
    <t>1272,8</t>
  </si>
  <si>
    <t>ΚΟΚΟΡΗ-ΚΟΓΙΑ</t>
  </si>
  <si>
    <t>Χ931651</t>
  </si>
  <si>
    <t>821,7</t>
  </si>
  <si>
    <t>1271,7</t>
  </si>
  <si>
    <t>ΣΤΑΥΡΟΣ</t>
  </si>
  <si>
    <t>ΑΖ870623</t>
  </si>
  <si>
    <t>ΣΚΟΥΜΠΑ</t>
  </si>
  <si>
    <t>ΦΙΛΙΠΠΟΣ</t>
  </si>
  <si>
    <t>ΑΕ037833</t>
  </si>
  <si>
    <t>942,7</t>
  </si>
  <si>
    <t>1262,7</t>
  </si>
  <si>
    <t>ΚΑΡΑΓΕΩΡΓΙΟΥ</t>
  </si>
  <si>
    <t>ΑΖ915830</t>
  </si>
  <si>
    <t>919,6</t>
  </si>
  <si>
    <t>1259,6</t>
  </si>
  <si>
    <t>ΑΝΤΩΝΙΑΔΗΣ</t>
  </si>
  <si>
    <t>ΓΡΗΓΟΡΙΟΣ</t>
  </si>
  <si>
    <t>Χ458396</t>
  </si>
  <si>
    <t>1258,8</t>
  </si>
  <si>
    <t>ΚΑΡΑΘΑΝΟΥ</t>
  </si>
  <si>
    <t>ΒΙΡΓΙΝΙΑ</t>
  </si>
  <si>
    <t>ΑΙ346048</t>
  </si>
  <si>
    <t>938,3</t>
  </si>
  <si>
    <t>1258,3</t>
  </si>
  <si>
    <t>ΒΛΑΧΟΔΗΜΟΣ</t>
  </si>
  <si>
    <t>Φ276523</t>
  </si>
  <si>
    <t>1257,4</t>
  </si>
  <si>
    <t>ΣΑΚΕΛΛΑΡΗΣ</t>
  </si>
  <si>
    <t>Τ234713</t>
  </si>
  <si>
    <t>936,1</t>
  </si>
  <si>
    <t>1256,1</t>
  </si>
  <si>
    <t>ΦΩΤΑΚΑΚΗ</t>
  </si>
  <si>
    <t>ΘΕΟΔΟΣΙΟΣ</t>
  </si>
  <si>
    <t>ΑΑ451498</t>
  </si>
  <si>
    <t>ΚΟΚΚΟΡΗ</t>
  </si>
  <si>
    <t>ΦΩΤΕΙΝΗ</t>
  </si>
  <si>
    <t>Φ067909</t>
  </si>
  <si>
    <t>866,8</t>
  </si>
  <si>
    <t>1246,8</t>
  </si>
  <si>
    <t>ΚΙΟΥΣΗ</t>
  </si>
  <si>
    <t>ΑΙΚΑΤΕΡΙΝΑ</t>
  </si>
  <si>
    <t>ΑΒ523004</t>
  </si>
  <si>
    <t>ΛΙΖΙΔΗΣ</t>
  </si>
  <si>
    <t>ΑΚ011926</t>
  </si>
  <si>
    <t>694,1</t>
  </si>
  <si>
    <t>1244,1</t>
  </si>
  <si>
    <t>ΜΕΛΛΗ</t>
  </si>
  <si>
    <t>ΘΩΜΑΣ</t>
  </si>
  <si>
    <t>ΑΒ366911</t>
  </si>
  <si>
    <t>ΠΟΓΑΡΙΔΟΥ</t>
  </si>
  <si>
    <t>ΑΝΔΡΟΝΙΚΗ</t>
  </si>
  <si>
    <t>Χ891648</t>
  </si>
  <si>
    <t>1239,6</t>
  </si>
  <si>
    <t>ΡΕΒΕΝΑ</t>
  </si>
  <si>
    <t>ΑΓΟΡΗ</t>
  </si>
  <si>
    <t>ΑΕ022038</t>
  </si>
  <si>
    <t>895,4</t>
  </si>
  <si>
    <t>1235,4</t>
  </si>
  <si>
    <t>ΧΑΤΖΗΒΑΣΙΛΕΙΑΔΟΥ</t>
  </si>
  <si>
    <t>ΔΕΣΠΟΙΝΑ</t>
  </si>
  <si>
    <t>Χ448472</t>
  </si>
  <si>
    <t>1234,8</t>
  </si>
  <si>
    <t>ΣΩΤΗΡΙΟΥ</t>
  </si>
  <si>
    <t>ΛΟΥΚΑΣ</t>
  </si>
  <si>
    <t>ΑΚ621908</t>
  </si>
  <si>
    <t>883,3</t>
  </si>
  <si>
    <t>1233,3</t>
  </si>
  <si>
    <t>ΠΑΠΑΕΥΘΥΜΙΟΥ</t>
  </si>
  <si>
    <t>ΘΕΟΔΩΡΑ</t>
  </si>
  <si>
    <t>Σ198579</t>
  </si>
  <si>
    <t>782,1</t>
  </si>
  <si>
    <t>1232,1</t>
  </si>
  <si>
    <t>ΣΟΥΦΛΙΑΣ</t>
  </si>
  <si>
    <t>ΑΑ430562</t>
  </si>
  <si>
    <t>ΧΑΝΙΑΛΑΚΗ</t>
  </si>
  <si>
    <t>ΕΛΕΥΘΕΡΙΑ</t>
  </si>
  <si>
    <t>Χ860396</t>
  </si>
  <si>
    <t>850,3</t>
  </si>
  <si>
    <t>1230,3</t>
  </si>
  <si>
    <t>103-101-102</t>
  </si>
  <si>
    <t>ΛΑΤΣΟΥΡΗ</t>
  </si>
  <si>
    <t>ΓΕΩΡΓΙΑ ΣΟΥΛΤΑΝΑ</t>
  </si>
  <si>
    <t>ΑΑ387126</t>
  </si>
  <si>
    <t>779,9</t>
  </si>
  <si>
    <t>1229,9</t>
  </si>
  <si>
    <t>ΒΑΛΕΡΓΑ</t>
  </si>
  <si>
    <t>ΑΒ232548</t>
  </si>
  <si>
    <t>886,6</t>
  </si>
  <si>
    <t>1226,6</t>
  </si>
  <si>
    <t>ΤΣΙΝΤΙΚΙΔΟΥ</t>
  </si>
  <si>
    <t>ΔΗΜΟΣΘΕΝΗΣ</t>
  </si>
  <si>
    <t>Ρ956419</t>
  </si>
  <si>
    <t>784,3</t>
  </si>
  <si>
    <t>1224,3</t>
  </si>
  <si>
    <t>ΠΑΠΑΝΑΣΤΑΣΙΟΥ</t>
  </si>
  <si>
    <t>ΒΙΚΤΩΡΙΑ</t>
  </si>
  <si>
    <t>ΛΕΩΝΙΔΑΣ</t>
  </si>
  <si>
    <t>ΑΑ035180</t>
  </si>
  <si>
    <t>904,2</t>
  </si>
  <si>
    <t>1224,2</t>
  </si>
  <si>
    <t>ΚΟΡΟΥΓΕΝΗΣ</t>
  </si>
  <si>
    <t>ΕΥΤΥΧΙΟΣ</t>
  </si>
  <si>
    <t>ΑΙ508046</t>
  </si>
  <si>
    <t>733,7</t>
  </si>
  <si>
    <t>1223,7</t>
  </si>
  <si>
    <t>ΒΑΡΘΗ</t>
  </si>
  <si>
    <t>ΣΤΥΛΙΑΝΗ</t>
  </si>
  <si>
    <t>Χ230473</t>
  </si>
  <si>
    <t>811,8</t>
  </si>
  <si>
    <t>1221,8</t>
  </si>
  <si>
    <t>ΧΑΤΖΗΠΑΠΑ</t>
  </si>
  <si>
    <t>ΧΡΙΣΤΟΦΟΡΟΣ</t>
  </si>
  <si>
    <t>ΑΗ427113</t>
  </si>
  <si>
    <t>1221,7</t>
  </si>
  <si>
    <t>ΑΘΑΝΑΣΙΑΔΗ</t>
  </si>
  <si>
    <t>ΧΙΟΝΑ</t>
  </si>
  <si>
    <t>ΑΒ924760</t>
  </si>
  <si>
    <t>ΤΣΙΡΙΔΟΥ</t>
  </si>
  <si>
    <t>ΑΝΑΣΤΑΣΙΑ - ΙΝΩ</t>
  </si>
  <si>
    <t>ΑΒ860095</t>
  </si>
  <si>
    <t>899,8</t>
  </si>
  <si>
    <t>1219,8</t>
  </si>
  <si>
    <t>ΧΑΤΖΗΣΠΥΡΟΥ</t>
  </si>
  <si>
    <t>ΘΕΟΦΙΛΗ</t>
  </si>
  <si>
    <t>Χ224383</t>
  </si>
  <si>
    <t>ΟΙΚΟΝΟΜΟΥ</t>
  </si>
  <si>
    <t>ΑΒ071517</t>
  </si>
  <si>
    <t>768,9</t>
  </si>
  <si>
    <t>1218,9</t>
  </si>
  <si>
    <t>ΤΣΟΥΦΛΙΔΟΥ</t>
  </si>
  <si>
    <t>ΑΕ686921</t>
  </si>
  <si>
    <t>ΠΑΠΑΓΕΩΡΓΙΟΥ</t>
  </si>
  <si>
    <t>ΑΠΟΣΤΟΛΟΣ</t>
  </si>
  <si>
    <t>ΑΚ975064</t>
  </si>
  <si>
    <t>911,9</t>
  </si>
  <si>
    <t>1211,9</t>
  </si>
  <si>
    <t>ΤΣΟΥΠΑΚΗ</t>
  </si>
  <si>
    <t>ΠΑΝΤΕΛΗΣ</t>
  </si>
  <si>
    <t>ΑΖ509931</t>
  </si>
  <si>
    <t>871,2</t>
  </si>
  <si>
    <t>1211,2</t>
  </si>
  <si>
    <t>ΓΕΩΡΓΙΑΔΗΣ</t>
  </si>
  <si>
    <t>ΣΑΒΒΑΣ</t>
  </si>
  <si>
    <t>ΑΙ546687</t>
  </si>
  <si>
    <t>810,7</t>
  </si>
  <si>
    <t>1210,7</t>
  </si>
  <si>
    <t>ΜΥΛΩΝΑ</t>
  </si>
  <si>
    <t>Χ736870</t>
  </si>
  <si>
    <t>ΖΩΓΡΑΦΟΣ</t>
  </si>
  <si>
    <t>Χ249380</t>
  </si>
  <si>
    <t>940,5</t>
  </si>
  <si>
    <t>1210,5</t>
  </si>
  <si>
    <t>ΜΠΑΝΤΑΒΑΝΟΥ</t>
  </si>
  <si>
    <t>ΑΛΕΞΑΝΔΡΑ</t>
  </si>
  <si>
    <t>Ρ895827</t>
  </si>
  <si>
    <t>729,3</t>
  </si>
  <si>
    <t>1209,3</t>
  </si>
  <si>
    <t>ΠΗΧΑ</t>
  </si>
  <si>
    <t>ΚΛΕΑΡΧΟΣ</t>
  </si>
  <si>
    <t>Σ596044</t>
  </si>
  <si>
    <t>ΜΟΣΧΟΒΑ</t>
  </si>
  <si>
    <t>ΑΝΘΟΥΛΑ</t>
  </si>
  <si>
    <t>ΑΜ255484</t>
  </si>
  <si>
    <t>1208,4</t>
  </si>
  <si>
    <t>ΑΖ374835</t>
  </si>
  <si>
    <t>787,6</t>
  </si>
  <si>
    <t>1207,6</t>
  </si>
  <si>
    <t>ΙΑΤΡΙΔΗΣ</t>
  </si>
  <si>
    <t>ΕΥΑΓΓΕΛΟΣ ΚΩΝ</t>
  </si>
  <si>
    <t>ΕΥΘΥΜΙΟΣ ΗΛ</t>
  </si>
  <si>
    <t>ΑΜ228150</t>
  </si>
  <si>
    <t>Ρούσσου</t>
  </si>
  <si>
    <t>Αγγελική Λουίζα</t>
  </si>
  <si>
    <t>Ανδρέας</t>
  </si>
  <si>
    <t>Χ656574</t>
  </si>
  <si>
    <t>837,1</t>
  </si>
  <si>
    <t>1207,1</t>
  </si>
  <si>
    <t>ΠΑΠΑΣΤΕΡΓΙΟΥ</t>
  </si>
  <si>
    <t>ΑΗ822558</t>
  </si>
  <si>
    <t>1206,8</t>
  </si>
  <si>
    <t>ΚΑΡΑΚΑΣΗ</t>
  </si>
  <si>
    <t>ΚΥΡΙΑΚΗ</t>
  </si>
  <si>
    <t>ΑΒ860415</t>
  </si>
  <si>
    <t>ΚΟΥΤΟΥΛΙΔΟΥ</t>
  </si>
  <si>
    <t>ΑΕ211371</t>
  </si>
  <si>
    <t>1203,7</t>
  </si>
  <si>
    <t>ΒΟΥΛΒΟΥΚΕΛΗ</t>
  </si>
  <si>
    <t>ΙΩΑΝΝΑ-ΜΑΡΙΑ</t>
  </si>
  <si>
    <t>Φ184947</t>
  </si>
  <si>
    <t>773,3</t>
  </si>
  <si>
    <t>1203,3</t>
  </si>
  <si>
    <t>ΣΑΒΒΙΔΟΥ</t>
  </si>
  <si>
    <t>Σ984004</t>
  </si>
  <si>
    <t>900,9</t>
  </si>
  <si>
    <t>1200,9</t>
  </si>
  <si>
    <t>ΔΟΥΓΑΛΗ</t>
  </si>
  <si>
    <t>Χ393052</t>
  </si>
  <si>
    <t>1200,3</t>
  </si>
  <si>
    <t>ΜΑΝΩΛΙΔΑΚΗ</t>
  </si>
  <si>
    <t>ΕΜΜΑΝΟΥΕΛΑ</t>
  </si>
  <si>
    <t>ΜΑΡΙΝΟΣ</t>
  </si>
  <si>
    <t>ΑΒ478519</t>
  </si>
  <si>
    <t>1199,1</t>
  </si>
  <si>
    <t>ΜΠΟΣΚΟΥ</t>
  </si>
  <si>
    <t>ΑΙ156603</t>
  </si>
  <si>
    <t>1198,3</t>
  </si>
  <si>
    <t>ΚΑΡΥΟΦΥΛΛΙΔΟΥ</t>
  </si>
  <si>
    <t>ΑΑ408125</t>
  </si>
  <si>
    <t>867,9</t>
  </si>
  <si>
    <t>1197,9</t>
  </si>
  <si>
    <t>ΚΑΝΕΛΛΟΥ</t>
  </si>
  <si>
    <t>ΑΑ024527</t>
  </si>
  <si>
    <t>1196,7</t>
  </si>
  <si>
    <t>ΣΙΟΥΛΑ</t>
  </si>
  <si>
    <t>ΑΘΗΝΑ</t>
  </si>
  <si>
    <t>ΑΕ361049</t>
  </si>
  <si>
    <t>ΧΑΤΖΟΓΛΟΥ</t>
  </si>
  <si>
    <t>ΑΙ523333</t>
  </si>
  <si>
    <t>893,2</t>
  </si>
  <si>
    <t>1193,2</t>
  </si>
  <si>
    <t>102-101</t>
  </si>
  <si>
    <t>ΚΑΛΑΙΤΖΙΔΟΥ</t>
  </si>
  <si>
    <t>ΣΟΦΙΑ</t>
  </si>
  <si>
    <t>ΑΗ674174</t>
  </si>
  <si>
    <t>722,7</t>
  </si>
  <si>
    <t>1192,7</t>
  </si>
  <si>
    <t>104-101-102-105-103-106</t>
  </si>
  <si>
    <t>ΔΑΛΑΚΟΥΡΑ</t>
  </si>
  <si>
    <t>ΑΑ466690</t>
  </si>
  <si>
    <t>1191,7</t>
  </si>
  <si>
    <t>ΧΑΤΖΗ</t>
  </si>
  <si>
    <t>ΜΑΡΙΑ-ΕΙΡΗΝΗ</t>
  </si>
  <si>
    <t>ΑΜ746419</t>
  </si>
  <si>
    <t>851,4</t>
  </si>
  <si>
    <t>1191,4</t>
  </si>
  <si>
    <t>ΠΑΠΑΔΟΠΟΥΛΟΥ</t>
  </si>
  <si>
    <t>ΚΩΝΣΤΑΝΤΙΝΑ -ΑΡΤΕΜΙΣ</t>
  </si>
  <si>
    <t>ΑΖ107794</t>
  </si>
  <si>
    <t>1050,5</t>
  </si>
  <si>
    <t>1190,5</t>
  </si>
  <si>
    <t>ΜΠΑΜΠΑΧΜΙΔΟΥ</t>
  </si>
  <si>
    <t>ΑΝ423512</t>
  </si>
  <si>
    <t>1190,4</t>
  </si>
  <si>
    <t>ΤΖΟΥΝΟΠΟΥΛΟΥ</t>
  </si>
  <si>
    <t>ΜΑΡΙΑΝΘΗ</t>
  </si>
  <si>
    <t>Χ848204</t>
  </si>
  <si>
    <t>1188,9</t>
  </si>
  <si>
    <t>ΒΟΥΛΓΑΡΗ</t>
  </si>
  <si>
    <t>ΑΗ278355</t>
  </si>
  <si>
    <t>838,2</t>
  </si>
  <si>
    <t>1188,2</t>
  </si>
  <si>
    <t>ΓΚΟΓΚΟΥ</t>
  </si>
  <si>
    <t>Χ233077</t>
  </si>
  <si>
    <t>1187,4</t>
  </si>
  <si>
    <t>ΜΗΛΑΚΗ</t>
  </si>
  <si>
    <t>ΑΑ366502</t>
  </si>
  <si>
    <t>ΠΑΡΑΣΧΟΥ</t>
  </si>
  <si>
    <t>ΑΙ354446</t>
  </si>
  <si>
    <t>915,2</t>
  </si>
  <si>
    <t>1185,2</t>
  </si>
  <si>
    <t>ΣΑΛΑΠΑΤΑΣ</t>
  </si>
  <si>
    <t>ΑΙ243299</t>
  </si>
  <si>
    <t>805,2</t>
  </si>
  <si>
    <t>ΒΑΡΒΕΡΗ</t>
  </si>
  <si>
    <t>ΜΑΡΙΕΤΤΑ</t>
  </si>
  <si>
    <t>Χ017432</t>
  </si>
  <si>
    <t>1185,1</t>
  </si>
  <si>
    <t>ΓΙΟΒΑΝΟΠΟΥΛΟΥ</t>
  </si>
  <si>
    <t>ΑΜ42353</t>
  </si>
  <si>
    <t>1183,2</t>
  </si>
  <si>
    <t>ΖΑΡΑΛΗ</t>
  </si>
  <si>
    <t>ΛΑΜΠΡΙΝΗ</t>
  </si>
  <si>
    <t>Ρ978606</t>
  </si>
  <si>
    <t>ΧΑΤΖΗΧΡΙΣΤΟΦΗ</t>
  </si>
  <si>
    <t>ΣΤΕΦΑΝΙΑ</t>
  </si>
  <si>
    <t>ΑΕ620164</t>
  </si>
  <si>
    <t>750,2</t>
  </si>
  <si>
    <t>1180,2</t>
  </si>
  <si>
    <t>ΚΑΔΕΝΑ</t>
  </si>
  <si>
    <t>ΚΑΤΕΡΙΝΑ</t>
  </si>
  <si>
    <t>ΣΠΥΡΟΣ</t>
  </si>
  <si>
    <t>ΑΗ566261</t>
  </si>
  <si>
    <t>1179,8</t>
  </si>
  <si>
    <t>ΡΑΠΤΗ</t>
  </si>
  <si>
    <t>ΚΩΝΣΤΑΝΤΙΝΑ</t>
  </si>
  <si>
    <t>Τ014777</t>
  </si>
  <si>
    <t>1178,9</t>
  </si>
  <si>
    <t>ΜΑΡΚΟΥ</t>
  </si>
  <si>
    <t>ΟΥΡΑΝΙΑ</t>
  </si>
  <si>
    <t>Τ795456</t>
  </si>
  <si>
    <t>1178,8</t>
  </si>
  <si>
    <t>ΜΠΡΟΥΖΟΣ</t>
  </si>
  <si>
    <t>ΑΖ543465</t>
  </si>
  <si>
    <t>1178,2</t>
  </si>
  <si>
    <t>ΜΠΟΥΛΜΕΤΗ</t>
  </si>
  <si>
    <t>ΑΗ579256</t>
  </si>
  <si>
    <t>ΔΗΜΗΤΡΙΑΔΟΥ</t>
  </si>
  <si>
    <t xml:space="preserve">ΝΑΝΤΙΑ </t>
  </si>
  <si>
    <t xml:space="preserve">ΕΥΑΓΓΕΛΟΣ </t>
  </si>
  <si>
    <t>ΑΒ693185</t>
  </si>
  <si>
    <t>ΜΑΜΑΣ</t>
  </si>
  <si>
    <t>ΑΙ593503</t>
  </si>
  <si>
    <t>ΛΕΟΝΤΣΙΝΗΣ</t>
  </si>
  <si>
    <t>Ρ160863</t>
  </si>
  <si>
    <t>1175,5</t>
  </si>
  <si>
    <t>ΜΥΣΤΡΙΩΤΗ</t>
  </si>
  <si>
    <t>ΓΡΗΓΟΡΙΑ</t>
  </si>
  <si>
    <t>ΑΚ367781</t>
  </si>
  <si>
    <t>804,1</t>
  </si>
  <si>
    <t>1174,1</t>
  </si>
  <si>
    <t>ΠΕΡΡΟΥ</t>
  </si>
  <si>
    <t>ΧΡΙΣΤΙΝΑ</t>
  </si>
  <si>
    <t>ΑΒ812884</t>
  </si>
  <si>
    <t>783,2</t>
  </si>
  <si>
    <t>1173,2</t>
  </si>
  <si>
    <t>ΘΕΜΕΛΗ</t>
  </si>
  <si>
    <t>ΗΛΙΑΝΑ</t>
  </si>
  <si>
    <t>ΑΑ135023</t>
  </si>
  <si>
    <t>1173,1</t>
  </si>
  <si>
    <t>ΝΟΥΤΣΗΣ</t>
  </si>
  <si>
    <t>ΑΑ233644</t>
  </si>
  <si>
    <t>742,5</t>
  </si>
  <si>
    <t>1172,5</t>
  </si>
  <si>
    <t>ΚΑΡΑΧΟΝΤΖΙΤΗ</t>
  </si>
  <si>
    <t>ΑΖ110532</t>
  </si>
  <si>
    <t>762,3</t>
  </si>
  <si>
    <t>1172,3</t>
  </si>
  <si>
    <t>ΛΕΣΤΟΣ</t>
  </si>
  <si>
    <t>ΑΡΜΑΝΔΟΣ - ΑΛΕΞΑΝΔΟΣ</t>
  </si>
  <si>
    <t>ΘΕΜΙΣΤΟΚΛΗΣ</t>
  </si>
  <si>
    <t>ΑΚ211698</t>
  </si>
  <si>
    <t>751,3</t>
  </si>
  <si>
    <t>1171,3</t>
  </si>
  <si>
    <t>ΚΟΝΤΕΑ</t>
  </si>
  <si>
    <t>ΑΗ028476</t>
  </si>
  <si>
    <t>771,1</t>
  </si>
  <si>
    <t>1171,1</t>
  </si>
  <si>
    <t>ΧΑΤΖΗΧΡΗΣΤΟΥ</t>
  </si>
  <si>
    <t>ΟΛΥΜΠΙΑ</t>
  </si>
  <si>
    <t>ΧΡΗΣΤΟΣ-ΦΙΛΩΤΑΣ</t>
  </si>
  <si>
    <t>Ξ671601</t>
  </si>
  <si>
    <t>ΣΑΡΠΟΤΑ</t>
  </si>
  <si>
    <t>ΙΦΙΓΕΝΕΙΑ</t>
  </si>
  <si>
    <t>Χ750062</t>
  </si>
  <si>
    <t>830,5</t>
  </si>
  <si>
    <t>1170,5</t>
  </si>
  <si>
    <t>ΣΠΑΘΗ</t>
  </si>
  <si>
    <t>ΘΕΩΝΗ</t>
  </si>
  <si>
    <t>ΑΜ600909</t>
  </si>
  <si>
    <t>720,5</t>
  </si>
  <si>
    <t>105-102-106-103</t>
  </si>
  <si>
    <t>ΒΟΥΔΟΥΡΗΣ</t>
  </si>
  <si>
    <t>Χ950718</t>
  </si>
  <si>
    <t>1170,3</t>
  </si>
  <si>
    <t>ΠΕΓΙΟΣ</t>
  </si>
  <si>
    <t>Φ470375</t>
  </si>
  <si>
    <t>1170,2</t>
  </si>
  <si>
    <t>ΠΑΙΤΟΤΣΟΓΛΟΥ</t>
  </si>
  <si>
    <t>ΠΡΟΔΡΟΜΟΣ</t>
  </si>
  <si>
    <t>ΑΗ379412</t>
  </si>
  <si>
    <t>819,5</t>
  </si>
  <si>
    <t>1169,5</t>
  </si>
  <si>
    <t>ΔΑΝΟΥΣΗ</t>
  </si>
  <si>
    <t>ΑΡΤΕΜΙΣ</t>
  </si>
  <si>
    <t>ΑΚ244738</t>
  </si>
  <si>
    <t>1169,4</t>
  </si>
  <si>
    <t>ΤΣΙΜΗΤΡΗ</t>
  </si>
  <si>
    <t>ΑΕ845474</t>
  </si>
  <si>
    <t>848,1</t>
  </si>
  <si>
    <t>1168,1</t>
  </si>
  <si>
    <t>ΓΕΩΡΓΟΠΟΥΛΟΣ</t>
  </si>
  <si>
    <t>ΕΥΘΥΜΙΟΣ ΦΟΙΒΟΣ</t>
  </si>
  <si>
    <t>Χ545492</t>
  </si>
  <si>
    <t>776,6</t>
  </si>
  <si>
    <t>1166,6</t>
  </si>
  <si>
    <t>ΜΠΑΚΑΛΗ</t>
  </si>
  <si>
    <t>ΑΓΓΕΛΙΚΗ</t>
  </si>
  <si>
    <t>ΑΙ692499</t>
  </si>
  <si>
    <t>826,1</t>
  </si>
  <si>
    <t>1166,1</t>
  </si>
  <si>
    <t>ΓΕΩΡΓΑΚΟΠΟΥΛΟΥ</t>
  </si>
  <si>
    <t>ΑΕ221965</t>
  </si>
  <si>
    <t>ΒΕΝΕΤΟΠΟΥΛΟΣ</t>
  </si>
  <si>
    <t>ΑΑ245327</t>
  </si>
  <si>
    <t>905,3</t>
  </si>
  <si>
    <t>1165,3</t>
  </si>
  <si>
    <t>ΜΠΑΡΜΠΑΣ</t>
  </si>
  <si>
    <t>ΑΖ641661</t>
  </si>
  <si>
    <t>1165,2</t>
  </si>
  <si>
    <t>ΠΟΙΜΕΝΙΔΟΥ</t>
  </si>
  <si>
    <t>Π975551</t>
  </si>
  <si>
    <t>843,7</t>
  </si>
  <si>
    <t>1163,7</t>
  </si>
  <si>
    <t>ΜΠΑΚΑ</t>
  </si>
  <si>
    <t>ΣΤΕΡΓΙΟΣ</t>
  </si>
  <si>
    <t>ΑΚ880270</t>
  </si>
  <si>
    <t>1163,3</t>
  </si>
  <si>
    <t>ΚΟΥΣΤΕΝΗ</t>
  </si>
  <si>
    <t>ΕΥΓΕΝΙΑ</t>
  </si>
  <si>
    <t>ΑΕ000087</t>
  </si>
  <si>
    <t>103-101</t>
  </si>
  <si>
    <t>ΣΙΒΕΝΑ</t>
  </si>
  <si>
    <t>ΕΛΠΙΔΑ</t>
  </si>
  <si>
    <t>ΑΜ863821</t>
  </si>
  <si>
    <t>752,4</t>
  </si>
  <si>
    <t>1162,4</t>
  </si>
  <si>
    <t>ΠΑΠΑΙΩΑΝΝΟΥ</t>
  </si>
  <si>
    <t>ΑΜ275376</t>
  </si>
  <si>
    <t>1161,8</t>
  </si>
  <si>
    <t>ΣΤΑΘΑΤΟΣ</t>
  </si>
  <si>
    <t>ΓΕΡΑΣΙΜΟΣ ΣΤΕΦΑΝΟΣ</t>
  </si>
  <si>
    <t>Φ356165</t>
  </si>
  <si>
    <t>761,2</t>
  </si>
  <si>
    <t>1161,2</t>
  </si>
  <si>
    <t>ΚΩΣΤΟΠΟΥΛΟΥ</t>
  </si>
  <si>
    <t>ΑΛΚΗΣΤΗ</t>
  </si>
  <si>
    <t>ΑΒ668959</t>
  </si>
  <si>
    <t>1160,4</t>
  </si>
  <si>
    <t>ΚΥΡΙΑΖΟΠΟΥΛΟΣ</t>
  </si>
  <si>
    <t>ΑΧΙΛΛΕΑΣ</t>
  </si>
  <si>
    <t>ΑΜ686299</t>
  </si>
  <si>
    <t>ΚΑΛΟΓΗΡΟΥ</t>
  </si>
  <si>
    <t>ΚΥΡΙΑΚΟΣ</t>
  </si>
  <si>
    <t>ΑΖ562588</t>
  </si>
  <si>
    <t>789,8</t>
  </si>
  <si>
    <t>1159,8</t>
  </si>
  <si>
    <t>ΣΤΑΦΥΛΙΔΟΥ</t>
  </si>
  <si>
    <t>ΑΚ882923</t>
  </si>
  <si>
    <t>1157,6</t>
  </si>
  <si>
    <t>ΚΑΚΑΖΑΝΗ</t>
  </si>
  <si>
    <t>ΚΡΥΣΤΑΛΙΑ</t>
  </si>
  <si>
    <t>Χ966417</t>
  </si>
  <si>
    <t>817,3</t>
  </si>
  <si>
    <t>1157,3</t>
  </si>
  <si>
    <t>ΜΠΕΡΓΕΛΕ</t>
  </si>
  <si>
    <t>Χ597087</t>
  </si>
  <si>
    <t>727,1</t>
  </si>
  <si>
    <t>1157,1</t>
  </si>
  <si>
    <t>ΒΛΑΣΤΟΥ</t>
  </si>
  <si>
    <t>ΑΡΕΤΗ</t>
  </si>
  <si>
    <t>ΣΤΥΛΙΑΝΟΣ ΑΝΔΡΟΝΙΚΟΣ</t>
  </si>
  <si>
    <t>ΑΒ664889</t>
  </si>
  <si>
    <t>746,9</t>
  </si>
  <si>
    <t>1156,9</t>
  </si>
  <si>
    <t>ΑΓΙΟΣΤΡΑΤΙΤΗ</t>
  </si>
  <si>
    <t>ΑΚ220007</t>
  </si>
  <si>
    <t>1156,8</t>
  </si>
  <si>
    <t>ΚΟΥΤΣΟΥΠΙΑ</t>
  </si>
  <si>
    <t>ΑΚ134939</t>
  </si>
  <si>
    <t>1156,7</t>
  </si>
  <si>
    <t>ΚΥΜΠΟΥΡΗΣ</t>
  </si>
  <si>
    <t>ΑΙ231243</t>
  </si>
  <si>
    <t>ΚΑΛΟΓΕΡΑΚΗ</t>
  </si>
  <si>
    <t>ΑΜ686753</t>
  </si>
  <si>
    <t>ΠΕΡΠΕΡΙΔΟΥ</t>
  </si>
  <si>
    <t>ΑΜ295360</t>
  </si>
  <si>
    <t>ΡΙΖΟΥ</t>
  </si>
  <si>
    <t>ΜΑΡΙΑ-ΕΛΕΝΗ</t>
  </si>
  <si>
    <t>ΑΝΑΡΓΥΡΟΣ</t>
  </si>
  <si>
    <t>Χ482572</t>
  </si>
  <si>
    <t>744,7</t>
  </si>
  <si>
    <t>1154,7</t>
  </si>
  <si>
    <t>ΠΟΛΥΓΕΝΗ</t>
  </si>
  <si>
    <t>Σ527681</t>
  </si>
  <si>
    <t>884,4</t>
  </si>
  <si>
    <t>1154,4</t>
  </si>
  <si>
    <t>ΧΡΙΣΤΟΔΟΥΛΟΠΟΥΛΟΥ</t>
  </si>
  <si>
    <t>ΠΗΝΕΛΟΠΗ -ΔΑΝΑΗ</t>
  </si>
  <si>
    <t>ΑΖ020183</t>
  </si>
  <si>
    <t>ΜΥΡΤΩ</t>
  </si>
  <si>
    <t>ΑΕ337502</t>
  </si>
  <si>
    <t>1153,9</t>
  </si>
  <si>
    <t>ΜΕΝΤΗ</t>
  </si>
  <si>
    <t>ΑΓΛΑΙΑ</t>
  </si>
  <si>
    <t>Τ056149</t>
  </si>
  <si>
    <t>833,8</t>
  </si>
  <si>
    <t>1153,8</t>
  </si>
  <si>
    <t>ΜΠΟΥΤΖΕΤΗΣ</t>
  </si>
  <si>
    <t>ΑΚ904197</t>
  </si>
  <si>
    <t>ΛΑΣΘΙΩΤΑΚΗΣ</t>
  </si>
  <si>
    <t>ΑΕ698641</t>
  </si>
  <si>
    <t>892,1</t>
  </si>
  <si>
    <t>1152,1</t>
  </si>
  <si>
    <t>ΧΑΤΖΗΠΑΝΑΓΙΩΤΟΥ</t>
  </si>
  <si>
    <t>ΗΛΕΚΤΡΑ</t>
  </si>
  <si>
    <t>ΑΙ672981</t>
  </si>
  <si>
    <t>1151,8</t>
  </si>
  <si>
    <t>ΚΑΤΣΑΜΑΚΗΣ</t>
  </si>
  <si>
    <t>Φ275428</t>
  </si>
  <si>
    <t>721,6</t>
  </si>
  <si>
    <t>1151,6</t>
  </si>
  <si>
    <t>ΑΖ289649</t>
  </si>
  <si>
    <t>1150,7</t>
  </si>
  <si>
    <t>ΣΤΑΘΟΠΟΥΛΟΥ</t>
  </si>
  <si>
    <t>ΔΙΟΝΥΣΙΟΣ</t>
  </si>
  <si>
    <t>ΑΚ506808</t>
  </si>
  <si>
    <t>709,5</t>
  </si>
  <si>
    <t>1149,5</t>
  </si>
  <si>
    <t>ΧΑΤΖΗΠΑΥΛΟΥ</t>
  </si>
  <si>
    <t>Φ167669</t>
  </si>
  <si>
    <t>1149,1</t>
  </si>
  <si>
    <t>101-104-102-103-105-106</t>
  </si>
  <si>
    <t>ΡΗΓΑΣ</t>
  </si>
  <si>
    <t>ΑΕ092694</t>
  </si>
  <si>
    <t>1148,8</t>
  </si>
  <si>
    <t>ΤΣΙΤΣΕΛΛΗ</t>
  </si>
  <si>
    <t>ΕΥΡΙΠΙΔΗΣ</t>
  </si>
  <si>
    <t>ΑΜ507661</t>
  </si>
  <si>
    <t>ΓΕΩΡΓΙΑΔΟΥ</t>
  </si>
  <si>
    <t>ΣΩΤΗΡΙΑ</t>
  </si>
  <si>
    <t>Χ894641</t>
  </si>
  <si>
    <t>718,3</t>
  </si>
  <si>
    <t>1148,3</t>
  </si>
  <si>
    <t>ΜΑΝΟΥΣΑΚΗ</t>
  </si>
  <si>
    <t>ΚΛΕΟΝΙΚΗ</t>
  </si>
  <si>
    <t>ΑΒ328821</t>
  </si>
  <si>
    <t>1147,4</t>
  </si>
  <si>
    <t>ΑΝΑΓΝΩΣΤΟΠΟΥΛΟΥ</t>
  </si>
  <si>
    <t>ΟΛΓΑ</t>
  </si>
  <si>
    <t>ΑΚ711992</t>
  </si>
  <si>
    <t>ΔΡΑΓΑΝΗ</t>
  </si>
  <si>
    <t>ΚΑΛΛΙΣΘΕΝΗΣ</t>
  </si>
  <si>
    <t>Χ629340</t>
  </si>
  <si>
    <t>1146,8</t>
  </si>
  <si>
    <t>ΣΕΡΛΗ</t>
  </si>
  <si>
    <t>ΑΒ630719</t>
  </si>
  <si>
    <t>806,3</t>
  </si>
  <si>
    <t>1146,3</t>
  </si>
  <si>
    <t>ΤΟΥΜΑΝΙΔΟΥ</t>
  </si>
  <si>
    <t>ΜΥΡΟΦΟΡΑ</t>
  </si>
  <si>
    <t>Χ451029</t>
  </si>
  <si>
    <t>1144,6</t>
  </si>
  <si>
    <t>ΠΑΣΧΟΥΔΗ</t>
  </si>
  <si>
    <t>ΝΙΚΟΛΕΤΑ</t>
  </si>
  <si>
    <t>ΑΗ165250</t>
  </si>
  <si>
    <t>1144,1</t>
  </si>
  <si>
    <t>ΜΠΡΑΜΗ</t>
  </si>
  <si>
    <t>Χ516704</t>
  </si>
  <si>
    <t>1143,7</t>
  </si>
  <si>
    <t>ΝΤΕΝΤΑ</t>
  </si>
  <si>
    <t>ΑΕ809685</t>
  </si>
  <si>
    <t>673,2</t>
  </si>
  <si>
    <t>1143,2</t>
  </si>
  <si>
    <t>ΝΙΚΟΛΑΟΥ</t>
  </si>
  <si>
    <t>ΑΕ724564</t>
  </si>
  <si>
    <t>793,1</t>
  </si>
  <si>
    <t>1143,1</t>
  </si>
  <si>
    <t>105-106-104-102-103-101</t>
  </si>
  <si>
    <t>ΧΑΤΖΗΤΣΙΡΑΚΟΓΛΟΥ</t>
  </si>
  <si>
    <t>ΧΑΡΟΥΛΑ</t>
  </si>
  <si>
    <t>ΑΙ717168</t>
  </si>
  <si>
    <t>1142,7</t>
  </si>
  <si>
    <t>ΝΤΟΥΓΙΑ</t>
  </si>
  <si>
    <t>ΓΑΒΡΙΗΛ</t>
  </si>
  <si>
    <t>ΑΕ289390</t>
  </si>
  <si>
    <t>632,5</t>
  </si>
  <si>
    <t>1142,5</t>
  </si>
  <si>
    <t>102-103-105-106</t>
  </si>
  <si>
    <t>ΚΑΚΑΙΔΗ</t>
  </si>
  <si>
    <t>ΠΑΡΘΕΝΟΠΗ</t>
  </si>
  <si>
    <t>Χ020814</t>
  </si>
  <si>
    <t>1142,4</t>
  </si>
  <si>
    <t>ΜΑΝΩΛΑΚΗ</t>
  </si>
  <si>
    <t>ΑΓΓΕΛΟΣ</t>
  </si>
  <si>
    <t>Χ395949</t>
  </si>
  <si>
    <t>1141,6</t>
  </si>
  <si>
    <t>ΔΕΛΗ</t>
  </si>
  <si>
    <t>ΣΤΑΥΡΟΥΛΑ</t>
  </si>
  <si>
    <t>ΑΗ873279</t>
  </si>
  <si>
    <t>1141,1</t>
  </si>
  <si>
    <t>ΜΙΧΑΗΛΙΔΟΥ</t>
  </si>
  <si>
    <t>ΕΡΣΗ</t>
  </si>
  <si>
    <t>Χ083639</t>
  </si>
  <si>
    <t>790,9</t>
  </si>
  <si>
    <t>1140,9</t>
  </si>
  <si>
    <t>ΓΕΩΡΓΟΠΟΥΛΟΥ</t>
  </si>
  <si>
    <t>ΑΚ510705</t>
  </si>
  <si>
    <t xml:space="preserve">ΓΡΗΓΟΡΙΟΣ </t>
  </si>
  <si>
    <t>ΑΙ186890</t>
  </si>
  <si>
    <t>ΚΑΚΚΑΒΟΥ</t>
  </si>
  <si>
    <t>ΑΖ739068</t>
  </si>
  <si>
    <t>820,6</t>
  </si>
  <si>
    <t>1140,6</t>
  </si>
  <si>
    <t>ΓΙΟΒΑΝΟΥΔΑ</t>
  </si>
  <si>
    <t>ΑΚΡΙΒΗ</t>
  </si>
  <si>
    <t>ΒΑΡΣΑΜΗΣ</t>
  </si>
  <si>
    <t>Φ152566</t>
  </si>
  <si>
    <t>ΜΠΟΥΖΜΠΑ</t>
  </si>
  <si>
    <t>Χ947818</t>
  </si>
  <si>
    <t>ΤΑΝΙΟΥ</t>
  </si>
  <si>
    <t>ΑΙ370232</t>
  </si>
  <si>
    <t>1140,4</t>
  </si>
  <si>
    <t>ΜΙΧΑΛΑΚΟΠΟΥΛΟΥ</t>
  </si>
  <si>
    <t>ΑΗ571998</t>
  </si>
  <si>
    <t>1139,1</t>
  </si>
  <si>
    <t>ΚΑΡΟΥΣΟΥ</t>
  </si>
  <si>
    <t>ΔΙΟΝΥΣΙΑ</t>
  </si>
  <si>
    <t>ΑΕ541019</t>
  </si>
  <si>
    <t>ΣΤΑΜΟΥ</t>
  </si>
  <si>
    <t>ΤΡΙΑΝΤΑΦΥΛΛΟΣ</t>
  </si>
  <si>
    <t>ΑΙ147421</t>
  </si>
  <si>
    <t>798,6</t>
  </si>
  <si>
    <t>1138,6</t>
  </si>
  <si>
    <t>ΚΑΖΙΑΝΗ</t>
  </si>
  <si>
    <t>ΑΝΝΑ</t>
  </si>
  <si>
    <t>Χ216089</t>
  </si>
  <si>
    <t>1137,5</t>
  </si>
  <si>
    <t>ΒΑΒΑΡΟΥΤΣΟΥ</t>
  </si>
  <si>
    <t>ΣΠΥΡΙΔΩΝ</t>
  </si>
  <si>
    <t>ΑΖ629709</t>
  </si>
  <si>
    <t>1137,3</t>
  </si>
  <si>
    <t>ΓΚΑΜΠΕΤΑ</t>
  </si>
  <si>
    <t>ΑΑ430179</t>
  </si>
  <si>
    <t>ΕΥΘΥΜΙΑ</t>
  </si>
  <si>
    <t>ΑΗ555948</t>
  </si>
  <si>
    <t>1137,1</t>
  </si>
  <si>
    <t>ΤΑΚΦΟΡΙΔΟΥ</t>
  </si>
  <si>
    <t>ΧΡΥΣΑΝΘΗ</t>
  </si>
  <si>
    <t>ΑΑ339393</t>
  </si>
  <si>
    <t>1136,8</t>
  </si>
  <si>
    <t>ΠΑΠΑΤΣΟΥΤΣΟΥ</t>
  </si>
  <si>
    <t>ΕΛΕΝΗ-ΝΟΡΑ</t>
  </si>
  <si>
    <t>ΑΗ641271</t>
  </si>
  <si>
    <t>735,9</t>
  </si>
  <si>
    <t>1135,9</t>
  </si>
  <si>
    <t>ΚΟΥΒΑΤΑ</t>
  </si>
  <si>
    <t>ΦΛΩΡΑ</t>
  </si>
  <si>
    <t>ΑΙ188465</t>
  </si>
  <si>
    <t>1135,5</t>
  </si>
  <si>
    <t>ΣΙΓΑΝΟΥ</t>
  </si>
  <si>
    <t>ΒΑΡΒΑΡΑ</t>
  </si>
  <si>
    <t>Χ704654</t>
  </si>
  <si>
    <t>1135,2</t>
  </si>
  <si>
    <t>ΓΕΩΡΓΙΟΥ</t>
  </si>
  <si>
    <t>Σ038653</t>
  </si>
  <si>
    <t>1134,8</t>
  </si>
  <si>
    <t>102-103-106</t>
  </si>
  <si>
    <t>ΠΑΠΑΔΗΜΗΤΡΑΚΗ</t>
  </si>
  <si>
    <t>ΑΙ179922</t>
  </si>
  <si>
    <t>1134,6</t>
  </si>
  <si>
    <t>ΚΑΡΑΤΖΑ</t>
  </si>
  <si>
    <t>ΑΖ665322</t>
  </si>
  <si>
    <t>ΕΥΑΓΓΕΛΟΥ</t>
  </si>
  <si>
    <t>ΑΖ799672</t>
  </si>
  <si>
    <t>1133,8</t>
  </si>
  <si>
    <t>ΜΠΟΥΧΑΓΙΕΡ</t>
  </si>
  <si>
    <t>ΑΡΙΣΤΕΙΔΗΣ</t>
  </si>
  <si>
    <t>ΑΙ209729</t>
  </si>
  <si>
    <t>ΚΟΤΣΟΒΟΥ</t>
  </si>
  <si>
    <t>ΑΡΓΥΡΟΥΛΑ</t>
  </si>
  <si>
    <t>ΑΜ990825</t>
  </si>
  <si>
    <t>743,6</t>
  </si>
  <si>
    <t>1133,6</t>
  </si>
  <si>
    <t>ΒΕΝΕΤΗ ΠΑΓΩΝΗ</t>
  </si>
  <si>
    <t>Φ093466</t>
  </si>
  <si>
    <t>1133,4</t>
  </si>
  <si>
    <t>ΔΟΥΤΣΙΝΗ</t>
  </si>
  <si>
    <t>Σ469177</t>
  </si>
  <si>
    <t>1132,5</t>
  </si>
  <si>
    <t>ΚΑΛΑΙΤΖΙΔΗΣ</t>
  </si>
  <si>
    <t>ΛΑΖΑΡΟΣ</t>
  </si>
  <si>
    <t>ΠΑΝΤΕΛΕΗΜΩΝ</t>
  </si>
  <si>
    <t>ΑΜ838015</t>
  </si>
  <si>
    <t>ΤΣΙΡΟΓΛΟΥ</t>
  </si>
  <si>
    <t>ΕΥΘΑΛΙΑ</t>
  </si>
  <si>
    <t>Χ507454</t>
  </si>
  <si>
    <t>ΑΗ797065</t>
  </si>
  <si>
    <t>701,8</t>
  </si>
  <si>
    <t>1131,8</t>
  </si>
  <si>
    <t>ΧΡΙΣΤΙΑΝΑ</t>
  </si>
  <si>
    <t>Χ864095</t>
  </si>
  <si>
    <t>1131,2</t>
  </si>
  <si>
    <t>ΝΙΓΡΙΤΙΝΟΥ</t>
  </si>
  <si>
    <t>Σ201011</t>
  </si>
  <si>
    <t>1131,1</t>
  </si>
  <si>
    <t>ΝΙΚΟΥ</t>
  </si>
  <si>
    <t>ΑΖ793352</t>
  </si>
  <si>
    <t>1130,8</t>
  </si>
  <si>
    <t>ΓΟΝΤΙΚΑ</t>
  </si>
  <si>
    <t>ΑΕ733454</t>
  </si>
  <si>
    <t>1130,5</t>
  </si>
  <si>
    <t>ΠΑΠΑΔΑΚΗ</t>
  </si>
  <si>
    <t>ΑΡΤΕΜΗΣΙΑ</t>
  </si>
  <si>
    <t>ΑΙ513665</t>
  </si>
  <si>
    <t>1129,1</t>
  </si>
  <si>
    <t>ΑΖ793353</t>
  </si>
  <si>
    <t>1128,6</t>
  </si>
  <si>
    <t>ΖΑΧΑΡΟΠΟΥΛΟΥ</t>
  </si>
  <si>
    <t>Σ798557</t>
  </si>
  <si>
    <t>808,5</t>
  </si>
  <si>
    <t>1128,5</t>
  </si>
  <si>
    <t>ΚΩΣΤΟΥΛΑ</t>
  </si>
  <si>
    <t>ΑΗ608463</t>
  </si>
  <si>
    <t>738,1</t>
  </si>
  <si>
    <t>1128,1</t>
  </si>
  <si>
    <t>ΓΡΗΓΟΡΙΟΥ</t>
  </si>
  <si>
    <t>ΑΜ371762</t>
  </si>
  <si>
    <t>777,7</t>
  </si>
  <si>
    <t>1127,7</t>
  </si>
  <si>
    <t>ΣΠΑΘΑΡΑ</t>
  </si>
  <si>
    <t>ΜΑΡΘΑ</t>
  </si>
  <si>
    <t>ΑΕ174737</t>
  </si>
  <si>
    <t>1127,4</t>
  </si>
  <si>
    <t>ΛΕΟΝΑΡΔΟΥ</t>
  </si>
  <si>
    <t>ΑΖ129490</t>
  </si>
  <si>
    <t>856,9</t>
  </si>
  <si>
    <t>1126,9</t>
  </si>
  <si>
    <t>ΤΣΙΟΥΤΡΑ</t>
  </si>
  <si>
    <t>ΑΒ832619</t>
  </si>
  <si>
    <t>1126,8</t>
  </si>
  <si>
    <t>ΧΑΤΖΗΤΙΜΟΘΕΟΥ</t>
  </si>
  <si>
    <t>ΙΩΣΗΦ - ΛΑΖΑΡΟΣ</t>
  </si>
  <si>
    <t>ΑΜ400090</t>
  </si>
  <si>
    <t>876,7</t>
  </si>
  <si>
    <t>1126,7</t>
  </si>
  <si>
    <t>ΤΟΡΗ</t>
  </si>
  <si>
    <t>ΑΖ039902</t>
  </si>
  <si>
    <t>765,6</t>
  </si>
  <si>
    <t>1125,6</t>
  </si>
  <si>
    <t>ΓΟΝΙΔΑΚΗ</t>
  </si>
  <si>
    <t>Σ714600</t>
  </si>
  <si>
    <t>795,3</t>
  </si>
  <si>
    <t>1125,3</t>
  </si>
  <si>
    <t>ΣΑΚΟΓΛΟΥ</t>
  </si>
  <si>
    <t>ΑΕ186909</t>
  </si>
  <si>
    <t>1125,2</t>
  </si>
  <si>
    <t>ΓΚΡΕΚΙΔΗΣ</t>
  </si>
  <si>
    <t xml:space="preserve">ΚΩΝΣΤΑΝΤΙΝΟΣ </t>
  </si>
  <si>
    <t>ΑΙ155999</t>
  </si>
  <si>
    <t>1124,7</t>
  </si>
  <si>
    <t>ΜΠΑΛΤΑ</t>
  </si>
  <si>
    <t>Χ657431</t>
  </si>
  <si>
    <t>1124,6</t>
  </si>
  <si>
    <t>ΣΦΑΚΙΑΝΑΚΗ</t>
  </si>
  <si>
    <t>Χ639700</t>
  </si>
  <si>
    <t>853,6</t>
  </si>
  <si>
    <t>1123,6</t>
  </si>
  <si>
    <t>ΣΑΡΡΗ</t>
  </si>
  <si>
    <t>ΕΥΑΓΓΕΛΙΑ ΕΜΜΑΝΟΥΕΛΑ</t>
  </si>
  <si>
    <t>Χ849243</t>
  </si>
  <si>
    <t>753,5</t>
  </si>
  <si>
    <t>1123,5</t>
  </si>
  <si>
    <t>ΘΕΟΔΩΡΙΔΟΥ-ΧΟΡΟΜΙΔΟΥ</t>
  </si>
  <si>
    <t>ΑΘΑΝΑΣΙΑ</t>
  </si>
  <si>
    <t>ΙΑΚΩΒΟΣ</t>
  </si>
  <si>
    <t>ΑΗ698648</t>
  </si>
  <si>
    <t>1123,4</t>
  </si>
  <si>
    <t>ΚΟΤΖΑΜΑΝΗ</t>
  </si>
  <si>
    <t>ΗΛΙΑΣ</t>
  </si>
  <si>
    <t>Χ968913</t>
  </si>
  <si>
    <t>1123,3</t>
  </si>
  <si>
    <t>ΠΑΝΑΓΙΩΤΟΠΟΥΛΟΥ</t>
  </si>
  <si>
    <t>ΑΗ730842</t>
  </si>
  <si>
    <t>1123,2</t>
  </si>
  <si>
    <t>ΓΙΑΝΝΑΚΑ</t>
  </si>
  <si>
    <t>ΝΙΚΗ</t>
  </si>
  <si>
    <t>Φ109078</t>
  </si>
  <si>
    <t>1122,5</t>
  </si>
  <si>
    <t>ΑΛ ΤΟΥΡΚ</t>
  </si>
  <si>
    <t>ΧΑΡΙΚΛΕΙΑ</t>
  </si>
  <si>
    <t>ΟΥΑΧΙΜΠ ΙΩΑΚΕΙΜ</t>
  </si>
  <si>
    <t>ΑΜ027210</t>
  </si>
  <si>
    <t>1122,4</t>
  </si>
  <si>
    <t>ΘΕΟΔΩΡΙΤΣΗ</t>
  </si>
  <si>
    <t>Φ216965</t>
  </si>
  <si>
    <t>1122,1</t>
  </si>
  <si>
    <t>ΠΥΡΝΑΡΗ</t>
  </si>
  <si>
    <t>ΑΗ405318</t>
  </si>
  <si>
    <t>740,3</t>
  </si>
  <si>
    <t>1120,3</t>
  </si>
  <si>
    <t>ΓΙΑΚΟΥΜΗ</t>
  </si>
  <si>
    <t>ΠΑΥΛΙΝΑ</t>
  </si>
  <si>
    <t>ΑΖ660646</t>
  </si>
  <si>
    <t>739,2</t>
  </si>
  <si>
    <t>1119,2</t>
  </si>
  <si>
    <t>ΔΡΟΣΑΚΗ</t>
  </si>
  <si>
    <t>Χ076316</t>
  </si>
  <si>
    <t>1118,7</t>
  </si>
  <si>
    <t>ΑΚ278700</t>
  </si>
  <si>
    <t>688,6</t>
  </si>
  <si>
    <t>1118,6</t>
  </si>
  <si>
    <t>ΒΑΡΒΑΡΟΥΣΗ</t>
  </si>
  <si>
    <t>ΑΒ833294</t>
  </si>
  <si>
    <t>1118,3</t>
  </si>
  <si>
    <t>ΧΑΝΙΩΤΑΚΗ</t>
  </si>
  <si>
    <t>ΑΚ672661</t>
  </si>
  <si>
    <t>1118,1</t>
  </si>
  <si>
    <t>ΤΡΙΑΜΠΕΛΑ</t>
  </si>
  <si>
    <t>ΤΑΞΙΑΡΧΗΣ</t>
  </si>
  <si>
    <t>ΑΙ638998</t>
  </si>
  <si>
    <t>1117,7</t>
  </si>
  <si>
    <t>ΜΑΡΚΑΚΗ</t>
  </si>
  <si>
    <t>ΑΙΜΙΛΙΑ</t>
  </si>
  <si>
    <t>ΑΖ959157</t>
  </si>
  <si>
    <t>1116,6</t>
  </si>
  <si>
    <t>ΚΑΝΔΙΑΝΟΣ</t>
  </si>
  <si>
    <t>ΑΒ419744</t>
  </si>
  <si>
    <t>816,2</t>
  </si>
  <si>
    <t>1116,2</t>
  </si>
  <si>
    <t>ΔΗΜΗΤΡΙΟΥ</t>
  </si>
  <si>
    <t>ΕΥΔΟΚΙΑ</t>
  </si>
  <si>
    <t>ΑΙ010976</t>
  </si>
  <si>
    <t>716,1</t>
  </si>
  <si>
    <t>1116,1</t>
  </si>
  <si>
    <t>ΧΑΤΖΟΠΟΥΛΟΥ</t>
  </si>
  <si>
    <t>ΦΩΤΙΟΣ ΘΕΟΛΟΓΟΣ</t>
  </si>
  <si>
    <t>ΑΒ907268</t>
  </si>
  <si>
    <t>ΣΠΗΛΙΩΤΑΚΟΠΟΥΛΟΣ</t>
  </si>
  <si>
    <t>ΑΚ727952</t>
  </si>
  <si>
    <t>745,8</t>
  </si>
  <si>
    <t>1115,8</t>
  </si>
  <si>
    <t>ΓΕΡΑΣΙΜΟΥ</t>
  </si>
  <si>
    <t>ΑΝΝΑ-ΜΑΡΙΑ</t>
  </si>
  <si>
    <t>ΑΙ225730</t>
  </si>
  <si>
    <t>1115,1</t>
  </si>
  <si>
    <t>ΚΑΡΑΜΑΝΗ</t>
  </si>
  <si>
    <t>Χ452043</t>
  </si>
  <si>
    <t>1114,8</t>
  </si>
  <si>
    <t>ΚΑΡΑΓΚΟΥΝΗΣ</t>
  </si>
  <si>
    <t>ΜΙΛΤΙΑΔΗΣ</t>
  </si>
  <si>
    <t>ΑΕ655108</t>
  </si>
  <si>
    <t>1113,5</t>
  </si>
  <si>
    <t>ΜΑΛΛΙΑ</t>
  </si>
  <si>
    <t>ΑΙ301780</t>
  </si>
  <si>
    <t>1113,3</t>
  </si>
  <si>
    <t>ΚΕΛΕΣΙΔΟΥ</t>
  </si>
  <si>
    <t>Φ329501</t>
  </si>
  <si>
    <t>1113,1</t>
  </si>
  <si>
    <t>ΣΙΑΜΗΝΟΥ</t>
  </si>
  <si>
    <t>ΑΜ412423</t>
  </si>
  <si>
    <t>ΔΙΟΥΦΑ</t>
  </si>
  <si>
    <t>ΑΝΤΙΓΟΝΗ</t>
  </si>
  <si>
    <t>ΑΜ156900</t>
  </si>
  <si>
    <t>1111,1</t>
  </si>
  <si>
    <t>ΤΣΕΛΙΟΥ</t>
  </si>
  <si>
    <t>ΑΝ136514</t>
  </si>
  <si>
    <t>1110,7</t>
  </si>
  <si>
    <t>ΚΑΣΚΑΜΠΑ</t>
  </si>
  <si>
    <t>ΑΒ083006</t>
  </si>
  <si>
    <t>1110,3</t>
  </si>
  <si>
    <t>ΜΠΑΡΙΤΑΚΗ</t>
  </si>
  <si>
    <t>ΚΩΝΣΤΑΝΤΙΑ</t>
  </si>
  <si>
    <t>ΑΑ368733</t>
  </si>
  <si>
    <t>ΜΑΥΡΑΓΑΝΗ</t>
  </si>
  <si>
    <t>ΕΥΑΓΓ</t>
  </si>
  <si>
    <t>ΞΕΝΟΦΩΝ</t>
  </si>
  <si>
    <t>ΑΑ227727</t>
  </si>
  <si>
    <t>1109,2</t>
  </si>
  <si>
    <t>ΤΑΚΗΣ</t>
  </si>
  <si>
    <t>Χ835026</t>
  </si>
  <si>
    <t>1108,8</t>
  </si>
  <si>
    <t>ΜΥΛΩΝΑΚΗ-ΒΟΜΒΑΡΔΑ</t>
  </si>
  <si>
    <t>ΚΩΝΣΤΑΝΤΙΝΑ-ΠΑΝΑΓΙΩΤΑ</t>
  </si>
  <si>
    <t>ΑΒ964132</t>
  </si>
  <si>
    <t>887,7</t>
  </si>
  <si>
    <t>1107,7</t>
  </si>
  <si>
    <t>ΠΟΙΡΙΑΤΖΙΔΟΥ</t>
  </si>
  <si>
    <t>ΑΙ889461</t>
  </si>
  <si>
    <t>ΚΙΓΜΑΤΟΓΛΟΥ-ΠΟΥΤΟΥΡΟΓΛΟΥ</t>
  </si>
  <si>
    <t>ΡΟΔΑΜΑ</t>
  </si>
  <si>
    <t>Χ246197</t>
  </si>
  <si>
    <t>1107,6</t>
  </si>
  <si>
    <t>ΧΡΙΣΤΟΔΟΥΛΟΥ</t>
  </si>
  <si>
    <t>ΑΖ777018</t>
  </si>
  <si>
    <t>ΖΑΧΟΥ</t>
  </si>
  <si>
    <t>ΜΑΛΑΜΑΤΗ</t>
  </si>
  <si>
    <t>ΑΚ872032</t>
  </si>
  <si>
    <t>ΚΟΓΙΑ</t>
  </si>
  <si>
    <t>ΑΕ846368</t>
  </si>
  <si>
    <t>1106,6</t>
  </si>
  <si>
    <t>ΔΕΔΙΚΟΥΣΗ</t>
  </si>
  <si>
    <t>Σ929855</t>
  </si>
  <si>
    <t>1106,3</t>
  </si>
  <si>
    <t>ΣΙΔΗΡΟΠΟΥΛΟΥ</t>
  </si>
  <si>
    <t>ΠΑΝΑΓΙΩΤΑ-ΑΙΚΑΤΕΡΙΝΑ</t>
  </si>
  <si>
    <t>Σ079128</t>
  </si>
  <si>
    <t>1105,9</t>
  </si>
  <si>
    <t>ΑΓΓΕΛΑΚΟΠΟΥΛΟΥ</t>
  </si>
  <si>
    <t>Σ984804</t>
  </si>
  <si>
    <t>1105,5</t>
  </si>
  <si>
    <t>ΚΑΤΣΟΥΠΑΚΗ</t>
  </si>
  <si>
    <t xml:space="preserve">ΕΛΕΥΘΕΡΙΑ </t>
  </si>
  <si>
    <t>ΑΕ998545</t>
  </si>
  <si>
    <t>1105,4</t>
  </si>
  <si>
    <t>ΤΣΕΛΩΝΗ</t>
  </si>
  <si>
    <t>ΦΕΡΕΝΙΚΗ-ΜΑΡΙΑ</t>
  </si>
  <si>
    <t>ΑΗ725657</t>
  </si>
  <si>
    <t>ΣΙΔΗΡΟΚΑΣΤΡΙΤΗ</t>
  </si>
  <si>
    <t>ΑΝ180770</t>
  </si>
  <si>
    <t>834,9</t>
  </si>
  <si>
    <t>1104,9</t>
  </si>
  <si>
    <t>ΚΑΝΤΑΡΤΖΗ</t>
  </si>
  <si>
    <t>ΑΝΝΑ ΜΑΡΙΑ</t>
  </si>
  <si>
    <t>ΑΚ306231</t>
  </si>
  <si>
    <t>1104,1</t>
  </si>
  <si>
    <t>ΔΑΝΟΥ</t>
  </si>
  <si>
    <t>ΑΝΕΣΤΗΣ</t>
  </si>
  <si>
    <t>ΑΙ311841</t>
  </si>
  <si>
    <t>ΖΗΡΑΣ</t>
  </si>
  <si>
    <t>Φ122740</t>
  </si>
  <si>
    <t>ΠΑΠΑΘΑΝΑΣΙΟΥ</t>
  </si>
  <si>
    <t>ΧΡΥΣΟΒΑΛΑΝΤΗΣ-ΚΩΝΣΤΑΝΤΙΝΟΣ</t>
  </si>
  <si>
    <t>ΑΖ675359</t>
  </si>
  <si>
    <t>1103,8</t>
  </si>
  <si>
    <t>ΘΕΟΧΑΡΗ</t>
  </si>
  <si>
    <t>ΔΑΝΑΗ</t>
  </si>
  <si>
    <t>Σ825602</t>
  </si>
  <si>
    <t>1103,6</t>
  </si>
  <si>
    <t>ΜΠΑΜΠΗ</t>
  </si>
  <si>
    <t>ΜΕΡΣΙΝΤΑ</t>
  </si>
  <si>
    <t>ΓΙΑΝΝΗΣ</t>
  </si>
  <si>
    <t>ΑΜ123496</t>
  </si>
  <si>
    <t>1103,4</t>
  </si>
  <si>
    <t>ΠΑΠΑΔΗΜΗΤΡΙΟΥ</t>
  </si>
  <si>
    <t>ΑΚ291271</t>
  </si>
  <si>
    <t>ΤΣΑΟΥΣΑΚΟΥ</t>
  </si>
  <si>
    <t>ΑΚ872862</t>
  </si>
  <si>
    <t>732,6</t>
  </si>
  <si>
    <t>1102,6</t>
  </si>
  <si>
    <t>ΔΙΒΑΡΗ</t>
  </si>
  <si>
    <t>ΣΕΒΑΣΤΗ</t>
  </si>
  <si>
    <t>ΑΒ664643</t>
  </si>
  <si>
    <t>ΧΑΤΖΗΚΙΟΣΙΔΟΥ</t>
  </si>
  <si>
    <t>ΑΗ788509</t>
  </si>
  <si>
    <t>1102,4</t>
  </si>
  <si>
    <t>ΒΑΡΔΑΣ</t>
  </si>
  <si>
    <t>ΤΗΛΕΜΑΧΟΣ</t>
  </si>
  <si>
    <t>ΑΒ362575</t>
  </si>
  <si>
    <t>1102,3</t>
  </si>
  <si>
    <t>ΛΑΜΠΡΙΑΝΙΔΟΥ</t>
  </si>
  <si>
    <t>ΑΑ468385</t>
  </si>
  <si>
    <t>831,6</t>
  </si>
  <si>
    <t>1101,6</t>
  </si>
  <si>
    <t>ΣΤΥΛΙΑΝΙΔΗΣ</t>
  </si>
  <si>
    <t>ΛΟΙΖΟΣ</t>
  </si>
  <si>
    <t>1100,7</t>
  </si>
  <si>
    <t>ΓΙΑΝΝΑΚΟΥΔΗ</t>
  </si>
  <si>
    <t>ΦΑΝΗ</t>
  </si>
  <si>
    <t>ΑΣΤΕΡΙΟΣ</t>
  </si>
  <si>
    <t>ΑΖ647347</t>
  </si>
  <si>
    <t>1100,5</t>
  </si>
  <si>
    <t>ΝΤΕΛΗ</t>
  </si>
  <si>
    <t>ΑΒ981704</t>
  </si>
  <si>
    <t>799,7</t>
  </si>
  <si>
    <t>1099,7</t>
  </si>
  <si>
    <t>ΣΤΡΑΤΗΓΟΠΟΥΛΟΥ</t>
  </si>
  <si>
    <t>ΑΚ067253</t>
  </si>
  <si>
    <t>1098,8</t>
  </si>
  <si>
    <t>ΚΟΤΣΑΡΗ</t>
  </si>
  <si>
    <t xml:space="preserve">ΑΝΑΣΤΑΣΙΑ </t>
  </si>
  <si>
    <t>ΑΜ174595</t>
  </si>
  <si>
    <t>877,8</t>
  </si>
  <si>
    <t>1097,8</t>
  </si>
  <si>
    <t>ΤΕΡΖΟΠΟΥΛΟΥ</t>
  </si>
  <si>
    <t>ΝΙΚΟΛΕΤΤΑ</t>
  </si>
  <si>
    <t>ΑΑ084989</t>
  </si>
  <si>
    <t>1096,4</t>
  </si>
  <si>
    <t>ΛΑΜΠΗ</t>
  </si>
  <si>
    <t>ΜΑΡΙΑ-ΛΥΔΙΑ</t>
  </si>
  <si>
    <t>Χ960060</t>
  </si>
  <si>
    <t>ΡΟΥΜΠΟΥ</t>
  </si>
  <si>
    <t>ΜΑΓΔΑΛΗΝΗ</t>
  </si>
  <si>
    <t>ΑΜ072301</t>
  </si>
  <si>
    <t>755,7</t>
  </si>
  <si>
    <t>1095,7</t>
  </si>
  <si>
    <t>ΦΡΑΔΕΛΑΚΗ</t>
  </si>
  <si>
    <t>ΑΚ778021</t>
  </si>
  <si>
    <t>1095,5</t>
  </si>
  <si>
    <t>ΓΚΟΤΣΟΥΛΙΑ</t>
  </si>
  <si>
    <t>ΕΛΕΝΑ ΧΑΡΙΚΛΕΙΑ</t>
  </si>
  <si>
    <t>ΠΑΥΛΟΣ</t>
  </si>
  <si>
    <t>ΑΕ228193</t>
  </si>
  <si>
    <t>ΤΟΥΛΙΑΤΟΥ</t>
  </si>
  <si>
    <t>ΛΑΜΠΡΟΣ</t>
  </si>
  <si>
    <t>ΑΚ330019</t>
  </si>
  <si>
    <t>1095,4</t>
  </si>
  <si>
    <t>ΚΥΠΡΙΤΙΔΟΥ</t>
  </si>
  <si>
    <t>ΙΟΡΔΑΝΗΣ</t>
  </si>
  <si>
    <t>Ρ718580</t>
  </si>
  <si>
    <t>1095,2</t>
  </si>
  <si>
    <t>ΑΝΕΣΤΗ</t>
  </si>
  <si>
    <t>Φ162005</t>
  </si>
  <si>
    <t>734,8</t>
  </si>
  <si>
    <t>1094,8</t>
  </si>
  <si>
    <t>ΑΥΦΑΝΤΗ</t>
  </si>
  <si>
    <t>ΑΗ192852</t>
  </si>
  <si>
    <t>1094,7</t>
  </si>
  <si>
    <t>ΒΑΣΙΛΕΙΟΥ</t>
  </si>
  <si>
    <t>Φ267706</t>
  </si>
  <si>
    <t>674,3</t>
  </si>
  <si>
    <t>1094,3</t>
  </si>
  <si>
    <t>ΒΑΣΙΛΕΙΑΔΗ</t>
  </si>
  <si>
    <t>Φ222715</t>
  </si>
  <si>
    <t>794,2</t>
  </si>
  <si>
    <t>1094,2</t>
  </si>
  <si>
    <t>ΚΥΜΙΓΚΕΛΗ</t>
  </si>
  <si>
    <t>Χ533649</t>
  </si>
  <si>
    <t>ΚΑΚΑΒΙΑ</t>
  </si>
  <si>
    <t>Σ786280</t>
  </si>
  <si>
    <t>723,8</t>
  </si>
  <si>
    <t>1093,8</t>
  </si>
  <si>
    <t>ΠΕΡΡΑΣ</t>
  </si>
  <si>
    <t>Σ906895</t>
  </si>
  <si>
    <t>1093,7</t>
  </si>
  <si>
    <t>ΤΖΑΝΕΤΟΥ</t>
  </si>
  <si>
    <t>ΣΟΦΙΑ ΕΛΠΙΔΑ</t>
  </si>
  <si>
    <t>Χ788932</t>
  </si>
  <si>
    <t>1093,6</t>
  </si>
  <si>
    <t>ΜΠΙΤΣΙΟΥ</t>
  </si>
  <si>
    <t>ΑΖ340185</t>
  </si>
  <si>
    <t>772,2</t>
  </si>
  <si>
    <t>1092,2</t>
  </si>
  <si>
    <t>ΓΡΕΓΟΥ</t>
  </si>
  <si>
    <t>ΑΕ027882</t>
  </si>
  <si>
    <t>ΛΟΥΙΖΑΚΗ</t>
  </si>
  <si>
    <t>ΠΟΛΥΚΛΗΤΟΣ</t>
  </si>
  <si>
    <t>ΑΕ288039</t>
  </si>
  <si>
    <t>741,4</t>
  </si>
  <si>
    <t>1091,4</t>
  </si>
  <si>
    <t>ΑΛΕΞΙΟΥ</t>
  </si>
  <si>
    <t>ΑΖ680849</t>
  </si>
  <si>
    <t>ΜΠΟΓΙΑΤΙΝΗ</t>
  </si>
  <si>
    <t>ΑΒ160992</t>
  </si>
  <si>
    <t>1090,2</t>
  </si>
  <si>
    <t>ΚΑΡΕΛΗ</t>
  </si>
  <si>
    <t>ΑΙ355149</t>
  </si>
  <si>
    <t>1089,8</t>
  </si>
  <si>
    <t>ΜΑΥΡΟΜΟΥΣΤΑΚΗ</t>
  </si>
  <si>
    <t>ΚΑΡΜΕΝ</t>
  </si>
  <si>
    <t>ΑΜ117656</t>
  </si>
  <si>
    <t>679,8</t>
  </si>
  <si>
    <t>ΓΙΑΝΝΑΚΟΣ</t>
  </si>
  <si>
    <t>ΑΒ430340</t>
  </si>
  <si>
    <t>1089,5</t>
  </si>
  <si>
    <t>ΜΗΤΣΙΟΥ</t>
  </si>
  <si>
    <t>ΑΒ520225</t>
  </si>
  <si>
    <t>1089,3</t>
  </si>
  <si>
    <t>ΚΑΡΑΙΣΑΡΛΗ</t>
  </si>
  <si>
    <t>ΑΕ407814</t>
  </si>
  <si>
    <t>1088,7</t>
  </si>
  <si>
    <t>ΚΩΣΤΙΚΟΣ</t>
  </si>
  <si>
    <t>ΑΕ355128</t>
  </si>
  <si>
    <t>1088,5</t>
  </si>
  <si>
    <t>Φ036898</t>
  </si>
  <si>
    <t>1088,3</t>
  </si>
  <si>
    <t>ΤΣΙΝΑΣΛΑΝΙΔΟΥ</t>
  </si>
  <si>
    <t>ΑΒ169966</t>
  </si>
  <si>
    <t>1088,1</t>
  </si>
  <si>
    <t>ΕΛΙΣΣΑΒΕΤ</t>
  </si>
  <si>
    <t>ΑΚ 872533</t>
  </si>
  <si>
    <t>717,2</t>
  </si>
  <si>
    <t>1087,2</t>
  </si>
  <si>
    <t>ΠΛΑΤΑΝΟΥ</t>
  </si>
  <si>
    <t>ΕΛΕΥΘΕΡΙΟΣ</t>
  </si>
  <si>
    <t>ΑΚ680615</t>
  </si>
  <si>
    <t>ΤΖΟΥΡΤΖΟΥΚΛΗ</t>
  </si>
  <si>
    <t>ΑΑ273611</t>
  </si>
  <si>
    <t>ΒΡΕΤΤΟΥ</t>
  </si>
  <si>
    <t>ΓΕΡΑΣΙΜΟΣ</t>
  </si>
  <si>
    <t>Χ885946</t>
  </si>
  <si>
    <t>1086,7</t>
  </si>
  <si>
    <t>ΚΟΣΣΕΝΑΣ</t>
  </si>
  <si>
    <t>ΑΒ471673</t>
  </si>
  <si>
    <t>786,5</t>
  </si>
  <si>
    <t>1086,5</t>
  </si>
  <si>
    <t>Μήτση</t>
  </si>
  <si>
    <t>Χριστίνα</t>
  </si>
  <si>
    <t>ΑΚ521603</t>
  </si>
  <si>
    <t>1085,8</t>
  </si>
  <si>
    <t>ΚΑΛΑΙΤΖΗ</t>
  </si>
  <si>
    <t>ΑΕ361216</t>
  </si>
  <si>
    <t>1085,7</t>
  </si>
  <si>
    <t>ΔΗΜΗΤΡΑΚΟΠΟΥΛΟΥ</t>
  </si>
  <si>
    <t>Χ909630</t>
  </si>
  <si>
    <t>885,5</t>
  </si>
  <si>
    <t>1085,5</t>
  </si>
  <si>
    <t>ΠΟΛΥΔΕΡΑ</t>
  </si>
  <si>
    <t>ΤΡΙΑΝΤΑΦΥΛΛΗ</t>
  </si>
  <si>
    <t>ΑΙ551023</t>
  </si>
  <si>
    <t>1085,4</t>
  </si>
  <si>
    <t>ΝΟΥΣΙΑ</t>
  </si>
  <si>
    <t>ΑΙ034219</t>
  </si>
  <si>
    <t>ΑΝΔΡΙΚΟΠΟΥΛΟΥ</t>
  </si>
  <si>
    <t>ΤΡΙΑΝΤΑΦΥΛΛΙΑ</t>
  </si>
  <si>
    <t>ΑΜ278157</t>
  </si>
  <si>
    <t>764,5</t>
  </si>
  <si>
    <t>1084,5</t>
  </si>
  <si>
    <t>ΜΠΑΛΛΑΣ</t>
  </si>
  <si>
    <t>ΑΚ908894</t>
  </si>
  <si>
    <t>ΚΟΤΖΑΜΑΝΟΓΛΟΥ</t>
  </si>
  <si>
    <t>ΑΖ569385</t>
  </si>
  <si>
    <t>1083,7</t>
  </si>
  <si>
    <t>ΕΜΙΡΛΗ</t>
  </si>
  <si>
    <t>ΑΑ477399</t>
  </si>
  <si>
    <t>1083,4</t>
  </si>
  <si>
    <t>Μπαλτά</t>
  </si>
  <si>
    <t>Μαρία-Ελένη</t>
  </si>
  <si>
    <t>Θωμάς</t>
  </si>
  <si>
    <t>ΑΖ 781326</t>
  </si>
  <si>
    <t>ΣΤΑΥΡΟΠΟΥΛΟΣ</t>
  </si>
  <si>
    <t>ΑΗ078413</t>
  </si>
  <si>
    <t>1081,8</t>
  </si>
  <si>
    <t>ΖΕΣΤΑ</t>
  </si>
  <si>
    <t>ΑΙ155287</t>
  </si>
  <si>
    <t>ΓΙΑΣΕΜΗ</t>
  </si>
  <si>
    <t>ΙΟΥΛΙΑ</t>
  </si>
  <si>
    <t>ΑΗ542919</t>
  </si>
  <si>
    <t>ΤΣΑΝΤΙΚΟΥ</t>
  </si>
  <si>
    <t xml:space="preserve">ΑΙΚΑΤΕΡΙΝΗ </t>
  </si>
  <si>
    <t>ΑΚ025504</t>
  </si>
  <si>
    <t>680,9</t>
  </si>
  <si>
    <t>1080,9</t>
  </si>
  <si>
    <t>ΖΑΦΕΙΡΙΟΥ</t>
  </si>
  <si>
    <t>ΑΗ378544</t>
  </si>
  <si>
    <t>1080,7</t>
  </si>
  <si>
    <t>104-101-106-105-102-103</t>
  </si>
  <si>
    <t>ΠΛΕΣΣΑ ΠΑΠΑΔΑΚΗ</t>
  </si>
  <si>
    <t>ΑΕ620027</t>
  </si>
  <si>
    <t>1079,8</t>
  </si>
  <si>
    <t>ΜΟΣΧΟΒΑΚΗ</t>
  </si>
  <si>
    <t>Χ517057</t>
  </si>
  <si>
    <t>1079,3</t>
  </si>
  <si>
    <t>ΜΑΤΙΔΟΥ</t>
  </si>
  <si>
    <t>ΑΗ189978</t>
  </si>
  <si>
    <t>1078,8</t>
  </si>
  <si>
    <t>ΚΑΛΑΝΤΑΡΙΔΟΥ</t>
  </si>
  <si>
    <t>ΑΝΑΤΟΛΗ</t>
  </si>
  <si>
    <t>ΑΜ911361</t>
  </si>
  <si>
    <t>ΗΛΙΑΣΚΟΥ</t>
  </si>
  <si>
    <t>ΕΥΣΤΡΑΤΙΑ</t>
  </si>
  <si>
    <t>ΑΕ661627</t>
  </si>
  <si>
    <t>1078,5</t>
  </si>
  <si>
    <t>ΠΕΤΡΟΠΟΥΛΟΥ</t>
  </si>
  <si>
    <t>Χ209934</t>
  </si>
  <si>
    <t>1078,1</t>
  </si>
  <si>
    <t>ΠΑΠΑΝΙΚΟΛΑΟΥ</t>
  </si>
  <si>
    <t>ΑΡΙΣΤΟΤΕΛΗΣ</t>
  </si>
  <si>
    <t>ΑΚ297608</t>
  </si>
  <si>
    <t>707,3</t>
  </si>
  <si>
    <t>1077,3</t>
  </si>
  <si>
    <t>ΠΕΠΟΝΗ</t>
  </si>
  <si>
    <t>ΑΗ237806</t>
  </si>
  <si>
    <t>1077,1</t>
  </si>
  <si>
    <t>ΣΚΑΡΜΟΥΤΣΟΥ</t>
  </si>
  <si>
    <t>ΝΑΠΟΛΕΩΝ</t>
  </si>
  <si>
    <t>ΑΒ327682</t>
  </si>
  <si>
    <t>636,9</t>
  </si>
  <si>
    <t>1076,9</t>
  </si>
  <si>
    <t>ΑΠΟΣΤΟΛΙΔΟΥ</t>
  </si>
  <si>
    <t>ΕΥΦΡΟΣΥΝΗ</t>
  </si>
  <si>
    <t>ΑΗ396557</t>
  </si>
  <si>
    <t>666,6</t>
  </si>
  <si>
    <t>1076,6</t>
  </si>
  <si>
    <t>ΧΑΡΙΣΗ</t>
  </si>
  <si>
    <t>ΑΦΡΟΔΙΤΗ</t>
  </si>
  <si>
    <t>ΑΙ189853</t>
  </si>
  <si>
    <t>1076,1</t>
  </si>
  <si>
    <t>ΤΣΟΥΡΟΥΠΑΚΗ</t>
  </si>
  <si>
    <t>ΑΝ036529</t>
  </si>
  <si>
    <t>845,9</t>
  </si>
  <si>
    <t>1075,9</t>
  </si>
  <si>
    <t>Λαμπουσάκη</t>
  </si>
  <si>
    <t>Σοφία</t>
  </si>
  <si>
    <t>ΑΒ521244</t>
  </si>
  <si>
    <t>ΔΕΛΗΔΗΜΗΤΡΗ</t>
  </si>
  <si>
    <t>ΑΜ930903</t>
  </si>
  <si>
    <t>ΦΑΡΑΖΗ</t>
  </si>
  <si>
    <t>ΑΖ517446</t>
  </si>
  <si>
    <t>ΜΠΑΧΑΡΙΔΗΣ</t>
  </si>
  <si>
    <t>ΑΗ921517</t>
  </si>
  <si>
    <t>ΤΖΑΒΑΡΑ</t>
  </si>
  <si>
    <t>ΡΑΦΑΕΛΑ</t>
  </si>
  <si>
    <t>Χ712091</t>
  </si>
  <si>
    <t>1075,7</t>
  </si>
  <si>
    <t>ΓΚΑΡΑΓΚΟΥ</t>
  </si>
  <si>
    <t>ΑΕ687932</t>
  </si>
  <si>
    <t>1075,5</t>
  </si>
  <si>
    <t>ΓΕΝΝΑΤΟΥ</t>
  </si>
  <si>
    <t>ΑΜ861226</t>
  </si>
  <si>
    <t>695,2</t>
  </si>
  <si>
    <t>1075,2</t>
  </si>
  <si>
    <t>ΚΟΤΣΙΡΗ</t>
  </si>
  <si>
    <t>ΑΕ018846</t>
  </si>
  <si>
    <t>ΧΑΤΖΗΙΩΑΝΝΟΥ</t>
  </si>
  <si>
    <t>ΑΒ001362</t>
  </si>
  <si>
    <t>1074,4</t>
  </si>
  <si>
    <t>ΘΕΟΔΩΡΟΠΟΥΛΟΥ</t>
  </si>
  <si>
    <t>ΑΓΓΕΛΙΚΗ- ΝΕΦΕΛΗ</t>
  </si>
  <si>
    <t>ΦΡΑΓΚΙΣΚΟΣ</t>
  </si>
  <si>
    <t>Χ078133</t>
  </si>
  <si>
    <t>ΠΛΑΤΗ</t>
  </si>
  <si>
    <t>Φ244586</t>
  </si>
  <si>
    <t>1073,7</t>
  </si>
  <si>
    <t>ΑΓΑΠΙΔΗΣ</t>
  </si>
  <si>
    <t>ΑΛΚΙΒΙΑΔΗΣ</t>
  </si>
  <si>
    <t>ΑΚ262955</t>
  </si>
  <si>
    <t>1073,5</t>
  </si>
  <si>
    <t>ΑΠΟΣΤΟΛΑΚΗ</t>
  </si>
  <si>
    <t>ΑΗ465164</t>
  </si>
  <si>
    <t>ΣΑΛΑΜΕΤΗ</t>
  </si>
  <si>
    <t>ΑΙ723875</t>
  </si>
  <si>
    <t>922,9</t>
  </si>
  <si>
    <t>1072,9</t>
  </si>
  <si>
    <t>ΝΙΚΟΛΑΙΔΟΥ</t>
  </si>
  <si>
    <t>ΑΖ142459</t>
  </si>
  <si>
    <t>712,8</t>
  </si>
  <si>
    <t>1072,8</t>
  </si>
  <si>
    <t>ΜΑΝΙΑΤΗ</t>
  </si>
  <si>
    <t>ΡΟΔΟΠΗ</t>
  </si>
  <si>
    <t>ΑΒ664173</t>
  </si>
  <si>
    <t>1072,6</t>
  </si>
  <si>
    <t>ΨΩΜΑ</t>
  </si>
  <si>
    <t>Χ591298</t>
  </si>
  <si>
    <t>1072,4</t>
  </si>
  <si>
    <t>ΚΑΡΕΛΙΑΔΗΣ</t>
  </si>
  <si>
    <t>ΑΕ389899</t>
  </si>
  <si>
    <t>1072,2</t>
  </si>
  <si>
    <t>ΜΕΤΑΞΑ</t>
  </si>
  <si>
    <t>ΑΙ902413</t>
  </si>
  <si>
    <t>801,9</t>
  </si>
  <si>
    <t>1071,9</t>
  </si>
  <si>
    <t>ΠΑΥΛΟΥ</t>
  </si>
  <si>
    <t>Χ171713</t>
  </si>
  <si>
    <t>1071,1</t>
  </si>
  <si>
    <t>ΓΚΙΡΤΖΗΜΑΝΑΚΗΣ</t>
  </si>
  <si>
    <t>ΑΙ185103</t>
  </si>
  <si>
    <t>1070,7</t>
  </si>
  <si>
    <t>ΚΟΥΝΕΛΗ</t>
  </si>
  <si>
    <t>ΣΤΑΜΑΤΙΟΣ</t>
  </si>
  <si>
    <t>ΑΙ035288</t>
  </si>
  <si>
    <t>1070,3</t>
  </si>
  <si>
    <t>ΣΤΑΣΙΝΟΣ</t>
  </si>
  <si>
    <t xml:space="preserve">ΙΩΑΝΝΗΣ </t>
  </si>
  <si>
    <t>ΑΙ253499</t>
  </si>
  <si>
    <t>870,1</t>
  </si>
  <si>
    <t>1070,1</t>
  </si>
  <si>
    <t>ΚΑΛΛΙΓΕΡΗ</t>
  </si>
  <si>
    <t>ΑΡΓΥΡΩ</t>
  </si>
  <si>
    <t>Χ040373</t>
  </si>
  <si>
    <t>1069,7</t>
  </si>
  <si>
    <t>ΠΑΠΑΜΑΤΘΑΙΟΥ</t>
  </si>
  <si>
    <t>ΑΝΝΑ-ΓΕΩΡΓΙΑ</t>
  </si>
  <si>
    <t>Χ025729</t>
  </si>
  <si>
    <t>699,6</t>
  </si>
  <si>
    <t>1069,6</t>
  </si>
  <si>
    <t>ΜΑΡΙΝΑΚΟΥ</t>
  </si>
  <si>
    <t>ΑΕ734080</t>
  </si>
  <si>
    <t>839,3</t>
  </si>
  <si>
    <t>1069,3</t>
  </si>
  <si>
    <t>ΚΑΡΑΚΟΓΛΟΥ</t>
  </si>
  <si>
    <t>ΑΚ037832</t>
  </si>
  <si>
    <t>ΤΣΟΥΚΑΛΑ</t>
  </si>
  <si>
    <t>ΑΜ622801</t>
  </si>
  <si>
    <t>1069,2</t>
  </si>
  <si>
    <t>102-101-103</t>
  </si>
  <si>
    <t>ΣΚΟΥΡΑ</t>
  </si>
  <si>
    <t>Φ077977</t>
  </si>
  <si>
    <t>ΣΠΥΡΟΥ</t>
  </si>
  <si>
    <t>ΑΒ694769</t>
  </si>
  <si>
    <t>898,7</t>
  </si>
  <si>
    <t>1068,7</t>
  </si>
  <si>
    <t>ΜΟΥΡΑΤΗ</t>
  </si>
  <si>
    <t>ΖΑΧΑΡΙΑΣ</t>
  </si>
  <si>
    <t>Π467317</t>
  </si>
  <si>
    <t>1068,5</t>
  </si>
  <si>
    <t>ΚΟΝΑΞΗ</t>
  </si>
  <si>
    <t>Τ020645</t>
  </si>
  <si>
    <t>1068,3</t>
  </si>
  <si>
    <t>ΧΟΥΛΙΑΡΑ</t>
  </si>
  <si>
    <t>ΑΙΚΑΤΕΡΙΝΗ-ΜΑΡΙΝΑ</t>
  </si>
  <si>
    <t>ΑΕ602674</t>
  </si>
  <si>
    <t>728,2</t>
  </si>
  <si>
    <t>1068,2</t>
  </si>
  <si>
    <t>ΜΟΡΑΚΟΥ</t>
  </si>
  <si>
    <t>ΑΗ622861</t>
  </si>
  <si>
    <t>ΛΑΜΨΙΔΗΣ</t>
  </si>
  <si>
    <t>ΑΚ273970</t>
  </si>
  <si>
    <t>1067,5</t>
  </si>
  <si>
    <t>ΘΕΟΔΩΡΟΥ</t>
  </si>
  <si>
    <t>ΑΖ571764</t>
  </si>
  <si>
    <t>1067,1</t>
  </si>
  <si>
    <t>ΑΓΓΕΛΑΚΗ</t>
  </si>
  <si>
    <t>ΑΚ680961</t>
  </si>
  <si>
    <t>656,7</t>
  </si>
  <si>
    <t>1066,7</t>
  </si>
  <si>
    <t>ΠΑΠΟΥΤΣΗ</t>
  </si>
  <si>
    <t>ΑΙ619587</t>
  </si>
  <si>
    <t>ΖΑΦΕΙΡΑΚΟΠΟΥΛΟΥ</t>
  </si>
  <si>
    <t>ΑΗ634107</t>
  </si>
  <si>
    <t>ΤΕΡΖΑΚΗ</t>
  </si>
  <si>
    <t>Χ577851</t>
  </si>
  <si>
    <t>724,9</t>
  </si>
  <si>
    <t>1064,9</t>
  </si>
  <si>
    <t>ΤΣΙΑΧΤΑ</t>
  </si>
  <si>
    <t>ΑΖ675077</t>
  </si>
  <si>
    <t>1064,5</t>
  </si>
  <si>
    <t>ΜΑΜΑΚΑΚΗ</t>
  </si>
  <si>
    <t>Σ146640</t>
  </si>
  <si>
    <t>1064,3</t>
  </si>
  <si>
    <t>ΑΣΗΜΑΚΟΠΟΥΛΟΣ</t>
  </si>
  <si>
    <t>ΑΙ753519</t>
  </si>
  <si>
    <t>1064,2</t>
  </si>
  <si>
    <t>ΜΠΟΥΚΟΥΒΑΛΑ</t>
  </si>
  <si>
    <t>ΕΛΕΝΗ ΑΙΚΑΤΕΡΙΝΗ</t>
  </si>
  <si>
    <t>ΑΑ257523</t>
  </si>
  <si>
    <t>1063,8</t>
  </si>
  <si>
    <t>ΝΑΡΗ</t>
  </si>
  <si>
    <t>Φ288551</t>
  </si>
  <si>
    <t>1063,7</t>
  </si>
  <si>
    <t>ΚΕΠΕΝΟΥ</t>
  </si>
  <si>
    <t>ΑΣΗΜΩ</t>
  </si>
  <si>
    <t>Χ292935</t>
  </si>
  <si>
    <t>1063,4</t>
  </si>
  <si>
    <t>ΜΕΝΕΓΑΚΗ</t>
  </si>
  <si>
    <t>ΑΑ434678</t>
  </si>
  <si>
    <t>ΤΣΑΠΑΡΑΣ</t>
  </si>
  <si>
    <t>ΑΝ194670</t>
  </si>
  <si>
    <t>832,7</t>
  </si>
  <si>
    <t>1062,7</t>
  </si>
  <si>
    <t>Χ263794</t>
  </si>
  <si>
    <t>1062,6</t>
  </si>
  <si>
    <t>ΚΟΜΝΗΝΟΥ</t>
  </si>
  <si>
    <t>Χ078803</t>
  </si>
  <si>
    <t>962,5</t>
  </si>
  <si>
    <t>1062,5</t>
  </si>
  <si>
    <t>ΠΑΣΤΕΛΑΚΟΥ</t>
  </si>
  <si>
    <t>ΝΑΤΑΛΙΑ-ΧΡΥΣΑΝΘΗ</t>
  </si>
  <si>
    <t>Χ032954</t>
  </si>
  <si>
    <t>ΕΡΩΤΟΚΡΙΤΟΥ</t>
  </si>
  <si>
    <t>ΕΡΩΤΟΚΡΙΤΟΣ</t>
  </si>
  <si>
    <t>ΑΖ029714</t>
  </si>
  <si>
    <t>1061,6</t>
  </si>
  <si>
    <t>ΚΑΝΕΛΛΟΠΟΥΛΟΥ</t>
  </si>
  <si>
    <t>ΑΜ226553</t>
  </si>
  <si>
    <t>ΟΒΣΕΠΙΑΝ</t>
  </si>
  <si>
    <t>ΚΑΜΟ</t>
  </si>
  <si>
    <t>ΑΙ154869</t>
  </si>
  <si>
    <t>1060,9</t>
  </si>
  <si>
    <t>ΤΡΟΜΠΟΥΚΗ</t>
  </si>
  <si>
    <t>ΑΝ037693</t>
  </si>
  <si>
    <t>1060,3</t>
  </si>
  <si>
    <t>ΜΑΤΣΚΙΔΟΥ</t>
  </si>
  <si>
    <t>ΑΒ904455</t>
  </si>
  <si>
    <t>1060,2</t>
  </si>
  <si>
    <t>ΑΛΕΞΙΟΣ</t>
  </si>
  <si>
    <t>Χ259672</t>
  </si>
  <si>
    <t>1059,8</t>
  </si>
  <si>
    <t>ΡΟΥΦΟΥ</t>
  </si>
  <si>
    <t>ΑΑ454078</t>
  </si>
  <si>
    <t>719,4</t>
  </si>
  <si>
    <t>1059,4</t>
  </si>
  <si>
    <t>ΤΕΡΖΙΔΗΣ</t>
  </si>
  <si>
    <t>ΑΗ415676</t>
  </si>
  <si>
    <t>1058,7</t>
  </si>
  <si>
    <t>ΧΟΥΡΗΣ</t>
  </si>
  <si>
    <t>ΑΕ215836</t>
  </si>
  <si>
    <t>1058,5</t>
  </si>
  <si>
    <t>ΚΑΡΚΟΥΛΙΑ</t>
  </si>
  <si>
    <t>ΑΕ027955</t>
  </si>
  <si>
    <t>1058,3</t>
  </si>
  <si>
    <t>ΤΣΕΦΟΥ</t>
  </si>
  <si>
    <t>ΜΑΡΙΕΤΑ</t>
  </si>
  <si>
    <t>ΓΙΩΤΗΣ</t>
  </si>
  <si>
    <t>ΑΙ740411</t>
  </si>
  <si>
    <t>ΠΕΡΙΜΕΝΗ</t>
  </si>
  <si>
    <t>ΑΑ010314</t>
  </si>
  <si>
    <t>1057,6</t>
  </si>
  <si>
    <t>ΚΟΝΤΟΜΙΧΗΣ</t>
  </si>
  <si>
    <t>ΑΒ828999</t>
  </si>
  <si>
    <t>1056,8</t>
  </si>
  <si>
    <t>ΠΑΠΑΓΙΑΝΝΗ</t>
  </si>
  <si>
    <t>Χ367520</t>
  </si>
  <si>
    <t>ΔΗΜΤΣΙΟΥΔΗ</t>
  </si>
  <si>
    <t>ΑΒ115747</t>
  </si>
  <si>
    <t>1055,9</t>
  </si>
  <si>
    <t>ΛΑΜΠΡΟΥ</t>
  </si>
  <si>
    <t>ΟΥΡΑΝΙΑ ΚΩΝΣΤΑΝΤΙΑ</t>
  </si>
  <si>
    <t>ΑΒ325972</t>
  </si>
  <si>
    <t>1055,7</t>
  </si>
  <si>
    <t>ΚΑΡΑΓΙΩΡΓΟΥ</t>
  </si>
  <si>
    <t>ΦΩΤΙΟΣ</t>
  </si>
  <si>
    <t>Χ268405</t>
  </si>
  <si>
    <t>ΣΤΑΣΙΝΟΥ</t>
  </si>
  <si>
    <t>ΑΛΕΞΙΑ</t>
  </si>
  <si>
    <t>Ρ257217</t>
  </si>
  <si>
    <t>665,5</t>
  </si>
  <si>
    <t>1055,5</t>
  </si>
  <si>
    <t>ΙΩΑΝΝΙΔΟΥ-ΣΤΟΓΙΟΥ</t>
  </si>
  <si>
    <t>ΑΗ414845</t>
  </si>
  <si>
    <t>1055,4</t>
  </si>
  <si>
    <t>ΣΩΦΡΟΝΙΟΣ</t>
  </si>
  <si>
    <t>Χ527038</t>
  </si>
  <si>
    <t>1054,9</t>
  </si>
  <si>
    <t>ΑΒΡΑΜΗ</t>
  </si>
  <si>
    <t>Τ820498</t>
  </si>
  <si>
    <t>1054,8</t>
  </si>
  <si>
    <t>ΚΕΣΙΣΟΓΛΟΥ</t>
  </si>
  <si>
    <t>ΑΜ259326</t>
  </si>
  <si>
    <t>ΨΑΡΟΓΙΑΝΝΗ</t>
  </si>
  <si>
    <t>ΘΩΜΑΗ</t>
  </si>
  <si>
    <t>ΑΚ647361</t>
  </si>
  <si>
    <t>1054,6</t>
  </si>
  <si>
    <t>ΜΙΧΑΛΑΚΗ</t>
  </si>
  <si>
    <t>Χ382678</t>
  </si>
  <si>
    <t>1054,1</t>
  </si>
  <si>
    <t>ΜΙΧΑΕΛΑ ΑΙΚΑΤΕΡΙΝΗ</t>
  </si>
  <si>
    <t>ΑΖ103205</t>
  </si>
  <si>
    <t>933,9</t>
  </si>
  <si>
    <t>1053,9</t>
  </si>
  <si>
    <t>ΓΑΒΡΙΗΛΙΔΟΥ</t>
  </si>
  <si>
    <t>ΑΚ887419</t>
  </si>
  <si>
    <t>713,9</t>
  </si>
  <si>
    <t>ΓΑΛΑΝΗ</t>
  </si>
  <si>
    <t>ΑΖ218154</t>
  </si>
  <si>
    <t>1052,6</t>
  </si>
  <si>
    <t>ΚΟΥΤΣΙΜΑΝΗ</t>
  </si>
  <si>
    <t>ΑΙ738376</t>
  </si>
  <si>
    <t>1052,4</t>
  </si>
  <si>
    <t>ΓΙΤΣΟΥΔΗ</t>
  </si>
  <si>
    <t>Φ207818</t>
  </si>
  <si>
    <t>1052,1</t>
  </si>
  <si>
    <t>ΕΥΓΕΝΟΥ</t>
  </si>
  <si>
    <t>ΑΔΑΜΑΝΤΙΟΣ</t>
  </si>
  <si>
    <t>ΑΜ287181</t>
  </si>
  <si>
    <t>951,5</t>
  </si>
  <si>
    <t>1051,5</t>
  </si>
  <si>
    <t>ΠΟΛΥΞΕΝΗ ΔΗΜΗΤΡΑ</t>
  </si>
  <si>
    <t>ΦΙΛΙΠΠΑΣ</t>
  </si>
  <si>
    <t>ΑΙ179039</t>
  </si>
  <si>
    <t>861,3</t>
  </si>
  <si>
    <t>1051,3</t>
  </si>
  <si>
    <t>ΤΣΟΝΤΑΚΗ</t>
  </si>
  <si>
    <t>ΑΗ126146</t>
  </si>
  <si>
    <t>ΒΑΣΣΑΛΟΥ</t>
  </si>
  <si>
    <t>ΑΒ202548</t>
  </si>
  <si>
    <t>ΚΑΡΒΟΥΝΗ</t>
  </si>
  <si>
    <t>ΑΕ615450</t>
  </si>
  <si>
    <t>1049,6</t>
  </si>
  <si>
    <t>ΓΙΑΚΟΥΜΙΔΑΚΗ</t>
  </si>
  <si>
    <t>ΑΕ559402</t>
  </si>
  <si>
    <t>1049,1</t>
  </si>
  <si>
    <t>ΚΑΓΚΕΛΙΔΟΥ</t>
  </si>
  <si>
    <t>ΑΙ125733</t>
  </si>
  <si>
    <t>878,9</t>
  </si>
  <si>
    <t>1048,9</t>
  </si>
  <si>
    <t>ΛΑΤΣΙΟΥ</t>
  </si>
  <si>
    <t>Χ226367</t>
  </si>
  <si>
    <t>708,4</t>
  </si>
  <si>
    <t>1048,4</t>
  </si>
  <si>
    <t>ΑΛΙΜΟΥΔΗ</t>
  </si>
  <si>
    <t>ΑΖ414101</t>
  </si>
  <si>
    <t>1048,2</t>
  </si>
  <si>
    <t>ΠΑΛΛΙΕΡΑΚΗ</t>
  </si>
  <si>
    <t>ΑΒ665578</t>
  </si>
  <si>
    <t>ΑΓΡΙΜΑΚΗ</t>
  </si>
  <si>
    <t>ΑΒ575191</t>
  </si>
  <si>
    <t>1046,9</t>
  </si>
  <si>
    <t>ΤΣΙΠΙΔΟΥ</t>
  </si>
  <si>
    <t>ΠΛΑΤΩΝ</t>
  </si>
  <si>
    <t>ΑΙ  174503</t>
  </si>
  <si>
    <t>646,8</t>
  </si>
  <si>
    <t>1046,8</t>
  </si>
  <si>
    <t>ΑΛΕΞΟΠΟΥΛΟΥ</t>
  </si>
  <si>
    <t>ΑΒ291698</t>
  </si>
  <si>
    <t>ΓΙΑΝΝΑΡΟΥ</t>
  </si>
  <si>
    <t>ΑΛΙΚΗ</t>
  </si>
  <si>
    <t>Φ382174</t>
  </si>
  <si>
    <t>1045,8</t>
  </si>
  <si>
    <t>ΑΝΑΣΤΟΠΟΥΛΟΣ</t>
  </si>
  <si>
    <t>ΑΜ122646</t>
  </si>
  <si>
    <t>1044,9</t>
  </si>
  <si>
    <t>ΤΡΙΑΝΤΑΦΥΛΛΟΥ</t>
  </si>
  <si>
    <t>ΑΜ366602</t>
  </si>
  <si>
    <t>ΤΣΑΛΙΧΗ</t>
  </si>
  <si>
    <t>ΜΕΡΚΟΥΡΙΑ</t>
  </si>
  <si>
    <t>ΑΙ944339</t>
  </si>
  <si>
    <t>ΜΑΡΓΑΡΙΤΗ</t>
  </si>
  <si>
    <t>ΑΝ424006</t>
  </si>
  <si>
    <t>1044,6</t>
  </si>
  <si>
    <t>ΜΙΧΑΛΟΠΟΥΛΟΥ</t>
  </si>
  <si>
    <t>ΑΝ332181</t>
  </si>
  <si>
    <t>1044,4</t>
  </si>
  <si>
    <t>ΒΑΙΤΣΗ</t>
  </si>
  <si>
    <t>ΑΒ368225</t>
  </si>
  <si>
    <t>1044,2</t>
  </si>
  <si>
    <t>ΠΑΠΑΒΑΣΙΛΕΙΟΥ</t>
  </si>
  <si>
    <t>Ρ454075</t>
  </si>
  <si>
    <t>1043,8</t>
  </si>
  <si>
    <t>ΒΟΡΔΟΓΛΟΥ</t>
  </si>
  <si>
    <t>ΑΜ683403</t>
  </si>
  <si>
    <t>ΡΟΡΡΗ</t>
  </si>
  <si>
    <t>Χ246731</t>
  </si>
  <si>
    <t>1043,6</t>
  </si>
  <si>
    <t>ΚΑΠΠΟΥ</t>
  </si>
  <si>
    <t>ΑΚ504819</t>
  </si>
  <si>
    <t>ΔΡΙΓΚΟΠΟΥΛΟΣ</t>
  </si>
  <si>
    <t>Φ260435</t>
  </si>
  <si>
    <t>ΜΠΕΤΣΗ</t>
  </si>
  <si>
    <t>Χ156245</t>
  </si>
  <si>
    <t>ΓΕΩΡΓΟΥΛΑ</t>
  </si>
  <si>
    <t>ΣΟΥΛΤΑΝΑ</t>
  </si>
  <si>
    <t>ΑΙ375810</t>
  </si>
  <si>
    <t>ΠΑΡΘΕΝΑ</t>
  </si>
  <si>
    <t>ΑΡΓΥΡΙΟΣ</t>
  </si>
  <si>
    <t>Φ446019</t>
  </si>
  <si>
    <t>1043,3</t>
  </si>
  <si>
    <t>ΑΔΑΜΟΥΔΗΣ</t>
  </si>
  <si>
    <t>ΑΚ301231</t>
  </si>
  <si>
    <t>1042,6</t>
  </si>
  <si>
    <t>ΤΡΑΥΛΟΥ</t>
  </si>
  <si>
    <t>ΑΛΕΞΑΝΔΡΑ ΜΑΡΙΑ</t>
  </si>
  <si>
    <t>ΑΜ628779</t>
  </si>
  <si>
    <t>1042,5</t>
  </si>
  <si>
    <t>ΠΕΤΡΙΔΟΥ</t>
  </si>
  <si>
    <t>ΖΑΧΑΡΟΥΛΑ</t>
  </si>
  <si>
    <t>ΑΒ715437</t>
  </si>
  <si>
    <t>1042,1</t>
  </si>
  <si>
    <t>ΛΥΜΟΥΣΗ</t>
  </si>
  <si>
    <t>ΑΒ448469</t>
  </si>
  <si>
    <t>1041,4</t>
  </si>
  <si>
    <t>ΠΑΝΑΓΙΩΤΙΔΗΣ</t>
  </si>
  <si>
    <t>ΚΩΝΣΤΑΝΤΑΚΗ</t>
  </si>
  <si>
    <t>Χ172686</t>
  </si>
  <si>
    <t>1040,3</t>
  </si>
  <si>
    <t>ΚΑΜΠΟΥΚΟΥ</t>
  </si>
  <si>
    <t>Χ177911</t>
  </si>
  <si>
    <t>ΜΕΛΙΔΩΝΗ</t>
  </si>
  <si>
    <t>ΑΑ349644</t>
  </si>
  <si>
    <t>ΜΠΑΚΑΝΔΡΙΤΣΟΥ</t>
  </si>
  <si>
    <t>Π265667</t>
  </si>
  <si>
    <t>ΜΟΥΤΣΟΥΓΙΑΝΝΗΣ</t>
  </si>
  <si>
    <t>ΒΑΣΙΛΗΣ-ΒΥΡΩΝ</t>
  </si>
  <si>
    <t>Χ920807</t>
  </si>
  <si>
    <t>1038,3</t>
  </si>
  <si>
    <t>ΓΑΛΑΝΟΠΟΥΛΟΥ</t>
  </si>
  <si>
    <t>ΕΛΕΥΘΕΡΙΑ - ΔΕΣΠΟΙΝΑ</t>
  </si>
  <si>
    <t>Χ143876</t>
  </si>
  <si>
    <t>ΠΑΝΑΓΙΩΤΑΚΗ</t>
  </si>
  <si>
    <t>ΑΒ653877</t>
  </si>
  <si>
    <t>ΠΑΠΑΡΗΣ</t>
  </si>
  <si>
    <t>ΑΚ111899</t>
  </si>
  <si>
    <t>ΜΟΥΡΤΖΗ</t>
  </si>
  <si>
    <t>Χ794713</t>
  </si>
  <si>
    <t>ΜΑΡΚΟΥΤΗ</t>
  </si>
  <si>
    <t>ΑΒ852517</t>
  </si>
  <si>
    <t>767,8</t>
  </si>
  <si>
    <t>1037,8</t>
  </si>
  <si>
    <t>ΠΟΤΟΛΙΑ</t>
  </si>
  <si>
    <t>ΑΒ458348</t>
  </si>
  <si>
    <t>1037,6</t>
  </si>
  <si>
    <t>ΠΑΝΑΓΙΩΤΙΔΟΥ</t>
  </si>
  <si>
    <t>ΑΗ390032</t>
  </si>
  <si>
    <t>1037,2</t>
  </si>
  <si>
    <t>ΨΥΛΛΟΥ</t>
  </si>
  <si>
    <t>Σ145308</t>
  </si>
  <si>
    <t>ΣΑΛΑΜΑΛΕΚΗΣ</t>
  </si>
  <si>
    <t>ΑΓΓΕΛΗΣ</t>
  </si>
  <si>
    <t>ΑΜ451506</t>
  </si>
  <si>
    <t>1036,7</t>
  </si>
  <si>
    <t>ΜΟΥΤΑΦΗ</t>
  </si>
  <si>
    <t>ΚΡΥΣΤΑΛΛΙΑ</t>
  </si>
  <si>
    <t>ΑΕ648959</t>
  </si>
  <si>
    <t>ΒΑΣΙΛΕΙΑΔΟΥ</t>
  </si>
  <si>
    <t>Χ871538</t>
  </si>
  <si>
    <t>1035,9</t>
  </si>
  <si>
    <t>ΠΕΡΕΝΤΕ</t>
  </si>
  <si>
    <t>ΜΟΥΖΑΦΕΡ</t>
  </si>
  <si>
    <t>ΡΕΤΖΕΠ</t>
  </si>
  <si>
    <t>ΑΗ863057</t>
  </si>
  <si>
    <t>1035,6</t>
  </si>
  <si>
    <t>ΤΡΑΪΑΝΙΔΟΥ</t>
  </si>
  <si>
    <t>ΠΟ99472</t>
  </si>
  <si>
    <t>1035,2</t>
  </si>
  <si>
    <t>ΧΑΤΖΗΚΥΡΙΑΚΟΥ</t>
  </si>
  <si>
    <t>ΑΕ819935</t>
  </si>
  <si>
    <t>ΧΑΡΙΛΑΟΣ</t>
  </si>
  <si>
    <t>ΑΕ238639</t>
  </si>
  <si>
    <t>ΒΑΣΙΛΟΠΟΥΛΟΥ</t>
  </si>
  <si>
    <t>ΑΗ628261</t>
  </si>
  <si>
    <t>ΜΟΡΤΖΑΚΗ</t>
  </si>
  <si>
    <t>ΑΗ547871</t>
  </si>
  <si>
    <t>1034,3</t>
  </si>
  <si>
    <t>ΒΛΑΣΚΟΣ</t>
  </si>
  <si>
    <t>ΑΕ373604</t>
  </si>
  <si>
    <t>ΚΑΡΑΓΚΙΟΖΑΚΗ</t>
  </si>
  <si>
    <t>ΔΩΡΟΘΕΟΣ</t>
  </si>
  <si>
    <t>Χ965171</t>
  </si>
  <si>
    <t>1033,7</t>
  </si>
  <si>
    <t>ΚΟΝΤΟΣ</t>
  </si>
  <si>
    <t>ΑΜ722903</t>
  </si>
  <si>
    <t>1033,4</t>
  </si>
  <si>
    <t>101-102</t>
  </si>
  <si>
    <t>ΚΑΤΣΙΟΥ</t>
  </si>
  <si>
    <t>ΑΕ153722</t>
  </si>
  <si>
    <t>1032,6</t>
  </si>
  <si>
    <t>ΣΑΣΣΗ</t>
  </si>
  <si>
    <t>ΑΖ251745</t>
  </si>
  <si>
    <t>ΝΤΕΝΕΖΟΥ</t>
  </si>
  <si>
    <t>ΜΑΡΙΚΑ</t>
  </si>
  <si>
    <t>ΕΥΘΥΜΙΟΣ</t>
  </si>
  <si>
    <t>Π672926</t>
  </si>
  <si>
    <t>1031,8</t>
  </si>
  <si>
    <t>ΚΑΤΣΙΓΙΑΝΝΗ</t>
  </si>
  <si>
    <t>ΑΒ483666</t>
  </si>
  <si>
    <t>ΤΣΙΡΙΔΗ</t>
  </si>
  <si>
    <t>ΑΗ081968</t>
  </si>
  <si>
    <t>731,5</t>
  </si>
  <si>
    <t>1031,5</t>
  </si>
  <si>
    <t>ΠΑΠΑΜΙΧΑΛΟΠΟΥΛΟΥ</t>
  </si>
  <si>
    <t>ΑΒ002043</t>
  </si>
  <si>
    <t>ΣΚΟΠΕΤΕΑ</t>
  </si>
  <si>
    <t>ΑΕ506952</t>
  </si>
  <si>
    <t>ΣΟΥΦΗ</t>
  </si>
  <si>
    <t>Χ681440</t>
  </si>
  <si>
    <t>1030,5</t>
  </si>
  <si>
    <t>ΤΑΣΙΟΠΟΥΛΟΣ</t>
  </si>
  <si>
    <t>ΑΒ345347</t>
  </si>
  <si>
    <t>730,4</t>
  </si>
  <si>
    <t>1030,4</t>
  </si>
  <si>
    <t>ΚΑΨΑΛΗ</t>
  </si>
  <si>
    <t>Τ480436</t>
  </si>
  <si>
    <t>ΚΟΥΚΙΩΤΗΣ</t>
  </si>
  <si>
    <t>ΑΒ724708</t>
  </si>
  <si>
    <t>760,1</t>
  </si>
  <si>
    <t>1030,1</t>
  </si>
  <si>
    <t>ΠΑΠΟΥΤΣΙΔΑΚΗ</t>
  </si>
  <si>
    <t>ΚΕΡΑΣΙΑ</t>
  </si>
  <si>
    <t>ΑΙ702470</t>
  </si>
  <si>
    <t>1029,8</t>
  </si>
  <si>
    <t>ΔΑΒΑΚΗ</t>
  </si>
  <si>
    <t>ΕΥΑ</t>
  </si>
  <si>
    <t>ΑΕ456619</t>
  </si>
  <si>
    <t>1029,7</t>
  </si>
  <si>
    <t>ΔΟΥΡΟΥ</t>
  </si>
  <si>
    <t>ΕΥΗ</t>
  </si>
  <si>
    <t>ΑΒ778120</t>
  </si>
  <si>
    <t>1029,3</t>
  </si>
  <si>
    <t>ΣΠΥΡΑΤΟΥ</t>
  </si>
  <si>
    <t xml:space="preserve">ΧΡΙΣΤΙΝΑ ΩΡΑΙΑΝΘΗ </t>
  </si>
  <si>
    <t xml:space="preserve">ΓΕΡΑΣΙΜΟΣ - ΣΑΡΑΝΤΗΣ </t>
  </si>
  <si>
    <t>ΑΑ120100</t>
  </si>
  <si>
    <t>ΜΑΡΑΖΙΔΗΣ</t>
  </si>
  <si>
    <t>ΠΟΛΥΧΡΟΝΗΣ</t>
  </si>
  <si>
    <t>Χ944001</t>
  </si>
  <si>
    <t>ΜΠΟΥΛΑΚΗ</t>
  </si>
  <si>
    <t>ΒΑΛΑΣΙΑ</t>
  </si>
  <si>
    <t>ΑΖ660830</t>
  </si>
  <si>
    <t>1028,2</t>
  </si>
  <si>
    <t>ΠΙΠΕΡΟΥ</t>
  </si>
  <si>
    <t>ΑΗ516685</t>
  </si>
  <si>
    <t>687,5</t>
  </si>
  <si>
    <t>1027,5</t>
  </si>
  <si>
    <t>ΜΑΡΓΑΡΙΤΑ</t>
  </si>
  <si>
    <t>ΑΑ083313</t>
  </si>
  <si>
    <t>ΦΟΥΝΤΟΥΚΟΠΟΥΛΟΥ</t>
  </si>
  <si>
    <t>Φ187511</t>
  </si>
  <si>
    <t>1026,4</t>
  </si>
  <si>
    <t>ΣΑΝΔΑΛΑΚΗΣ</t>
  </si>
  <si>
    <t>ΙΩΣΗΦ</t>
  </si>
  <si>
    <t>ΑΚ481108</t>
  </si>
  <si>
    <t>ΜΑΔΕΡΑΚΗ</t>
  </si>
  <si>
    <t>ΕΛΕΝΗ - ΚΩΝΣΤΑΝΤΙΝΑ</t>
  </si>
  <si>
    <t>ΑΗ026853</t>
  </si>
  <si>
    <t>1025,3</t>
  </si>
  <si>
    <t>ΚΑΣΙΜΗ</t>
  </si>
  <si>
    <t>ΑΚ138121</t>
  </si>
  <si>
    <t>685,3</t>
  </si>
  <si>
    <t>ΚΟΣΚΙΝΑΡΗ</t>
  </si>
  <si>
    <t>ΑΜ853929</t>
  </si>
  <si>
    <t>1024,5</t>
  </si>
  <si>
    <t>ΠΑΡΑΣΚΕΥΟΠΟΥΛΟΥ</t>
  </si>
  <si>
    <t>Ρ813301</t>
  </si>
  <si>
    <t>684,2</t>
  </si>
  <si>
    <t>1024,2</t>
  </si>
  <si>
    <t>ΚΙΤΣΑΚΗ</t>
  </si>
  <si>
    <t>ΟΔΥΣΣΕΥΣ</t>
  </si>
  <si>
    <t>ΑΗ739036</t>
  </si>
  <si>
    <t>ΦΑΤΟΥΡΟΥ</t>
  </si>
  <si>
    <t>ΕΥΣΤΑΘΙΑ</t>
  </si>
  <si>
    <t>ΑΖ223508</t>
  </si>
  <si>
    <t>1023,8</t>
  </si>
  <si>
    <t>ΚΑΡΑΓΙΑΝΝΙΔΟΥ</t>
  </si>
  <si>
    <t>Χ565150</t>
  </si>
  <si>
    <t>653,4</t>
  </si>
  <si>
    <t>1023,4</t>
  </si>
  <si>
    <t>ΚΥΡΙΑΚΟΠΟΥΛΟΥ</t>
  </si>
  <si>
    <t>ΧΡΥΣΑΥΓΗ-ΧΡΥΣΟΥΛΑ</t>
  </si>
  <si>
    <t>ΑΙ105066</t>
  </si>
  <si>
    <t>ΓΥΜΝΟΠΟΥΛΟΥ</t>
  </si>
  <si>
    <t>ΑΑ024991</t>
  </si>
  <si>
    <t>ΑΚ425514</t>
  </si>
  <si>
    <t>1022,7</t>
  </si>
  <si>
    <t>ΜΠΑΓΓΟΥ</t>
  </si>
  <si>
    <t>Χ740542</t>
  </si>
  <si>
    <t>1022,4</t>
  </si>
  <si>
    <t>ΣΙΜΙΤΟΣ</t>
  </si>
  <si>
    <t>ΑΑ045322</t>
  </si>
  <si>
    <t>1021,6</t>
  </si>
  <si>
    <t>ΑΔΑΜΙΔΟΥ</t>
  </si>
  <si>
    <t>ΠΑΡΑΣΚΕΥΑΣ</t>
  </si>
  <si>
    <t>ΑΒ018114</t>
  </si>
  <si>
    <t>1021,4</t>
  </si>
  <si>
    <t>ΚΑΛΛΙΑΝΟΥ</t>
  </si>
  <si>
    <t>ΑΚ202260</t>
  </si>
  <si>
    <t>1021,3</t>
  </si>
  <si>
    <t>ΜΟΥΤΣΟΥ</t>
  </si>
  <si>
    <t>ΑΜ399255</t>
  </si>
  <si>
    <t>700,7</t>
  </si>
  <si>
    <t>1020,7</t>
  </si>
  <si>
    <t>ΛΕΥΤΑΚΗ</t>
  </si>
  <si>
    <t>ΛΑΜΠΡΙΝΟΣ</t>
  </si>
  <si>
    <t>ΑΙ575523</t>
  </si>
  <si>
    <t>1020,5</t>
  </si>
  <si>
    <t>ΜΑΥΡΙΔΟΥ</t>
  </si>
  <si>
    <t>ΑΕ698226</t>
  </si>
  <si>
    <t>ΠΟΛΥΖΟΥ</t>
  </si>
  <si>
    <t>ΕΛΕΝΗ-ΑΓΟΡΗ</t>
  </si>
  <si>
    <t>ΑΚ636323</t>
  </si>
  <si>
    <t>1019,8</t>
  </si>
  <si>
    <t>ΑΙ558087</t>
  </si>
  <si>
    <t>689,7</t>
  </si>
  <si>
    <t>1019,7</t>
  </si>
  <si>
    <t>ΓΚΙΓΚΟΥΔΗ</t>
  </si>
  <si>
    <t>ΑΗ692469</t>
  </si>
  <si>
    <t>1019,4</t>
  </si>
  <si>
    <t>ΚΑΒΑΔΕΛΛΑΣ</t>
  </si>
  <si>
    <t>ΑΚ554275</t>
  </si>
  <si>
    <t>1019,1</t>
  </si>
  <si>
    <t>ΒΛΑΧΟΥ</t>
  </si>
  <si>
    <t>Χ181706</t>
  </si>
  <si>
    <t>ΛΑΘΟΥΡΗ</t>
  </si>
  <si>
    <t>ΑΑ977590</t>
  </si>
  <si>
    <t>ΣΙΜΠΟΥ</t>
  </si>
  <si>
    <t>Ξ671860</t>
  </si>
  <si>
    <t>958,1</t>
  </si>
  <si>
    <t>1018,1</t>
  </si>
  <si>
    <t>ΠΡΩΤΟΠΑΠΑΣ</t>
  </si>
  <si>
    <t>NIΚΟΛΑΟΣ</t>
  </si>
  <si>
    <t>Σ017857</t>
  </si>
  <si>
    <t>ΤΣΙΑΡΑ</t>
  </si>
  <si>
    <t>ΒΑΙΟΣ</t>
  </si>
  <si>
    <t>ΑΜ533842</t>
  </si>
  <si>
    <t>ΜΑΜΟΥΡΕΛΗ</t>
  </si>
  <si>
    <t>ΕΥΣΤΡΑΤΙΟΣ</t>
  </si>
  <si>
    <t>ΑΑ243467</t>
  </si>
  <si>
    <t>ΤΟΥΡΓΕΛΗΣ</t>
  </si>
  <si>
    <t>ΑΒ081096</t>
  </si>
  <si>
    <t>757,9</t>
  </si>
  <si>
    <t>1017,9</t>
  </si>
  <si>
    <t>ΚΑΠΕΛΛΑΣ</t>
  </si>
  <si>
    <t>ΣΤΑΜΟΣ</t>
  </si>
  <si>
    <t>ΑΖ002603</t>
  </si>
  <si>
    <t>597,3</t>
  </si>
  <si>
    <t>1017,3</t>
  </si>
  <si>
    <t>ΔΑΜΙΓΟΥ</t>
  </si>
  <si>
    <t>ΑΒ140840</t>
  </si>
  <si>
    <t>ΑΓΙΑΝΝΙΔΟΥ</t>
  </si>
  <si>
    <t>ΑΖ906161</t>
  </si>
  <si>
    <t>1016,7</t>
  </si>
  <si>
    <t>ΑΕ807780</t>
  </si>
  <si>
    <t>696,3</t>
  </si>
  <si>
    <t>1016,3</t>
  </si>
  <si>
    <t>ΚΑΡΑΝΙΚΟΛΑΟΥ</t>
  </si>
  <si>
    <t>ΑΚ147410</t>
  </si>
  <si>
    <t>1016,1</t>
  </si>
  <si>
    <t>ΑΛΕΞΑΝΔΡΙΔΟΥ</t>
  </si>
  <si>
    <t>ΑΑ275004</t>
  </si>
  <si>
    <t>ΕΥΑΓΓΕΛΙΔΟΥ</t>
  </si>
  <si>
    <t>Φ227187</t>
  </si>
  <si>
    <t>ΤΡΑΚΑΝΙΑΡΗ</t>
  </si>
  <si>
    <t>ΑΚ093678</t>
  </si>
  <si>
    <t>1015,8</t>
  </si>
  <si>
    <t>ΤΣΟΔΟΥΛΟΥ</t>
  </si>
  <si>
    <t>ΑΒ408571</t>
  </si>
  <si>
    <t>ΑΘΑΝΑΣΟΠΟΥΛΟΥ</t>
  </si>
  <si>
    <t>ΑΕ054018</t>
  </si>
  <si>
    <t>675,4</t>
  </si>
  <si>
    <t>1015,4</t>
  </si>
  <si>
    <t>ΔΗΛΕ</t>
  </si>
  <si>
    <t>ΑΗ520705</t>
  </si>
  <si>
    <t>1015,2</t>
  </si>
  <si>
    <t>ΧΑΡΑΛΑΜΠΙΔΟΥ</t>
  </si>
  <si>
    <t>ΜΑΡΙΑ-ΕΥΑΓΓΕΛΙΑ</t>
  </si>
  <si>
    <t>ΑΚ929978</t>
  </si>
  <si>
    <t>1014,7</t>
  </si>
  <si>
    <t>ΑΝΔΡΙΩΤΗ</t>
  </si>
  <si>
    <t>ΒΑΣΙΛΙΚΗ ΑΙΚΑΤΕΡΙΝΗ</t>
  </si>
  <si>
    <t>ΑΒ791465</t>
  </si>
  <si>
    <t>1014,6</t>
  </si>
  <si>
    <t>ΑΗΔΟΝΗΣ</t>
  </si>
  <si>
    <t>ΑΚ929693</t>
  </si>
  <si>
    <t>1013,6</t>
  </si>
  <si>
    <t>ΚΑΡΑΘΑΝΟΣ</t>
  </si>
  <si>
    <t>ΑΕ352539</t>
  </si>
  <si>
    <t>643,5</t>
  </si>
  <si>
    <t>1013,5</t>
  </si>
  <si>
    <t>ΤΕΡΛΕΞΗ</t>
  </si>
  <si>
    <t>ΑΖ280634</t>
  </si>
  <si>
    <t>1013,2</t>
  </si>
  <si>
    <t>101-102-105</t>
  </si>
  <si>
    <t>ΛΑΛΑΟΥΝΗ</t>
  </si>
  <si>
    <t>Χ645497</t>
  </si>
  <si>
    <t>1012,5</t>
  </si>
  <si>
    <t>ΘΕΟΔΩΡΟΥΛΗ</t>
  </si>
  <si>
    <t>Χ908933</t>
  </si>
  <si>
    <t>ΣΚΕΥΑ</t>
  </si>
  <si>
    <t>ΑΖ916452</t>
  </si>
  <si>
    <t>691,9</t>
  </si>
  <si>
    <t>1011,9</t>
  </si>
  <si>
    <t>ΔΕΜΕΣΤΙΧΑ</t>
  </si>
  <si>
    <t>ΤΙΤΙΚΑ ΜΑΡΙΑ</t>
  </si>
  <si>
    <t>Τ535706</t>
  </si>
  <si>
    <t>1011,6</t>
  </si>
  <si>
    <t>ΠΑΣΧΟΥΔΗΣ</t>
  </si>
  <si>
    <t>ΠΑΣΧΑΛΗΣ</t>
  </si>
  <si>
    <t>Χ253135</t>
  </si>
  <si>
    <t>1011,3</t>
  </si>
  <si>
    <t>ΚΑΝΑΤΑ</t>
  </si>
  <si>
    <t>ΑΕ394348</t>
  </si>
  <si>
    <t>ΒΑΣΙΛΕΙΑ</t>
  </si>
  <si>
    <t>ΜΑΤΘΑΙΟΣ</t>
  </si>
  <si>
    <t>ΑΜ200178</t>
  </si>
  <si>
    <t>710,6</t>
  </si>
  <si>
    <t>1010,6</t>
  </si>
  <si>
    <t>ΜΟΥΣΕΛΙΜΗ</t>
  </si>
  <si>
    <t>ΠΑΡΑΣΚΕΥΗ ΝΑΤΑΛΙΑ</t>
  </si>
  <si>
    <t>ΑΙ197886</t>
  </si>
  <si>
    <t>1010,4</t>
  </si>
  <si>
    <t>ΛΕΟΝΤΑΡΗΣ</t>
  </si>
  <si>
    <t>ΑΘΑΝΑΣΙΟΣ ΑΝΤΩΝΙΟΣ</t>
  </si>
  <si>
    <t>ΑΝ200138</t>
  </si>
  <si>
    <t>1010,3</t>
  </si>
  <si>
    <t>ΣΑΡΑΚΗ</t>
  </si>
  <si>
    <t>ΚΑΛΟΤΙΝΑ ΚΑΣΣΙΑΝΗ</t>
  </si>
  <si>
    <t>ΘΕΟΦΑΝΗΣ</t>
  </si>
  <si>
    <t>ΑΖ953780</t>
  </si>
  <si>
    <t>1009,8</t>
  </si>
  <si>
    <t>ΡΟΥΣΟΥΔΗ</t>
  </si>
  <si>
    <t>ΑΚ892858</t>
  </si>
  <si>
    <t>1008,8</t>
  </si>
  <si>
    <t>ΜΠΑΤΕΚΑ</t>
  </si>
  <si>
    <t>ΑΑ228967</t>
  </si>
  <si>
    <t>1008,4</t>
  </si>
  <si>
    <t>ΤΕΛΜΕΤΙΔΟΥ</t>
  </si>
  <si>
    <t>ΑΗ819631</t>
  </si>
  <si>
    <t>Ρ467168</t>
  </si>
  <si>
    <t>1007,7</t>
  </si>
  <si>
    <t>ΚΑΤΣΑΒΑΚΗ</t>
  </si>
  <si>
    <t>ΑΚ327970</t>
  </si>
  <si>
    <t>1007,5</t>
  </si>
  <si>
    <t>ΓΚΙΚΑ</t>
  </si>
  <si>
    <t>ΑΕ152684</t>
  </si>
  <si>
    <t>1006,6</t>
  </si>
  <si>
    <t>ΚΟΝΟΥΚΛΑ</t>
  </si>
  <si>
    <t>ΑΓΑΠΗ</t>
  </si>
  <si>
    <t>ΑΚ565223</t>
  </si>
  <si>
    <t>686,4</t>
  </si>
  <si>
    <t>1006,4</t>
  </si>
  <si>
    <t>ΣΑΚΚΑ</t>
  </si>
  <si>
    <t>ΑΒ643116</t>
  </si>
  <si>
    <t>705,1</t>
  </si>
  <si>
    <t>1005,1</t>
  </si>
  <si>
    <t>ΜΑΡΙΑ-ΑΝΝΑ</t>
  </si>
  <si>
    <t>ΑΚ301008</t>
  </si>
  <si>
    <t>1004,9</t>
  </si>
  <si>
    <t>ΠΕΤΣΙΝΗΣ</t>
  </si>
  <si>
    <t>ΑΙ785069</t>
  </si>
  <si>
    <t>1004,4</t>
  </si>
  <si>
    <t>ΜΑΡΑΓΓΟΥΛΑ</t>
  </si>
  <si>
    <t>ΓΙΑΝΝΙΤΣΑ</t>
  </si>
  <si>
    <t>ΑΕ088757</t>
  </si>
  <si>
    <t>1004,1</t>
  </si>
  <si>
    <t>ΓΚΑΝΤΑΡΑ</t>
  </si>
  <si>
    <t>ΑΜ369317</t>
  </si>
  <si>
    <t>ΚΑΡΑΓΚΟΥΝΗ</t>
  </si>
  <si>
    <t>ΑΒ141535</t>
  </si>
  <si>
    <t>1003,7</t>
  </si>
  <si>
    <t>ΚΟΥΡΚΟΥΤΑΣ</t>
  </si>
  <si>
    <t>ΑΚ649294</t>
  </si>
  <si>
    <t>1003,5</t>
  </si>
  <si>
    <t>ΠΑΝΑΡΕΤΟΣ</t>
  </si>
  <si>
    <t>ΑΙ899892</t>
  </si>
  <si>
    <t>1003,4</t>
  </si>
  <si>
    <t>ΒΙΤΣΑΡΑ</t>
  </si>
  <si>
    <t>ΑΑ040097</t>
  </si>
  <si>
    <t>1002,6</t>
  </si>
  <si>
    <t>102-103-101-106-104-105</t>
  </si>
  <si>
    <t>ΑΚΡΙΤΙΔΟΥ</t>
  </si>
  <si>
    <t>ΞΑΝΘΙΠΠΗ</t>
  </si>
  <si>
    <t>ΑΙ390868</t>
  </si>
  <si>
    <t>ΜΠΑΛΗΣ</t>
  </si>
  <si>
    <t>AΠΟΣΤΟΛΟΣ</t>
  </si>
  <si>
    <t>ΑΙ624588</t>
  </si>
  <si>
    <t>1002,2</t>
  </si>
  <si>
    <t>ΠΙΣΣΑΚΗ</t>
  </si>
  <si>
    <t>ΕΛΙΣΑΒΕΤ</t>
  </si>
  <si>
    <t>ΑΗ988306</t>
  </si>
  <si>
    <t>1001,9</t>
  </si>
  <si>
    <t>ΑΗ165806</t>
  </si>
  <si>
    <t>1001,8</t>
  </si>
  <si>
    <t>ΑΗ736096</t>
  </si>
  <si>
    <t>1001,5</t>
  </si>
  <si>
    <t>102-105-103-106-101-104</t>
  </si>
  <si>
    <t>ΚΑΛΚΑΝΑΚΟΥ</t>
  </si>
  <si>
    <t>Χ157105</t>
  </si>
  <si>
    <t>881,1</t>
  </si>
  <si>
    <t>1001,1</t>
  </si>
  <si>
    <t>ΝΑΝΟΣ</t>
  </si>
  <si>
    <t>ΑΕ334506</t>
  </si>
  <si>
    <t>1000,7</t>
  </si>
  <si>
    <t>ΚΟΒΑΣ</t>
  </si>
  <si>
    <t>ΙΩΑΚΕΙΜ</t>
  </si>
  <si>
    <t>ΣΤΕΦΑΝΟΣ</t>
  </si>
  <si>
    <t>ΑΑ498206</t>
  </si>
  <si>
    <t>ΔΑΔΟΥΚΗ</t>
  </si>
  <si>
    <t>ΜΑΡΙΝΑ</t>
  </si>
  <si>
    <t>ΑΑ235301</t>
  </si>
  <si>
    <t>1000,4</t>
  </si>
  <si>
    <t>Φ382139</t>
  </si>
  <si>
    <t>ΤΖΑΤΣΗ</t>
  </si>
  <si>
    <t>ΑΚ794252</t>
  </si>
  <si>
    <t>ΜΠΑIΡΑΜΗ</t>
  </si>
  <si>
    <t>ΑΖ277671</t>
  </si>
  <si>
    <t>ΝΙΚΟΛΑΤΟΥ</t>
  </si>
  <si>
    <t>Σ631941</t>
  </si>
  <si>
    <t>678,7</t>
  </si>
  <si>
    <t>998,7</t>
  </si>
  <si>
    <t>ΑΙ133503</t>
  </si>
  <si>
    <t>ΠΑΤΣΟΠΟΥΛΟΥ</t>
  </si>
  <si>
    <t>Χ931838</t>
  </si>
  <si>
    <t>998,2</t>
  </si>
  <si>
    <t>ΦΟΥΡΛΑΝΟΥ</t>
  </si>
  <si>
    <t>ΑΝΝΑ ΤΖΟΥΛΙΑ</t>
  </si>
  <si>
    <t>ΑΙ122601</t>
  </si>
  <si>
    <t>995,7</t>
  </si>
  <si>
    <t>ΜΑΚΡΗ</t>
  </si>
  <si>
    <t>Χ193414</t>
  </si>
  <si>
    <t>995,4</t>
  </si>
  <si>
    <t>ΚΑΡΑΓΙΑΝΝΗ</t>
  </si>
  <si>
    <t>ΑΗ869260</t>
  </si>
  <si>
    <t>995,3</t>
  </si>
  <si>
    <t>ΠΟΛΥΔΩΡΑ</t>
  </si>
  <si>
    <t>ΑΔΑΜ</t>
  </si>
  <si>
    <t>ΑΚ218888</t>
  </si>
  <si>
    <t>995,1</t>
  </si>
  <si>
    <t>ΓΑΤΣΑΣ</t>
  </si>
  <si>
    <t>ΑΗ765059</t>
  </si>
  <si>
    <t>994,9</t>
  </si>
  <si>
    <t>ΛΙΑΚΟΠΟΥΛΟΥ</t>
  </si>
  <si>
    <t>ΑΝ092067</t>
  </si>
  <si>
    <t>993,2</t>
  </si>
  <si>
    <t>ΑΜ639654</t>
  </si>
  <si>
    <t>992,7</t>
  </si>
  <si>
    <t>ΤΡΙΑΝΤΑΦΥΛΛΙΔΟΥ</t>
  </si>
  <si>
    <t>ΑΚ926005</t>
  </si>
  <si>
    <t>ΣΑΛΠΙΓΚΤΗ</t>
  </si>
  <si>
    <t>ΑΕ396058</t>
  </si>
  <si>
    <t>992,6</t>
  </si>
  <si>
    <t>ΠΥΛΗΣ</t>
  </si>
  <si>
    <t>ΑΕ275084</t>
  </si>
  <si>
    <t>992,5</t>
  </si>
  <si>
    <t>ΦΙΛΙΠΠΟΠΟΥΛΟΥ</t>
  </si>
  <si>
    <t>ΑΕ707198</t>
  </si>
  <si>
    <t>672,1</t>
  </si>
  <si>
    <t>992,1</t>
  </si>
  <si>
    <t>ΓΚΟΥΛΟΥΝΗ</t>
  </si>
  <si>
    <t>Χ968485</t>
  </si>
  <si>
    <t>991,6</t>
  </si>
  <si>
    <t>ΖΩΤΑΛΗ</t>
  </si>
  <si>
    <t xml:space="preserve">ΠΑΝΑΓΙΩΤΗΣ </t>
  </si>
  <si>
    <t>ΑΜ588855</t>
  </si>
  <si>
    <t>991,3</t>
  </si>
  <si>
    <t>ΞΥΔΙΑ</t>
  </si>
  <si>
    <t>ΑΙ024113</t>
  </si>
  <si>
    <t>ΒΕΝΤΗΡΗ</t>
  </si>
  <si>
    <t>ΛΥΔΙΑ</t>
  </si>
  <si>
    <t>ΠΑΡΑΣΚΕΥΑΣ ΠΑΝΑΓΙΩΤΗ</t>
  </si>
  <si>
    <t>ΑΜ516676</t>
  </si>
  <si>
    <t>990,7</t>
  </si>
  <si>
    <t>ΜΩΡΑΓΙΑΝΝΗ</t>
  </si>
  <si>
    <t>ΑΝ052444</t>
  </si>
  <si>
    <t>990,5</t>
  </si>
  <si>
    <t>ΦΟΥΣΚΕΤΑΚΗΣ</t>
  </si>
  <si>
    <t>ΝΙΚΩΝΑΣ</t>
  </si>
  <si>
    <t>ΑΚ617490</t>
  </si>
  <si>
    <t>669,9</t>
  </si>
  <si>
    <t>989,9</t>
  </si>
  <si>
    <t>ΤΑΜΒΑΚΟΥ</t>
  </si>
  <si>
    <t>Χ362852</t>
  </si>
  <si>
    <t>989,4</t>
  </si>
  <si>
    <t>ΤΣΙΓΚΑ</t>
  </si>
  <si>
    <t>ΑΕ871748</t>
  </si>
  <si>
    <t>ΠΑΠΑΔΟΓΙΑΝΝΗ</t>
  </si>
  <si>
    <t>ΑΗ206714</t>
  </si>
  <si>
    <t>989,3</t>
  </si>
  <si>
    <t xml:space="preserve">ΔΗΜΗΤΡΙΟΣ </t>
  </si>
  <si>
    <t>ΑΚ227366</t>
  </si>
  <si>
    <t>988,3</t>
  </si>
  <si>
    <t>ΓΕΩΡΓΙΑ-ΛΥΔΙΑ</t>
  </si>
  <si>
    <t>ΑΙ561893</t>
  </si>
  <si>
    <t>ΚΑΖΑΚΟΥ</t>
  </si>
  <si>
    <t>ΑΗ004696</t>
  </si>
  <si>
    <t>988,1</t>
  </si>
  <si>
    <t>ΜΑΝΤΑ</t>
  </si>
  <si>
    <t>ΑΚ680398</t>
  </si>
  <si>
    <t>667,7</t>
  </si>
  <si>
    <t>987,7</t>
  </si>
  <si>
    <t>ΒΗΛΟΥ</t>
  </si>
  <si>
    <t>Χ747427</t>
  </si>
  <si>
    <t>987,6</t>
  </si>
  <si>
    <t>ΠΟΛΙΤΙΔΗΣ</t>
  </si>
  <si>
    <t>ΚΟΣΜΑΣ</t>
  </si>
  <si>
    <t>987,5</t>
  </si>
  <si>
    <t>ΣΤΡΑΝΤΖΑΛΗ</t>
  </si>
  <si>
    <t>Χ278071</t>
  </si>
  <si>
    <t>ΠΑΣΙΑΛΗ</t>
  </si>
  <si>
    <t>Χ628364</t>
  </si>
  <si>
    <t>986,4</t>
  </si>
  <si>
    <t>ΚΑΠΟΤΗ</t>
  </si>
  <si>
    <t>Χ275223</t>
  </si>
  <si>
    <t>ΕΠΑΜΕΙΝΩΝΑΣ</t>
  </si>
  <si>
    <t>ΑΗ218623</t>
  </si>
  <si>
    <t>986,1</t>
  </si>
  <si>
    <t>Χ204548</t>
  </si>
  <si>
    <t>ΝΑΝΟΥ</t>
  </si>
  <si>
    <t>Ρ549814</t>
  </si>
  <si>
    <t>985,9</t>
  </si>
  <si>
    <t>ΛΑΚΙΩΤΗ</t>
  </si>
  <si>
    <t>Χ815359</t>
  </si>
  <si>
    <t>985,7</t>
  </si>
  <si>
    <t>ΚΑΡΑΜΟΥΖΗΣ</t>
  </si>
  <si>
    <t>985,6</t>
  </si>
  <si>
    <t>ΧΑΤΖΗΓΕΩΡΓΙΟΥ</t>
  </si>
  <si>
    <t>ΑΕ656732</t>
  </si>
  <si>
    <t>ΛΑΤΣΑ</t>
  </si>
  <si>
    <t>ΣΠΥΡΙΔΩΝ-ΔΗΜΗΤΡΙΟΣ</t>
  </si>
  <si>
    <t>ΑΑ339500</t>
  </si>
  <si>
    <t>985,3</t>
  </si>
  <si>
    <t>ΤΖΑΦΕΡΗ</t>
  </si>
  <si>
    <t>ΜΑΡΙΑ ΕΛΕΝΗ</t>
  </si>
  <si>
    <t>ΑΚ548363</t>
  </si>
  <si>
    <t>985,1</t>
  </si>
  <si>
    <t>ΣΤΕΦΑΝΟΠΟΥΛΟΥ</t>
  </si>
  <si>
    <t>ΑΕ092491</t>
  </si>
  <si>
    <t>ΚΑΚΚΟΥ</t>
  </si>
  <si>
    <t>ΑΝ226621</t>
  </si>
  <si>
    <t>984,8</t>
  </si>
  <si>
    <t>ΜΠΑΡΜΠΑΓΙΑΝΝΗ</t>
  </si>
  <si>
    <t>ΑΒ242353</t>
  </si>
  <si>
    <t>644,6</t>
  </si>
  <si>
    <t>984,6</t>
  </si>
  <si>
    <t>ΚΑΡΔΑΡΑ</t>
  </si>
  <si>
    <t>ΑΜ151853</t>
  </si>
  <si>
    <t>664,4</t>
  </si>
  <si>
    <t>984,4</t>
  </si>
  <si>
    <t>106-105-103-102</t>
  </si>
  <si>
    <t>ΡΕΝΤΑ</t>
  </si>
  <si>
    <t>Τ124287</t>
  </si>
  <si>
    <t>984,2</t>
  </si>
  <si>
    <t>ΚΑΛΟΓΕΡΑ</t>
  </si>
  <si>
    <t>ΑΚ147096</t>
  </si>
  <si>
    <t>984,1</t>
  </si>
  <si>
    <t>ΖΑΧΑΡΗ</t>
  </si>
  <si>
    <t>ΑΕ066887</t>
  </si>
  <si>
    <t>983,6</t>
  </si>
  <si>
    <t>ΑΒ603498</t>
  </si>
  <si>
    <t>812,9</t>
  </si>
  <si>
    <t>982,9</t>
  </si>
  <si>
    <t>ΤΣΙΑΜΗΤΡΟΥ</t>
  </si>
  <si>
    <t>ΑΒ862326</t>
  </si>
  <si>
    <t>702,9</t>
  </si>
  <si>
    <t>ΚΑΡΑΓΙΑΝΝΗΣ</t>
  </si>
  <si>
    <t>Ρ367022</t>
  </si>
  <si>
    <t>982,7</t>
  </si>
  <si>
    <t>ΤΣΙΤΛΑΚΙΔΟΥ</t>
  </si>
  <si>
    <t>ΕΥΑΝΘΙΑ</t>
  </si>
  <si>
    <t>ΑΙ196611</t>
  </si>
  <si>
    <t>ΚΩΝΣΤΑΝΤΕΛΟΥ</t>
  </si>
  <si>
    <t>ΑΙ848575</t>
  </si>
  <si>
    <t>982,5</t>
  </si>
  <si>
    <t>ΑΒ669652</t>
  </si>
  <si>
    <t>662,2</t>
  </si>
  <si>
    <t>982,2</t>
  </si>
  <si>
    <t>ΘΩΔΟΥ ΚΡΟΚΙΔΗ</t>
  </si>
  <si>
    <t>ΑΑ397895</t>
  </si>
  <si>
    <t>ΝΑΤΑΛΗ</t>
  </si>
  <si>
    <t>ΑΜ710945</t>
  </si>
  <si>
    <t>981,6</t>
  </si>
  <si>
    <t>ΚΟΚΚΑΛΗ</t>
  </si>
  <si>
    <t>Χ028448</t>
  </si>
  <si>
    <t>980,9</t>
  </si>
  <si>
    <t>ΣΤΕΡΓΙΟΥ</t>
  </si>
  <si>
    <t>Χ098633</t>
  </si>
  <si>
    <t>980,8</t>
  </si>
  <si>
    <t>Αβζιδη</t>
  </si>
  <si>
    <t>Ουλιανα</t>
  </si>
  <si>
    <t>Θεόδωρος</t>
  </si>
  <si>
    <t>ΑΗ085111</t>
  </si>
  <si>
    <t xml:space="preserve">ΕΛΕΝΗ </t>
  </si>
  <si>
    <t>Χ957438</t>
  </si>
  <si>
    <t>979,1</t>
  </si>
  <si>
    <t>ΑΝΑΣΤΑΣΙΑΔΟΥ</t>
  </si>
  <si>
    <t>ΑΗ199287</t>
  </si>
  <si>
    <t>978,6</t>
  </si>
  <si>
    <t>ΡΕΤΣΕΛΗ</t>
  </si>
  <si>
    <t>ΑΙ725909</t>
  </si>
  <si>
    <t>978,1</t>
  </si>
  <si>
    <t>ΚΟΥΝΑΔΗ</t>
  </si>
  <si>
    <t>ΛΙΑΝΑ</t>
  </si>
  <si>
    <t>Σ146949</t>
  </si>
  <si>
    <t>977,7</t>
  </si>
  <si>
    <t>ΑΓΟΡΑ</t>
  </si>
  <si>
    <t>ΒΟΙΣΑΒΑ</t>
  </si>
  <si>
    <t>ΒΑΣΙΛΑΚΗΣ</t>
  </si>
  <si>
    <t>ΑΙ068830</t>
  </si>
  <si>
    <t>977,2</t>
  </si>
  <si>
    <t>ΞΗΡΟΦΩΤΟΣ</t>
  </si>
  <si>
    <t>ΑΛΕΞΙΟΣ ΚΩΝΣΤΑΝΤΙΝΟΣ</t>
  </si>
  <si>
    <t>ΑΒ422911</t>
  </si>
  <si>
    <t>976,8</t>
  </si>
  <si>
    <t>ΔΗΜΟΣΙΟΥ</t>
  </si>
  <si>
    <t>ΑΗ265309</t>
  </si>
  <si>
    <t>676,5</t>
  </si>
  <si>
    <t>976,5</t>
  </si>
  <si>
    <t>ΕΜΜΑΝΟΥΗΛΙΔΟΥ</t>
  </si>
  <si>
    <t>Χ463457</t>
  </si>
  <si>
    <t>ΣΜΗΛΙΟΣ</t>
  </si>
  <si>
    <t>ΔΑΡΒΙΝ-ΘΕΟΔΟΣΙΟΣ</t>
  </si>
  <si>
    <t>ΑΒ715652</t>
  </si>
  <si>
    <t>974,7</t>
  </si>
  <si>
    <t>ΚΕΚΕΡΗΣ</t>
  </si>
  <si>
    <t>ΑΑ487678</t>
  </si>
  <si>
    <t>654,5</t>
  </si>
  <si>
    <t>974,5</t>
  </si>
  <si>
    <t>ΠΑΓΩΝΑ</t>
  </si>
  <si>
    <t>ΑΗ614023</t>
  </si>
  <si>
    <t>974,3</t>
  </si>
  <si>
    <t>ΠΑΠΑΛΕΞΙΟΥ</t>
  </si>
  <si>
    <t>Ρ711352</t>
  </si>
  <si>
    <t>ΚΩΣΤΑΓΙΑΝΝΗ</t>
  </si>
  <si>
    <t>ΑΖ568823</t>
  </si>
  <si>
    <t>ΑΙΒΑΖΙΔΟΥ</t>
  </si>
  <si>
    <t>ΑΛΙΝΑ</t>
  </si>
  <si>
    <t>Χ264351</t>
  </si>
  <si>
    <t>ΠΟΥΛΑΚΙΔΑ</t>
  </si>
  <si>
    <t>Χ507956</t>
  </si>
  <si>
    <t>973,8</t>
  </si>
  <si>
    <t>ΜΑΝΤΖΙΟΥΤΑ</t>
  </si>
  <si>
    <t>ΑΙ011185</t>
  </si>
  <si>
    <t>683,1</t>
  </si>
  <si>
    <t>973,1</t>
  </si>
  <si>
    <t>ΓΕΩΡΓΕΛΗ</t>
  </si>
  <si>
    <t>ΑΚ322180</t>
  </si>
  <si>
    <t>652,3</t>
  </si>
  <si>
    <t>972,3</t>
  </si>
  <si>
    <t>ΑΗ198620</t>
  </si>
  <si>
    <t>972,2</t>
  </si>
  <si>
    <t>ΜΕΡΚΟΥΡΗ</t>
  </si>
  <si>
    <t>Τ479829</t>
  </si>
  <si>
    <t>970,7</t>
  </si>
  <si>
    <t>ΤΣΙΤΣΑ</t>
  </si>
  <si>
    <t>ΑΜ230439</t>
  </si>
  <si>
    <t>ΠΑΝΑΓΙΩΤΟΥ</t>
  </si>
  <si>
    <t xml:space="preserve">ΚΩΝΣΤΑΝΤΙΝΑ-ΡΩΣΑΝΑ </t>
  </si>
  <si>
    <t>ΑΑ809846</t>
  </si>
  <si>
    <t>969,7</t>
  </si>
  <si>
    <t>ΔΕΜΙΡΗ</t>
  </si>
  <si>
    <t>ΑΝ025505</t>
  </si>
  <si>
    <t>ΠΑΝΑΓΟΥ</t>
  </si>
  <si>
    <t>ΕΥΤΥΧΙΑ</t>
  </si>
  <si>
    <t>ΑΚ926342</t>
  </si>
  <si>
    <t>668,8</t>
  </si>
  <si>
    <t>968,8</t>
  </si>
  <si>
    <t>ΚΑΚΑΛΕΤΡΗ</t>
  </si>
  <si>
    <t>ΠΑΝΑΓΙΩΤΑ-ΑΡΤΕΜΙΣ</t>
  </si>
  <si>
    <t>Φ026755</t>
  </si>
  <si>
    <t>968,3</t>
  </si>
  <si>
    <t>ΛΙΛΙΤΣΗΣ</t>
  </si>
  <si>
    <t>ΑΜ178476</t>
  </si>
  <si>
    <t>967,1</t>
  </si>
  <si>
    <t>ΕΞΑΡΧΟΣ</t>
  </si>
  <si>
    <t>Χ377800</t>
  </si>
  <si>
    <t>966,8</t>
  </si>
  <si>
    <t>ΑΝΑΣΤΑΣΙΟΥ</t>
  </si>
  <si>
    <t>ΑΑ380914</t>
  </si>
  <si>
    <t>966,3</t>
  </si>
  <si>
    <t>ΠΑΠΠΑΣ</t>
  </si>
  <si>
    <t>ΜΑΡΚΟΣ</t>
  </si>
  <si>
    <t>ΑΑ380546</t>
  </si>
  <si>
    <t>965,9</t>
  </si>
  <si>
    <t>ΦΟΥΤΟΥΧΟΣ</t>
  </si>
  <si>
    <t>ΑΖ503805</t>
  </si>
  <si>
    <t>965,2</t>
  </si>
  <si>
    <t>Χ867695</t>
  </si>
  <si>
    <t>965,1</t>
  </si>
  <si>
    <t>ΚΑΡΒΟΥΝΙΔΟΥ</t>
  </si>
  <si>
    <t>ΑΖ798202</t>
  </si>
  <si>
    <t>964,6</t>
  </si>
  <si>
    <t>ΓΟΥΣΗ</t>
  </si>
  <si>
    <t>ΑΗ778423</t>
  </si>
  <si>
    <t>ΚΟΡΟΜΠΙΛΗ</t>
  </si>
  <si>
    <t>Σ799112</t>
  </si>
  <si>
    <t>964,4</t>
  </si>
  <si>
    <t>ΚΑΤΣΑΝΟΥ</t>
  </si>
  <si>
    <t>ΑΖ005343</t>
  </si>
  <si>
    <t>964,1</t>
  </si>
  <si>
    <t>ΤΣΙΩΝΟΣ</t>
  </si>
  <si>
    <t>ΣΕΡΑΦΕΙΜ</t>
  </si>
  <si>
    <t>Σ890689</t>
  </si>
  <si>
    <t>ΚΟΤΤΑ</t>
  </si>
  <si>
    <t>ΑΙ861693</t>
  </si>
  <si>
    <t>ΣΙΝΑΠΛΙΔΟΥ</t>
  </si>
  <si>
    <t>ΑΕ759929</t>
  </si>
  <si>
    <t>962,2</t>
  </si>
  <si>
    <t>ΚΕΡΑΜΥΔΑ</t>
  </si>
  <si>
    <t>ΑΖ379028</t>
  </si>
  <si>
    <t>961,8</t>
  </si>
  <si>
    <t>ΖΑΝΝΗ</t>
  </si>
  <si>
    <t>Χ055137</t>
  </si>
  <si>
    <t>961,4</t>
  </si>
  <si>
    <t>ΓΚΟΡΤΖΙΛΑ</t>
  </si>
  <si>
    <t>Φ153437</t>
  </si>
  <si>
    <t>960,4</t>
  </si>
  <si>
    <t>ΚΑΤΣΑΒΟΥ</t>
  </si>
  <si>
    <t>ΑΙΚΑΤΕΡΙΝΗ-ΜΑΡΙΑ</t>
  </si>
  <si>
    <t>ΑΒ102755</t>
  </si>
  <si>
    <t>ΣΤΟΥΡΝΑΡΑ</t>
  </si>
  <si>
    <t>ΑΙ475171</t>
  </si>
  <si>
    <t>640,2</t>
  </si>
  <si>
    <t>960,2</t>
  </si>
  <si>
    <t>ΤΣΙΡΟΠΟΥΛΟΥ</t>
  </si>
  <si>
    <t>ΟΣΙΑ</t>
  </si>
  <si>
    <t>ΑΗ919392</t>
  </si>
  <si>
    <t>959,7</t>
  </si>
  <si>
    <t>ΚΑΡΑΜΟΥΖΗ</t>
  </si>
  <si>
    <t>ΑΒ450384</t>
  </si>
  <si>
    <t>958,7</t>
  </si>
  <si>
    <t>ΠΑΝΤΙΩΡΑΣ</t>
  </si>
  <si>
    <t>Τ500612</t>
  </si>
  <si>
    <t>958,4</t>
  </si>
  <si>
    <t>ΚΟΛΛΙΑ</t>
  </si>
  <si>
    <t>ΑΚ940111</t>
  </si>
  <si>
    <t>657,8</t>
  </si>
  <si>
    <t>957,8</t>
  </si>
  <si>
    <t>104-106-101-103-102-105</t>
  </si>
  <si>
    <t>ΠΑΠΑΝΤΩΝΙΟΥ</t>
  </si>
  <si>
    <t>ΑΜ331691</t>
  </si>
  <si>
    <t>697,4</t>
  </si>
  <si>
    <t>957,4</t>
  </si>
  <si>
    <t>ΔΑΝΙΑ</t>
  </si>
  <si>
    <t>Χ777278</t>
  </si>
  <si>
    <t>956,4</t>
  </si>
  <si>
    <t>103-102-104-101</t>
  </si>
  <si>
    <t>ΖΥΓΟΓΙΑΝΝΗ</t>
  </si>
  <si>
    <t>Σ708376</t>
  </si>
  <si>
    <t>956,1</t>
  </si>
  <si>
    <t>ΦΑΛΙΑΡΙΔΟΥ</t>
  </si>
  <si>
    <t>ΑΑ260146</t>
  </si>
  <si>
    <t>955,7</t>
  </si>
  <si>
    <t>ΓΚΑΜΑΓΚΑ</t>
  </si>
  <si>
    <t>ΑΕ685093</t>
  </si>
  <si>
    <t>954,9</t>
  </si>
  <si>
    <t>ΖΑΝΝΕΤΟΥ</t>
  </si>
  <si>
    <t>Σ769509</t>
  </si>
  <si>
    <t>ΓΙΑΝΝΑΚΕ</t>
  </si>
  <si>
    <t>ΑΖ776792</t>
  </si>
  <si>
    <t>ΜΑΡΙΝΟΠΟΥΛΟΥ</t>
  </si>
  <si>
    <t>Χ241865</t>
  </si>
  <si>
    <t>ΛΥΚΟΥΡΙΩΤΗ</t>
  </si>
  <si>
    <t>ΑΒ674414</t>
  </si>
  <si>
    <t>954,5</t>
  </si>
  <si>
    <t>ΣΠΑΝΟΣ</t>
  </si>
  <si>
    <t>Φ296474</t>
  </si>
  <si>
    <t>953,1</t>
  </si>
  <si>
    <t>ΚΑΖΑΝΤΖΙΔΟΥ</t>
  </si>
  <si>
    <t>ΑΕ356854</t>
  </si>
  <si>
    <t>952,7</t>
  </si>
  <si>
    <t>ΚΟΥΤΣΟΝΑΚΟΥ</t>
  </si>
  <si>
    <t>Χ406203</t>
  </si>
  <si>
    <t>952,2</t>
  </si>
  <si>
    <t>ΒΑΛΙΑΝΑΤΟΥ</t>
  </si>
  <si>
    <t>ΑΚ015468</t>
  </si>
  <si>
    <t>ΠΑΝΑΤΣΗ</t>
  </si>
  <si>
    <t>ΑΗ240966</t>
  </si>
  <si>
    <t>ΒΡΕΝΤΖΟΥ</t>
  </si>
  <si>
    <t>ΠΕΡΙΚΛΗΣ</t>
  </si>
  <si>
    <t>ΑΚ793358</t>
  </si>
  <si>
    <t>950,4</t>
  </si>
  <si>
    <t>ΖΩΤΟΥ</t>
  </si>
  <si>
    <t>ΑΝΝΗ</t>
  </si>
  <si>
    <t>ΣΥΜΩΝ</t>
  </si>
  <si>
    <t>ΑΚ101311</t>
  </si>
  <si>
    <t>950,3</t>
  </si>
  <si>
    <t>ΦΙΑΜΕΓΚΟΥ</t>
  </si>
  <si>
    <t>ΦΙΛΙΠΠΙΑ - ΜΑΡΙΑ</t>
  </si>
  <si>
    <t>ΑΜ547310</t>
  </si>
  <si>
    <t>949,9</t>
  </si>
  <si>
    <t>ΧΑΤΖΗΙΩΑΝΝΙΔΟΥ</t>
  </si>
  <si>
    <t>ΑΕ818776</t>
  </si>
  <si>
    <t>949,4</t>
  </si>
  <si>
    <t>ΚΙΟΣΗ</t>
  </si>
  <si>
    <t>ΑΙ268245</t>
  </si>
  <si>
    <t>ΖΟΡΜΠΑ</t>
  </si>
  <si>
    <t>ΚΩΝΣΤΑΝΤΙΝΙΑ</t>
  </si>
  <si>
    <t>ΑΝ412551</t>
  </si>
  <si>
    <t>948,7</t>
  </si>
  <si>
    <t>ΜΗΛΙΩΤΗ</t>
  </si>
  <si>
    <t>ΑΖ021534</t>
  </si>
  <si>
    <t>948,3</t>
  </si>
  <si>
    <t>ΜΟΣΧΙΔΟΥ</t>
  </si>
  <si>
    <t>ΑΗ414050</t>
  </si>
  <si>
    <t>947,2</t>
  </si>
  <si>
    <t>Χ363444</t>
  </si>
  <si>
    <t>946,9</t>
  </si>
  <si>
    <t>ΓΙΑΝΝΟΠΟΥΛΟΥ</t>
  </si>
  <si>
    <t>ΣΤΕΛΛΑ</t>
  </si>
  <si>
    <t>Τ479439</t>
  </si>
  <si>
    <t>946,8</t>
  </si>
  <si>
    <t>ΤΟΛΗ</t>
  </si>
  <si>
    <t>Σ314585</t>
  </si>
  <si>
    <t>946,6</t>
  </si>
  <si>
    <t>ΑΝ180293</t>
  </si>
  <si>
    <t>645,7</t>
  </si>
  <si>
    <t>945,7</t>
  </si>
  <si>
    <t>ΙΣΙΔΩΡΟΣ</t>
  </si>
  <si>
    <t>ΑΜ038848</t>
  </si>
  <si>
    <t>945,2</t>
  </si>
  <si>
    <t>ΚΑΨΗ</t>
  </si>
  <si>
    <t>ΑΡΧΟΝΤΟΥΛΑ</t>
  </si>
  <si>
    <t>ΑΚ539067</t>
  </si>
  <si>
    <t>945,1</t>
  </si>
  <si>
    <t>ΓΛΕΡΙΔΟΥ</t>
  </si>
  <si>
    <t>ΑΚ910001</t>
  </si>
  <si>
    <t>944,8</t>
  </si>
  <si>
    <t>ΤΣΟΥΓΚΟΥΖΙΔΟΥ</t>
  </si>
  <si>
    <t>ΕΛΙΝΑ</t>
  </si>
  <si>
    <t>ΑΑ472126</t>
  </si>
  <si>
    <t>944,3</t>
  </si>
  <si>
    <t>ΤΖΑΒΕΛΛΑ</t>
  </si>
  <si>
    <t>ΑΒ348194</t>
  </si>
  <si>
    <t>943,8</t>
  </si>
  <si>
    <t>ΑΒ009778</t>
  </si>
  <si>
    <t>943,5</t>
  </si>
  <si>
    <t>ΑΣΛΑΝΙΔΟΥ</t>
  </si>
  <si>
    <t>ΑΖ819295</t>
  </si>
  <si>
    <t>943,3</t>
  </si>
  <si>
    <t>ΑΕ212611</t>
  </si>
  <si>
    <t>Χ006167</t>
  </si>
  <si>
    <t>940,3</t>
  </si>
  <si>
    <t>ΞΑΝΘΟΥΛΑ</t>
  </si>
  <si>
    <t>ΑΒ937476</t>
  </si>
  <si>
    <t>939,8</t>
  </si>
  <si>
    <t>ΣΚΟΠΟΥΛΗ</t>
  </si>
  <si>
    <t>ΑΙ506023</t>
  </si>
  <si>
    <t>ΜΑΝΤΖΩΡΟΣ</t>
  </si>
  <si>
    <t>ΝΕΚΤΑΡΙΟΣ</t>
  </si>
  <si>
    <t>ΑΜ0</t>
  </si>
  <si>
    <t>939,5</t>
  </si>
  <si>
    <t>ΣΕΡΡΑΙΟΥ</t>
  </si>
  <si>
    <t>ΑΜ426404</t>
  </si>
  <si>
    <t>938,6</t>
  </si>
  <si>
    <t>ΜΠΑΛΑΣΑ</t>
  </si>
  <si>
    <t>ΑΖ143641</t>
  </si>
  <si>
    <t>937,5</t>
  </si>
  <si>
    <t>ΜΙΚΡΟΥ</t>
  </si>
  <si>
    <t xml:space="preserve">ΜΙΧΑΗΛ </t>
  </si>
  <si>
    <t>Τ816997</t>
  </si>
  <si>
    <t>937,2</t>
  </si>
  <si>
    <t>ΡΕΝΕΣΗΣ</t>
  </si>
  <si>
    <t>ΑΚ729608</t>
  </si>
  <si>
    <t>607,2</t>
  </si>
  <si>
    <t>ΜΑΝΩΛΗ</t>
  </si>
  <si>
    <t>ΑΖ518153</t>
  </si>
  <si>
    <t>937,1</t>
  </si>
  <si>
    <t>ΠΑΦΥΛΑ</t>
  </si>
  <si>
    <t>Χ814930</t>
  </si>
  <si>
    <t>Τ350230</t>
  </si>
  <si>
    <t>935,1</t>
  </si>
  <si>
    <t>ΠΙΣΠΙΛΗ</t>
  </si>
  <si>
    <t>ΑΠΟΣΤΟΛΙΑ-ΠΑΣΧΑΛΙΑ</t>
  </si>
  <si>
    <t>ΑΕ860201</t>
  </si>
  <si>
    <t>Χ974601</t>
  </si>
  <si>
    <t>934,4</t>
  </si>
  <si>
    <t>ΑΜ285683</t>
  </si>
  <si>
    <t>934,2</t>
  </si>
  <si>
    <t>ΠΗΛΑΒΑΚΗ</t>
  </si>
  <si>
    <t>ΑΗ165119</t>
  </si>
  <si>
    <t>933,7</t>
  </si>
  <si>
    <t>ΚΟΥΝΤΟΥΡΗ</t>
  </si>
  <si>
    <t>Χ619044</t>
  </si>
  <si>
    <t>933,4</t>
  </si>
  <si>
    <t>ΦΡΑΓΚΟΥ</t>
  </si>
  <si>
    <t>ΑΖ090765</t>
  </si>
  <si>
    <t>ΣΑΜΑΡΑ</t>
  </si>
  <si>
    <t>Τ308504</t>
  </si>
  <si>
    <t>ΤΑΠΟΓΛΟΥ</t>
  </si>
  <si>
    <t>ΣΠΥΡΙΔΟΥΛΑ ΑΛΕΞΑΝΔΡΑ</t>
  </si>
  <si>
    <t>ΑΜ647483</t>
  </si>
  <si>
    <t>930,9</t>
  </si>
  <si>
    <t>ΝΑΝΟΥΣΗΣ</t>
  </si>
  <si>
    <t>ΣΩΚΡΑΤΗΣ</t>
  </si>
  <si>
    <t>ΑΕ869838</t>
  </si>
  <si>
    <t>930,1</t>
  </si>
  <si>
    <t>ΣΕΡΓΗ</t>
  </si>
  <si>
    <t>ΠΑΡΑΣΚΕΥΗ ΑΝΔΡΙΑΝΗ</t>
  </si>
  <si>
    <t>ΑΗ186694</t>
  </si>
  <si>
    <t>658,9</t>
  </si>
  <si>
    <t>928,9</t>
  </si>
  <si>
    <t>101-104</t>
  </si>
  <si>
    <t>ΜΙΓΚΑ</t>
  </si>
  <si>
    <t>ΑΑ074200</t>
  </si>
  <si>
    <t>928,8</t>
  </si>
  <si>
    <t>ΑΕ199748</t>
  </si>
  <si>
    <t>ΘΑΝΟΥ</t>
  </si>
  <si>
    <t>ΑΙ332536</t>
  </si>
  <si>
    <t>927,7</t>
  </si>
  <si>
    <t>ΜΕΛΕΤΛΙΔΗΣ</t>
  </si>
  <si>
    <t>ΑΝ200329</t>
  </si>
  <si>
    <t>926,5</t>
  </si>
  <si>
    <t>ΣΠΥΡΟΠΟΥΛΟΥ</t>
  </si>
  <si>
    <t>ΠΟΛΥΒΙΟΣ</t>
  </si>
  <si>
    <t>ΑΑ016050</t>
  </si>
  <si>
    <t>925,7</t>
  </si>
  <si>
    <t>ΚΥΡΙΑΖΗ</t>
  </si>
  <si>
    <t>Τ505622</t>
  </si>
  <si>
    <t>925,4</t>
  </si>
  <si>
    <t>ΔΑΛΑΜΠΙΡΑ-ΚΙΠΡΙΓΛΗ</t>
  </si>
  <si>
    <t>ΑΖ834610</t>
  </si>
  <si>
    <t>ΣΙΑΚΟΥΛΗ</t>
  </si>
  <si>
    <t>ΑΗ143774</t>
  </si>
  <si>
    <t>924,9</t>
  </si>
  <si>
    <t>ΚΑΡΑΤΣΟΛΙΑ</t>
  </si>
  <si>
    <t>ΕΛΕΝΗ-ΙΩΑΝΝΑ</t>
  </si>
  <si>
    <t>ΑΒ193408</t>
  </si>
  <si>
    <t>624,8</t>
  </si>
  <si>
    <t>924,8</t>
  </si>
  <si>
    <t>ΣΠΗΛΙΩΤΟΠΟΥΛΟΣ</t>
  </si>
  <si>
    <t>ΛΕΑΝΔΡΟΣ</t>
  </si>
  <si>
    <t>ΔΗΜΟΣ</t>
  </si>
  <si>
    <t>ΑΖ704774</t>
  </si>
  <si>
    <t>924,5</t>
  </si>
  <si>
    <t>ΚΟΥΚΟΥΛΑ</t>
  </si>
  <si>
    <t>ΑΝΝΑ-ΜΑΡΓΑΡΙΤΑ</t>
  </si>
  <si>
    <t>ΑΒ594883</t>
  </si>
  <si>
    <t>923,9</t>
  </si>
  <si>
    <t>ΜΑΡΚΟΥΛΑΚΗ</t>
  </si>
  <si>
    <t>ΚΑΝΑΚΗΣ</t>
  </si>
  <si>
    <t>Ν967074</t>
  </si>
  <si>
    <t>923,6</t>
  </si>
  <si>
    <t>ΓΟΥΡΙΔΟΥ</t>
  </si>
  <si>
    <t>ΣΥΜΕΩΝ</t>
  </si>
  <si>
    <t>Χ255157</t>
  </si>
  <si>
    <t>922,5</t>
  </si>
  <si>
    <t>922,4</t>
  </si>
  <si>
    <t>ΣΕΡΓΙΑΔΟΥ</t>
  </si>
  <si>
    <t>ΑΗ516130</t>
  </si>
  <si>
    <t>ΔΑΣΚΑΛΗ</t>
  </si>
  <si>
    <t>ΑΒ769263</t>
  </si>
  <si>
    <t>919,4</t>
  </si>
  <si>
    <t>ΜΑΡΙΑ ΑΛΕΞΑΝΔΡΑ</t>
  </si>
  <si>
    <t>ΝΕΟΦΥΤΟΣ</t>
  </si>
  <si>
    <t>ΑΖ403528</t>
  </si>
  <si>
    <t>919,1</t>
  </si>
  <si>
    <t>ΚΟΥΤΑΒΑ</t>
  </si>
  <si>
    <t>ΜΑΡΙΕΛΕΝΗ</t>
  </si>
  <si>
    <t>Χ810402</t>
  </si>
  <si>
    <t>918,9</t>
  </si>
  <si>
    <t>ΠΑΠΑΒΕΝΕΤΙΟΥ</t>
  </si>
  <si>
    <t>ΧΡΙΣΤΟΣ</t>
  </si>
  <si>
    <t>ΑΗ496851</t>
  </si>
  <si>
    <t>698,5</t>
  </si>
  <si>
    <t>918,5</t>
  </si>
  <si>
    <t>ΑΖ525190</t>
  </si>
  <si>
    <t>ΜΠΕΚΟΥ</t>
  </si>
  <si>
    <t>ΑΗ636432</t>
  </si>
  <si>
    <t>917,5</t>
  </si>
  <si>
    <t>ΤΖΟΥΜΠΑΝΗ</t>
  </si>
  <si>
    <t>ΚΡΙΝΑΝΘΗ</t>
  </si>
  <si>
    <t>Ρ642026</t>
  </si>
  <si>
    <t>917,2</t>
  </si>
  <si>
    <t>ΠΕΓΚΑ</t>
  </si>
  <si>
    <t>Χ757177</t>
  </si>
  <si>
    <t>915,6</t>
  </si>
  <si>
    <t>ΚΑΤΣΑΓΩΝΗ</t>
  </si>
  <si>
    <t>ΑΙ669742</t>
  </si>
  <si>
    <t>915,4</t>
  </si>
  <si>
    <t>ΚΑΝΑΚΟΠΟΥΛΟΥ</t>
  </si>
  <si>
    <t>Χ213211</t>
  </si>
  <si>
    <t>Χ307768</t>
  </si>
  <si>
    <t>914,4</t>
  </si>
  <si>
    <t>ΛΟΥΓΓΟΥ</t>
  </si>
  <si>
    <t>ΑΚ294126</t>
  </si>
  <si>
    <t>914,2</t>
  </si>
  <si>
    <t>ΚΑΜΕΝΟΥ</t>
  </si>
  <si>
    <t>ΑΜ269600</t>
  </si>
  <si>
    <t>912,5</t>
  </si>
  <si>
    <t>ΔΡΑΚΟΠΟΥΛΟΥ</t>
  </si>
  <si>
    <t>ΑΚ359200</t>
  </si>
  <si>
    <t>ΑΝΑΣΤΑΣΟΠΟΥΛΟΥ</t>
  </si>
  <si>
    <t>ΑΗ026991</t>
  </si>
  <si>
    <t>621,5</t>
  </si>
  <si>
    <t>911,5</t>
  </si>
  <si>
    <t>ΑΝ070623</t>
  </si>
  <si>
    <t>911,4</t>
  </si>
  <si>
    <t>ΧΩΡΙΑΝΟΠΟΥΛΟΥ</t>
  </si>
  <si>
    <t>ΑΙ652177</t>
  </si>
  <si>
    <t>910,9</t>
  </si>
  <si>
    <t>ΠΕΖΟΔΡΟΜΟΣ</t>
  </si>
  <si>
    <t>ΑΕ492995</t>
  </si>
  <si>
    <t>910,7</t>
  </si>
  <si>
    <t>ΚΑΡΑΣΑΒΒΙΔΟΥ</t>
  </si>
  <si>
    <t>Χ974421</t>
  </si>
  <si>
    <t>910,4</t>
  </si>
  <si>
    <t>ΜΑΝΔΡΑΤΖΗ</t>
  </si>
  <si>
    <t>ΑΒ726073</t>
  </si>
  <si>
    <t>910,3</t>
  </si>
  <si>
    <t>ΓΚΟΡΤΣΑ</t>
  </si>
  <si>
    <t>ΗΡΩ</t>
  </si>
  <si>
    <t>ΑΧΙΛΛΕΥΣ</t>
  </si>
  <si>
    <t>ΑΕ597869</t>
  </si>
  <si>
    <t>909,9</t>
  </si>
  <si>
    <t>ΓΑΡΕΦΟΣ</t>
  </si>
  <si>
    <t>ΑΑ013373</t>
  </si>
  <si>
    <t>ΒΡΟΥΣΤΟΥΡΗ</t>
  </si>
  <si>
    <t>Φ285116</t>
  </si>
  <si>
    <t>809,6</t>
  </si>
  <si>
    <t>909,6</t>
  </si>
  <si>
    <t>ΑΓΓΕΛΙΔΗΣ</t>
  </si>
  <si>
    <t>Φ197642</t>
  </si>
  <si>
    <t>639,1</t>
  </si>
  <si>
    <t>909,1</t>
  </si>
  <si>
    <t xml:space="preserve">Πετκανά </t>
  </si>
  <si>
    <t xml:space="preserve">Μαρίνα </t>
  </si>
  <si>
    <t xml:space="preserve">Γεώργιος </t>
  </si>
  <si>
    <t>ΑΖ298101</t>
  </si>
  <si>
    <t>908,8</t>
  </si>
  <si>
    <t>ΕΥΔΟΞΙΑ</t>
  </si>
  <si>
    <t>Χ259035</t>
  </si>
  <si>
    <t>908,5</t>
  </si>
  <si>
    <t>ΜΑΛΑΚΟΥ</t>
  </si>
  <si>
    <t>ΑΝ088096</t>
  </si>
  <si>
    <t>ΚΟΝΤΗ</t>
  </si>
  <si>
    <t>ΑΑ078042</t>
  </si>
  <si>
    <t>907,2</t>
  </si>
  <si>
    <t>ΣΑΡΓΙΑΝΝΙΔΗΣ</t>
  </si>
  <si>
    <t>ΑΗ826077</t>
  </si>
  <si>
    <t>906,5</t>
  </si>
  <si>
    <t>ΠΡΑΓΙΑ</t>
  </si>
  <si>
    <t>ΑΙ984467</t>
  </si>
  <si>
    <t>ΘΕΟΦΑΝΟΥΣ</t>
  </si>
  <si>
    <t>ΝΕΡΑΤΖΗΣ</t>
  </si>
  <si>
    <t>ΑΚ539422</t>
  </si>
  <si>
    <t>635,8</t>
  </si>
  <si>
    <t>905,8</t>
  </si>
  <si>
    <t>ΠΑΡΑΘΥΡΑ</t>
  </si>
  <si>
    <t>ΦΙΛΑΝΘΗ</t>
  </si>
  <si>
    <t>ΑΙ189441</t>
  </si>
  <si>
    <t>905,4</t>
  </si>
  <si>
    <t>ΜΑΛΛΙΟΥ</t>
  </si>
  <si>
    <t>ΠΟΛΥΞΕΝΗ</t>
  </si>
  <si>
    <t>ΑΜ292091</t>
  </si>
  <si>
    <t>ΚΑΝΑΤΟΥΛΑ</t>
  </si>
  <si>
    <t>ΑΗ870182</t>
  </si>
  <si>
    <t>905,2</t>
  </si>
  <si>
    <t>ΧΑΝΤΕ</t>
  </si>
  <si>
    <t>ΙΟΥΛΙΑ ΜΑΡΙΑ</t>
  </si>
  <si>
    <t>ΑΚ288901</t>
  </si>
  <si>
    <t>905,1</t>
  </si>
  <si>
    <t>ΙΟΡΔΑΝΟΠΟΥΛΟΥ</t>
  </si>
  <si>
    <t>ΙΣΑΑΚ</t>
  </si>
  <si>
    <t>ΑΗ653667</t>
  </si>
  <si>
    <t>904,9</t>
  </si>
  <si>
    <t>ΣΑΛΛΑ ΗΛΙΟΠΟΥΛΟΥ</t>
  </si>
  <si>
    <t>Χ434919</t>
  </si>
  <si>
    <t>903,2</t>
  </si>
  <si>
    <t>ΤΣΕΚΟΥΡΑ</t>
  </si>
  <si>
    <t>ΑΕ249087</t>
  </si>
  <si>
    <t>ΠΑΛΑΜΑ</t>
  </si>
  <si>
    <t>Τ376068</t>
  </si>
  <si>
    <t>822,8</t>
  </si>
  <si>
    <t>902,8</t>
  </si>
  <si>
    <t>ΚΟΛΙΟΥΜΠΑ</t>
  </si>
  <si>
    <t>Ρ891091</t>
  </si>
  <si>
    <t>902,6</t>
  </si>
  <si>
    <t>ΑΚ308319</t>
  </si>
  <si>
    <t>902,1</t>
  </si>
  <si>
    <t>ΖΑΜΠΑ</t>
  </si>
  <si>
    <t>ΑΕ090945</t>
  </si>
  <si>
    <t>901,8</t>
  </si>
  <si>
    <t>ΑΚ715202</t>
  </si>
  <si>
    <t>711,7</t>
  </si>
  <si>
    <t>901,7</t>
  </si>
  <si>
    <t>ΛΑΦΑΤΖΗΣ</t>
  </si>
  <si>
    <t>ΑΖ814043</t>
  </si>
  <si>
    <t>900,4</t>
  </si>
  <si>
    <t>ΠΟΥΛΗ</t>
  </si>
  <si>
    <t>ΑΖ369427</t>
  </si>
  <si>
    <t>ΑΑ444145</t>
  </si>
  <si>
    <t>899,7</t>
  </si>
  <si>
    <t>ΤΣΙΑΜΑ</t>
  </si>
  <si>
    <t>Χ794012</t>
  </si>
  <si>
    <t>ΒΑΜΒΑΚΟΠΟΥΛΟΥ</t>
  </si>
  <si>
    <t>ΑΜ698894</t>
  </si>
  <si>
    <t>899,4</t>
  </si>
  <si>
    <t>Σ533551</t>
  </si>
  <si>
    <t>619,3</t>
  </si>
  <si>
    <t>899,3</t>
  </si>
  <si>
    <t>ΤΣΗΛΙΟΥ</t>
  </si>
  <si>
    <t>ΑΕ854858</t>
  </si>
  <si>
    <t>ΑΑ230593</t>
  </si>
  <si>
    <t>898,8</t>
  </si>
  <si>
    <t>ΤΣΙΟΠΤΣΙΑ</t>
  </si>
  <si>
    <t>Χ889985</t>
  </si>
  <si>
    <t>898,6</t>
  </si>
  <si>
    <t>ΙΑΚΩΒΙΔΟΥ</t>
  </si>
  <si>
    <t>Τ478107</t>
  </si>
  <si>
    <t>898,5</t>
  </si>
  <si>
    <t>ΑΚ277566</t>
  </si>
  <si>
    <t>898,3</t>
  </si>
  <si>
    <t>ΜΟΛΒΑΛΗ</t>
  </si>
  <si>
    <t>Χ241295</t>
  </si>
  <si>
    <t>897,1</t>
  </si>
  <si>
    <t>ΖΗΣΙΟΥ</t>
  </si>
  <si>
    <t>Χ476784</t>
  </si>
  <si>
    <t>896,1</t>
  </si>
  <si>
    <t>ΚΟΥΜΠΟΥΝΗ</t>
  </si>
  <si>
    <t>Χ652107</t>
  </si>
  <si>
    <t>ΑΝΝΑ-ΓΡΗΓΟΡΙΑ</t>
  </si>
  <si>
    <t>ΑΕ090822</t>
  </si>
  <si>
    <t>895,8</t>
  </si>
  <si>
    <t>ΠΑΠΟΥΛΙΑ</t>
  </si>
  <si>
    <t>ΕΛΕYΘΕΡΙΟΣ</t>
  </si>
  <si>
    <t>ΑΒ119916</t>
  </si>
  <si>
    <t>895,6</t>
  </si>
  <si>
    <t>ΑΖ104429</t>
  </si>
  <si>
    <t>894,9</t>
  </si>
  <si>
    <t>ΑΓΓΕΛΟΠΟΥΛΟΥ</t>
  </si>
  <si>
    <t>ΝΙΚΟΛΙΤΣΑ</t>
  </si>
  <si>
    <t>ΑΙ213928</t>
  </si>
  <si>
    <t>ΜΑΚΕΔΟΝΑ</t>
  </si>
  <si>
    <t>ΑΗ118511</t>
  </si>
  <si>
    <t>894,8</t>
  </si>
  <si>
    <t>ΜΠΑΚΟΥΡΗ-ΚΑΤΙΜΕΡΤΖΗ</t>
  </si>
  <si>
    <t>ΠΑΝΑΓΙΩΤΑ-ΙΩΑΝΝΑ</t>
  </si>
  <si>
    <t>ΑΚ494465</t>
  </si>
  <si>
    <t>894,2</t>
  </si>
  <si>
    <t>ΓΕΩΡΓΙΤΣΟΠΟΥΛΟΥ</t>
  </si>
  <si>
    <t>ΑΗ376223</t>
  </si>
  <si>
    <t>623,7</t>
  </si>
  <si>
    <t>893,7</t>
  </si>
  <si>
    <t>ΑΝΑΝΙΑΔΟΥ</t>
  </si>
  <si>
    <t>ΣΟΛΟΜΩΝ</t>
  </si>
  <si>
    <t>ΑΕ870233</t>
  </si>
  <si>
    <t>893,5</t>
  </si>
  <si>
    <t>ΠΡΙΟΒΟΛΟΥ</t>
  </si>
  <si>
    <t>Χ020314</t>
  </si>
  <si>
    <t>892,4</t>
  </si>
  <si>
    <t>ΠΑΠΑΧΡΗΣΤΟΣ</t>
  </si>
  <si>
    <t>ΑΕ801403</t>
  </si>
  <si>
    <t>892,2</t>
  </si>
  <si>
    <t>ΤΣΙΤΜΗΔΕΛΗ</t>
  </si>
  <si>
    <t>ΑΑ349563</t>
  </si>
  <si>
    <t>ΜΟΥΡΟΥΤΣΟΥ</t>
  </si>
  <si>
    <t>ΠΑΝΟΣ</t>
  </si>
  <si>
    <t>Χ287856</t>
  </si>
  <si>
    <t>ΣΗΜΑΙΟΦΟΡΙΔΟΥ</t>
  </si>
  <si>
    <t>ΑΚ939854</t>
  </si>
  <si>
    <t>891,9</t>
  </si>
  <si>
    <t>ΜΑΡΙΑ ΒΑΣΙΛΙΚΗ</t>
  </si>
  <si>
    <t>ΑΙ690754</t>
  </si>
  <si>
    <t>891,7</t>
  </si>
  <si>
    <t>ΜΠΙΡΙΚΟΥ</t>
  </si>
  <si>
    <t>ΓΑΡΥΦΑΛΛΙΑ</t>
  </si>
  <si>
    <t>Φ255803</t>
  </si>
  <si>
    <t>891,3</t>
  </si>
  <si>
    <t>ΓΑΡΓΑΝΗ</t>
  </si>
  <si>
    <t>ΑΜ857421</t>
  </si>
  <si>
    <t>891,2</t>
  </si>
  <si>
    <t>ΓΙΑΝΝΙΟΣ</t>
  </si>
  <si>
    <t>Χ427536</t>
  </si>
  <si>
    <t>890,6</t>
  </si>
  <si>
    <t>ΑΞΙΩΤΑΚΗ</t>
  </si>
  <si>
    <t>Χ780819</t>
  </si>
  <si>
    <t>890,4</t>
  </si>
  <si>
    <t>ΚΑΡΒΕΛΗ</t>
  </si>
  <si>
    <t>ΑΖ002871</t>
  </si>
  <si>
    <t>ΣΧΟΡΕΤΣΑΝΙΤΗ</t>
  </si>
  <si>
    <t>ΑΚ964990</t>
  </si>
  <si>
    <t>889,8</t>
  </si>
  <si>
    <t>ΝΙΚΟΛΟΠΟΥΛΟΥ</t>
  </si>
  <si>
    <t>ΑΖ575997</t>
  </si>
  <si>
    <t>889,3</t>
  </si>
  <si>
    <t>ΚΟΛΟΚΟΝΤΕ</t>
  </si>
  <si>
    <t>ΜΑΡΙΑΝΝΑ</t>
  </si>
  <si>
    <t>Χ899898</t>
  </si>
  <si>
    <t>888,4</t>
  </si>
  <si>
    <t>ΓΙΑΝΝΙΚΟΠΟΥΛΟΥ</t>
  </si>
  <si>
    <t>Τ180678</t>
  </si>
  <si>
    <t>ΣΙΟΥΤΟΠΟΥΛΟΥ</t>
  </si>
  <si>
    <t>ΑΒ109506</t>
  </si>
  <si>
    <t>887,8</t>
  </si>
  <si>
    <t>ΠΑΠΑΡΡΗΓΟΠΟΥΛΟΥ</t>
  </si>
  <si>
    <t>ΑΜ510160</t>
  </si>
  <si>
    <t>887,6</t>
  </si>
  <si>
    <t>ΑΗ281734</t>
  </si>
  <si>
    <t>887,3</t>
  </si>
  <si>
    <t>ΖΑΒΑΚΟΣ</t>
  </si>
  <si>
    <t>ΑΚ817923</t>
  </si>
  <si>
    <t>886,9</t>
  </si>
  <si>
    <t>ΠΕΡΙΣΤΕΡΑ</t>
  </si>
  <si>
    <t>ΑΑ108571</t>
  </si>
  <si>
    <t>885,8</t>
  </si>
  <si>
    <t>ΤΖΙΑΦΕΤΑ</t>
  </si>
  <si>
    <t>Χ931449</t>
  </si>
  <si>
    <t>884,8</t>
  </si>
  <si>
    <t>ΜΑΣΤΡΟΓΙΑΝΝΗ</t>
  </si>
  <si>
    <t>ΑΜ755878</t>
  </si>
  <si>
    <t>884,7</t>
  </si>
  <si>
    <t>ΓΑΒΡΗΛΟΥ</t>
  </si>
  <si>
    <t>ΑΚ359254</t>
  </si>
  <si>
    <t>ΧΑΜΟΥΡΓΚΑ</t>
  </si>
  <si>
    <t>Φ275243</t>
  </si>
  <si>
    <t>884,5</t>
  </si>
  <si>
    <t>ΣΑΛΙΑΚΟΥΡΑ</t>
  </si>
  <si>
    <t>ΑΙ746719</t>
  </si>
  <si>
    <t>883,9</t>
  </si>
  <si>
    <t>ΠΑΡΑΣΟΓΛΟΥ</t>
  </si>
  <si>
    <t>Φ180689</t>
  </si>
  <si>
    <t>883,2</t>
  </si>
  <si>
    <t>ΔΕΡΜΕΝΤΖΗ</t>
  </si>
  <si>
    <t>ΘΑΛΕΙΑ</t>
  </si>
  <si>
    <t>Φ227505</t>
  </si>
  <si>
    <t>ΝΙΚΗΦΟΡΑΚΗ</t>
  </si>
  <si>
    <t>ΑΙ474071</t>
  </si>
  <si>
    <t>882,5</t>
  </si>
  <si>
    <t>ΠΑΠΑΔΟΠΟΥΛΟΣ</t>
  </si>
  <si>
    <t>Χ074741</t>
  </si>
  <si>
    <t>ΚΥΡΚΟΠΟΥΛΟΥ</t>
  </si>
  <si>
    <t>Χ378975</t>
  </si>
  <si>
    <t>880,4</t>
  </si>
  <si>
    <t>ΚΑΡΠΑΘΑΚΗΣ</t>
  </si>
  <si>
    <t>ΑΖ532822</t>
  </si>
  <si>
    <t>630,3</t>
  </si>
  <si>
    <t>880,3</t>
  </si>
  <si>
    <t>ΚΑΡΟΥΖΑΚΗ</t>
  </si>
  <si>
    <t>ΑΡΙΣΤΕΑ</t>
  </si>
  <si>
    <t>ΑΒ278944</t>
  </si>
  <si>
    <t>878,8</t>
  </si>
  <si>
    <t>ΜΟΥΣΤΑΚΗΣ</t>
  </si>
  <si>
    <t>Χ402751</t>
  </si>
  <si>
    <t>878,1</t>
  </si>
  <si>
    <t>ΛΙΤΟΣΕΛΙΤΗ</t>
  </si>
  <si>
    <t>ΑΙ977631</t>
  </si>
  <si>
    <t>ΚΥΡΙΤΣΑ</t>
  </si>
  <si>
    <t>ΑΗ278206</t>
  </si>
  <si>
    <t>876,3</t>
  </si>
  <si>
    <t>ΜΑΣΙΑΚΟΥ</t>
  </si>
  <si>
    <t>ΛΟΥΚΙΑ</t>
  </si>
  <si>
    <t>ΑΕ342612</t>
  </si>
  <si>
    <t>ΜΟΛΩΝΗ</t>
  </si>
  <si>
    <t>ΑΖ522603</t>
  </si>
  <si>
    <t>875,9</t>
  </si>
  <si>
    <t>ΠΑΠΑΚΑΛΑΜΠΟΚΗ</t>
  </si>
  <si>
    <t>ΓΛΥΚΕΡΙΑ</t>
  </si>
  <si>
    <t>ΑΑ008325</t>
  </si>
  <si>
    <t>ΖΕΡΔΕΛΗ</t>
  </si>
  <si>
    <t>ΧΡΙΣΤΟΦΟΡ0Σ</t>
  </si>
  <si>
    <t>Φ296332</t>
  </si>
  <si>
    <t>874,4</t>
  </si>
  <si>
    <t>ΑΝΤΩΝΙΟΥ</t>
  </si>
  <si>
    <t>ΑΜ843167</t>
  </si>
  <si>
    <t>ΒΑΡΑΓΚΑ</t>
  </si>
  <si>
    <t>ΑΗ356395</t>
  </si>
  <si>
    <t>873,6</t>
  </si>
  <si>
    <t>ΝΤΑΗ</t>
  </si>
  <si>
    <t>ΑΚ861807</t>
  </si>
  <si>
    <t>ΒΟΛΤΣΗΣ</t>
  </si>
  <si>
    <t>ΑΖ870948</t>
  </si>
  <si>
    <t>872,9</t>
  </si>
  <si>
    <t>ΑΡΚΟΥΔΑ</t>
  </si>
  <si>
    <t>Φ468764</t>
  </si>
  <si>
    <t>642,4</t>
  </si>
  <si>
    <t>872,4</t>
  </si>
  <si>
    <t>ΠΑΓΑΝΗΣ</t>
  </si>
  <si>
    <t>ΑΚ651046</t>
  </si>
  <si>
    <t>871,8</t>
  </si>
  <si>
    <t>ΑΒ281347</t>
  </si>
  <si>
    <t>ΚΟΥΤΗ</t>
  </si>
  <si>
    <t>Χ068616</t>
  </si>
  <si>
    <t>871,1</t>
  </si>
  <si>
    <t>ΠΕΚΜΕΖΑΡΗ</t>
  </si>
  <si>
    <t>Χ379721</t>
  </si>
  <si>
    <t>ΣΩΤΗΡΟΠΟΥΛΟΥ</t>
  </si>
  <si>
    <t>Χ289188</t>
  </si>
  <si>
    <t>869,6</t>
  </si>
  <si>
    <t>ΕΥΘΥΜΙΟΠΟΥΛΟΣ</t>
  </si>
  <si>
    <t>ΑΒ054301</t>
  </si>
  <si>
    <t>869,3</t>
  </si>
  <si>
    <t>Χ924328</t>
  </si>
  <si>
    <t>Χ940514</t>
  </si>
  <si>
    <t>647,9</t>
  </si>
  <si>
    <t>ΠΑΠΑΘΕΟΔΩΡΟΥ</t>
  </si>
  <si>
    <t>ΝΙΚΗΦΟΡΟΣ</t>
  </si>
  <si>
    <t>Χ366468</t>
  </si>
  <si>
    <t>867,8</t>
  </si>
  <si>
    <t>ΚΑΛΑΝΤΖΗΣ</t>
  </si>
  <si>
    <t>ΑΑ348248</t>
  </si>
  <si>
    <t>ΚΟΤΖΑΝΙΚΟΛΑΟΥ</t>
  </si>
  <si>
    <t>ΕΡΑΣΜΙΑ</t>
  </si>
  <si>
    <t>ΑΜ713312</t>
  </si>
  <si>
    <t>867,4</t>
  </si>
  <si>
    <t>ΡΟΔΑΚΙΝΙΑ</t>
  </si>
  <si>
    <t>Σ440252</t>
  </si>
  <si>
    <t>ΜΑΝΔΑΛΗ</t>
  </si>
  <si>
    <t>ΧΡΥΣΟΣΤΟΜΟΣ</t>
  </si>
  <si>
    <t>Φ046249</t>
  </si>
  <si>
    <t>ΓΛΑΝΤΖΗ</t>
  </si>
  <si>
    <t>ΑΜ129881</t>
  </si>
  <si>
    <t>ΚΑΣΙΜΑΤΗΣ</t>
  </si>
  <si>
    <t>ΑΖ521331</t>
  </si>
  <si>
    <t>ΜΠΟΓΛΟΥ</t>
  </si>
  <si>
    <t>ΔΑΦΝΗ</t>
  </si>
  <si>
    <t>ΑΑ274433</t>
  </si>
  <si>
    <t>864,7</t>
  </si>
  <si>
    <t>ΣΙΟΥΛΗΣ</t>
  </si>
  <si>
    <t>Χ058391</t>
  </si>
  <si>
    <t>864,4</t>
  </si>
  <si>
    <t>ΔΡΑΚΩΝΑΚΗ</t>
  </si>
  <si>
    <t>ΕΜΜΑΝΟΥΗ</t>
  </si>
  <si>
    <t>ΑΗ510249</t>
  </si>
  <si>
    <t>ΑΝΑΣΤΑΣΟΠΟΥΛΟΣ</t>
  </si>
  <si>
    <t>ΑΙ025196</t>
  </si>
  <si>
    <t>564,3</t>
  </si>
  <si>
    <t>864,3</t>
  </si>
  <si>
    <t>ΖΕΝΕΛΗ</t>
  </si>
  <si>
    <t>ΤΡΥΦΩΝ</t>
  </si>
  <si>
    <t>ΑΜ182972</t>
  </si>
  <si>
    <t>864,2</t>
  </si>
  <si>
    <t>Π951224</t>
  </si>
  <si>
    <t>ΜΠΑΣΔΕΚΗ</t>
  </si>
  <si>
    <t>Χ331833</t>
  </si>
  <si>
    <t>862,7</t>
  </si>
  <si>
    <t>ΑΛΕΞΑΚΗ</t>
  </si>
  <si>
    <t>ΑΕ629694</t>
  </si>
  <si>
    <t>861,4</t>
  </si>
  <si>
    <t>ΠΥΛΑΡΙΝΟΥ</t>
  </si>
  <si>
    <t>Χ967441</t>
  </si>
  <si>
    <t>ΠΑΥΛΙΔΟΥ</t>
  </si>
  <si>
    <t>ΑΑ935030</t>
  </si>
  <si>
    <t>859,8</t>
  </si>
  <si>
    <t>ΚΡΗΤΙΚΟΣ</t>
  </si>
  <si>
    <t>ΑΖ444823</t>
  </si>
  <si>
    <t>ΧΑΝΤΖΟΠΛΑΚΗ</t>
  </si>
  <si>
    <t>ΑΜ121455</t>
  </si>
  <si>
    <t>ΑΗ801301</t>
  </si>
  <si>
    <t>858,1</t>
  </si>
  <si>
    <t>ΝΤΟΥΛΑ</t>
  </si>
  <si>
    <t>ΑΚ595729</t>
  </si>
  <si>
    <t>ΠΑΠΑΚΩΝΣΤΑΝΤΟΠΟΥΛΟΥ</t>
  </si>
  <si>
    <t>ΑΕ Ο65493</t>
  </si>
  <si>
    <t>857,3</t>
  </si>
  <si>
    <t>ΜΠΕΛΤΑΟΥ</t>
  </si>
  <si>
    <t>Ξ104026</t>
  </si>
  <si>
    <t>ΧΑΝΤΖΑΡΑ</t>
  </si>
  <si>
    <t>ΜΑΡΙΝΕΛΑ</t>
  </si>
  <si>
    <t>ΔΗΜΗΤΡΑΚΗΣ</t>
  </si>
  <si>
    <t>ΑΙ726973</t>
  </si>
  <si>
    <t>856,8</t>
  </si>
  <si>
    <t>ΚΑΡΑΜΗΝΤΖΑΣ</t>
  </si>
  <si>
    <t>ΑΜ872071</t>
  </si>
  <si>
    <t>586,3</t>
  </si>
  <si>
    <t>856,3</t>
  </si>
  <si>
    <t>ΑΑ491865</t>
  </si>
  <si>
    <t>855,9</t>
  </si>
  <si>
    <t>ΜΑΡΙΑ ΔΗΜΗΤΡΑ</t>
  </si>
  <si>
    <t>ΑΚ340691</t>
  </si>
  <si>
    <t>ΑΝ251089</t>
  </si>
  <si>
    <t>625,9</t>
  </si>
  <si>
    <t>ΜΠΑΡΚΑ</t>
  </si>
  <si>
    <t>ΑΚ359103</t>
  </si>
  <si>
    <t>855,3</t>
  </si>
  <si>
    <t>ΜΠΑΛΛΑ</t>
  </si>
  <si>
    <t>ΣΕΜΕΛΗ</t>
  </si>
  <si>
    <t>ΑΗ148136</t>
  </si>
  <si>
    <t>854,8</t>
  </si>
  <si>
    <t>ΓΙΑΝΝΑΚΟΠΟΥΛΟΥ</t>
  </si>
  <si>
    <t>ΑΕ328369</t>
  </si>
  <si>
    <t>854,6</t>
  </si>
  <si>
    <t>ΧΑΛΑΝΟΥΛΗ</t>
  </si>
  <si>
    <t>ΝΙΚΟΛΕΤΑ ΠΑΡΑΣΚΕΥΗ</t>
  </si>
  <si>
    <t>ΑΚ054842</t>
  </si>
  <si>
    <t>854,4</t>
  </si>
  <si>
    <t>ΤΣΙΟΥΡΒΑ</t>
  </si>
  <si>
    <t>ΣΤΑΜΑΤΙΑ</t>
  </si>
  <si>
    <t>ΑΗ166444</t>
  </si>
  <si>
    <t>854,3</t>
  </si>
  <si>
    <t>ΤΟΠΤΣΗ</t>
  </si>
  <si>
    <t>ΕΡΙΦΥΛΗ</t>
  </si>
  <si>
    <t>ΑΚ436273</t>
  </si>
  <si>
    <t>ΚΥΡΙΑΚΙΔΟΥ</t>
  </si>
  <si>
    <t>ΤΑΤΙΑΝΗ</t>
  </si>
  <si>
    <t>ΑΜ269906</t>
  </si>
  <si>
    <t>853,5</t>
  </si>
  <si>
    <t>ΛΑΚΟΥΜΕΝΤΑ</t>
  </si>
  <si>
    <t>Τ889813</t>
  </si>
  <si>
    <t>ΤΣΑΧΑΛΙΔΟΥ</t>
  </si>
  <si>
    <t>ΜΥΡΣΙΝΗ</t>
  </si>
  <si>
    <t>Χ869178</t>
  </si>
  <si>
    <t xml:space="preserve">ΠΑΤΟΥΧΑΣ </t>
  </si>
  <si>
    <t xml:space="preserve">ΠΑΝΤΕΛΗΣ </t>
  </si>
  <si>
    <t>Χ775691</t>
  </si>
  <si>
    <t>853,2</t>
  </si>
  <si>
    <t>ΠΙΣΤΟΛΗ</t>
  </si>
  <si>
    <t>ΜΑΡΙΑ-ΜΟΝΙΚΑ</t>
  </si>
  <si>
    <t>Χ632256</t>
  </si>
  <si>
    <t>852,6</t>
  </si>
  <si>
    <t>ΔΕΣΠΟΙΝΟΥΔΗ</t>
  </si>
  <si>
    <t>ΑΒ 366113</t>
  </si>
  <si>
    <t>ΑΝΘΗ</t>
  </si>
  <si>
    <t>ΑΑ395792</t>
  </si>
  <si>
    <t>852,4</t>
  </si>
  <si>
    <t>ΡΕΛΑΚΗ</t>
  </si>
  <si>
    <t>ΑΑ367546</t>
  </si>
  <si>
    <t>850,9</t>
  </si>
  <si>
    <t>ΝΑΒΡΟΖΙΔΟΥ</t>
  </si>
  <si>
    <t>ΑΖ172797</t>
  </si>
  <si>
    <t>ΔΙΑΜΑΝΤΟΠΟΥΛΟΥ</t>
  </si>
  <si>
    <t>ΑΖ213369</t>
  </si>
  <si>
    <t>ΑΙ305643</t>
  </si>
  <si>
    <t>ΑΒ052082</t>
  </si>
  <si>
    <t>850,6</t>
  </si>
  <si>
    <t>ΝΟΥΣΚΑΛΗ</t>
  </si>
  <si>
    <t>ΑΚ301230</t>
  </si>
  <si>
    <t>850,2</t>
  </si>
  <si>
    <t>ΤΣΙΚΑΣ</t>
  </si>
  <si>
    <t>ΑΗ292939</t>
  </si>
  <si>
    <t>ΤΟΜΑΡΑΣ</t>
  </si>
  <si>
    <t>ΑΗ732727</t>
  </si>
  <si>
    <t>848,4</t>
  </si>
  <si>
    <t>ΔΟΥΛΓΕΡΙΔΟΥ</t>
  </si>
  <si>
    <t>ΑΗ883371</t>
  </si>
  <si>
    <t>848,2</t>
  </si>
  <si>
    <t>ΒΕΣΥΡΗ</t>
  </si>
  <si>
    <t>ΑΖ184918</t>
  </si>
  <si>
    <t>ΚΑΛΚΙΝΗ</t>
  </si>
  <si>
    <t>ΑΖ568758</t>
  </si>
  <si>
    <t>847,7</t>
  </si>
  <si>
    <t>ΛΑΜΠΙΡΗ</t>
  </si>
  <si>
    <t>ΑΚ929814</t>
  </si>
  <si>
    <t>847,1</t>
  </si>
  <si>
    <t>ΚΑΡΑΛΗ</t>
  </si>
  <si>
    <t>EΥΓΕΝΙΑ</t>
  </si>
  <si>
    <t>ΣΤΑΥΡΟΥΛΑ ΕΥΑΓΓΕΛΙΑ</t>
  </si>
  <si>
    <t>ΑΙ080143</t>
  </si>
  <si>
    <t>846,8</t>
  </si>
  <si>
    <t>ΤΑΖΟΠΟΥΛΟΥ</t>
  </si>
  <si>
    <t>ΑΖ804415</t>
  </si>
  <si>
    <t>846,4</t>
  </si>
  <si>
    <t>ΠΡΑΠΑ</t>
  </si>
  <si>
    <t>ΓΕΩΡΓΙΙΑ</t>
  </si>
  <si>
    <t>Φ218961</t>
  </si>
  <si>
    <t>706,2</t>
  </si>
  <si>
    <t>846,2</t>
  </si>
  <si>
    <t>ΑΕ706580</t>
  </si>
  <si>
    <t>Χ618984</t>
  </si>
  <si>
    <t>844,7</t>
  </si>
  <si>
    <t>ΠΟΛΥΞΕΝΙΔΟΥ</t>
  </si>
  <si>
    <t>ΑΒ433966</t>
  </si>
  <si>
    <t>ΧΑΡΑΛΑΜΠΙΑ</t>
  </si>
  <si>
    <t>ΑΖ847466</t>
  </si>
  <si>
    <t>843,6</t>
  </si>
  <si>
    <t>ΔΑΝΑ</t>
  </si>
  <si>
    <t>ΑΚ576284</t>
  </si>
  <si>
    <t>663,3</t>
  </si>
  <si>
    <t>843,3</t>
  </si>
  <si>
    <t>ΚΟΝΤΟΓΙΑΝΝΗ</t>
  </si>
  <si>
    <t>ΑΙ748624</t>
  </si>
  <si>
    <t>842,9</t>
  </si>
  <si>
    <t>ΤΣΙΟΥΓΚΟΥ</t>
  </si>
  <si>
    <t>ΚΟΡΤΕΣΑ</t>
  </si>
  <si>
    <t>ΑΒ889717</t>
  </si>
  <si>
    <t>842,1</t>
  </si>
  <si>
    <t>ΚΑΛΟΦΩΛΙΑ</t>
  </si>
  <si>
    <t>Χ513700</t>
  </si>
  <si>
    <t>ΦΕΦΛΕ</t>
  </si>
  <si>
    <t>Σ081571</t>
  </si>
  <si>
    <t>841,8</t>
  </si>
  <si>
    <t>ΑΝΑΓΝΩΣΤΟΥ</t>
  </si>
  <si>
    <t>ΑΡΙΑΔΝΗ</t>
  </si>
  <si>
    <t>Ρ762095</t>
  </si>
  <si>
    <t>841,6</t>
  </si>
  <si>
    <t>ΚΑΛΤΕΖΙΩΤΗ</t>
  </si>
  <si>
    <t>ΜΑΡΙΑ ΔΕΣΠΟΙΝΑ</t>
  </si>
  <si>
    <t>Χ539191</t>
  </si>
  <si>
    <t>840,5</t>
  </si>
  <si>
    <t>ΑΝΑΓΝΩΣΤΑΚΗ</t>
  </si>
  <si>
    <t>ΑΑ373339</t>
  </si>
  <si>
    <t>Χ974040</t>
  </si>
  <si>
    <t>ΚΤΙΣΤΗΣ</t>
  </si>
  <si>
    <t>ΑΙ095937</t>
  </si>
  <si>
    <t>840,3</t>
  </si>
  <si>
    <t>ΚΑΡΛΑΤΗΡΑ</t>
  </si>
  <si>
    <t>ΑΕ487819</t>
  </si>
  <si>
    <t>Χ796989</t>
  </si>
  <si>
    <t>ΜΗΛΙΩΝΗ</t>
  </si>
  <si>
    <t>839,7</t>
  </si>
  <si>
    <t>ΓΕΩΡΓΟΥΛΙΑ</t>
  </si>
  <si>
    <t>Χ397521</t>
  </si>
  <si>
    <t>839,4</t>
  </si>
  <si>
    <t>ΚΑΧΡΙΜΑΝΗΣ</t>
  </si>
  <si>
    <t>ΑΚ006806</t>
  </si>
  <si>
    <t>ΓΛΙΑΡΜΗ</t>
  </si>
  <si>
    <t>ΑΣΗΜΙΝΑ</t>
  </si>
  <si>
    <t>ΑΙ527890</t>
  </si>
  <si>
    <t>839,2</t>
  </si>
  <si>
    <t>ΧΑΙΔΩ</t>
  </si>
  <si>
    <t>Χ623196</t>
  </si>
  <si>
    <t>ΤΣΙΑΚΟΥ</t>
  </si>
  <si>
    <t>ΑΒ220048</t>
  </si>
  <si>
    <t>ΜΥΣΤΡΙΔΟΥ</t>
  </si>
  <si>
    <t>ΑΑ404996</t>
  </si>
  <si>
    <t>838,9</t>
  </si>
  <si>
    <t>ΜΗΤΡΟΣΥΛΗ</t>
  </si>
  <si>
    <t>ΑΙ624278</t>
  </si>
  <si>
    <t>838,3</t>
  </si>
  <si>
    <t>ΚΟΡΜΑ</t>
  </si>
  <si>
    <t>Φ368067</t>
  </si>
  <si>
    <t>838,1</t>
  </si>
  <si>
    <t>ΧΑΝΤΖΗ</t>
  </si>
  <si>
    <t>ΣΟΦΙΑΝΟΣ</t>
  </si>
  <si>
    <t>ΑΝ058650</t>
  </si>
  <si>
    <t>ΚΕΣΟΓΛΟΥ</t>
  </si>
  <si>
    <t>ΑΗ340335</t>
  </si>
  <si>
    <t>837,4</t>
  </si>
  <si>
    <t>ΑΘΗΝΑΙΟΥ</t>
  </si>
  <si>
    <t>ΘΡΑΣΥΒΟΥΛΟΣ</t>
  </si>
  <si>
    <t>ΑΝ335384</t>
  </si>
  <si>
    <t>ΜΠΑΤΣΟΥ</t>
  </si>
  <si>
    <t>ΙΣΑΒΕΛΛΑ-ΕΥΤΥΧΙΑ</t>
  </si>
  <si>
    <t>Χ863470</t>
  </si>
  <si>
    <t>Χ791761</t>
  </si>
  <si>
    <t>836,7</t>
  </si>
  <si>
    <t>ΣΠΥΡΟΓΙΑΝΝΗ</t>
  </si>
  <si>
    <t>Σ909534</t>
  </si>
  <si>
    <t>835,9</t>
  </si>
  <si>
    <t>ΣΥΛΙΚΟΥ</t>
  </si>
  <si>
    <t>Χ184054</t>
  </si>
  <si>
    <t>835,2</t>
  </si>
  <si>
    <t>ΒΑΛΒΗ</t>
  </si>
  <si>
    <t>ΕΛΙΣΣΑΒΕΤ-ΑΝΝΑ</t>
  </si>
  <si>
    <t>ΑΒ027970</t>
  </si>
  <si>
    <t>834,8</t>
  </si>
  <si>
    <t>ΚΑΡΝΑΒΑ</t>
  </si>
  <si>
    <t>ΑΗ766455</t>
  </si>
  <si>
    <t>834,5</t>
  </si>
  <si>
    <t>ΤΣΟΥΛΟΥΧΑ</t>
  </si>
  <si>
    <t>ΑΕ738789</t>
  </si>
  <si>
    <t>834,4</t>
  </si>
  <si>
    <t>ΚΟΝΤΕΛΗ</t>
  </si>
  <si>
    <t>Ρ394913</t>
  </si>
  <si>
    <t>833,7</t>
  </si>
  <si>
    <t>ΘΕΟΔΩΡΑΚΗ</t>
  </si>
  <si>
    <t>Χ407306</t>
  </si>
  <si>
    <t>ΤΑΓΚΑ</t>
  </si>
  <si>
    <t>ΑΖ512030</t>
  </si>
  <si>
    <t>832,8</t>
  </si>
  <si>
    <t>ΒΑΙΟΠΟΥΛΟΥ</t>
  </si>
  <si>
    <t>Φ288545</t>
  </si>
  <si>
    <t>832,6</t>
  </si>
  <si>
    <t>ΖΟΥΓΚΟΥΡΛΗ</t>
  </si>
  <si>
    <t>Χ314351</t>
  </si>
  <si>
    <t>ΚΛΑΠΑΝΗ</t>
  </si>
  <si>
    <t>ΑΖ320999</t>
  </si>
  <si>
    <t>832,3</t>
  </si>
  <si>
    <t>ΑΗ745109</t>
  </si>
  <si>
    <t>ΑΖ790908</t>
  </si>
  <si>
    <t>ΠΑΛΙΑΔΑΜΟΣ</t>
  </si>
  <si>
    <t>ΑΖ267099</t>
  </si>
  <si>
    <t>832,2</t>
  </si>
  <si>
    <t>ΚΑΜΤΣΙΚΑΚΗ</t>
  </si>
  <si>
    <t>ΑΑ028254</t>
  </si>
  <si>
    <t>831,7</t>
  </si>
  <si>
    <t>ΣΤΑΥΡΑΚΑ</t>
  </si>
  <si>
    <t>Φ122467</t>
  </si>
  <si>
    <t>831,2</t>
  </si>
  <si>
    <t>ΤΣΕΝΤΙΚΟΠΟΥΛΟΣ</t>
  </si>
  <si>
    <t>ΑΚ4126015</t>
  </si>
  <si>
    <t>830,4</t>
  </si>
  <si>
    <t>ΣΔΡΑΚΑ</t>
  </si>
  <si>
    <t>ΠΟΛΥΤΙΜΗ</t>
  </si>
  <si>
    <t>Χ422887</t>
  </si>
  <si>
    <t>ΔΑΡΑΜΟΥΣΚΑ</t>
  </si>
  <si>
    <t>Χ808922</t>
  </si>
  <si>
    <t>829,8</t>
  </si>
  <si>
    <t>ΚΡΕΒΑΙΚΑ</t>
  </si>
  <si>
    <t>ΑΙ727443</t>
  </si>
  <si>
    <t>829,1</t>
  </si>
  <si>
    <t>ΑΣΠΙΩΤΗ</t>
  </si>
  <si>
    <t>ΑΙ905887</t>
  </si>
  <si>
    <t>ΚΑΡΑΚΩΣΤΑ</t>
  </si>
  <si>
    <t>ΧΑΡΙΣΤΟΣ</t>
  </si>
  <si>
    <t>ΑΚ298876</t>
  </si>
  <si>
    <t>827,8</t>
  </si>
  <si>
    <t>ΚΑΡΥΔΑΚΗ</t>
  </si>
  <si>
    <t>Χ018659</t>
  </si>
  <si>
    <t>827,3</t>
  </si>
  <si>
    <t>ΜΠΟΝΑΝΟΣ</t>
  </si>
  <si>
    <t>ΑΕ300626</t>
  </si>
  <si>
    <t>827,1</t>
  </si>
  <si>
    <t>ΤΣΙΛΙΑΓΚΟΥ</t>
  </si>
  <si>
    <t>ΑΚ617459</t>
  </si>
  <si>
    <t>ΚΟΥΡΤΗ</t>
  </si>
  <si>
    <t>ΑΗ826277</t>
  </si>
  <si>
    <t>ΑΒ763729</t>
  </si>
  <si>
    <t>ΓΑΒΡΙΕΛΛΑ</t>
  </si>
  <si>
    <t>ΑΑ380022</t>
  </si>
  <si>
    <t>826,7</t>
  </si>
  <si>
    <t>ΖΟΥΜΠΟΥΛΙΔΟΥ</t>
  </si>
  <si>
    <t>ΑΗ922920</t>
  </si>
  <si>
    <t>826,2</t>
  </si>
  <si>
    <t>Χ865416</t>
  </si>
  <si>
    <t>ΒΕΛΙΚΗ</t>
  </si>
  <si>
    <t>ΑΖ194807</t>
  </si>
  <si>
    <t>ΖΥΓΟΥΝΑ</t>
  </si>
  <si>
    <t>Χ549025</t>
  </si>
  <si>
    <t>ΠΕΤΣΑΛΗ</t>
  </si>
  <si>
    <t>ΑΜ264291</t>
  </si>
  <si>
    <t>825,2</t>
  </si>
  <si>
    <t>ΜΑΔΗΜΕΝΟΥ</t>
  </si>
  <si>
    <t>ΑΙ802955</t>
  </si>
  <si>
    <t>824,9</t>
  </si>
  <si>
    <t>ΒΑΓΙΑ</t>
  </si>
  <si>
    <t>ΑΚ006424</t>
  </si>
  <si>
    <t>ΘΑΝΟΠΟΥΛΟΣ</t>
  </si>
  <si>
    <t>ΑΕ240124</t>
  </si>
  <si>
    <t>ΤΣΑΟΥΣΗ</t>
  </si>
  <si>
    <t>ΑΓΑΘΗ</t>
  </si>
  <si>
    <t>ΑΗ978668</t>
  </si>
  <si>
    <t>824,5</t>
  </si>
  <si>
    <t>ΤΣΑΚΑΛΗ</t>
  </si>
  <si>
    <t>ΑΙ084870</t>
  </si>
  <si>
    <t>824,2</t>
  </si>
  <si>
    <t>ΑΜ230546</t>
  </si>
  <si>
    <t>ΠΕΤΡΑ</t>
  </si>
  <si>
    <t>ΑΖ929669</t>
  </si>
  <si>
    <t>ΣΤΕΦΑΝΗΣ</t>
  </si>
  <si>
    <t>Ρ854994</t>
  </si>
  <si>
    <t>ΑΠΟΣΤΟΛΟΥ</t>
  </si>
  <si>
    <t>ΑΚ264383</t>
  </si>
  <si>
    <t>823,8</t>
  </si>
  <si>
    <t>ΓΚΛΙΑΟΥ</t>
  </si>
  <si>
    <t>ΑΕ790572</t>
  </si>
  <si>
    <t>ΛΙΟΚΑΤΗ</t>
  </si>
  <si>
    <t>Χ367647</t>
  </si>
  <si>
    <t>ΠΑΛΗΑ</t>
  </si>
  <si>
    <t>ΒΑΣΙΛΙΚΗ ΜΑΡΙΑ</t>
  </si>
  <si>
    <t>ΑΝ080566</t>
  </si>
  <si>
    <t>823,7</t>
  </si>
  <si>
    <t>ΔΩΡΟΘΕΑ</t>
  </si>
  <si>
    <t>ΑΙ185061</t>
  </si>
  <si>
    <t>823,5</t>
  </si>
  <si>
    <t>ΑΗ247575</t>
  </si>
  <si>
    <t>ΘΩΜΟΥ</t>
  </si>
  <si>
    <t>ΑΕ725503</t>
  </si>
  <si>
    <t>ΑΕ282250</t>
  </si>
  <si>
    <t>823,2</t>
  </si>
  <si>
    <t>ΤΡΙΚΑ</t>
  </si>
  <si>
    <t>ΑΜ546899</t>
  </si>
  <si>
    <t>822,7</t>
  </si>
  <si>
    <t>ΠΕΤΤΑ</t>
  </si>
  <si>
    <t>ΠΕΛΑΓΙΑ</t>
  </si>
  <si>
    <t>ΑΒ099111</t>
  </si>
  <si>
    <t>ΑΕ873039</t>
  </si>
  <si>
    <t>822,5</t>
  </si>
  <si>
    <t>ΑΖ287738</t>
  </si>
  <si>
    <t>822,3</t>
  </si>
  <si>
    <t>ΓΚΕΛΟΥ</t>
  </si>
  <si>
    <t>ΑΗ306299</t>
  </si>
  <si>
    <t>ΚΑΝΕΛΛΟΠΟΥΛΟΣ</t>
  </si>
  <si>
    <t>Φ076617</t>
  </si>
  <si>
    <t>821,8</t>
  </si>
  <si>
    <t>ΜΠΑΚΑΛΟΠΟΥΛΟΥ</t>
  </si>
  <si>
    <t>ΑΙΚΑΤΕΡΙΝΗ - ΜΑΡΙΑ</t>
  </si>
  <si>
    <t>ΑΝ336157</t>
  </si>
  <si>
    <t>821,6</t>
  </si>
  <si>
    <t>Χ301086</t>
  </si>
  <si>
    <t>820,7</t>
  </si>
  <si>
    <t>ΤΕΡΚΕΝΛΗ</t>
  </si>
  <si>
    <t>ΑΝ224605</t>
  </si>
  <si>
    <t>ΒΑΓΙΑΝΝΗ</t>
  </si>
  <si>
    <t>Τ406542</t>
  </si>
  <si>
    <t>ΕΥΑΓΓΕΛΑΤΟΣ</t>
  </si>
  <si>
    <t>ΠΕΤΡΟΣ ΚΩΝΣΤΑΝΤΙΝΟΣ</t>
  </si>
  <si>
    <t>Χ611909</t>
  </si>
  <si>
    <t>ΒΕΡΡΟΥ</t>
  </si>
  <si>
    <t>ΑΖ846925</t>
  </si>
  <si>
    <t>819,6</t>
  </si>
  <si>
    <t>ΠΟΛΥΜΕΡΟΥ</t>
  </si>
  <si>
    <t>Χ411877</t>
  </si>
  <si>
    <t>819,4</t>
  </si>
  <si>
    <t>ΜΠΟΥΤΗ</t>
  </si>
  <si>
    <t>ΑΑ311648</t>
  </si>
  <si>
    <t>818,8</t>
  </si>
  <si>
    <t>ΑΑ021975</t>
  </si>
  <si>
    <t>818,5</t>
  </si>
  <si>
    <t>ΣΟΦΙΑΝΟΠΟΥΛΟΥ</t>
  </si>
  <si>
    <t>ΑΗ067185</t>
  </si>
  <si>
    <t>818,3</t>
  </si>
  <si>
    <t>ΓΚΙΖΙΝΟΥ</t>
  </si>
  <si>
    <t>Ξ094659</t>
  </si>
  <si>
    <t>ΜΙΧΑΗΛΙΔΗ</t>
  </si>
  <si>
    <t>ΜΑΡΙΝΑ  ΣΟΦΙΑ</t>
  </si>
  <si>
    <t>Σ511980</t>
  </si>
  <si>
    <t>817,2</t>
  </si>
  <si>
    <t>ΧΡΙΣΤΑΚΟΠΟΥΛΟΥ</t>
  </si>
  <si>
    <t>Φ877041</t>
  </si>
  <si>
    <t>816,5</t>
  </si>
  <si>
    <t>ΤΣΙΟΓΚΑ</t>
  </si>
  <si>
    <t>Τ340247</t>
  </si>
  <si>
    <t>815,8</t>
  </si>
  <si>
    <t>ΑΛΕΞΕΛΗ</t>
  </si>
  <si>
    <t>Φ180502</t>
  </si>
  <si>
    <t>ΚΟΥΝΑΔΗΣ</t>
  </si>
  <si>
    <t>ΑΒ017768</t>
  </si>
  <si>
    <t>ΤΡΑΚΗ</t>
  </si>
  <si>
    <t>Χ814548</t>
  </si>
  <si>
    <t>815,2</t>
  </si>
  <si>
    <t>ΤΣΕΛΙΚΑ</t>
  </si>
  <si>
    <t>ΑΗ035807</t>
  </si>
  <si>
    <t>ΚΩΤΣΑΚΟΥ</t>
  </si>
  <si>
    <t>Ν 499425</t>
  </si>
  <si>
    <t>ΤΟΛΙΟΠΟΥΛΟΣ</t>
  </si>
  <si>
    <t>ΑΜ855602</t>
  </si>
  <si>
    <t>814,7</t>
  </si>
  <si>
    <t>ΠΑΣΧΑΚΗΣ</t>
  </si>
  <si>
    <t>ΑΝ137126</t>
  </si>
  <si>
    <t>814,5</t>
  </si>
  <si>
    <t>ΜΑΛΑΜΟΥ</t>
  </si>
  <si>
    <t>ΑΜ412099</t>
  </si>
  <si>
    <t>814,3</t>
  </si>
  <si>
    <t>ΚΑΤΣΙΜΙΧΑ</t>
  </si>
  <si>
    <t>ΑΒ196380</t>
  </si>
  <si>
    <t>814,2</t>
  </si>
  <si>
    <t>ΧΑΦΟΥΝΤΑ</t>
  </si>
  <si>
    <t>ΜΟΥΣΤΑΦΑ-ΧΡΗΣΤΟΣ</t>
  </si>
  <si>
    <t>ΑΑ976146</t>
  </si>
  <si>
    <t>814,1</t>
  </si>
  <si>
    <t>ΔΗΜΗΤΡΑΚΟΠΟΥΛΟΣ</t>
  </si>
  <si>
    <t>Τ273744</t>
  </si>
  <si>
    <t>813,6</t>
  </si>
  <si>
    <t>ΛΕΛΙΟΥ</t>
  </si>
  <si>
    <t>ΑΕ877726</t>
  </si>
  <si>
    <t>813,2</t>
  </si>
  <si>
    <t>ΤΣΙΛΙΔΟΥ</t>
  </si>
  <si>
    <t>ΑΚ315310</t>
  </si>
  <si>
    <t>812,8</t>
  </si>
  <si>
    <t>ΓΕΡΙΜΟΓΛΟΥ</t>
  </si>
  <si>
    <t>ΓΕΩΡΓΙΟΣ ΧΑΡΑΛΑΜΠΟΣ</t>
  </si>
  <si>
    <t>Σ206179</t>
  </si>
  <si>
    <t>ΚΟΥΦΟΓΙΩΡΓΟΥ</t>
  </si>
  <si>
    <t>ΒΑΣΙΛΙΚΗ ΘΕΟΔΩΡΑ</t>
  </si>
  <si>
    <t>Χ212408</t>
  </si>
  <si>
    <t>690,8</t>
  </si>
  <si>
    <t>810,8</t>
  </si>
  <si>
    <t>ΤΟΠΑΛΗ</t>
  </si>
  <si>
    <t>ΑΚ327403</t>
  </si>
  <si>
    <t>810,6</t>
  </si>
  <si>
    <t>ΑΚ716706</t>
  </si>
  <si>
    <t>ΜΕΤΑΛΛΙΝΟΥ</t>
  </si>
  <si>
    <t>ΑΖ403465</t>
  </si>
  <si>
    <t>810,3</t>
  </si>
  <si>
    <t>ΔΟΝΤΑ</t>
  </si>
  <si>
    <t>ΑΑ430157</t>
  </si>
  <si>
    <t>ΜΠΛΕΤΣΑ</t>
  </si>
  <si>
    <t>ΑΒ432433</t>
  </si>
  <si>
    <t>810,2</t>
  </si>
  <si>
    <t>ΚΑΝΕΛΛΑΚΗ</t>
  </si>
  <si>
    <t>Ρ700395</t>
  </si>
  <si>
    <t>809,9</t>
  </si>
  <si>
    <t>ΑΝΤΩΝΙΑΔΟΥ</t>
  </si>
  <si>
    <t>ΑΒ217923</t>
  </si>
  <si>
    <t>809,8</t>
  </si>
  <si>
    <t>ΑΚ100946</t>
  </si>
  <si>
    <t>809,5</t>
  </si>
  <si>
    <t>ΚΑΡΑΓΩΓΟΥ</t>
  </si>
  <si>
    <t>ΑΒ731832</t>
  </si>
  <si>
    <t>Χ374476</t>
  </si>
  <si>
    <t>809,3</t>
  </si>
  <si>
    <t>ΑΧΤΑΡΙΔΗΣ</t>
  </si>
  <si>
    <t>ΑΕ684978</t>
  </si>
  <si>
    <t>809,2</t>
  </si>
  <si>
    <t>104-101-106-103-102-105</t>
  </si>
  <si>
    <t>ΕΥΘΥΜΙΟΥ</t>
  </si>
  <si>
    <t>ΑΗ336517</t>
  </si>
  <si>
    <t>ΣΤΑΧΤΑΡΗ</t>
  </si>
  <si>
    <t>ΑΖ810053</t>
  </si>
  <si>
    <t>808,6</t>
  </si>
  <si>
    <t>808,4</t>
  </si>
  <si>
    <t>ΤΣΑΝΗ</t>
  </si>
  <si>
    <t>ΑΒ705581</t>
  </si>
  <si>
    <t>808,1</t>
  </si>
  <si>
    <t>ΑΛΜΥΡΙΩΤΟΥ</t>
  </si>
  <si>
    <t>Χ726484</t>
  </si>
  <si>
    <t>807,7</t>
  </si>
  <si>
    <t>ΕΓΚΙΑΖΑΡΟΒΑ</t>
  </si>
  <si>
    <t>ΣΕΡΓΚΕΙ</t>
  </si>
  <si>
    <t>ΑΙ737538</t>
  </si>
  <si>
    <t>807,5</t>
  </si>
  <si>
    <t>ΑΜ823284</t>
  </si>
  <si>
    <t>807,3</t>
  </si>
  <si>
    <t>ΟΙΚΟΝΟΜΟΠΟΥΛΟΥ</t>
  </si>
  <si>
    <t>ΑΙ233362</t>
  </si>
  <si>
    <t>ΚΑΤΣΙΚΑ</t>
  </si>
  <si>
    <t>ΑΚ805172</t>
  </si>
  <si>
    <t>ΓΚΙΟΥΛΟΥ</t>
  </si>
  <si>
    <t>ΑΒ138229</t>
  </si>
  <si>
    <t>ΧΕΛΙΔΩΝΗ</t>
  </si>
  <si>
    <t>ΖΩΗ-ΓΕΩΡΓΙΑ</t>
  </si>
  <si>
    <t>ΑΕ796476</t>
  </si>
  <si>
    <t>806,6</t>
  </si>
  <si>
    <t>ΚΩΣΤΗ</t>
  </si>
  <si>
    <t>ΑΜ242935</t>
  </si>
  <si>
    <t>ΚΟΣΜΙΔΟΥ</t>
  </si>
  <si>
    <t>Χ011813</t>
  </si>
  <si>
    <t>805,9</t>
  </si>
  <si>
    <t>ΤΑΛΙΟΠΟΥΛΟΣ</t>
  </si>
  <si>
    <t>ΑΕ343217</t>
  </si>
  <si>
    <t>ΜΠΟΥΓΙΟΥΚΟΥ</t>
  </si>
  <si>
    <t>ΑΗ634273</t>
  </si>
  <si>
    <t>805,1</t>
  </si>
  <si>
    <t>ΔΡΑΚΟΥ</t>
  </si>
  <si>
    <t>Χ312751</t>
  </si>
  <si>
    <t>804,8</t>
  </si>
  <si>
    <t>ΤΣΙΡΙΒΑΚΟΣ</t>
  </si>
  <si>
    <t>ΑΚ727668</t>
  </si>
  <si>
    <t>804,2</t>
  </si>
  <si>
    <t>ΤΣΟΠΑΝΗ</t>
  </si>
  <si>
    <t>ΑΗ021665</t>
  </si>
  <si>
    <t>803,8</t>
  </si>
  <si>
    <t>ΤΖΑΝΙΔΑΚΗ</t>
  </si>
  <si>
    <t>ΒΕΝΕΤΙΑ</t>
  </si>
  <si>
    <t>ΑΖ968466</t>
  </si>
  <si>
    <t>803,7</t>
  </si>
  <si>
    <t>ΣΠΥΡΙΔΟΥΛΑ-ΧΡΙΣΤΙΝΑ</t>
  </si>
  <si>
    <t>Χ565298</t>
  </si>
  <si>
    <t>Ρ906272</t>
  </si>
  <si>
    <t>803,6</t>
  </si>
  <si>
    <t>ΑΜ502426</t>
  </si>
  <si>
    <t>802,9</t>
  </si>
  <si>
    <t>ΨΑΘΑ</t>
  </si>
  <si>
    <t>ΠΑΣΧΑΛΙΝΑ</t>
  </si>
  <si>
    <t>ΑΖ840236</t>
  </si>
  <si>
    <t>ΜΠΑΧΤΣΕΒΑΝΗΣ</t>
  </si>
  <si>
    <t>Χ725168</t>
  </si>
  <si>
    <t>802,8</t>
  </si>
  <si>
    <t>ΜΕΛΕΤΙΟΥ</t>
  </si>
  <si>
    <t>ΑΑ281501</t>
  </si>
  <si>
    <t>802,6</t>
  </si>
  <si>
    <t>ΠΙΠΕΡΗ</t>
  </si>
  <si>
    <t>ΚΑΣΣΙΑΝΗ</t>
  </si>
  <si>
    <t>ΑΒ021621</t>
  </si>
  <si>
    <t>801,8</t>
  </si>
  <si>
    <t>ΑΔΑΜΑΚΟΥ</t>
  </si>
  <si>
    <t xml:space="preserve">ΑΘΗΝΑ </t>
  </si>
  <si>
    <t>ΑΕ648569</t>
  </si>
  <si>
    <t>801,6</t>
  </si>
  <si>
    <t>ΣΚΛΑΒΟΥΝΟΥ</t>
  </si>
  <si>
    <t>ΑΕ484236</t>
  </si>
  <si>
    <t>801,5</t>
  </si>
  <si>
    <t>Ξ516054</t>
  </si>
  <si>
    <t>661,1</t>
  </si>
  <si>
    <t>801,1</t>
  </si>
  <si>
    <t>ΛΙΑΠΗ</t>
  </si>
  <si>
    <t>ΑΕ011713</t>
  </si>
  <si>
    <t>800,9</t>
  </si>
  <si>
    <t>ΔΙΟΜΑΤΑΡΗ</t>
  </si>
  <si>
    <t>ΑΒ512916</t>
  </si>
  <si>
    <t>800,5</t>
  </si>
  <si>
    <t>ΑΗ053369</t>
  </si>
  <si>
    <t>800,4</t>
  </si>
  <si>
    <t>ΡΟΜΟΣΙΟΥ</t>
  </si>
  <si>
    <t>ΑΝΝΑ ΕΒΕΛΥΝ</t>
  </si>
  <si>
    <t>ΑΒ314100</t>
  </si>
  <si>
    <t>ΤΕΚΝΙΔΟΥ</t>
  </si>
  <si>
    <t>ΑΙ717977</t>
  </si>
  <si>
    <t>798,9</t>
  </si>
  <si>
    <t>Σ816158</t>
  </si>
  <si>
    <t>798,2</t>
  </si>
  <si>
    <t>ΝΑΣΤΟΥΛΗ</t>
  </si>
  <si>
    <t>ΑΙ260362</t>
  </si>
  <si>
    <t>ΔΕΜΕΡΤΖΗ</t>
  </si>
  <si>
    <t>ΑΑ478250</t>
  </si>
  <si>
    <t>ΛΟΥΠΟΥ</t>
  </si>
  <si>
    <t>ΠΕΡΣΕΦΟΝΗ</t>
  </si>
  <si>
    <t>ΑΕ430614</t>
  </si>
  <si>
    <t>798,1</t>
  </si>
  <si>
    <t>ΚΑΒΟΥΝΗ</t>
  </si>
  <si>
    <t>ΑΖ184120</t>
  </si>
  <si>
    <t>797,4</t>
  </si>
  <si>
    <t>ΤΣΙΜΑ</t>
  </si>
  <si>
    <t>ΠΙΠΙΝΑ - ΗΒΗ</t>
  </si>
  <si>
    <t>ΑΙ807170</t>
  </si>
  <si>
    <t>796,5</t>
  </si>
  <si>
    <t>Φ160660</t>
  </si>
  <si>
    <t>ΒΟΥΡΗ</t>
  </si>
  <si>
    <t>ΑΕ282398</t>
  </si>
  <si>
    <t>796,3</t>
  </si>
  <si>
    <t>ΚΛΕΙΩ</t>
  </si>
  <si>
    <t>ΑΖ973405</t>
  </si>
  <si>
    <t>795,8</t>
  </si>
  <si>
    <t>ΠΕΤΣΗ</t>
  </si>
  <si>
    <t>ΑΒ805204</t>
  </si>
  <si>
    <t>795,6</t>
  </si>
  <si>
    <t>ΓΙΑΝΝΟΠΟΥΛΟΣ</t>
  </si>
  <si>
    <t>Φ086236</t>
  </si>
  <si>
    <t>795,2</t>
  </si>
  <si>
    <t>ΤΣΙΠΤΣΕ</t>
  </si>
  <si>
    <t>ΑΕ654069</t>
  </si>
  <si>
    <t>794,1</t>
  </si>
  <si>
    <t>ΑΛΕΞΑΝΔΡΗ</t>
  </si>
  <si>
    <t>ΑΕ750572</t>
  </si>
  <si>
    <t>793,3</t>
  </si>
  <si>
    <t>101-102-103-104-105-106</t>
  </si>
  <si>
    <t>ΑΝΔΡΕΟΥ</t>
  </si>
  <si>
    <t>ΧΡΥΣΟΒΑΛΑΝΤΗΣ</t>
  </si>
  <si>
    <t>ΑΙ301853</t>
  </si>
  <si>
    <t>792,7</t>
  </si>
  <si>
    <t>ΣΚΑΝΤΖΗΣ</t>
  </si>
  <si>
    <t>ΑΒ197714</t>
  </si>
  <si>
    <t>792,6</t>
  </si>
  <si>
    <t>Φ167888</t>
  </si>
  <si>
    <t>ΤΣΑΓΚΑΛΙΔΟΥ</t>
  </si>
  <si>
    <t>ΑΒ351361</t>
  </si>
  <si>
    <t>791,9</t>
  </si>
  <si>
    <t>ΛΕΜΠΕΣΗΣ</t>
  </si>
  <si>
    <t>ΑΚ141271</t>
  </si>
  <si>
    <t>791,6</t>
  </si>
  <si>
    <t>ΦΛΕΣΙΑ</t>
  </si>
  <si>
    <t>Χ842719</t>
  </si>
  <si>
    <t>791,5</t>
  </si>
  <si>
    <t>ΠΙΚΟΥΛΑΣ</t>
  </si>
  <si>
    <t>ΑΙ238821</t>
  </si>
  <si>
    <t>ΠΑΠΑΒΛΑΣΟΠΟΥΛΟΥ</t>
  </si>
  <si>
    <t>ΤΕΡΨΙΧΟΡΗ</t>
  </si>
  <si>
    <t>ΑΡΣΕΝΙΟΣ</t>
  </si>
  <si>
    <t>ΑΚ613552</t>
  </si>
  <si>
    <t>790,8</t>
  </si>
  <si>
    <t>ΓΕΩΡΓΑΝΤΑ</t>
  </si>
  <si>
    <t>ΑΗ065186</t>
  </si>
  <si>
    <t>ΚΟΚΟΒΙΔΟΥ</t>
  </si>
  <si>
    <t>ΑΖ169565</t>
  </si>
  <si>
    <t>790,4</t>
  </si>
  <si>
    <t>ΠΛΙΑΤΣΙΚΑ</t>
  </si>
  <si>
    <t>Φ225274</t>
  </si>
  <si>
    <t>790,3</t>
  </si>
  <si>
    <t>ΓΟΥΛΑ</t>
  </si>
  <si>
    <t>ΑΒ425524</t>
  </si>
  <si>
    <t>789,9</t>
  </si>
  <si>
    <t>ΚΑΡΑΚΟΥΣΗ</t>
  </si>
  <si>
    <t>ΑΖ768542</t>
  </si>
  <si>
    <t>789,7</t>
  </si>
  <si>
    <t>ΜΑΡΙΝΗ</t>
  </si>
  <si>
    <t>ΑΒ796583</t>
  </si>
  <si>
    <t>ΣΟΥΡΛΑ</t>
  </si>
  <si>
    <t>ΑΜ256681</t>
  </si>
  <si>
    <t>789,4</t>
  </si>
  <si>
    <t>ΧΑΛΚΙΟΠΟΥΛΟΣ</t>
  </si>
  <si>
    <t>ΛΕΟΝΤΙΟΣ</t>
  </si>
  <si>
    <t>Π979774</t>
  </si>
  <si>
    <t>ΔΕΛΗΛΙΓΚΑΣ</t>
  </si>
  <si>
    <t>ΑΕ798938</t>
  </si>
  <si>
    <t>788,6</t>
  </si>
  <si>
    <t xml:space="preserve">ΔΕΣΠΟΙΝΑ ΦΩΤΕΙΝΗ </t>
  </si>
  <si>
    <t>Χ271298</t>
  </si>
  <si>
    <t>788,4</t>
  </si>
  <si>
    <t>ΜΑΥΡΙΔΗΣ</t>
  </si>
  <si>
    <t>ΑΚ437946</t>
  </si>
  <si>
    <t>787,7</t>
  </si>
  <si>
    <t>ΓΟΥΣΙΟΥ</t>
  </si>
  <si>
    <t>Σ755266</t>
  </si>
  <si>
    <t>787,5</t>
  </si>
  <si>
    <t>ΔΕΒΕΛΑΣΚΑΣ</t>
  </si>
  <si>
    <t>ΑΚ257830</t>
  </si>
  <si>
    <t>787,2</t>
  </si>
  <si>
    <t>Χ374397</t>
  </si>
  <si>
    <t>ΛΥΜΠΕΡΟΠΟΥΛΟΥ</t>
  </si>
  <si>
    <t>ΑΒ249407</t>
  </si>
  <si>
    <t>617,1</t>
  </si>
  <si>
    <t>787,1</t>
  </si>
  <si>
    <t>ΑΙ113334</t>
  </si>
  <si>
    <t>ΧΑΛΑΚΑΤΕΒΑΚΗ</t>
  </si>
  <si>
    <t>ΑΖ870718</t>
  </si>
  <si>
    <t>786,4</t>
  </si>
  <si>
    <t>ΚΟΚΚΑΛΑ</t>
  </si>
  <si>
    <t>ΑΕ133616</t>
  </si>
  <si>
    <t>786,1</t>
  </si>
  <si>
    <t>ΣΙΣΜΑΝΙΔΟΥ</t>
  </si>
  <si>
    <t>Χ887682</t>
  </si>
  <si>
    <t>ΧΟΝΔΡΟΥ</t>
  </si>
  <si>
    <t>ΑΗ091643</t>
  </si>
  <si>
    <t>ΔΕΛΑΒΕΡΙΔΟΥ</t>
  </si>
  <si>
    <t>ΑΓΑΘΟΝΙΚΟΣ</t>
  </si>
  <si>
    <t>ΑΝ370758</t>
  </si>
  <si>
    <t>ΚΟΚΚΑΛΗΣ</t>
  </si>
  <si>
    <t>ΑΜ704624</t>
  </si>
  <si>
    <t>785,9</t>
  </si>
  <si>
    <t>ΑΚ865649</t>
  </si>
  <si>
    <t>ΑΝΔΡΟΥΤΣΟΥ</t>
  </si>
  <si>
    <t>ΛΥΓΕΡΗ</t>
  </si>
  <si>
    <t>ΑΜ175228</t>
  </si>
  <si>
    <t>784,2</t>
  </si>
  <si>
    <t>ΚΑΛΥΒΑ</t>
  </si>
  <si>
    <t>ΑΑ435295</t>
  </si>
  <si>
    <t>ΜΕΓΑΡΧΙΩΤΗ</t>
  </si>
  <si>
    <t>ΑΖ768179</t>
  </si>
  <si>
    <t>783,7</t>
  </si>
  <si>
    <t>ΦΥΤΑΣ</t>
  </si>
  <si>
    <t>Τ019970</t>
  </si>
  <si>
    <t>782,6</t>
  </si>
  <si>
    <t>ΧΡΙΣΤΟΥΛΑΚΗΣ</t>
  </si>
  <si>
    <t>ΑΗ457094</t>
  </si>
  <si>
    <t>782,4</t>
  </si>
  <si>
    <t>ΠΑΠΑΣΗΜΑΚΟΠΟΥΛΟΥ</t>
  </si>
  <si>
    <t>ΑΖ251269</t>
  </si>
  <si>
    <t>782,2</t>
  </si>
  <si>
    <t>ΑΙ851965</t>
  </si>
  <si>
    <t>ΚΑΡΑΝΑΣΙΟΥ</t>
  </si>
  <si>
    <t>Χ091482</t>
  </si>
  <si>
    <t>ΣΚΑΡΛΗ</t>
  </si>
  <si>
    <t>ΑΒ559661</t>
  </si>
  <si>
    <t>781,8</t>
  </si>
  <si>
    <t>ΓΩΓΑΚΟΣ</t>
  </si>
  <si>
    <t>ΑΚ856393</t>
  </si>
  <si>
    <t>781,7</t>
  </si>
  <si>
    <t>ΤΑΝΤΑΛΙΔΗΣ</t>
  </si>
  <si>
    <t>ΑΒ444297</t>
  </si>
  <si>
    <t>781,3</t>
  </si>
  <si>
    <t>ΜΑΤΘΑΙΟΥ</t>
  </si>
  <si>
    <t>ΣΤΑΜΑΤΙΝΑ</t>
  </si>
  <si>
    <t>ΑΕ589106</t>
  </si>
  <si>
    <t>ΧΡΙΣΤΟΠΟΥΛΟΥ</t>
  </si>
  <si>
    <t>ΑΝ062464</t>
  </si>
  <si>
    <t>781,1</t>
  </si>
  <si>
    <t>Φ216548</t>
  </si>
  <si>
    <t>780,9</t>
  </si>
  <si>
    <t>ΠΑΤΑΝΟΥ</t>
  </si>
  <si>
    <t xml:space="preserve">ΕΥΤΥΧΙΑ </t>
  </si>
  <si>
    <t>ΑΒ470897</t>
  </si>
  <si>
    <t>780,6</t>
  </si>
  <si>
    <t>ΜΠΛΑΝΤΖΩΝΗ</t>
  </si>
  <si>
    <t>ΠΑΡΑΣΚΕΥΗ ΕΙΡΗΝΗ</t>
  </si>
  <si>
    <t>Σ038212</t>
  </si>
  <si>
    <t>780,2</t>
  </si>
  <si>
    <t>ΜΟΥΣΙΟΥ</t>
  </si>
  <si>
    <t>ΧΡΥΣΑ</t>
  </si>
  <si>
    <t>ΑΗ273424</t>
  </si>
  <si>
    <t>779,6</t>
  </si>
  <si>
    <t>ΚΟΚΚΩΝΗ-ΦΙΛΤΣΑ</t>
  </si>
  <si>
    <t>ΜΑΡΓΑΡΙΤΗΣ</t>
  </si>
  <si>
    <t>ΑΗ681375</t>
  </si>
  <si>
    <t>779,5</t>
  </si>
  <si>
    <t>ΧΑΡΙΤΟΥ</t>
  </si>
  <si>
    <t>ΑΖ712263</t>
  </si>
  <si>
    <t>779,1</t>
  </si>
  <si>
    <t>ΤΟΥΤΖΑΡΗ</t>
  </si>
  <si>
    <t>ΑΖ330044</t>
  </si>
  <si>
    <t>778,5</t>
  </si>
  <si>
    <t>ΜΑΓΚΑΒΙΛΑ</t>
  </si>
  <si>
    <t>ΒΑΡΒΑΡΑ-ΜΑΡΙΑ</t>
  </si>
  <si>
    <t>ΑΒ808173</t>
  </si>
  <si>
    <t>778,4</t>
  </si>
  <si>
    <t>ΛΑΣΚΟΥ</t>
  </si>
  <si>
    <t>ΑΙ680279</t>
  </si>
  <si>
    <t>ΚΑΣΤΑΝΑ</t>
  </si>
  <si>
    <t>ΑΝ061512</t>
  </si>
  <si>
    <t>677,6</t>
  </si>
  <si>
    <t>777,6</t>
  </si>
  <si>
    <t>ΒΑΡΜΠΕΝΗΣ</t>
  </si>
  <si>
    <t>ΑΚ286990</t>
  </si>
  <si>
    <t>777,1</t>
  </si>
  <si>
    <t>ΑΥΓΕΡΟΣ</t>
  </si>
  <si>
    <t>ΑΚ847467</t>
  </si>
  <si>
    <t>776,2</t>
  </si>
  <si>
    <t>ΤΑΛΑΓΑΝΗ</t>
  </si>
  <si>
    <t>ΑΝ123373</t>
  </si>
  <si>
    <t>776,1</t>
  </si>
  <si>
    <t>Τ062262</t>
  </si>
  <si>
    <t>775,8</t>
  </si>
  <si>
    <t>ΣΜΥΡΝΑΙΟΣ</t>
  </si>
  <si>
    <t>Χ831007</t>
  </si>
  <si>
    <t>ΕΥΑΓΓΕΛΑΤΟΥ</t>
  </si>
  <si>
    <t>ΝΑΝΤΙΑ ΥΒΕΤ</t>
  </si>
  <si>
    <t>ΑΖ618908</t>
  </si>
  <si>
    <t>655,6</t>
  </si>
  <si>
    <t>775,6</t>
  </si>
  <si>
    <t>ΚΟΖΑΜΑΝΗ</t>
  </si>
  <si>
    <t>ΑΝ0071189</t>
  </si>
  <si>
    <t>614,9</t>
  </si>
  <si>
    <t>774,9</t>
  </si>
  <si>
    <t>ΑΝΤΩΝΟΥ</t>
  </si>
  <si>
    <t>ΠΕΤΡΟΥΛΑ</t>
  </si>
  <si>
    <t>ΕΜΜΑΝΟΥΗΛ-ΧΡΗΣΤΟΣ</t>
  </si>
  <si>
    <t>ΑΕ966377</t>
  </si>
  <si>
    <t>774,7</t>
  </si>
  <si>
    <t>ΒΑΘΗ</t>
  </si>
  <si>
    <t>ΑΚ493292</t>
  </si>
  <si>
    <t>ΠΑΠΑΧΑΤΖΗ</t>
  </si>
  <si>
    <t>Φ337489</t>
  </si>
  <si>
    <t>774,3</t>
  </si>
  <si>
    <t>ΤΖΕΡΜΙΑ</t>
  </si>
  <si>
    <t>ΑΜ959171</t>
  </si>
  <si>
    <t>773,9</t>
  </si>
  <si>
    <t>ΑΖ525232</t>
  </si>
  <si>
    <t>773,6</t>
  </si>
  <si>
    <t>ΠΑΠΑΪΩΑΝΝΟΥ</t>
  </si>
  <si>
    <t>ΑΕ812018</t>
  </si>
  <si>
    <t>773,5</t>
  </si>
  <si>
    <t>ΠΕΛΤΕΚΗ</t>
  </si>
  <si>
    <t>Χ784348</t>
  </si>
  <si>
    <t>773,4</t>
  </si>
  <si>
    <t>ΤΣΙΜΟΓΙΑΝΝΗ</t>
  </si>
  <si>
    <t>ΑΙ641032</t>
  </si>
  <si>
    <t>773,2</t>
  </si>
  <si>
    <t>ΜΙΧΑΛΙΤΣΙΑΝΟΥ</t>
  </si>
  <si>
    <t>ΑΜ210676</t>
  </si>
  <si>
    <t>ΜΑΓΚΛΑΡΗ</t>
  </si>
  <si>
    <t>ΑΚ145906</t>
  </si>
  <si>
    <t>772,8</t>
  </si>
  <si>
    <t>ΖΕΡΒΑ</t>
  </si>
  <si>
    <t>ΑΚ262393</t>
  </si>
  <si>
    <t>772,5</t>
  </si>
  <si>
    <t>ΠΕΡΟΥΤΣΕΑ</t>
  </si>
  <si>
    <t>Σ693168</t>
  </si>
  <si>
    <t>772,1</t>
  </si>
  <si>
    <t>ΚΟΥΡΑΚΛΗ</t>
  </si>
  <si>
    <t>Π214243</t>
  </si>
  <si>
    <t>ΤΣΟΥΛΟΥΦΑ</t>
  </si>
  <si>
    <t>Π459340</t>
  </si>
  <si>
    <t>771,8</t>
  </si>
  <si>
    <t>ΠΕΤΣΙΟΥ</t>
  </si>
  <si>
    <t>ΜΟΝΙΚΑ</t>
  </si>
  <si>
    <t>ΑΗ240046</t>
  </si>
  <si>
    <t>771,7</t>
  </si>
  <si>
    <t>ΣΤΑΜΠΟΥΛΟΓΛΟΥ</t>
  </si>
  <si>
    <t>ΠΑΣΧΑΛΙΑ</t>
  </si>
  <si>
    <t>Χ972902</t>
  </si>
  <si>
    <t>ΑΗ982352</t>
  </si>
  <si>
    <t>ΚΑΤΕΒΑ</t>
  </si>
  <si>
    <t>ΑΗ523720</t>
  </si>
  <si>
    <t>770,8</t>
  </si>
  <si>
    <t>ΚΙΡΚΑΣΙΑΔΟΥ</t>
  </si>
  <si>
    <t>ΘΕΑΝΩ</t>
  </si>
  <si>
    <t>ΑΖ381674</t>
  </si>
  <si>
    <t>770,6</t>
  </si>
  <si>
    <t>ΙΣΣΑΡΗ</t>
  </si>
  <si>
    <t>Χ312228</t>
  </si>
  <si>
    <t>770,5</t>
  </si>
  <si>
    <t>ΑΚ886506</t>
  </si>
  <si>
    <t>770,3</t>
  </si>
  <si>
    <t>ΚΑΠΙΤΣΗ</t>
  </si>
  <si>
    <t>ΕΛΕΝΗ-ΓΕΩΡΓΙΑ</t>
  </si>
  <si>
    <t>ΑΖ571916</t>
  </si>
  <si>
    <t>ΧΡΥΣΗ</t>
  </si>
  <si>
    <t>ΑΚ513238</t>
  </si>
  <si>
    <t>ΔΕΜΕΡΤΖΙΔΗΣ</t>
  </si>
  <si>
    <t>ΑΒ874552</t>
  </si>
  <si>
    <t>769,7</t>
  </si>
  <si>
    <t>ΜΠΟΙΚΑΝΗ</t>
  </si>
  <si>
    <t>ΑΕ999499</t>
  </si>
  <si>
    <t>ΣΓΟΥΡΑΛΗ</t>
  </si>
  <si>
    <t>ΑΙ849398</t>
  </si>
  <si>
    <t>769,6</t>
  </si>
  <si>
    <t>ΜΟΥΖΑΛΙΩΤΗ</t>
  </si>
  <si>
    <t>ΑΚ846015</t>
  </si>
  <si>
    <t>ΤΣΙΟΥΡΑ</t>
  </si>
  <si>
    <t>ΑΙ067888</t>
  </si>
  <si>
    <t>ΜΑΝΤΕΛΛΟΥ</t>
  </si>
  <si>
    <t>ΑΕ672118</t>
  </si>
  <si>
    <t>769,5</t>
  </si>
  <si>
    <t>Χ432531</t>
  </si>
  <si>
    <t>ΜΠΑΦΕΡΑ</t>
  </si>
  <si>
    <t>Χ472310</t>
  </si>
  <si>
    <t>768,7</t>
  </si>
  <si>
    <t>ΜΙΧΟΠΟΥΛΟΥ</t>
  </si>
  <si>
    <t>ΑΖ222807</t>
  </si>
  <si>
    <t>768,5</t>
  </si>
  <si>
    <t>ΡΑΔΟΥ</t>
  </si>
  <si>
    <t>ΠΡΟΚΟΠΙΟΣ</t>
  </si>
  <si>
    <t>ΑΚ853600</t>
  </si>
  <si>
    <t>768,1</t>
  </si>
  <si>
    <t>ΣΚΟΤΡΑ</t>
  </si>
  <si>
    <t>ΑΕ533195</t>
  </si>
  <si>
    <t>ΤΟΥΣΙΔΩΝΗ</t>
  </si>
  <si>
    <t>ΑΑ823326</t>
  </si>
  <si>
    <t>767,4</t>
  </si>
  <si>
    <t>ΠΑΡΑΣΧΗΣ</t>
  </si>
  <si>
    <t>Τ508747</t>
  </si>
  <si>
    <t>767,3</t>
  </si>
  <si>
    <t>ΠΑΧΙΟΣ</t>
  </si>
  <si>
    <t>Ι733696</t>
  </si>
  <si>
    <t>ΜΠΑΛΑΓΟΥΡΑ</t>
  </si>
  <si>
    <t>ΑΕ990820</t>
  </si>
  <si>
    <t>766,1</t>
  </si>
  <si>
    <t>ΓΚΟΝΤΑ</t>
  </si>
  <si>
    <t>ΑΚ716696</t>
  </si>
  <si>
    <t>765,9</t>
  </si>
  <si>
    <t>ΤΣΑΠΑΚΙΔΟΥ</t>
  </si>
  <si>
    <t>ΑΑ078367</t>
  </si>
  <si>
    <t>765,5</t>
  </si>
  <si>
    <t>ΤΟΛΟΥΔΗ</t>
  </si>
  <si>
    <t>ΑΕ657771</t>
  </si>
  <si>
    <t>765,2</t>
  </si>
  <si>
    <t>ΑΡΓΥΡΗ</t>
  </si>
  <si>
    <t>ΑΙ982237</t>
  </si>
  <si>
    <t>764,8</t>
  </si>
  <si>
    <t>ΠΑΠΑΣΤΕΦΑΝΑΚΗ</t>
  </si>
  <si>
    <t>ΑΜ701000</t>
  </si>
  <si>
    <t>764,4</t>
  </si>
  <si>
    <t>ΣΑΚΚΑΛΗ</t>
  </si>
  <si>
    <t>ΑΖ998041</t>
  </si>
  <si>
    <t>764,1</t>
  </si>
  <si>
    <t>ΚΑΛΑΝΤΙΔΟΥ</t>
  </si>
  <si>
    <t>ΑΕ199528</t>
  </si>
  <si>
    <t>ΔΗΜΟΠΟΥΛΟΥ</t>
  </si>
  <si>
    <t>ΑΜ185682</t>
  </si>
  <si>
    <t>ΣΤΥΛΙΑΝΟΥ</t>
  </si>
  <si>
    <t>ΤΑΤΙΑΝΑ</t>
  </si>
  <si>
    <t>Χ804308</t>
  </si>
  <si>
    <t>ΑΗ655015</t>
  </si>
  <si>
    <t>761,9</t>
  </si>
  <si>
    <t>ΕΞΑΡΧΟΥ</t>
  </si>
  <si>
    <t>ΑΖ726280</t>
  </si>
  <si>
    <t>760,9</t>
  </si>
  <si>
    <t>ΓΙΑΝΝΑΚΟΛΟΥΚΑ</t>
  </si>
  <si>
    <t>ΑΗ993808</t>
  </si>
  <si>
    <t>760,6</t>
  </si>
  <si>
    <t>ΝΤΙΤΟΡΑΣ</t>
  </si>
  <si>
    <t>ΑΑ376311</t>
  </si>
  <si>
    <t>760,4</t>
  </si>
  <si>
    <t>ΑΙ795039</t>
  </si>
  <si>
    <t>ΓΑΒΡΑ</t>
  </si>
  <si>
    <t>ΑΕ864318</t>
  </si>
  <si>
    <t>Χ603498</t>
  </si>
  <si>
    <t>ΚΟΥΣΙΑΣ</t>
  </si>
  <si>
    <t>ΑΒ109556</t>
  </si>
  <si>
    <t>759,7</t>
  </si>
  <si>
    <t>ΣΙΜΩΤΑ</t>
  </si>
  <si>
    <t>ΑΕ066813</t>
  </si>
  <si>
    <t>ΜΠΑΣΤΑΝΗΣ</t>
  </si>
  <si>
    <t>Ρ775475</t>
  </si>
  <si>
    <t>ΕΥΣΤΑΘΙΑΔΟΥ</t>
  </si>
  <si>
    <t>Χ750176</t>
  </si>
  <si>
    <t>ΚΑΜΠΥΛΗΣ</t>
  </si>
  <si>
    <t>ΑΕ 264983</t>
  </si>
  <si>
    <t>ΗΛΙΟΠΟΥΛΟΥ</t>
  </si>
  <si>
    <t>ΑΗ714087</t>
  </si>
  <si>
    <t>759,3</t>
  </si>
  <si>
    <t>ΜΠΑΡΛΗ</t>
  </si>
  <si>
    <t>ΑΑ472564</t>
  </si>
  <si>
    <t>758,9</t>
  </si>
  <si>
    <t>ΓΑΚΗΣ</t>
  </si>
  <si>
    <t>ΑΗ242484</t>
  </si>
  <si>
    <t>758,6</t>
  </si>
  <si>
    <t>ΑΙ210080</t>
  </si>
  <si>
    <t>ΔΙΓΚΑ</t>
  </si>
  <si>
    <t>ΑΝ212348</t>
  </si>
  <si>
    <t>ΛΟΥΚΑ</t>
  </si>
  <si>
    <t>ΠΑΝΑΓΙΟΥ</t>
  </si>
  <si>
    <t>ΑΖ991145</t>
  </si>
  <si>
    <t>758,4</t>
  </si>
  <si>
    <t>102-103-101-104</t>
  </si>
  <si>
    <t>ΚΑΡΑΒΙΩΤΗ</t>
  </si>
  <si>
    <t>ΑΖ022039</t>
  </si>
  <si>
    <t>758,2</t>
  </si>
  <si>
    <t>ΠΕΡΙΔΟΥ</t>
  </si>
  <si>
    <t>ΑΚ863397</t>
  </si>
  <si>
    <t>628,1</t>
  </si>
  <si>
    <t>758,1</t>
  </si>
  <si>
    <t>ΣΟΥΓΚΑΣ</t>
  </si>
  <si>
    <t>757,6</t>
  </si>
  <si>
    <t>ΚΙΑΤΙΠΗ</t>
  </si>
  <si>
    <t>ΑΗ412222</t>
  </si>
  <si>
    <t>757,5</t>
  </si>
  <si>
    <t>ΣΤΑΘΟΚΩΣΤΟΠΟΥΛΟΥ</t>
  </si>
  <si>
    <t>ΑΑ307467</t>
  </si>
  <si>
    <t>Χ934887</t>
  </si>
  <si>
    <t>757,1</t>
  </si>
  <si>
    <t>ΧΟΥΛΗ</t>
  </si>
  <si>
    <t>ΑΠΟΣΤΟΛΙΑ</t>
  </si>
  <si>
    <t>Χ925476</t>
  </si>
  <si>
    <t>756,4</t>
  </si>
  <si>
    <t>ΜΑΥΡΙΚΟΣ</t>
  </si>
  <si>
    <t>Φ133221</t>
  </si>
  <si>
    <t>ΤΖΟΥΓΑΝΑΤΟΥ</t>
  </si>
  <si>
    <t>ΡΕΓΓΙΝΑ</t>
  </si>
  <si>
    <t>ΑΚ 849951</t>
  </si>
  <si>
    <t>755,4</t>
  </si>
  <si>
    <t>ΑΙ597563</t>
  </si>
  <si>
    <t>755,3</t>
  </si>
  <si>
    <t>ΣΤΑΜΑΤΟΥΚΟΥ</t>
  </si>
  <si>
    <t>ΑΖ987935</t>
  </si>
  <si>
    <t>Τσαΐρας</t>
  </si>
  <si>
    <t>Βασίλειος</t>
  </si>
  <si>
    <t>ΑΖ901748</t>
  </si>
  <si>
    <t>755,2</t>
  </si>
  <si>
    <t>ΚΑΡΑΧΡΗΣΤΟΣ</t>
  </si>
  <si>
    <t>Ν512419</t>
  </si>
  <si>
    <t>753,8</t>
  </si>
  <si>
    <t>ΜΑΤΣΟΥΚΑ</t>
  </si>
  <si>
    <t>ΒΛΑΣΙΟΣ</t>
  </si>
  <si>
    <t>Φ008646</t>
  </si>
  <si>
    <t>633,6</t>
  </si>
  <si>
    <t>753,6</t>
  </si>
  <si>
    <t>ΜΠΑΚΑΣ</t>
  </si>
  <si>
    <t>ΑΖ491361</t>
  </si>
  <si>
    <t>753,2</t>
  </si>
  <si>
    <t>ΑΤΣΑΛΟΥ</t>
  </si>
  <si>
    <t>ΑΕ376249</t>
  </si>
  <si>
    <t>ΚΑΒΑΛΛΑΡΗ</t>
  </si>
  <si>
    <t>ΑΒ078194</t>
  </si>
  <si>
    <t>ΔΟΛΜΑΤΖΗ</t>
  </si>
  <si>
    <t>ΑΗ836756</t>
  </si>
  <si>
    <t>752,7</t>
  </si>
  <si>
    <t>ΑΖ819088</t>
  </si>
  <si>
    <t>ΜΠΟΥΜΠΟΥΡΑΣ</t>
  </si>
  <si>
    <t>Φ177670</t>
  </si>
  <si>
    <t>751,9</t>
  </si>
  <si>
    <t>ΝΙΚΟΛΑΙΔΗΣ</t>
  </si>
  <si>
    <t>ΑΖ298909</t>
  </si>
  <si>
    <t>751,8</t>
  </si>
  <si>
    <t>ΚΑΣΤΡΙΝΑΚΗ</t>
  </si>
  <si>
    <t>ΑΙ616576</t>
  </si>
  <si>
    <t>651,2</t>
  </si>
  <si>
    <t>751,2</t>
  </si>
  <si>
    <t>ΤΕΜΕΛΟΥΔΗ</t>
  </si>
  <si>
    <t>ΑΖ170119</t>
  </si>
  <si>
    <t>750,9</t>
  </si>
  <si>
    <t>ΑΒ078816</t>
  </si>
  <si>
    <t>750,5</t>
  </si>
  <si>
    <t>ΑΜ558025</t>
  </si>
  <si>
    <t>749,8</t>
  </si>
  <si>
    <t>ΧΟΥΧΟΥΛΗ</t>
  </si>
  <si>
    <t>ΑΕ863784</t>
  </si>
  <si>
    <t>ΔΑΝΙΗΛ</t>
  </si>
  <si>
    <t>ΑΕ594562</t>
  </si>
  <si>
    <t>747,6</t>
  </si>
  <si>
    <t>ΑΙ492553</t>
  </si>
  <si>
    <t>ΠΙΠΕΡΙΔΟΥ</t>
  </si>
  <si>
    <t>ΑΗ384296</t>
  </si>
  <si>
    <t>747,2</t>
  </si>
  <si>
    <t>Σταύρου</t>
  </si>
  <si>
    <t>Μαρία</t>
  </si>
  <si>
    <t>ΑΒ393140</t>
  </si>
  <si>
    <t>746,8</t>
  </si>
  <si>
    <t>ΜΠΗΛΙΩΝΗ</t>
  </si>
  <si>
    <t>ΑΖ291318</t>
  </si>
  <si>
    <t>746,6</t>
  </si>
  <si>
    <t>ΛΙΟΚΟΥΡΑΣ</t>
  </si>
  <si>
    <t>ΓΕΩΡΓΙΟΣ - ΜΗΝΑΣ</t>
  </si>
  <si>
    <t>ΑΒ576851</t>
  </si>
  <si>
    <t>746,5</t>
  </si>
  <si>
    <t>ΓΚΟΡΟΥ</t>
  </si>
  <si>
    <t>ΑΜ794876</t>
  </si>
  <si>
    <t>ΜΑΝΙΑΚΟΥΡΑ</t>
  </si>
  <si>
    <t>ΑΗ112046</t>
  </si>
  <si>
    <t>746,4</t>
  </si>
  <si>
    <t>ΚΑΡΑΓΚΙΟΖΗ</t>
  </si>
  <si>
    <t>ΑΕ691093</t>
  </si>
  <si>
    <t>746,1</t>
  </si>
  <si>
    <t>ΜΑΝΩΚΑ</t>
  </si>
  <si>
    <t>ΑΚ793530</t>
  </si>
  <si>
    <t>745,5</t>
  </si>
  <si>
    <t>ΑΕ536998</t>
  </si>
  <si>
    <t>ΑΚ301515</t>
  </si>
  <si>
    <t>744,6</t>
  </si>
  <si>
    <t>ΧΑΝΗ</t>
  </si>
  <si>
    <t>Χ406770</t>
  </si>
  <si>
    <t>743,9</t>
  </si>
  <si>
    <t>ΤΣΕΚΟΥ</t>
  </si>
  <si>
    <t>ΑΒ660785</t>
  </si>
  <si>
    <t>743,7</t>
  </si>
  <si>
    <t>ΚΩΝΣΤΑΝΤΟΠΟΥΛΟΥ</t>
  </si>
  <si>
    <t>ΑΒ791582</t>
  </si>
  <si>
    <t>ΤΟΥΡΗ</t>
  </si>
  <si>
    <t>ΕΛΕΝΗ ΑΝΝΑ</t>
  </si>
  <si>
    <t>ΑΒ536108</t>
  </si>
  <si>
    <t>742,8</t>
  </si>
  <si>
    <t>Χ726485</t>
  </si>
  <si>
    <t>ΓΕΩΡΓΗΣ</t>
  </si>
  <si>
    <t>ΑΕ933943</t>
  </si>
  <si>
    <t>742,1</t>
  </si>
  <si>
    <t>ΓΕΩΡΓΑΚΗ</t>
  </si>
  <si>
    <t>Χ951084</t>
  </si>
  <si>
    <t>741,7</t>
  </si>
  <si>
    <t>ΚΑΠΠΟΣ</t>
  </si>
  <si>
    <t>ΑΙ177294</t>
  </si>
  <si>
    <t>ΣΥΤΜΑΛΙΔΟΥ</t>
  </si>
  <si>
    <t>ΑΖ196344</t>
  </si>
  <si>
    <t>740,8</t>
  </si>
  <si>
    <t>ΜΟΥΤΣΟΚΑΠΑ</t>
  </si>
  <si>
    <t>ΡΟΔΗ</t>
  </si>
  <si>
    <t>ΑΙ155508</t>
  </si>
  <si>
    <t>740,6</t>
  </si>
  <si>
    <t>ΦΟΥΡΛΙΑ</t>
  </si>
  <si>
    <t>Λ699768</t>
  </si>
  <si>
    <t>ΓΙΑΒΡΟΥΤΑ</t>
  </si>
  <si>
    <t>ΑΚ919078</t>
  </si>
  <si>
    <t>ΑΙ584885</t>
  </si>
  <si>
    <t>739,9</t>
  </si>
  <si>
    <t>ΧΑΡΙΤΩΝ</t>
  </si>
  <si>
    <t>Π356789</t>
  </si>
  <si>
    <t>ΠΑΠΑΠΟΣΤΟΛΟΥ</t>
  </si>
  <si>
    <t>ΑΒ411182</t>
  </si>
  <si>
    <t>739,8</t>
  </si>
  <si>
    <t>ΔΙΔΑΣΚΑΛΟΥ</t>
  </si>
  <si>
    <t>ΑΠΟΛΛΩΝ</t>
  </si>
  <si>
    <t>ΑΖ225726</t>
  </si>
  <si>
    <t>739,7</t>
  </si>
  <si>
    <t>ΠΑΣΣΑ</t>
  </si>
  <si>
    <t>ΕΥΑΓΓΕΛΙΑ-ΜΑΡΙΑ</t>
  </si>
  <si>
    <t>ΑΙ988411</t>
  </si>
  <si>
    <t>738,8</t>
  </si>
  <si>
    <t>ΜΠΑΡΜΠΑΓΙΑΝΝΗΣ</t>
  </si>
  <si>
    <t>ΑΜ375329</t>
  </si>
  <si>
    <t>738,4</t>
  </si>
  <si>
    <t>ΚΥΠΑΡΙΣΣΑ</t>
  </si>
  <si>
    <t>Χ455516</t>
  </si>
  <si>
    <t>Χ501545</t>
  </si>
  <si>
    <t>ΤΖΙΔΑΜΗ</t>
  </si>
  <si>
    <t>ΕΛΕΝΗ-ΧΡΙΣΤΙΝΑ</t>
  </si>
  <si>
    <t>ΑΕ534316</t>
  </si>
  <si>
    <t>737,7</t>
  </si>
  <si>
    <t>ΑΜ207812</t>
  </si>
  <si>
    <t>ΚΑΠΕΤΑΝΑΚΗ</t>
  </si>
  <si>
    <t>ΖΑΦΕΙΡΙΑ ΑΙΚΑΤΕΡΙΝΗ</t>
  </si>
  <si>
    <t>ΑΚ308707</t>
  </si>
  <si>
    <t>736,6</t>
  </si>
  <si>
    <t>ΤΣΟΠΟΚΗ</t>
  </si>
  <si>
    <t>ΑΜ734820</t>
  </si>
  <si>
    <t>ΤΖΙΟΥΒΑΡΑ</t>
  </si>
  <si>
    <t>ΑΕ842387</t>
  </si>
  <si>
    <t>736,4</t>
  </si>
  <si>
    <t>ΑΘΑΝΑΣΙΟΥ</t>
  </si>
  <si>
    <t>ΘΕΟΧΑΡΟΥΛΑ</t>
  </si>
  <si>
    <t>Χ650604</t>
  </si>
  <si>
    <t>735,8</t>
  </si>
  <si>
    <t>ΚΟΥΤΣΗ</t>
  </si>
  <si>
    <t>Χ836424</t>
  </si>
  <si>
    <t>735,1</t>
  </si>
  <si>
    <t>ΓΚΑΜΠΕΤΑΣ</t>
  </si>
  <si>
    <t>ΑΖ263412</t>
  </si>
  <si>
    <t>734,2</t>
  </si>
  <si>
    <t>ΧΡΙΣΤΙΑ</t>
  </si>
  <si>
    <t>ΑΗ035371</t>
  </si>
  <si>
    <t>ΠΑΝΟΥ</t>
  </si>
  <si>
    <t>Τ258320</t>
  </si>
  <si>
    <t>ΚΑΝΑΤΑΣ</t>
  </si>
  <si>
    <t>ΑΗ274767</t>
  </si>
  <si>
    <t>ΚΡΑΒΒΑΡΙΤΗ</t>
  </si>
  <si>
    <t>ΑΙ479845</t>
  </si>
  <si>
    <t>ΠΑΠΠΑ</t>
  </si>
  <si>
    <t>Χ811280</t>
  </si>
  <si>
    <t>613,8</t>
  </si>
  <si>
    <t>733,8</t>
  </si>
  <si>
    <t>ΓΙΟΥΨΑΝΗ</t>
  </si>
  <si>
    <t>ΑΕ833105</t>
  </si>
  <si>
    <t>731,8</t>
  </si>
  <si>
    <t>ΤΣΑΚΑΛΙΔΟΥ</t>
  </si>
  <si>
    <t>ΑΑ385732</t>
  </si>
  <si>
    <t>ΚΑΝΤΕΡΕ</t>
  </si>
  <si>
    <t>ΚΩΝΣΤΑΝΤΙΝΑ - ΔΑΝΑΗ</t>
  </si>
  <si>
    <t>Χ374303</t>
  </si>
  <si>
    <t>ΘΕΟΦΑΝΟΥΔΗ</t>
  </si>
  <si>
    <t>Τ252054</t>
  </si>
  <si>
    <t>631,4</t>
  </si>
  <si>
    <t>731,4</t>
  </si>
  <si>
    <t>ΜΠΟΥΡΔΕΚΑ</t>
  </si>
  <si>
    <t>ΑΜ118825</t>
  </si>
  <si>
    <t>ΑΒ656975</t>
  </si>
  <si>
    <t>730,3</t>
  </si>
  <si>
    <t>ΜΠΑΛΑΣΟΠΟΥΛΟΥ</t>
  </si>
  <si>
    <t>ΠΗΝΕΛΟΠΗ</t>
  </si>
  <si>
    <t>ΑΝ050428</t>
  </si>
  <si>
    <t>650,1</t>
  </si>
  <si>
    <t>730,1</t>
  </si>
  <si>
    <t>ΡΑΙΚΟΥ</t>
  </si>
  <si>
    <t>ΑΜ133813</t>
  </si>
  <si>
    <t>ΣΑΡΑΦΗ</t>
  </si>
  <si>
    <t>ΑΜ900277</t>
  </si>
  <si>
    <t>729,6</t>
  </si>
  <si>
    <t>ΜΠΟΥΛΑΜΑΤΣΗΣ</t>
  </si>
  <si>
    <t>ΑΒ574577</t>
  </si>
  <si>
    <t>728,9</t>
  </si>
  <si>
    <t>ΤΣΕΠΗ</t>
  </si>
  <si>
    <t>ΧΡΥΣΟΒΑΛΑΝΤΟΥ</t>
  </si>
  <si>
    <t>Φ256610</t>
  </si>
  <si>
    <t>728,7</t>
  </si>
  <si>
    <t>ΔΟΥΛΟΠΙΚΟΥ</t>
  </si>
  <si>
    <t>ΑΗ789685</t>
  </si>
  <si>
    <t>728,5</t>
  </si>
  <si>
    <t>ΑΖ147508</t>
  </si>
  <si>
    <t>726,7</t>
  </si>
  <si>
    <t>ΑΣΠΡΟΓΙΑΝΝΙΔΟΥ</t>
  </si>
  <si>
    <t>ΗΛΙΑΣ ΑΣΠΡΟΓΙΑΝΝΙΔΗΣ</t>
  </si>
  <si>
    <t>ΑΕ640333</t>
  </si>
  <si>
    <t>725,6</t>
  </si>
  <si>
    <t>Χ713441</t>
  </si>
  <si>
    <t>ΑΗ826598</t>
  </si>
  <si>
    <t>724,6</t>
  </si>
  <si>
    <t>ΘΕΟΠΙΣΤΗ</t>
  </si>
  <si>
    <t>ΣΠΑΝΟΥ</t>
  </si>
  <si>
    <t>ΑΖ171686</t>
  </si>
  <si>
    <t>724,1</t>
  </si>
  <si>
    <t>ΤΣΙΑΧΡΗ</t>
  </si>
  <si>
    <t>ΑΕ724398</t>
  </si>
  <si>
    <t>723,5</t>
  </si>
  <si>
    <t>ΣΚΑΡΑΜΑΓΚΑΣ</t>
  </si>
  <si>
    <t>ΑΝΔΡΕΑΣ ΕΜΜΕΝΟΥΗΛ</t>
  </si>
  <si>
    <t>ΑΗ938311</t>
  </si>
  <si>
    <t>723,4</t>
  </si>
  <si>
    <t>ΜΠΛΑΤΣΑΣ</t>
  </si>
  <si>
    <t>ΑΕ873092</t>
  </si>
  <si>
    <t>ΚΑΡΑΠΟΣΤΟΛΗ</t>
  </si>
  <si>
    <t>ΜΑΡΙΑ ΣΥΛΒΙΑ</t>
  </si>
  <si>
    <t>Π522240</t>
  </si>
  <si>
    <t>ΑΗ714211</t>
  </si>
  <si>
    <t>721,9</t>
  </si>
  <si>
    <t>ΜΑΥΡΟΠΟΥΛΟΥ</t>
  </si>
  <si>
    <t>ΑΖ291380</t>
  </si>
  <si>
    <t>720,1</t>
  </si>
  <si>
    <t>ΚΑΡΑΝΤΩΝΗ</t>
  </si>
  <si>
    <t>Χ746237</t>
  </si>
  <si>
    <t>ΓΡΕΒΕΝΙΩΤΗΣ</t>
  </si>
  <si>
    <t>Ρ977508</t>
  </si>
  <si>
    <t>719,7</t>
  </si>
  <si>
    <t>ΣΙΜΙΤΖΗ</t>
  </si>
  <si>
    <t>ΑΜ990852</t>
  </si>
  <si>
    <t>ΤΟΜΠΟΥΛΙΔΟΥ</t>
  </si>
  <si>
    <t>ΙΣΙΔΩΡΑ</t>
  </si>
  <si>
    <t>ΗΡΑΚΛΗΣ</t>
  </si>
  <si>
    <t>ΑΖ858477</t>
  </si>
  <si>
    <t>ΕΡΑΤΩ</t>
  </si>
  <si>
    <t>ΟΡΕΣΤΗΣ</t>
  </si>
  <si>
    <t>ΑΑ335564</t>
  </si>
  <si>
    <t>718,8</t>
  </si>
  <si>
    <t>ΚΟΣΚΙΝΙΩΤΗ</t>
  </si>
  <si>
    <t>ΑΖ192253</t>
  </si>
  <si>
    <t>717,5</t>
  </si>
  <si>
    <t>ΜΗΝΑΣ</t>
  </si>
  <si>
    <t>Χ429498</t>
  </si>
  <si>
    <t>ΑΕ603071</t>
  </si>
  <si>
    <t>716,4</t>
  </si>
  <si>
    <t>ΗΛΙΑΔΗ</t>
  </si>
  <si>
    <t>ΘΕΟΔΩΡΑΚΗΣ</t>
  </si>
  <si>
    <t>Χ308629</t>
  </si>
  <si>
    <t>ΚΑΖΑΝΗ</t>
  </si>
  <si>
    <t>Φ441930</t>
  </si>
  <si>
    <t>715,7</t>
  </si>
  <si>
    <t>ΑΚ522103</t>
  </si>
  <si>
    <t>ΚΟΥΤΜΟΥ</t>
  </si>
  <si>
    <t>ΑΗ741483</t>
  </si>
  <si>
    <t>715,6</t>
  </si>
  <si>
    <t>ΣΕΡΔΕΡΙΔΗΣ</t>
  </si>
  <si>
    <t>ΑΕ645705</t>
  </si>
  <si>
    <t>ΤΣΑΚΑΝΙΚΑΣ</t>
  </si>
  <si>
    <t>Χ291468</t>
  </si>
  <si>
    <t>712,4</t>
  </si>
  <si>
    <t>ΤΣΑΡΙΔΗ</t>
  </si>
  <si>
    <t>ΑΑ031227</t>
  </si>
  <si>
    <t>712,3</t>
  </si>
  <si>
    <t>ΓΚΙΝΟΠΟΥΛΟΣ</t>
  </si>
  <si>
    <t>ΑΜ071835</t>
  </si>
  <si>
    <t>710,9</t>
  </si>
  <si>
    <t>ΑΖ396120</t>
  </si>
  <si>
    <t>ΓΕΡΑΣΙΜΟΠΟΥΛΟΣ</t>
  </si>
  <si>
    <t>Χ540695</t>
  </si>
  <si>
    <t>710,1</t>
  </si>
  <si>
    <t>ΣΤΕΦΑΝΑΚΟΣ</t>
  </si>
  <si>
    <t>ΑΜ132402</t>
  </si>
  <si>
    <t>ΜΟΝΕΜΒΑΣΙΤΗ</t>
  </si>
  <si>
    <t>ΑΕ751495</t>
  </si>
  <si>
    <t>ΡΟΓΑΛΙΔΟΥ</t>
  </si>
  <si>
    <t>Χ591153</t>
  </si>
  <si>
    <t>ΜΑΚΡΗΣ</t>
  </si>
  <si>
    <t xml:space="preserve">ΑΘΑΝΑΣΙΟΣ </t>
  </si>
  <si>
    <t>ΑΒ010566</t>
  </si>
  <si>
    <t>709,1</t>
  </si>
  <si>
    <t>ΚΟΥΝΙΝΙΩΤΗΣ</t>
  </si>
  <si>
    <t>ΑΙ204243</t>
  </si>
  <si>
    <t>705,4</t>
  </si>
  <si>
    <t>ΣΟΦΟΣ</t>
  </si>
  <si>
    <t>Χ479645</t>
  </si>
  <si>
    <t>ΚΟΥΤΣΟΥΡΑ</t>
  </si>
  <si>
    <t>ΑΜ758357</t>
  </si>
  <si>
    <t>704,3</t>
  </si>
  <si>
    <t>ΧΡΟΝΟΠΟΥΛΟΥ</t>
  </si>
  <si>
    <t>Χ300562</t>
  </si>
  <si>
    <t>ΑΓΑΘΑΓΓΕΛΟΥ</t>
  </si>
  <si>
    <t>ΑΓΑΘΑΓΓΕΛΟΣ</t>
  </si>
  <si>
    <t>ΑΕ673321</t>
  </si>
  <si>
    <t>702,5</t>
  </si>
  <si>
    <t>ΔΕΔΕ</t>
  </si>
  <si>
    <t>ΑΒ404018</t>
  </si>
  <si>
    <t>ΠΟΡΙΚΗ</t>
  </si>
  <si>
    <t>ΓΙΑΝΝΟΥΛΑ</t>
  </si>
  <si>
    <t>ΑΖ243139</t>
  </si>
  <si>
    <t>702,1</t>
  </si>
  <si>
    <t>ΤΖΟΛΑ</t>
  </si>
  <si>
    <t>ΑΗ205310</t>
  </si>
  <si>
    <t>701,5</t>
  </si>
  <si>
    <t>ΧΑΡΙΤΑΚΗ</t>
  </si>
  <si>
    <t>Σ620226</t>
  </si>
  <si>
    <t>641,3</t>
  </si>
  <si>
    <t>701,3</t>
  </si>
  <si>
    <t>ΓΑΤΤΟΥ</t>
  </si>
  <si>
    <t>ΑΙ069425</t>
  </si>
  <si>
    <t>701,2</t>
  </si>
  <si>
    <t>ΔΗΜΟΥ</t>
  </si>
  <si>
    <t>ΚΩΝΣΤΑΝΤ</t>
  </si>
  <si>
    <t>ΑΖ269720</t>
  </si>
  <si>
    <t>ΜΩΡΙΔΗΣ</t>
  </si>
  <si>
    <t>ΑΗ662099</t>
  </si>
  <si>
    <t>698,8</t>
  </si>
  <si>
    <t>ΓΕΩΡΓΙΤΣΟΠΟΥΛΟΣ</t>
  </si>
  <si>
    <t>Χ873877</t>
  </si>
  <si>
    <t>ΤΡΑΙΑΝΟΣ</t>
  </si>
  <si>
    <t>ΑΗ167026</t>
  </si>
  <si>
    <t>697,7</t>
  </si>
  <si>
    <t>ΝΕΚΤΑΡΙΑ</t>
  </si>
  <si>
    <t>ΒΑΡΝΑΒΑΣ</t>
  </si>
  <si>
    <t>ΑΙ560155</t>
  </si>
  <si>
    <t>695,5</t>
  </si>
  <si>
    <t>ΜΙΧΑΛΟΓΛΟΥ</t>
  </si>
  <si>
    <t>ΤΡΙΑΔΑ</t>
  </si>
  <si>
    <t>ΑΗ685789</t>
  </si>
  <si>
    <t>ΜΠΟΜΠΟΛΗ</t>
  </si>
  <si>
    <t>ΜΙΧΑΛΗΣ</t>
  </si>
  <si>
    <t>ΑΖ241026</t>
  </si>
  <si>
    <t>694,4</t>
  </si>
  <si>
    <t>ΚΑΛΥΒΙΤΗ</t>
  </si>
  <si>
    <t>ΑΚ669865</t>
  </si>
  <si>
    <t>693,7</t>
  </si>
  <si>
    <t>ΚΑΛΦΟΠΟΥΛΟΥ</t>
  </si>
  <si>
    <t>ΖΑΧΑΡΕΝΙΑ ΜΑΡΙΝΑ</t>
  </si>
  <si>
    <t>ΑΖ660505</t>
  </si>
  <si>
    <t>693,3</t>
  </si>
  <si>
    <t>ΑΛΕΤΡΑ</t>
  </si>
  <si>
    <t>ΑΜ522309</t>
  </si>
  <si>
    <t>ΓΚΙΝΟΣ</t>
  </si>
  <si>
    <t>ΒΑΓΓΕΛ</t>
  </si>
  <si>
    <t>ΑΜ286377</t>
  </si>
  <si>
    <t>691,1</t>
  </si>
  <si>
    <t>ΣΤΑΥΡΙΑΝΟΥΔΑΚΗ</t>
  </si>
  <si>
    <t>ΑΒ550324</t>
  </si>
  <si>
    <t>ΣΑΡΛΑΜΗ</t>
  </si>
  <si>
    <t>ΧΡΥΣΑΥΓΗ</t>
  </si>
  <si>
    <t>ΑΙ220530</t>
  </si>
  <si>
    <t>620,4</t>
  </si>
  <si>
    <t>690,4</t>
  </si>
  <si>
    <t>ΧΟΝΔΡΙΔΟΥ</t>
  </si>
  <si>
    <t>ΑΜ210144</t>
  </si>
  <si>
    <t>ΓΚΛΑΒΑΝΟΣ</t>
  </si>
  <si>
    <t>ΠΑΝΑΓΙΩΤΗΣ-ΣΠΥΡΙΔΩΝ</t>
  </si>
  <si>
    <t>Χ219247</t>
  </si>
  <si>
    <t>ΣΕΡΓΙΟΣ</t>
  </si>
  <si>
    <t>ΑΑ438310</t>
  </si>
  <si>
    <t>ΑΥΓΕΡΟΥ</t>
  </si>
  <si>
    <t>ΑΚ153387</t>
  </si>
  <si>
    <t>689,3</t>
  </si>
  <si>
    <t>ΤΑΤΣΟΥΔΗ</t>
  </si>
  <si>
    <t>Χ344514</t>
  </si>
  <si>
    <t>687,8</t>
  </si>
  <si>
    <t>ΖΟΥΜΠΟΥΛΑΚΗ</t>
  </si>
  <si>
    <t>ΑΜ455844</t>
  </si>
  <si>
    <t>687,1</t>
  </si>
  <si>
    <t>ΚΟΥΤΣΟΓΙΑΝΝΗ</t>
  </si>
  <si>
    <t>ΑΒ106451</t>
  </si>
  <si>
    <t>686,7</t>
  </si>
  <si>
    <t>ΜΑΡΑΓΚΟΥ</t>
  </si>
  <si>
    <t>ΜΕΛΕΤΙΟΣ</t>
  </si>
  <si>
    <t>Ρ974811</t>
  </si>
  <si>
    <t>685,6</t>
  </si>
  <si>
    <t>ΤΖΙΡΑΚΗΣ</t>
  </si>
  <si>
    <t>ΑΙ942857</t>
  </si>
  <si>
    <t>ΓΙΑΝΝΟΥΛΗΣ</t>
  </si>
  <si>
    <t>ΑΕ982796</t>
  </si>
  <si>
    <t>684,9</t>
  </si>
  <si>
    <t>ΠΑΠΑΧΡΗΣΤΟΥ</t>
  </si>
  <si>
    <t>ΑΗ628776</t>
  </si>
  <si>
    <t>684,5</t>
  </si>
  <si>
    <t>ΑΚ278116</t>
  </si>
  <si>
    <t>ΤΣΑΚΑΛΟΥ</t>
  </si>
  <si>
    <t>Τ025019</t>
  </si>
  <si>
    <t>683,4</t>
  </si>
  <si>
    <t>ΚΑΜΠΑΓΙΑΝΝΗ</t>
  </si>
  <si>
    <t>ΑΒ843967</t>
  </si>
  <si>
    <t>682,3</t>
  </si>
  <si>
    <t>ΣΧΙΖΟΓΛΟΥ</t>
  </si>
  <si>
    <t>ΑΗ878523</t>
  </si>
  <si>
    <t>ΑΖ533589</t>
  </si>
  <si>
    <t>ΑΖΑΡΙΑΔΟΥ</t>
  </si>
  <si>
    <t>ΑΒ716912</t>
  </si>
  <si>
    <t>681,2</t>
  </si>
  <si>
    <t>ΓΕΩΡΓΑΚΗΣ</t>
  </si>
  <si>
    <t>ΑΖ770285</t>
  </si>
  <si>
    <t>680,1</t>
  </si>
  <si>
    <t>Ν016445</t>
  </si>
  <si>
    <t>ΠΕΡΠΕΡΑ</t>
  </si>
  <si>
    <t>ΑΙ858230</t>
  </si>
  <si>
    <t>ΣΥΜΕΩΝΙΔΗΣ</t>
  </si>
  <si>
    <t>ΑΛΚΗΣ</t>
  </si>
  <si>
    <t>K00255215</t>
  </si>
  <si>
    <t>Χ960585</t>
  </si>
  <si>
    <t>ΚΡΑΒΑΡΙΤΗ</t>
  </si>
  <si>
    <t>ΑΙ079891</t>
  </si>
  <si>
    <t>676,8</t>
  </si>
  <si>
    <t>Χ565299</t>
  </si>
  <si>
    <t>ΜΠΑΡΜΠΑΡΟΥΣΗ</t>
  </si>
  <si>
    <t>ΑΙ125938</t>
  </si>
  <si>
    <t>ΠΙΤΕΡΗ</t>
  </si>
  <si>
    <t>ΖΑΧΑΡΕΝΙΑ</t>
  </si>
  <si>
    <t>ΑΚ623728</t>
  </si>
  <si>
    <t>670,2</t>
  </si>
  <si>
    <t>ΚΟΣΜΑΔΑΚΗ</t>
  </si>
  <si>
    <t>Τ326452</t>
  </si>
  <si>
    <t>669,1</t>
  </si>
  <si>
    <t>ΑΒΕΡΚΙΟΣ</t>
  </si>
  <si>
    <t>ΑΝ201138</t>
  </si>
  <si>
    <t>ΑΑ054991</t>
  </si>
  <si>
    <t>ΜΟΤΣΙΟΥ</t>
  </si>
  <si>
    <t>ΑΕ293904</t>
  </si>
  <si>
    <t>629,2</t>
  </si>
  <si>
    <t>659,2</t>
  </si>
  <si>
    <t>ΤΣΟΧΑΝΤΑΡΗ</t>
  </si>
  <si>
    <t>Π446137</t>
  </si>
  <si>
    <t>658,1</t>
  </si>
  <si>
    <t>Ν127236</t>
  </si>
  <si>
    <t>622,6</t>
  </si>
  <si>
    <t>652,6</t>
  </si>
  <si>
    <t>ΜΑΛΤΕΖΟΥ</t>
  </si>
  <si>
    <t>Χ665110</t>
  </si>
  <si>
    <t>581,9</t>
  </si>
  <si>
    <t>651,9</t>
  </si>
  <si>
    <t>Χ706089</t>
  </si>
  <si>
    <t>ΦΩΚΑ</t>
  </si>
  <si>
    <t>ΑΙ821476</t>
  </si>
  <si>
    <t>ΣΤΕΦΗΣ</t>
  </si>
  <si>
    <t>ΑΖ225707</t>
  </si>
  <si>
    <t>603,9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</si>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</sst>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97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5218</v>
      </c>
      <c r="C8" t="s">
        <v>13</v>
      </c>
      <c r="D8" t="s">
        <v>14</v>
      </c>
      <c r="E8" t="s">
        <v>15</v>
      </c>
      <c r="F8" t="s">
        <v>16</v>
      </c>
      <c r="G8" t="str">
        <f>"200712001679"</f>
        <v>200712001679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70</v>
      </c>
      <c r="O8">
        <v>70</v>
      </c>
      <c r="P8">
        <v>70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101</v>
      </c>
    </row>
    <row r="10" spans="1:25" x14ac:dyDescent="0.25">
      <c r="A10">
        <v>2</v>
      </c>
      <c r="B10">
        <v>6397</v>
      </c>
      <c r="C10" t="s">
        <v>19</v>
      </c>
      <c r="D10" t="s">
        <v>20</v>
      </c>
      <c r="E10" t="s">
        <v>21</v>
      </c>
      <c r="F10" t="s">
        <v>22</v>
      </c>
      <c r="G10" t="str">
        <f>"00013845"</f>
        <v>00013845</v>
      </c>
      <c r="H10">
        <v>946</v>
      </c>
      <c r="I10">
        <v>0</v>
      </c>
      <c r="J10">
        <v>400</v>
      </c>
      <c r="K10">
        <v>0</v>
      </c>
      <c r="L10">
        <v>260</v>
      </c>
      <c r="M10">
        <v>0</v>
      </c>
      <c r="N10">
        <v>70</v>
      </c>
      <c r="O10">
        <v>50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1726</v>
      </c>
    </row>
    <row r="11" spans="1:25" x14ac:dyDescent="0.25">
      <c r="H11" t="s">
        <v>23</v>
      </c>
    </row>
    <row r="12" spans="1:25" x14ac:dyDescent="0.25">
      <c r="A12">
        <v>3</v>
      </c>
      <c r="B12">
        <v>5891</v>
      </c>
      <c r="C12" t="s">
        <v>24</v>
      </c>
      <c r="D12" t="s">
        <v>25</v>
      </c>
      <c r="E12" t="s">
        <v>15</v>
      </c>
      <c r="F12" t="s">
        <v>26</v>
      </c>
      <c r="G12" t="str">
        <f>"00011171"</f>
        <v>00011171</v>
      </c>
      <c r="H12" t="s">
        <v>27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50</v>
      </c>
      <c r="P12">
        <v>50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28</v>
      </c>
    </row>
    <row r="13" spans="1:25" x14ac:dyDescent="0.25">
      <c r="H13">
        <v>101</v>
      </c>
    </row>
    <row r="14" spans="1:25" x14ac:dyDescent="0.25">
      <c r="A14">
        <v>4</v>
      </c>
      <c r="B14">
        <v>3876</v>
      </c>
      <c r="C14" t="s">
        <v>29</v>
      </c>
      <c r="D14" t="s">
        <v>25</v>
      </c>
      <c r="E14" t="s">
        <v>30</v>
      </c>
      <c r="F14" t="s">
        <v>31</v>
      </c>
      <c r="G14" t="str">
        <f>"00013899"</f>
        <v>00013899</v>
      </c>
      <c r="H14" t="s">
        <v>32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70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33</v>
      </c>
    </row>
    <row r="15" spans="1:25" x14ac:dyDescent="0.25">
      <c r="H15" t="s">
        <v>34</v>
      </c>
    </row>
    <row r="16" spans="1:25" x14ac:dyDescent="0.25">
      <c r="A16">
        <v>5</v>
      </c>
      <c r="B16">
        <v>5566</v>
      </c>
      <c r="C16" t="s">
        <v>35</v>
      </c>
      <c r="D16" t="s">
        <v>36</v>
      </c>
      <c r="E16" t="s">
        <v>37</v>
      </c>
      <c r="F16" t="s">
        <v>38</v>
      </c>
      <c r="G16" t="str">
        <f>"201406008738"</f>
        <v>201406008738</v>
      </c>
      <c r="H16" t="s">
        <v>39</v>
      </c>
      <c r="I16">
        <v>0</v>
      </c>
      <c r="J16">
        <v>400</v>
      </c>
      <c r="K16">
        <v>0</v>
      </c>
      <c r="L16">
        <v>260</v>
      </c>
      <c r="M16">
        <v>0</v>
      </c>
      <c r="N16">
        <v>70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40</v>
      </c>
    </row>
    <row r="17" spans="1:25" x14ac:dyDescent="0.25">
      <c r="H17" t="s">
        <v>34</v>
      </c>
    </row>
    <row r="18" spans="1:25" x14ac:dyDescent="0.25">
      <c r="A18">
        <v>6</v>
      </c>
      <c r="B18">
        <v>5733</v>
      </c>
      <c r="C18" t="s">
        <v>41</v>
      </c>
      <c r="D18" t="s">
        <v>42</v>
      </c>
      <c r="E18" t="s">
        <v>43</v>
      </c>
      <c r="F18" t="s">
        <v>44</v>
      </c>
      <c r="G18" t="str">
        <f>"00208496"</f>
        <v>00208496</v>
      </c>
      <c r="H18" t="s">
        <v>45</v>
      </c>
      <c r="I18">
        <v>0</v>
      </c>
      <c r="J18">
        <v>0</v>
      </c>
      <c r="K18">
        <v>200</v>
      </c>
      <c r="L18">
        <v>260</v>
      </c>
      <c r="M18">
        <v>0</v>
      </c>
      <c r="N18">
        <v>70</v>
      </c>
      <c r="O18">
        <v>70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46</v>
      </c>
    </row>
    <row r="19" spans="1:25" x14ac:dyDescent="0.25">
      <c r="H19" t="s">
        <v>34</v>
      </c>
    </row>
    <row r="20" spans="1:25" x14ac:dyDescent="0.25">
      <c r="A20">
        <v>7</v>
      </c>
      <c r="B20">
        <v>5515</v>
      </c>
      <c r="C20" t="s">
        <v>47</v>
      </c>
      <c r="D20" t="s">
        <v>48</v>
      </c>
      <c r="E20" t="s">
        <v>49</v>
      </c>
      <c r="F20" t="s">
        <v>50</v>
      </c>
      <c r="G20" t="str">
        <f>"201304006081"</f>
        <v>201304006081</v>
      </c>
      <c r="H20" t="s">
        <v>51</v>
      </c>
      <c r="I20">
        <v>0</v>
      </c>
      <c r="J20">
        <v>400</v>
      </c>
      <c r="K20">
        <v>0</v>
      </c>
      <c r="L20">
        <v>260</v>
      </c>
      <c r="M20">
        <v>0</v>
      </c>
      <c r="N20">
        <v>70</v>
      </c>
      <c r="O20">
        <v>70</v>
      </c>
      <c r="P20">
        <v>50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52</v>
      </c>
    </row>
    <row r="21" spans="1:25" x14ac:dyDescent="0.25">
      <c r="H21" t="s">
        <v>53</v>
      </c>
    </row>
    <row r="22" spans="1:25" x14ac:dyDescent="0.25">
      <c r="A22">
        <v>8</v>
      </c>
      <c r="B22">
        <v>3259</v>
      </c>
      <c r="C22" t="s">
        <v>54</v>
      </c>
      <c r="D22" t="s">
        <v>55</v>
      </c>
      <c r="E22" t="s">
        <v>21</v>
      </c>
      <c r="F22" t="s">
        <v>56</v>
      </c>
      <c r="G22" t="str">
        <f>"00122039"</f>
        <v>00122039</v>
      </c>
      <c r="H22" t="s">
        <v>57</v>
      </c>
      <c r="I22">
        <v>0</v>
      </c>
      <c r="J22">
        <v>400</v>
      </c>
      <c r="K22">
        <v>0</v>
      </c>
      <c r="L22">
        <v>260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58</v>
      </c>
    </row>
    <row r="23" spans="1:25" x14ac:dyDescent="0.25">
      <c r="H23" t="s">
        <v>53</v>
      </c>
    </row>
    <row r="24" spans="1:25" x14ac:dyDescent="0.25">
      <c r="A24">
        <v>9</v>
      </c>
      <c r="B24">
        <v>2483</v>
      </c>
      <c r="C24" t="s">
        <v>59</v>
      </c>
      <c r="D24" t="s">
        <v>60</v>
      </c>
      <c r="E24" t="s">
        <v>61</v>
      </c>
      <c r="F24" t="s">
        <v>62</v>
      </c>
      <c r="G24" t="str">
        <f>"201406000821"</f>
        <v>201406000821</v>
      </c>
      <c r="H24">
        <v>847</v>
      </c>
      <c r="I24">
        <v>0</v>
      </c>
      <c r="J24">
        <v>400</v>
      </c>
      <c r="K24">
        <v>0</v>
      </c>
      <c r="L24">
        <v>260</v>
      </c>
      <c r="M24">
        <v>0</v>
      </c>
      <c r="N24">
        <v>0</v>
      </c>
      <c r="O24">
        <v>70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1577</v>
      </c>
    </row>
    <row r="25" spans="1:25" x14ac:dyDescent="0.25">
      <c r="H25" t="s">
        <v>53</v>
      </c>
    </row>
    <row r="26" spans="1:25" x14ac:dyDescent="0.25">
      <c r="A26">
        <v>10</v>
      </c>
      <c r="B26">
        <v>5034</v>
      </c>
      <c r="C26" t="s">
        <v>63</v>
      </c>
      <c r="D26" t="s">
        <v>64</v>
      </c>
      <c r="E26" t="s">
        <v>65</v>
      </c>
      <c r="F26" t="s">
        <v>66</v>
      </c>
      <c r="G26" t="str">
        <f>"201303000416"</f>
        <v>201303000416</v>
      </c>
      <c r="H26" t="s">
        <v>67</v>
      </c>
      <c r="I26">
        <v>0</v>
      </c>
      <c r="J26">
        <v>400</v>
      </c>
      <c r="K26">
        <v>0</v>
      </c>
      <c r="L26">
        <v>260</v>
      </c>
      <c r="M26">
        <v>0</v>
      </c>
      <c r="N26">
        <v>70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68</v>
      </c>
    </row>
    <row r="27" spans="1:25" x14ac:dyDescent="0.25">
      <c r="H27" t="s">
        <v>53</v>
      </c>
    </row>
    <row r="28" spans="1:25" x14ac:dyDescent="0.25">
      <c r="A28">
        <v>11</v>
      </c>
      <c r="B28">
        <v>5467</v>
      </c>
      <c r="C28" t="s">
        <v>69</v>
      </c>
      <c r="D28" t="s">
        <v>70</v>
      </c>
      <c r="E28" t="s">
        <v>71</v>
      </c>
      <c r="F28" t="s">
        <v>72</v>
      </c>
      <c r="G28" t="str">
        <f>"00014148"</f>
        <v>00014148</v>
      </c>
      <c r="H28" t="s">
        <v>73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70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 t="s">
        <v>74</v>
      </c>
    </row>
    <row r="29" spans="1:25" x14ac:dyDescent="0.25">
      <c r="H29" t="s">
        <v>34</v>
      </c>
    </row>
    <row r="30" spans="1:25" x14ac:dyDescent="0.25">
      <c r="A30">
        <v>12</v>
      </c>
      <c r="B30">
        <v>5787</v>
      </c>
      <c r="C30" t="s">
        <v>75</v>
      </c>
      <c r="D30" t="s">
        <v>76</v>
      </c>
      <c r="E30" t="s">
        <v>37</v>
      </c>
      <c r="F30" t="s">
        <v>77</v>
      </c>
      <c r="G30" t="str">
        <f>"201406011888"</f>
        <v>201406011888</v>
      </c>
      <c r="H30" t="s">
        <v>78</v>
      </c>
      <c r="I30">
        <v>0</v>
      </c>
      <c r="J30">
        <v>0</v>
      </c>
      <c r="K30">
        <v>200</v>
      </c>
      <c r="L30">
        <v>0</v>
      </c>
      <c r="M30">
        <v>100</v>
      </c>
      <c r="N30">
        <v>30</v>
      </c>
      <c r="O30">
        <v>70</v>
      </c>
      <c r="P30">
        <v>50</v>
      </c>
      <c r="Q30">
        <v>0</v>
      </c>
      <c r="R30">
        <v>70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79</v>
      </c>
    </row>
    <row r="31" spans="1:25" x14ac:dyDescent="0.25">
      <c r="H31" t="s">
        <v>23</v>
      </c>
    </row>
    <row r="32" spans="1:25" x14ac:dyDescent="0.25">
      <c r="A32">
        <v>13</v>
      </c>
      <c r="B32">
        <v>6442</v>
      </c>
      <c r="C32" t="s">
        <v>80</v>
      </c>
      <c r="D32" t="s">
        <v>76</v>
      </c>
      <c r="E32" t="s">
        <v>81</v>
      </c>
      <c r="F32" t="s">
        <v>82</v>
      </c>
      <c r="G32" t="str">
        <f>"00173809"</f>
        <v>00173809</v>
      </c>
      <c r="H32" t="s">
        <v>83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70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84</v>
      </c>
    </row>
    <row r="33" spans="1:25" x14ac:dyDescent="0.25">
      <c r="H33">
        <v>101</v>
      </c>
    </row>
    <row r="34" spans="1:25" x14ac:dyDescent="0.25">
      <c r="A34">
        <v>14</v>
      </c>
      <c r="B34">
        <v>5751</v>
      </c>
      <c r="C34" t="s">
        <v>85</v>
      </c>
      <c r="D34" t="s">
        <v>86</v>
      </c>
      <c r="E34" t="s">
        <v>87</v>
      </c>
      <c r="F34" t="s">
        <v>88</v>
      </c>
      <c r="G34" t="str">
        <f>"00188431"</f>
        <v>00188431</v>
      </c>
      <c r="H34">
        <v>781</v>
      </c>
      <c r="I34">
        <v>0</v>
      </c>
      <c r="J34">
        <v>400</v>
      </c>
      <c r="K34">
        <v>0</v>
      </c>
      <c r="L34">
        <v>260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1511</v>
      </c>
    </row>
    <row r="35" spans="1:25" x14ac:dyDescent="0.25">
      <c r="H35" t="s">
        <v>34</v>
      </c>
    </row>
    <row r="36" spans="1:25" x14ac:dyDescent="0.25">
      <c r="A36">
        <v>15</v>
      </c>
      <c r="B36">
        <v>4099</v>
      </c>
      <c r="C36" t="s">
        <v>89</v>
      </c>
      <c r="D36" t="s">
        <v>43</v>
      </c>
      <c r="E36" t="s">
        <v>21</v>
      </c>
      <c r="F36" t="s">
        <v>90</v>
      </c>
      <c r="G36" t="str">
        <f>"200802004105"</f>
        <v>200802004105</v>
      </c>
      <c r="H36">
        <v>1089</v>
      </c>
      <c r="I36">
        <v>150</v>
      </c>
      <c r="J36">
        <v>0</v>
      </c>
      <c r="K36">
        <v>0</v>
      </c>
      <c r="L36">
        <v>200</v>
      </c>
      <c r="M36">
        <v>0</v>
      </c>
      <c r="N36">
        <v>0</v>
      </c>
      <c r="O36">
        <v>0</v>
      </c>
      <c r="P36">
        <v>70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1509</v>
      </c>
    </row>
    <row r="37" spans="1:25" x14ac:dyDescent="0.25">
      <c r="H37" t="s">
        <v>91</v>
      </c>
    </row>
    <row r="38" spans="1:25" x14ac:dyDescent="0.25">
      <c r="A38">
        <v>16</v>
      </c>
      <c r="B38">
        <v>5558</v>
      </c>
      <c r="C38" t="s">
        <v>92</v>
      </c>
      <c r="D38" t="s">
        <v>87</v>
      </c>
      <c r="E38" t="s">
        <v>93</v>
      </c>
      <c r="F38" t="s">
        <v>94</v>
      </c>
      <c r="G38" t="str">
        <f>"00153780"</f>
        <v>00153780</v>
      </c>
      <c r="H38" t="s">
        <v>95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50</v>
      </c>
      <c r="P38">
        <v>50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96</v>
      </c>
    </row>
    <row r="39" spans="1:25" x14ac:dyDescent="0.25">
      <c r="H39" t="s">
        <v>53</v>
      </c>
    </row>
    <row r="40" spans="1:25" x14ac:dyDescent="0.25">
      <c r="A40">
        <v>17</v>
      </c>
      <c r="B40">
        <v>6438</v>
      </c>
      <c r="C40" t="s">
        <v>97</v>
      </c>
      <c r="D40" t="s">
        <v>98</v>
      </c>
      <c r="E40" t="s">
        <v>99</v>
      </c>
      <c r="F40" t="s">
        <v>100</v>
      </c>
      <c r="G40" t="str">
        <f>"00116200"</f>
        <v>00116200</v>
      </c>
      <c r="H40" t="s">
        <v>101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30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102</v>
      </c>
    </row>
    <row r="41" spans="1:25" x14ac:dyDescent="0.25">
      <c r="H41" t="s">
        <v>23</v>
      </c>
    </row>
    <row r="42" spans="1:25" x14ac:dyDescent="0.25">
      <c r="A42">
        <v>18</v>
      </c>
      <c r="B42">
        <v>4709</v>
      </c>
      <c r="C42" t="s">
        <v>103</v>
      </c>
      <c r="D42" t="s">
        <v>104</v>
      </c>
      <c r="E42" t="s">
        <v>21</v>
      </c>
      <c r="F42" t="s">
        <v>105</v>
      </c>
      <c r="G42" t="str">
        <f>"201406007296"</f>
        <v>201406007296</v>
      </c>
      <c r="H42">
        <v>957</v>
      </c>
      <c r="I42">
        <v>150</v>
      </c>
      <c r="J42">
        <v>0</v>
      </c>
      <c r="K42">
        <v>0</v>
      </c>
      <c r="L42">
        <v>260</v>
      </c>
      <c r="M42">
        <v>0</v>
      </c>
      <c r="N42">
        <v>70</v>
      </c>
      <c r="O42">
        <v>0</v>
      </c>
      <c r="P42">
        <v>30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1467</v>
      </c>
    </row>
    <row r="43" spans="1:25" x14ac:dyDescent="0.25">
      <c r="H43" t="s">
        <v>23</v>
      </c>
    </row>
    <row r="44" spans="1:25" x14ac:dyDescent="0.25">
      <c r="A44">
        <v>19</v>
      </c>
      <c r="B44">
        <v>5469</v>
      </c>
      <c r="C44" t="s">
        <v>106</v>
      </c>
      <c r="D44" t="s">
        <v>107</v>
      </c>
      <c r="E44" t="s">
        <v>55</v>
      </c>
      <c r="F44" t="s">
        <v>108</v>
      </c>
      <c r="G44" t="str">
        <f>"201304001268"</f>
        <v>201304001268</v>
      </c>
      <c r="H44" t="s">
        <v>109</v>
      </c>
      <c r="I44">
        <v>150</v>
      </c>
      <c r="J44">
        <v>0</v>
      </c>
      <c r="K44">
        <v>0</v>
      </c>
      <c r="L44">
        <v>260</v>
      </c>
      <c r="M44">
        <v>0</v>
      </c>
      <c r="N44">
        <v>70</v>
      </c>
      <c r="O44">
        <v>70</v>
      </c>
      <c r="P44">
        <v>0</v>
      </c>
      <c r="Q44">
        <v>50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110</v>
      </c>
    </row>
    <row r="45" spans="1:25" x14ac:dyDescent="0.25">
      <c r="H45" t="s">
        <v>111</v>
      </c>
    </row>
    <row r="46" spans="1:25" x14ac:dyDescent="0.25">
      <c r="A46">
        <v>20</v>
      </c>
      <c r="B46">
        <v>5002</v>
      </c>
      <c r="C46" t="s">
        <v>112</v>
      </c>
      <c r="D46" t="s">
        <v>113</v>
      </c>
      <c r="E46" t="s">
        <v>114</v>
      </c>
      <c r="F46" t="s">
        <v>115</v>
      </c>
      <c r="G46" t="str">
        <f>"201406011887"</f>
        <v>201406011887</v>
      </c>
      <c r="H46" t="s">
        <v>116</v>
      </c>
      <c r="I46">
        <v>150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70</v>
      </c>
      <c r="Q46">
        <v>0</v>
      </c>
      <c r="R46">
        <v>70</v>
      </c>
      <c r="S46">
        <v>0</v>
      </c>
      <c r="T46">
        <v>0</v>
      </c>
      <c r="U46">
        <v>0</v>
      </c>
      <c r="V46">
        <v>0</v>
      </c>
      <c r="X46">
        <v>0</v>
      </c>
      <c r="Y46" t="s">
        <v>117</v>
      </c>
    </row>
    <row r="47" spans="1:25" x14ac:dyDescent="0.25">
      <c r="H47" t="s">
        <v>118</v>
      </c>
    </row>
    <row r="48" spans="1:25" x14ac:dyDescent="0.25">
      <c r="A48">
        <v>21</v>
      </c>
      <c r="B48">
        <v>5197</v>
      </c>
      <c r="C48" t="s">
        <v>119</v>
      </c>
      <c r="D48" t="s">
        <v>36</v>
      </c>
      <c r="E48" t="s">
        <v>114</v>
      </c>
      <c r="F48" t="s">
        <v>120</v>
      </c>
      <c r="G48" t="str">
        <f>"201406015206"</f>
        <v>201406015206</v>
      </c>
      <c r="H48">
        <v>704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70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1444</v>
      </c>
    </row>
    <row r="49" spans="1:25" x14ac:dyDescent="0.25">
      <c r="H49" t="s">
        <v>34</v>
      </c>
    </row>
    <row r="50" spans="1:25" x14ac:dyDescent="0.25">
      <c r="A50">
        <v>22</v>
      </c>
      <c r="B50">
        <v>5427</v>
      </c>
      <c r="C50" t="s">
        <v>121</v>
      </c>
      <c r="D50" t="s">
        <v>122</v>
      </c>
      <c r="E50" t="s">
        <v>49</v>
      </c>
      <c r="F50" t="s">
        <v>123</v>
      </c>
      <c r="G50" t="str">
        <f>"00208407"</f>
        <v>00208407</v>
      </c>
      <c r="H50">
        <v>990</v>
      </c>
      <c r="I50">
        <v>150</v>
      </c>
      <c r="J50">
        <v>0</v>
      </c>
      <c r="K50">
        <v>0</v>
      </c>
      <c r="L50">
        <v>200</v>
      </c>
      <c r="M50">
        <v>30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1440</v>
      </c>
    </row>
    <row r="51" spans="1:25" x14ac:dyDescent="0.25">
      <c r="H51" t="s">
        <v>53</v>
      </c>
    </row>
    <row r="52" spans="1:25" x14ac:dyDescent="0.25">
      <c r="A52">
        <v>23</v>
      </c>
      <c r="B52">
        <v>1923</v>
      </c>
      <c r="C52" t="s">
        <v>124</v>
      </c>
      <c r="D52" t="s">
        <v>125</v>
      </c>
      <c r="E52" t="s">
        <v>87</v>
      </c>
      <c r="F52" t="s">
        <v>126</v>
      </c>
      <c r="G52" t="str">
        <f>"00208620"</f>
        <v>00208620</v>
      </c>
      <c r="H52" t="s">
        <v>127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128</v>
      </c>
    </row>
    <row r="53" spans="1:25" x14ac:dyDescent="0.25">
      <c r="H53" t="s">
        <v>23</v>
      </c>
    </row>
    <row r="54" spans="1:25" x14ac:dyDescent="0.25">
      <c r="A54">
        <v>24</v>
      </c>
      <c r="B54">
        <v>6086</v>
      </c>
      <c r="C54" t="s">
        <v>129</v>
      </c>
      <c r="D54" t="s">
        <v>61</v>
      </c>
      <c r="E54" t="s">
        <v>130</v>
      </c>
      <c r="F54" t="s">
        <v>131</v>
      </c>
      <c r="G54" t="str">
        <f>"00014058"</f>
        <v>00014058</v>
      </c>
      <c r="H54" t="s">
        <v>132</v>
      </c>
      <c r="I54">
        <v>0</v>
      </c>
      <c r="J54">
        <v>400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 t="s">
        <v>133</v>
      </c>
    </row>
    <row r="55" spans="1:25" x14ac:dyDescent="0.25">
      <c r="H55" t="s">
        <v>34</v>
      </c>
    </row>
    <row r="56" spans="1:25" x14ac:dyDescent="0.25">
      <c r="A56">
        <v>25</v>
      </c>
      <c r="B56">
        <v>1293</v>
      </c>
      <c r="C56" t="s">
        <v>134</v>
      </c>
      <c r="D56" t="s">
        <v>135</v>
      </c>
      <c r="E56" t="s">
        <v>37</v>
      </c>
      <c r="F56" t="s">
        <v>136</v>
      </c>
      <c r="G56" t="str">
        <f>"00117291"</f>
        <v>00117291</v>
      </c>
      <c r="H56" t="s">
        <v>137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70</v>
      </c>
      <c r="P56">
        <v>50</v>
      </c>
      <c r="Q56">
        <v>50</v>
      </c>
      <c r="R56">
        <v>70</v>
      </c>
      <c r="S56">
        <v>30</v>
      </c>
      <c r="T56">
        <v>0</v>
      </c>
      <c r="U56">
        <v>0</v>
      </c>
      <c r="V56">
        <v>0</v>
      </c>
      <c r="X56">
        <v>0</v>
      </c>
      <c r="Y56" t="s">
        <v>138</v>
      </c>
    </row>
    <row r="57" spans="1:25" x14ac:dyDescent="0.25">
      <c r="H57" t="s">
        <v>53</v>
      </c>
    </row>
    <row r="58" spans="1:25" x14ac:dyDescent="0.25">
      <c r="A58">
        <v>26</v>
      </c>
      <c r="B58">
        <v>5117</v>
      </c>
      <c r="C58" t="s">
        <v>139</v>
      </c>
      <c r="D58" t="s">
        <v>140</v>
      </c>
      <c r="E58" t="s">
        <v>141</v>
      </c>
      <c r="F58" t="s">
        <v>142</v>
      </c>
      <c r="G58" t="str">
        <f>"00194976"</f>
        <v>00194976</v>
      </c>
      <c r="H58" t="s">
        <v>143</v>
      </c>
      <c r="I58">
        <v>150</v>
      </c>
      <c r="J58">
        <v>0</v>
      </c>
      <c r="K58">
        <v>0</v>
      </c>
      <c r="L58">
        <v>200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 t="s">
        <v>144</v>
      </c>
    </row>
    <row r="59" spans="1:25" x14ac:dyDescent="0.25">
      <c r="H59" t="s">
        <v>145</v>
      </c>
    </row>
    <row r="60" spans="1:25" x14ac:dyDescent="0.25">
      <c r="A60">
        <v>27</v>
      </c>
      <c r="B60">
        <v>4966</v>
      </c>
      <c r="C60" t="s">
        <v>146</v>
      </c>
      <c r="D60" t="s">
        <v>25</v>
      </c>
      <c r="E60" t="s">
        <v>147</v>
      </c>
      <c r="F60" t="s">
        <v>148</v>
      </c>
      <c r="G60" t="str">
        <f>"00118584"</f>
        <v>00118584</v>
      </c>
      <c r="H60">
        <v>891</v>
      </c>
      <c r="I60">
        <v>0</v>
      </c>
      <c r="J60">
        <v>0</v>
      </c>
      <c r="K60">
        <v>0</v>
      </c>
      <c r="L60">
        <v>260</v>
      </c>
      <c r="M60">
        <v>0</v>
      </c>
      <c r="N60">
        <v>70</v>
      </c>
      <c r="O60">
        <v>70</v>
      </c>
      <c r="P60">
        <v>70</v>
      </c>
      <c r="Q60">
        <v>30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1391</v>
      </c>
    </row>
    <row r="61" spans="1:25" x14ac:dyDescent="0.25">
      <c r="H61" t="s">
        <v>23</v>
      </c>
    </row>
    <row r="62" spans="1:25" x14ac:dyDescent="0.25">
      <c r="A62">
        <v>28</v>
      </c>
      <c r="B62">
        <v>6446</v>
      </c>
      <c r="C62" t="s">
        <v>149</v>
      </c>
      <c r="D62" t="s">
        <v>150</v>
      </c>
      <c r="E62" t="s">
        <v>87</v>
      </c>
      <c r="F62" t="s">
        <v>151</v>
      </c>
      <c r="G62" t="str">
        <f>"200801009944"</f>
        <v>200801009944</v>
      </c>
      <c r="H62" t="s">
        <v>152</v>
      </c>
      <c r="I62">
        <v>150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70</v>
      </c>
      <c r="Q62">
        <v>70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 t="s">
        <v>153</v>
      </c>
    </row>
    <row r="63" spans="1:25" x14ac:dyDescent="0.25">
      <c r="H63" t="s">
        <v>23</v>
      </c>
    </row>
    <row r="64" spans="1:25" x14ac:dyDescent="0.25">
      <c r="A64">
        <v>29</v>
      </c>
      <c r="B64">
        <v>3058</v>
      </c>
      <c r="C64" t="s">
        <v>154</v>
      </c>
      <c r="D64" t="s">
        <v>155</v>
      </c>
      <c r="E64" t="s">
        <v>21</v>
      </c>
      <c r="F64" t="s">
        <v>156</v>
      </c>
      <c r="G64" t="str">
        <f>"201506003792"</f>
        <v>201506003792</v>
      </c>
      <c r="H64" t="s">
        <v>116</v>
      </c>
      <c r="I64">
        <v>0</v>
      </c>
      <c r="J64">
        <v>0</v>
      </c>
      <c r="K64">
        <v>0</v>
      </c>
      <c r="L64">
        <v>260</v>
      </c>
      <c r="M64">
        <v>0</v>
      </c>
      <c r="N64">
        <v>70</v>
      </c>
      <c r="O64">
        <v>70</v>
      </c>
      <c r="P64">
        <v>70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 t="s">
        <v>157</v>
      </c>
    </row>
    <row r="65" spans="1:25" x14ac:dyDescent="0.25">
      <c r="H65" t="s">
        <v>23</v>
      </c>
    </row>
    <row r="66" spans="1:25" x14ac:dyDescent="0.25">
      <c r="A66">
        <v>30</v>
      </c>
      <c r="B66">
        <v>1034</v>
      </c>
      <c r="C66" t="s">
        <v>158</v>
      </c>
      <c r="D66" t="s">
        <v>159</v>
      </c>
      <c r="E66" t="s">
        <v>87</v>
      </c>
      <c r="F66" t="s">
        <v>160</v>
      </c>
      <c r="G66" t="str">
        <f>"200801001341"</f>
        <v>200801001341</v>
      </c>
      <c r="H66" t="s">
        <v>161</v>
      </c>
      <c r="I66">
        <v>150</v>
      </c>
      <c r="J66">
        <v>0</v>
      </c>
      <c r="K66">
        <v>0</v>
      </c>
      <c r="L66">
        <v>260</v>
      </c>
      <c r="M66">
        <v>0</v>
      </c>
      <c r="N66">
        <v>70</v>
      </c>
      <c r="O66">
        <v>70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 t="s">
        <v>162</v>
      </c>
    </row>
    <row r="67" spans="1:25" x14ac:dyDescent="0.25">
      <c r="H67">
        <v>101</v>
      </c>
    </row>
    <row r="68" spans="1:25" x14ac:dyDescent="0.25">
      <c r="A68">
        <v>31</v>
      </c>
      <c r="B68">
        <v>4152</v>
      </c>
      <c r="C68" t="s">
        <v>163</v>
      </c>
      <c r="D68" t="s">
        <v>43</v>
      </c>
      <c r="E68" t="s">
        <v>99</v>
      </c>
      <c r="F68" t="s">
        <v>164</v>
      </c>
      <c r="G68" t="str">
        <f>"00209716"</f>
        <v>00209716</v>
      </c>
      <c r="H68" t="s">
        <v>45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 t="s">
        <v>165</v>
      </c>
    </row>
    <row r="69" spans="1:25" x14ac:dyDescent="0.25">
      <c r="H69">
        <v>101</v>
      </c>
    </row>
    <row r="70" spans="1:25" x14ac:dyDescent="0.25">
      <c r="A70">
        <v>32</v>
      </c>
      <c r="B70">
        <v>6184</v>
      </c>
      <c r="C70" t="s">
        <v>166</v>
      </c>
      <c r="D70" t="s">
        <v>113</v>
      </c>
      <c r="E70" t="s">
        <v>130</v>
      </c>
      <c r="F70" t="s">
        <v>167</v>
      </c>
      <c r="G70" t="str">
        <f>"00183625"</f>
        <v>00183625</v>
      </c>
      <c r="H70">
        <v>1100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1360</v>
      </c>
    </row>
    <row r="71" spans="1:25" x14ac:dyDescent="0.25">
      <c r="H71" t="s">
        <v>34</v>
      </c>
    </row>
    <row r="72" spans="1:25" x14ac:dyDescent="0.25">
      <c r="A72">
        <v>33</v>
      </c>
      <c r="B72">
        <v>958</v>
      </c>
      <c r="C72" t="s">
        <v>168</v>
      </c>
      <c r="D72" t="s">
        <v>169</v>
      </c>
      <c r="E72" t="s">
        <v>130</v>
      </c>
      <c r="F72" t="s">
        <v>170</v>
      </c>
      <c r="G72" t="str">
        <f>"00015035"</f>
        <v>00015035</v>
      </c>
      <c r="H72" t="s">
        <v>171</v>
      </c>
      <c r="I72">
        <v>150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50</v>
      </c>
      <c r="Q72">
        <v>30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 t="s">
        <v>172</v>
      </c>
    </row>
    <row r="73" spans="1:25" x14ac:dyDescent="0.25">
      <c r="H73">
        <v>101</v>
      </c>
    </row>
    <row r="74" spans="1:25" x14ac:dyDescent="0.25">
      <c r="A74">
        <v>34</v>
      </c>
      <c r="B74">
        <v>5289</v>
      </c>
      <c r="C74" t="s">
        <v>173</v>
      </c>
      <c r="D74" t="s">
        <v>113</v>
      </c>
      <c r="E74" t="s">
        <v>43</v>
      </c>
      <c r="F74" t="s">
        <v>174</v>
      </c>
      <c r="G74" t="str">
        <f>"00115402"</f>
        <v>00115402</v>
      </c>
      <c r="H74" t="s">
        <v>175</v>
      </c>
      <c r="I74">
        <v>0</v>
      </c>
      <c r="J74">
        <v>400</v>
      </c>
      <c r="K74">
        <v>0</v>
      </c>
      <c r="L74">
        <v>200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 t="s">
        <v>176</v>
      </c>
    </row>
    <row r="75" spans="1:25" x14ac:dyDescent="0.25">
      <c r="H75" t="s">
        <v>118</v>
      </c>
    </row>
    <row r="76" spans="1:25" x14ac:dyDescent="0.25">
      <c r="A76">
        <v>35</v>
      </c>
      <c r="B76">
        <v>1041</v>
      </c>
      <c r="C76" t="s">
        <v>177</v>
      </c>
      <c r="D76" t="s">
        <v>178</v>
      </c>
      <c r="E76" t="s">
        <v>179</v>
      </c>
      <c r="F76" t="s">
        <v>180</v>
      </c>
      <c r="G76" t="str">
        <f>"201304006193"</f>
        <v>201304006193</v>
      </c>
      <c r="H76" t="s">
        <v>181</v>
      </c>
      <c r="I76">
        <v>150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50</v>
      </c>
      <c r="T76">
        <v>70</v>
      </c>
      <c r="U76">
        <v>0</v>
      </c>
      <c r="V76">
        <v>0</v>
      </c>
      <c r="X76">
        <v>0</v>
      </c>
      <c r="Y76" t="s">
        <v>182</v>
      </c>
    </row>
    <row r="77" spans="1:25" x14ac:dyDescent="0.25">
      <c r="H77" t="s">
        <v>23</v>
      </c>
    </row>
    <row r="78" spans="1:25" x14ac:dyDescent="0.25">
      <c r="A78">
        <v>36</v>
      </c>
      <c r="B78">
        <v>5005</v>
      </c>
      <c r="C78" t="s">
        <v>183</v>
      </c>
      <c r="D78" t="s">
        <v>184</v>
      </c>
      <c r="E78" t="s">
        <v>147</v>
      </c>
      <c r="F78" t="s">
        <v>185</v>
      </c>
      <c r="G78" t="str">
        <f>"00015239"</f>
        <v>00015239</v>
      </c>
      <c r="H78" t="s">
        <v>186</v>
      </c>
      <c r="I78">
        <v>0</v>
      </c>
      <c r="J78">
        <v>0</v>
      </c>
      <c r="K78">
        <v>0</v>
      </c>
      <c r="L78">
        <v>260</v>
      </c>
      <c r="M78">
        <v>0</v>
      </c>
      <c r="N78">
        <v>70</v>
      </c>
      <c r="O78">
        <v>70</v>
      </c>
      <c r="P78">
        <v>50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 t="s">
        <v>187</v>
      </c>
    </row>
    <row r="79" spans="1:25" x14ac:dyDescent="0.25">
      <c r="H79" t="s">
        <v>91</v>
      </c>
    </row>
    <row r="80" spans="1:25" x14ac:dyDescent="0.25">
      <c r="A80">
        <v>37</v>
      </c>
      <c r="B80">
        <v>5418</v>
      </c>
      <c r="C80" t="s">
        <v>188</v>
      </c>
      <c r="D80" t="s">
        <v>189</v>
      </c>
      <c r="E80" t="s">
        <v>99</v>
      </c>
      <c r="F80" t="s">
        <v>190</v>
      </c>
      <c r="G80" t="str">
        <f>"201406007759"</f>
        <v>201406007759</v>
      </c>
      <c r="H80" t="s">
        <v>191</v>
      </c>
      <c r="I80">
        <v>0</v>
      </c>
      <c r="J80">
        <v>0</v>
      </c>
      <c r="K80">
        <v>0</v>
      </c>
      <c r="L80">
        <v>260</v>
      </c>
      <c r="M80">
        <v>0</v>
      </c>
      <c r="N80">
        <v>70</v>
      </c>
      <c r="O80">
        <v>70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 t="s">
        <v>192</v>
      </c>
    </row>
    <row r="81" spans="1:25" x14ac:dyDescent="0.25">
      <c r="H81" t="s">
        <v>53</v>
      </c>
    </row>
    <row r="82" spans="1:25" x14ac:dyDescent="0.25">
      <c r="A82">
        <v>38</v>
      </c>
      <c r="B82">
        <v>2674</v>
      </c>
      <c r="C82" t="s">
        <v>193</v>
      </c>
      <c r="D82" t="s">
        <v>194</v>
      </c>
      <c r="E82" t="s">
        <v>43</v>
      </c>
      <c r="F82" t="s">
        <v>195</v>
      </c>
      <c r="G82" t="str">
        <f>"00193227"</f>
        <v>00193227</v>
      </c>
      <c r="H82" t="s">
        <v>196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50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 t="s">
        <v>197</v>
      </c>
    </row>
    <row r="83" spans="1:25" x14ac:dyDescent="0.25">
      <c r="H83" t="s">
        <v>23</v>
      </c>
    </row>
    <row r="84" spans="1:25" x14ac:dyDescent="0.25">
      <c r="A84">
        <v>39</v>
      </c>
      <c r="B84">
        <v>5397</v>
      </c>
      <c r="C84" t="s">
        <v>198</v>
      </c>
      <c r="D84" t="s">
        <v>199</v>
      </c>
      <c r="E84" t="s">
        <v>200</v>
      </c>
      <c r="F84" t="s">
        <v>201</v>
      </c>
      <c r="G84" t="str">
        <f>"201304001675"</f>
        <v>201304001675</v>
      </c>
      <c r="H84" t="s">
        <v>202</v>
      </c>
      <c r="I84">
        <v>150</v>
      </c>
      <c r="J84">
        <v>0</v>
      </c>
      <c r="K84">
        <v>0</v>
      </c>
      <c r="L84">
        <v>260</v>
      </c>
      <c r="M84">
        <v>0</v>
      </c>
      <c r="N84">
        <v>70</v>
      </c>
      <c r="O84">
        <v>70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 t="s">
        <v>203</v>
      </c>
    </row>
    <row r="85" spans="1:25" x14ac:dyDescent="0.25">
      <c r="H85" t="s">
        <v>118</v>
      </c>
    </row>
    <row r="86" spans="1:25" x14ac:dyDescent="0.25">
      <c r="A86">
        <v>40</v>
      </c>
      <c r="B86">
        <v>583</v>
      </c>
      <c r="C86" t="s">
        <v>204</v>
      </c>
      <c r="D86" t="s">
        <v>81</v>
      </c>
      <c r="E86" t="s">
        <v>49</v>
      </c>
      <c r="F86" t="s">
        <v>205</v>
      </c>
      <c r="G86" t="str">
        <f>"201505000212"</f>
        <v>201505000212</v>
      </c>
      <c r="H86" t="s">
        <v>206</v>
      </c>
      <c r="I86">
        <v>0</v>
      </c>
      <c r="J86">
        <v>0</v>
      </c>
      <c r="K86">
        <v>200</v>
      </c>
      <c r="L86">
        <v>200</v>
      </c>
      <c r="M86">
        <v>0</v>
      </c>
      <c r="N86">
        <v>70</v>
      </c>
      <c r="O86">
        <v>0</v>
      </c>
      <c r="P86">
        <v>50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 t="s">
        <v>207</v>
      </c>
    </row>
    <row r="87" spans="1:25" x14ac:dyDescent="0.25">
      <c r="H87">
        <v>101</v>
      </c>
    </row>
    <row r="88" spans="1:25" x14ac:dyDescent="0.25">
      <c r="A88">
        <v>41</v>
      </c>
      <c r="B88">
        <v>223</v>
      </c>
      <c r="C88" t="s">
        <v>208</v>
      </c>
      <c r="D88" t="s">
        <v>209</v>
      </c>
      <c r="E88" t="s">
        <v>184</v>
      </c>
      <c r="F88" t="s">
        <v>210</v>
      </c>
      <c r="G88" t="str">
        <f>"00167647"</f>
        <v>00167647</v>
      </c>
      <c r="H88" t="s">
        <v>211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70</v>
      </c>
      <c r="P88">
        <v>70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 t="s">
        <v>212</v>
      </c>
    </row>
    <row r="89" spans="1:25" x14ac:dyDescent="0.25">
      <c r="H89" t="s">
        <v>213</v>
      </c>
    </row>
    <row r="90" spans="1:25" x14ac:dyDescent="0.25">
      <c r="A90">
        <v>42</v>
      </c>
      <c r="B90">
        <v>6394</v>
      </c>
      <c r="C90" t="s">
        <v>214</v>
      </c>
      <c r="D90" t="s">
        <v>215</v>
      </c>
      <c r="E90" t="s">
        <v>147</v>
      </c>
      <c r="F90" t="s">
        <v>216</v>
      </c>
      <c r="G90" t="str">
        <f>"00196541"</f>
        <v>00196541</v>
      </c>
      <c r="H90">
        <v>825</v>
      </c>
      <c r="I90">
        <v>150</v>
      </c>
      <c r="J90">
        <v>0</v>
      </c>
      <c r="K90">
        <v>200</v>
      </c>
      <c r="L90">
        <v>0</v>
      </c>
      <c r="M90">
        <v>100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1325</v>
      </c>
    </row>
    <row r="91" spans="1:25" x14ac:dyDescent="0.25">
      <c r="H91">
        <v>101</v>
      </c>
    </row>
    <row r="92" spans="1:25" x14ac:dyDescent="0.25">
      <c r="A92">
        <v>43</v>
      </c>
      <c r="B92">
        <v>4425</v>
      </c>
      <c r="C92" t="s">
        <v>80</v>
      </c>
      <c r="D92" t="s">
        <v>217</v>
      </c>
      <c r="E92" t="s">
        <v>81</v>
      </c>
      <c r="F92" t="s">
        <v>218</v>
      </c>
      <c r="G92" t="str">
        <f>"00188425"</f>
        <v>00188425</v>
      </c>
      <c r="H92" t="s">
        <v>219</v>
      </c>
      <c r="I92">
        <v>150</v>
      </c>
      <c r="J92">
        <v>0</v>
      </c>
      <c r="K92">
        <v>0</v>
      </c>
      <c r="L92">
        <v>200</v>
      </c>
      <c r="M92">
        <v>0</v>
      </c>
      <c r="N92">
        <v>70</v>
      </c>
      <c r="O92">
        <v>70</v>
      </c>
      <c r="P92">
        <v>0</v>
      </c>
      <c r="Q92">
        <v>70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 t="s">
        <v>220</v>
      </c>
    </row>
    <row r="93" spans="1:25" x14ac:dyDescent="0.25">
      <c r="H93">
        <v>101</v>
      </c>
    </row>
    <row r="94" spans="1:25" x14ac:dyDescent="0.25">
      <c r="A94">
        <v>44</v>
      </c>
      <c r="B94">
        <v>265</v>
      </c>
      <c r="C94" t="s">
        <v>221</v>
      </c>
      <c r="D94" t="s">
        <v>194</v>
      </c>
      <c r="E94" t="s">
        <v>93</v>
      </c>
      <c r="F94" t="s">
        <v>222</v>
      </c>
      <c r="G94" t="str">
        <f>"00117620"</f>
        <v>00117620</v>
      </c>
      <c r="H94" t="s">
        <v>223</v>
      </c>
      <c r="I94">
        <v>150</v>
      </c>
      <c r="J94">
        <v>0</v>
      </c>
      <c r="K94">
        <v>0</v>
      </c>
      <c r="L94">
        <v>200</v>
      </c>
      <c r="M94">
        <v>0</v>
      </c>
      <c r="N94">
        <v>30</v>
      </c>
      <c r="O94">
        <v>70</v>
      </c>
      <c r="P94">
        <v>0</v>
      </c>
      <c r="Q94">
        <v>30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 t="s">
        <v>224</v>
      </c>
    </row>
    <row r="95" spans="1:25" x14ac:dyDescent="0.25">
      <c r="H95">
        <v>101</v>
      </c>
    </row>
    <row r="96" spans="1:25" x14ac:dyDescent="0.25">
      <c r="A96">
        <v>45</v>
      </c>
      <c r="B96">
        <v>5311</v>
      </c>
      <c r="C96" t="s">
        <v>225</v>
      </c>
      <c r="D96" t="s">
        <v>226</v>
      </c>
      <c r="E96" t="s">
        <v>227</v>
      </c>
      <c r="F96" t="s">
        <v>228</v>
      </c>
      <c r="G96" t="str">
        <f>"00172288"</f>
        <v>00172288</v>
      </c>
      <c r="H96" t="s">
        <v>229</v>
      </c>
      <c r="I96">
        <v>150</v>
      </c>
      <c r="J96">
        <v>0</v>
      </c>
      <c r="K96">
        <v>0</v>
      </c>
      <c r="L96">
        <v>0</v>
      </c>
      <c r="M96">
        <v>100</v>
      </c>
      <c r="N96">
        <v>70</v>
      </c>
      <c r="O96">
        <v>30</v>
      </c>
      <c r="P96">
        <v>0</v>
      </c>
      <c r="Q96">
        <v>0</v>
      </c>
      <c r="R96">
        <v>0</v>
      </c>
      <c r="S96">
        <v>0</v>
      </c>
      <c r="T96">
        <v>70</v>
      </c>
      <c r="U96">
        <v>0</v>
      </c>
      <c r="V96">
        <v>0</v>
      </c>
      <c r="X96">
        <v>0</v>
      </c>
      <c r="Y96" t="s">
        <v>230</v>
      </c>
    </row>
    <row r="97" spans="1:25" x14ac:dyDescent="0.25">
      <c r="H97" t="s">
        <v>53</v>
      </c>
    </row>
    <row r="98" spans="1:25" x14ac:dyDescent="0.25">
      <c r="A98">
        <v>46</v>
      </c>
      <c r="B98">
        <v>2309</v>
      </c>
      <c r="C98" t="s">
        <v>231</v>
      </c>
      <c r="D98" t="s">
        <v>232</v>
      </c>
      <c r="E98" t="s">
        <v>49</v>
      </c>
      <c r="F98" t="s">
        <v>233</v>
      </c>
      <c r="G98" t="str">
        <f>"00093281"</f>
        <v>00093281</v>
      </c>
      <c r="H98" t="s">
        <v>234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70</v>
      </c>
      <c r="P98">
        <v>70</v>
      </c>
      <c r="Q98">
        <v>0</v>
      </c>
      <c r="R98">
        <v>0</v>
      </c>
      <c r="S98">
        <v>0</v>
      </c>
      <c r="T98">
        <v>70</v>
      </c>
      <c r="U98">
        <v>0</v>
      </c>
      <c r="V98">
        <v>0</v>
      </c>
      <c r="X98">
        <v>0</v>
      </c>
      <c r="Y98" t="s">
        <v>235</v>
      </c>
    </row>
    <row r="99" spans="1:25" x14ac:dyDescent="0.25">
      <c r="H99">
        <v>101</v>
      </c>
    </row>
    <row r="100" spans="1:25" x14ac:dyDescent="0.25">
      <c r="A100">
        <v>47</v>
      </c>
      <c r="B100">
        <v>3774</v>
      </c>
      <c r="C100" t="s">
        <v>236</v>
      </c>
      <c r="D100" t="s">
        <v>237</v>
      </c>
      <c r="E100" t="s">
        <v>21</v>
      </c>
      <c r="F100" t="s">
        <v>238</v>
      </c>
      <c r="G100" t="str">
        <f>"201304001436"</f>
        <v>201304001436</v>
      </c>
      <c r="H100" t="s">
        <v>239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70</v>
      </c>
      <c r="O100">
        <v>0</v>
      </c>
      <c r="P100">
        <v>70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 t="s">
        <v>240</v>
      </c>
    </row>
    <row r="101" spans="1:25" x14ac:dyDescent="0.25">
      <c r="H101">
        <v>101</v>
      </c>
    </row>
    <row r="102" spans="1:25" x14ac:dyDescent="0.25">
      <c r="A102">
        <v>48</v>
      </c>
      <c r="B102">
        <v>6197</v>
      </c>
      <c r="C102" t="s">
        <v>241</v>
      </c>
      <c r="D102" t="s">
        <v>242</v>
      </c>
      <c r="E102" t="s">
        <v>55</v>
      </c>
      <c r="F102" t="s">
        <v>243</v>
      </c>
      <c r="G102" t="str">
        <f>"201504003678"</f>
        <v>201504003678</v>
      </c>
      <c r="H102">
        <v>1056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30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1306</v>
      </c>
    </row>
    <row r="103" spans="1:25" x14ac:dyDescent="0.25">
      <c r="H103" t="s">
        <v>118</v>
      </c>
    </row>
    <row r="104" spans="1:25" x14ac:dyDescent="0.25">
      <c r="A104">
        <v>49</v>
      </c>
      <c r="B104">
        <v>5696</v>
      </c>
      <c r="C104" t="s">
        <v>244</v>
      </c>
      <c r="D104" t="s">
        <v>245</v>
      </c>
      <c r="E104" t="s">
        <v>49</v>
      </c>
      <c r="F104" t="s">
        <v>246</v>
      </c>
      <c r="G104" t="str">
        <f>"00012558"</f>
        <v>00012558</v>
      </c>
      <c r="H104" t="s">
        <v>247</v>
      </c>
      <c r="I104">
        <v>0</v>
      </c>
      <c r="J104">
        <v>0</v>
      </c>
      <c r="K104">
        <v>0</v>
      </c>
      <c r="L104">
        <v>260</v>
      </c>
      <c r="M104">
        <v>0</v>
      </c>
      <c r="N104">
        <v>70</v>
      </c>
      <c r="O104">
        <v>0</v>
      </c>
      <c r="P104">
        <v>50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 t="s">
        <v>248</v>
      </c>
    </row>
    <row r="105" spans="1:25" x14ac:dyDescent="0.25">
      <c r="H105" t="s">
        <v>23</v>
      </c>
    </row>
    <row r="106" spans="1:25" x14ac:dyDescent="0.25">
      <c r="A106">
        <v>50</v>
      </c>
      <c r="B106">
        <v>1371</v>
      </c>
      <c r="C106" t="s">
        <v>249</v>
      </c>
      <c r="D106" t="s">
        <v>20</v>
      </c>
      <c r="E106" t="s">
        <v>99</v>
      </c>
      <c r="F106" t="s">
        <v>250</v>
      </c>
      <c r="G106" t="str">
        <f>"201304003599"</f>
        <v>201304003599</v>
      </c>
      <c r="H106">
        <v>726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50</v>
      </c>
      <c r="Q106">
        <v>0</v>
      </c>
      <c r="R106">
        <v>30</v>
      </c>
      <c r="S106">
        <v>0</v>
      </c>
      <c r="T106">
        <v>70</v>
      </c>
      <c r="U106">
        <v>0</v>
      </c>
      <c r="V106">
        <v>0</v>
      </c>
      <c r="X106">
        <v>0</v>
      </c>
      <c r="Y106">
        <v>1296</v>
      </c>
    </row>
    <row r="107" spans="1:25" x14ac:dyDescent="0.25">
      <c r="H107" t="s">
        <v>91</v>
      </c>
    </row>
    <row r="108" spans="1:25" x14ac:dyDescent="0.25">
      <c r="A108">
        <v>51</v>
      </c>
      <c r="B108">
        <v>5722</v>
      </c>
      <c r="C108" t="s">
        <v>251</v>
      </c>
      <c r="D108" t="s">
        <v>209</v>
      </c>
      <c r="E108" t="s">
        <v>252</v>
      </c>
      <c r="F108" t="s">
        <v>253</v>
      </c>
      <c r="G108" t="str">
        <f>"200911000281"</f>
        <v>200911000281</v>
      </c>
      <c r="H108" t="s">
        <v>254</v>
      </c>
      <c r="I108">
        <v>150</v>
      </c>
      <c r="J108">
        <v>0</v>
      </c>
      <c r="K108">
        <v>0</v>
      </c>
      <c r="L108">
        <v>200</v>
      </c>
      <c r="M108">
        <v>30</v>
      </c>
      <c r="N108">
        <v>70</v>
      </c>
      <c r="O108">
        <v>0</v>
      </c>
      <c r="P108">
        <v>0</v>
      </c>
      <c r="Q108">
        <v>70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2</v>
      </c>
      <c r="Y108" t="s">
        <v>255</v>
      </c>
    </row>
    <row r="109" spans="1:25" x14ac:dyDescent="0.25">
      <c r="H109" t="s">
        <v>256</v>
      </c>
    </row>
    <row r="110" spans="1:25" x14ac:dyDescent="0.25">
      <c r="A110">
        <v>52</v>
      </c>
      <c r="B110">
        <v>4411</v>
      </c>
      <c r="C110" t="s">
        <v>257</v>
      </c>
      <c r="D110" t="s">
        <v>81</v>
      </c>
      <c r="E110" t="s">
        <v>87</v>
      </c>
      <c r="F110" t="s">
        <v>258</v>
      </c>
      <c r="G110" t="str">
        <f>"00208575"</f>
        <v>00208575</v>
      </c>
      <c r="H110" t="s">
        <v>259</v>
      </c>
      <c r="I110">
        <v>0</v>
      </c>
      <c r="J110">
        <v>0</v>
      </c>
      <c r="K110">
        <v>0</v>
      </c>
      <c r="L110">
        <v>260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 t="s">
        <v>260</v>
      </c>
    </row>
    <row r="111" spans="1:25" x14ac:dyDescent="0.25">
      <c r="H111" t="s">
        <v>34</v>
      </c>
    </row>
    <row r="112" spans="1:25" x14ac:dyDescent="0.25">
      <c r="A112">
        <v>53</v>
      </c>
      <c r="B112">
        <v>5794</v>
      </c>
      <c r="C112" t="s">
        <v>261</v>
      </c>
      <c r="D112" t="s">
        <v>209</v>
      </c>
      <c r="E112" t="s">
        <v>99</v>
      </c>
      <c r="F112" t="s">
        <v>262</v>
      </c>
      <c r="G112" t="str">
        <f>"201402009177"</f>
        <v>201402009177</v>
      </c>
      <c r="H112" t="s">
        <v>263</v>
      </c>
      <c r="I112">
        <v>150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70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 t="s">
        <v>264</v>
      </c>
    </row>
    <row r="113" spans="1:25" x14ac:dyDescent="0.25">
      <c r="H113" t="s">
        <v>34</v>
      </c>
    </row>
    <row r="114" spans="1:25" x14ac:dyDescent="0.25">
      <c r="A114">
        <v>54</v>
      </c>
      <c r="B114">
        <v>2943</v>
      </c>
      <c r="C114" t="s">
        <v>265</v>
      </c>
      <c r="D114" t="s">
        <v>266</v>
      </c>
      <c r="E114" t="s">
        <v>21</v>
      </c>
      <c r="F114" t="s">
        <v>267</v>
      </c>
      <c r="G114" t="str">
        <f>"201406009138"</f>
        <v>201406009138</v>
      </c>
      <c r="H114">
        <v>946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70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1286</v>
      </c>
    </row>
    <row r="115" spans="1:25" x14ac:dyDescent="0.25">
      <c r="H115" t="s">
        <v>23</v>
      </c>
    </row>
    <row r="116" spans="1:25" x14ac:dyDescent="0.25">
      <c r="A116">
        <v>55</v>
      </c>
      <c r="B116">
        <v>5319</v>
      </c>
      <c r="C116" t="s">
        <v>268</v>
      </c>
      <c r="D116" t="s">
        <v>269</v>
      </c>
      <c r="E116" t="s">
        <v>43</v>
      </c>
      <c r="F116" t="s">
        <v>270</v>
      </c>
      <c r="G116" t="str">
        <f>"00014665"</f>
        <v>00014665</v>
      </c>
      <c r="H116" t="s">
        <v>271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70</v>
      </c>
      <c r="P116">
        <v>70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 t="s">
        <v>272</v>
      </c>
    </row>
    <row r="117" spans="1:25" x14ac:dyDescent="0.25">
      <c r="H117" t="s">
        <v>34</v>
      </c>
    </row>
    <row r="118" spans="1:25" x14ac:dyDescent="0.25">
      <c r="A118">
        <v>56</v>
      </c>
      <c r="B118">
        <v>5390</v>
      </c>
      <c r="C118" t="s">
        <v>273</v>
      </c>
      <c r="D118" t="s">
        <v>25</v>
      </c>
      <c r="E118" t="s">
        <v>21</v>
      </c>
      <c r="F118" t="s">
        <v>274</v>
      </c>
      <c r="G118" t="str">
        <f>"00187387"</f>
        <v>00187387</v>
      </c>
      <c r="H118" t="s">
        <v>191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70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 t="s">
        <v>275</v>
      </c>
    </row>
    <row r="119" spans="1:25" x14ac:dyDescent="0.25">
      <c r="H119" t="s">
        <v>23</v>
      </c>
    </row>
    <row r="120" spans="1:25" x14ac:dyDescent="0.25">
      <c r="A120">
        <v>57</v>
      </c>
      <c r="B120">
        <v>2645</v>
      </c>
      <c r="C120" t="s">
        <v>276</v>
      </c>
      <c r="D120" t="s">
        <v>49</v>
      </c>
      <c r="E120" t="s">
        <v>55</v>
      </c>
      <c r="F120" t="s">
        <v>277</v>
      </c>
      <c r="G120" t="str">
        <f>"201506003233"</f>
        <v>201506003233</v>
      </c>
      <c r="H120">
        <v>759</v>
      </c>
      <c r="I120">
        <v>150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50</v>
      </c>
      <c r="Q120">
        <v>50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1279</v>
      </c>
    </row>
    <row r="121" spans="1:25" x14ac:dyDescent="0.25">
      <c r="H121" t="s">
        <v>23</v>
      </c>
    </row>
    <row r="122" spans="1:25" x14ac:dyDescent="0.25">
      <c r="A122">
        <v>58</v>
      </c>
      <c r="B122">
        <v>5224</v>
      </c>
      <c r="C122" t="s">
        <v>278</v>
      </c>
      <c r="D122" t="s">
        <v>21</v>
      </c>
      <c r="E122" t="s">
        <v>81</v>
      </c>
      <c r="F122" t="s">
        <v>279</v>
      </c>
      <c r="G122" t="str">
        <f>"00014075"</f>
        <v>00014075</v>
      </c>
      <c r="H122" t="s">
        <v>280</v>
      </c>
      <c r="I122">
        <v>0</v>
      </c>
      <c r="J122">
        <v>0</v>
      </c>
      <c r="K122">
        <v>0</v>
      </c>
      <c r="L122">
        <v>260</v>
      </c>
      <c r="M122">
        <v>0</v>
      </c>
      <c r="N122">
        <v>70</v>
      </c>
      <c r="O122">
        <v>70</v>
      </c>
      <c r="P122">
        <v>30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 t="s">
        <v>281</v>
      </c>
    </row>
    <row r="123" spans="1:25" x14ac:dyDescent="0.25">
      <c r="H123" t="s">
        <v>34</v>
      </c>
    </row>
    <row r="124" spans="1:25" x14ac:dyDescent="0.25">
      <c r="A124">
        <v>59</v>
      </c>
      <c r="B124">
        <v>5169</v>
      </c>
      <c r="C124" t="s">
        <v>282</v>
      </c>
      <c r="D124" t="s">
        <v>113</v>
      </c>
      <c r="E124" t="s">
        <v>283</v>
      </c>
      <c r="F124" t="s">
        <v>284</v>
      </c>
      <c r="G124" t="str">
        <f>"00202214"</f>
        <v>00202214</v>
      </c>
      <c r="H124" t="s">
        <v>285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50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2</v>
      </c>
      <c r="Y124" t="s">
        <v>286</v>
      </c>
    </row>
    <row r="125" spans="1:25" x14ac:dyDescent="0.25">
      <c r="H125" t="s">
        <v>34</v>
      </c>
    </row>
    <row r="126" spans="1:25" x14ac:dyDescent="0.25">
      <c r="A126">
        <v>60</v>
      </c>
      <c r="B126">
        <v>2241</v>
      </c>
      <c r="C126" t="s">
        <v>287</v>
      </c>
      <c r="D126" t="s">
        <v>25</v>
      </c>
      <c r="E126" t="s">
        <v>21</v>
      </c>
      <c r="F126" t="s">
        <v>288</v>
      </c>
      <c r="G126" t="str">
        <f>"201505000525"</f>
        <v>201505000525</v>
      </c>
      <c r="H126" t="s">
        <v>289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70</v>
      </c>
      <c r="O126">
        <v>70</v>
      </c>
      <c r="P126">
        <v>50</v>
      </c>
      <c r="Q126">
        <v>0</v>
      </c>
      <c r="R126">
        <v>30</v>
      </c>
      <c r="S126">
        <v>0</v>
      </c>
      <c r="T126">
        <v>0</v>
      </c>
      <c r="U126">
        <v>0</v>
      </c>
      <c r="V126">
        <v>0</v>
      </c>
      <c r="X126">
        <v>0</v>
      </c>
      <c r="Y126" t="s">
        <v>290</v>
      </c>
    </row>
    <row r="127" spans="1:25" x14ac:dyDescent="0.25">
      <c r="H127" t="s">
        <v>34</v>
      </c>
    </row>
    <row r="128" spans="1:25" x14ac:dyDescent="0.25">
      <c r="A128">
        <v>61</v>
      </c>
      <c r="B128">
        <v>6387</v>
      </c>
      <c r="C128" t="s">
        <v>29</v>
      </c>
      <c r="D128" t="s">
        <v>25</v>
      </c>
      <c r="E128" t="s">
        <v>291</v>
      </c>
      <c r="F128" t="s">
        <v>292</v>
      </c>
      <c r="G128" t="str">
        <f>"00209061"</f>
        <v>00209061</v>
      </c>
      <c r="H128">
        <v>913</v>
      </c>
      <c r="I128">
        <v>150</v>
      </c>
      <c r="J128">
        <v>0</v>
      </c>
      <c r="K128">
        <v>0</v>
      </c>
      <c r="L128">
        <v>0</v>
      </c>
      <c r="M128">
        <v>100</v>
      </c>
      <c r="N128">
        <v>70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1263</v>
      </c>
    </row>
    <row r="129" spans="1:25" x14ac:dyDescent="0.25">
      <c r="H129" t="s">
        <v>23</v>
      </c>
    </row>
    <row r="130" spans="1:25" x14ac:dyDescent="0.25">
      <c r="A130">
        <v>62</v>
      </c>
      <c r="B130">
        <v>961</v>
      </c>
      <c r="C130" t="s">
        <v>293</v>
      </c>
      <c r="D130" t="s">
        <v>48</v>
      </c>
      <c r="E130" t="s">
        <v>294</v>
      </c>
      <c r="F130" t="s">
        <v>295</v>
      </c>
      <c r="G130" t="str">
        <f>"00197900"</f>
        <v>00197900</v>
      </c>
      <c r="H130" t="s">
        <v>296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50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1</v>
      </c>
      <c r="Y130" t="s">
        <v>297</v>
      </c>
    </row>
    <row r="131" spans="1:25" x14ac:dyDescent="0.25">
      <c r="H131" t="s">
        <v>34</v>
      </c>
    </row>
    <row r="132" spans="1:25" x14ac:dyDescent="0.25">
      <c r="A132">
        <v>63</v>
      </c>
      <c r="B132">
        <v>5205</v>
      </c>
      <c r="C132" t="s">
        <v>298</v>
      </c>
      <c r="D132" t="s">
        <v>25</v>
      </c>
      <c r="E132" t="s">
        <v>87</v>
      </c>
      <c r="F132" t="s">
        <v>299</v>
      </c>
      <c r="G132" t="str">
        <f>"201511030729"</f>
        <v>201511030729</v>
      </c>
      <c r="H132" t="s">
        <v>300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70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 t="s">
        <v>301</v>
      </c>
    </row>
    <row r="133" spans="1:25" x14ac:dyDescent="0.25">
      <c r="H133" t="s">
        <v>118</v>
      </c>
    </row>
    <row r="134" spans="1:25" x14ac:dyDescent="0.25">
      <c r="A134">
        <v>64</v>
      </c>
      <c r="B134">
        <v>3546</v>
      </c>
      <c r="C134" t="s">
        <v>302</v>
      </c>
      <c r="D134" t="s">
        <v>147</v>
      </c>
      <c r="E134" t="s">
        <v>303</v>
      </c>
      <c r="F134" t="s">
        <v>304</v>
      </c>
      <c r="G134" t="str">
        <f>"201304002529"</f>
        <v>201304002529</v>
      </c>
      <c r="H134" t="s">
        <v>202</v>
      </c>
      <c r="I134">
        <v>0</v>
      </c>
      <c r="J134">
        <v>0</v>
      </c>
      <c r="K134">
        <v>200</v>
      </c>
      <c r="L134">
        <v>0</v>
      </c>
      <c r="M134">
        <v>130</v>
      </c>
      <c r="N134">
        <v>70</v>
      </c>
      <c r="O134">
        <v>50</v>
      </c>
      <c r="P134">
        <v>30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 t="s">
        <v>305</v>
      </c>
    </row>
    <row r="135" spans="1:25" x14ac:dyDescent="0.25">
      <c r="H135" t="s">
        <v>53</v>
      </c>
    </row>
    <row r="136" spans="1:25" x14ac:dyDescent="0.25">
      <c r="A136">
        <v>65</v>
      </c>
      <c r="B136">
        <v>783</v>
      </c>
      <c r="C136" t="s">
        <v>306</v>
      </c>
      <c r="D136" t="s">
        <v>307</v>
      </c>
      <c r="E136" t="s">
        <v>49</v>
      </c>
      <c r="F136" t="s">
        <v>308</v>
      </c>
      <c r="G136" t="str">
        <f>"201406001808"</f>
        <v>201406001808</v>
      </c>
      <c r="H136" t="s">
        <v>309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50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2</v>
      </c>
      <c r="Y136" t="s">
        <v>310</v>
      </c>
    </row>
    <row r="137" spans="1:25" x14ac:dyDescent="0.25">
      <c r="H137" t="s">
        <v>23</v>
      </c>
    </row>
    <row r="138" spans="1:25" x14ac:dyDescent="0.25">
      <c r="A138">
        <v>66</v>
      </c>
      <c r="B138">
        <v>5330</v>
      </c>
      <c r="C138" t="s">
        <v>311</v>
      </c>
      <c r="D138" t="s">
        <v>99</v>
      </c>
      <c r="E138" t="s">
        <v>21</v>
      </c>
      <c r="F138" t="s">
        <v>312</v>
      </c>
      <c r="G138" t="str">
        <f>"201406014755"</f>
        <v>201406014755</v>
      </c>
      <c r="H138" t="s">
        <v>206</v>
      </c>
      <c r="I138">
        <v>150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30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 t="s">
        <v>313</v>
      </c>
    </row>
    <row r="139" spans="1:25" x14ac:dyDescent="0.25">
      <c r="H139" t="s">
        <v>23</v>
      </c>
    </row>
    <row r="140" spans="1:25" x14ac:dyDescent="0.25">
      <c r="A140">
        <v>67</v>
      </c>
      <c r="B140">
        <v>1509</v>
      </c>
      <c r="C140" t="s">
        <v>314</v>
      </c>
      <c r="D140" t="s">
        <v>55</v>
      </c>
      <c r="E140" t="s">
        <v>21</v>
      </c>
      <c r="F140" t="s">
        <v>315</v>
      </c>
      <c r="G140" t="str">
        <f>"201304006143"</f>
        <v>201304006143</v>
      </c>
      <c r="H140" t="s">
        <v>316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50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 t="s">
        <v>317</v>
      </c>
    </row>
    <row r="141" spans="1:25" x14ac:dyDescent="0.25">
      <c r="H141" t="s">
        <v>23</v>
      </c>
    </row>
    <row r="142" spans="1:25" x14ac:dyDescent="0.25">
      <c r="A142">
        <v>68</v>
      </c>
      <c r="B142">
        <v>3889</v>
      </c>
      <c r="C142" t="s">
        <v>318</v>
      </c>
      <c r="D142" t="s">
        <v>237</v>
      </c>
      <c r="E142" t="s">
        <v>319</v>
      </c>
      <c r="F142" t="s">
        <v>320</v>
      </c>
      <c r="G142" t="str">
        <f>"00013218"</f>
        <v>00013218</v>
      </c>
      <c r="H142">
        <v>869</v>
      </c>
      <c r="I142">
        <v>150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1249</v>
      </c>
    </row>
    <row r="143" spans="1:25" x14ac:dyDescent="0.25">
      <c r="H143" t="s">
        <v>23</v>
      </c>
    </row>
    <row r="144" spans="1:25" x14ac:dyDescent="0.25">
      <c r="A144">
        <v>69</v>
      </c>
      <c r="B144">
        <v>3619</v>
      </c>
      <c r="C144" t="s">
        <v>321</v>
      </c>
      <c r="D144" t="s">
        <v>322</v>
      </c>
      <c r="E144" t="s">
        <v>21</v>
      </c>
      <c r="F144" t="s">
        <v>323</v>
      </c>
      <c r="G144" t="str">
        <f>"201406015656"</f>
        <v>201406015656</v>
      </c>
      <c r="H144" t="s">
        <v>324</v>
      </c>
      <c r="I144">
        <v>0</v>
      </c>
      <c r="J144">
        <v>0</v>
      </c>
      <c r="K144">
        <v>0</v>
      </c>
      <c r="L144">
        <v>260</v>
      </c>
      <c r="M144">
        <v>0</v>
      </c>
      <c r="N144">
        <v>70</v>
      </c>
      <c r="O144">
        <v>0</v>
      </c>
      <c r="P144">
        <v>50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 t="s">
        <v>325</v>
      </c>
    </row>
    <row r="145" spans="1:25" x14ac:dyDescent="0.25">
      <c r="H145" t="s">
        <v>34</v>
      </c>
    </row>
    <row r="146" spans="1:25" x14ac:dyDescent="0.25">
      <c r="A146">
        <v>70</v>
      </c>
      <c r="B146">
        <v>1993</v>
      </c>
      <c r="C146" t="s">
        <v>326</v>
      </c>
      <c r="D146" t="s">
        <v>327</v>
      </c>
      <c r="E146" t="s">
        <v>87</v>
      </c>
      <c r="F146" t="s">
        <v>328</v>
      </c>
      <c r="G146" t="str">
        <f>"00163490"</f>
        <v>00163490</v>
      </c>
      <c r="H146">
        <v>825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70</v>
      </c>
      <c r="P146">
        <v>0</v>
      </c>
      <c r="Q146">
        <v>30</v>
      </c>
      <c r="R146">
        <v>0</v>
      </c>
      <c r="S146">
        <v>0</v>
      </c>
      <c r="T146">
        <v>50</v>
      </c>
      <c r="U146">
        <v>0</v>
      </c>
      <c r="V146">
        <v>0</v>
      </c>
      <c r="X146">
        <v>0</v>
      </c>
      <c r="Y146">
        <v>1245</v>
      </c>
    </row>
    <row r="147" spans="1:25" x14ac:dyDescent="0.25">
      <c r="H147" t="s">
        <v>53</v>
      </c>
    </row>
    <row r="148" spans="1:25" x14ac:dyDescent="0.25">
      <c r="A148">
        <v>71</v>
      </c>
      <c r="B148">
        <v>2047</v>
      </c>
      <c r="C148" t="s">
        <v>329</v>
      </c>
      <c r="D148" t="s">
        <v>49</v>
      </c>
      <c r="E148" t="s">
        <v>200</v>
      </c>
      <c r="F148" t="s">
        <v>330</v>
      </c>
      <c r="G148" t="str">
        <f>"00173665"</f>
        <v>00173665</v>
      </c>
      <c r="H148" t="s">
        <v>331</v>
      </c>
      <c r="I148">
        <v>150</v>
      </c>
      <c r="J148">
        <v>0</v>
      </c>
      <c r="K148">
        <v>0</v>
      </c>
      <c r="L148">
        <v>260</v>
      </c>
      <c r="M148">
        <v>0</v>
      </c>
      <c r="N148">
        <v>70</v>
      </c>
      <c r="O148">
        <v>0</v>
      </c>
      <c r="P148">
        <v>70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 t="s">
        <v>332</v>
      </c>
    </row>
    <row r="149" spans="1:25" x14ac:dyDescent="0.25">
      <c r="H149" t="s">
        <v>34</v>
      </c>
    </row>
    <row r="150" spans="1:25" x14ac:dyDescent="0.25">
      <c r="A150">
        <v>72</v>
      </c>
      <c r="B150">
        <v>5344</v>
      </c>
      <c r="C150" t="s">
        <v>333</v>
      </c>
      <c r="D150" t="s">
        <v>113</v>
      </c>
      <c r="E150" t="s">
        <v>334</v>
      </c>
      <c r="F150" t="s">
        <v>335</v>
      </c>
      <c r="G150" t="str">
        <f>"00095334"</f>
        <v>00095334</v>
      </c>
      <c r="H150">
        <v>990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70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1240</v>
      </c>
    </row>
    <row r="151" spans="1:25" x14ac:dyDescent="0.25">
      <c r="H151">
        <v>101</v>
      </c>
    </row>
    <row r="152" spans="1:25" x14ac:dyDescent="0.25">
      <c r="A152">
        <v>73</v>
      </c>
      <c r="B152">
        <v>2688</v>
      </c>
      <c r="C152" t="s">
        <v>336</v>
      </c>
      <c r="D152" t="s">
        <v>337</v>
      </c>
      <c r="E152" t="s">
        <v>49</v>
      </c>
      <c r="F152" t="s">
        <v>338</v>
      </c>
      <c r="G152" t="str">
        <f>"201406012901"</f>
        <v>201406012901</v>
      </c>
      <c r="H152" t="s">
        <v>300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50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 t="s">
        <v>339</v>
      </c>
    </row>
    <row r="153" spans="1:25" x14ac:dyDescent="0.25">
      <c r="H153">
        <v>101</v>
      </c>
    </row>
    <row r="154" spans="1:25" x14ac:dyDescent="0.25">
      <c r="A154">
        <v>74</v>
      </c>
      <c r="B154">
        <v>5273</v>
      </c>
      <c r="C154" t="s">
        <v>340</v>
      </c>
      <c r="D154" t="s">
        <v>341</v>
      </c>
      <c r="E154" t="s">
        <v>147</v>
      </c>
      <c r="F154" t="s">
        <v>342</v>
      </c>
      <c r="G154" t="str">
        <f>"201406014054"</f>
        <v>201406014054</v>
      </c>
      <c r="H154" t="s">
        <v>343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70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 t="s">
        <v>344</v>
      </c>
    </row>
    <row r="155" spans="1:25" x14ac:dyDescent="0.25">
      <c r="H155" t="s">
        <v>118</v>
      </c>
    </row>
    <row r="156" spans="1:25" x14ac:dyDescent="0.25">
      <c r="A156">
        <v>75</v>
      </c>
      <c r="B156">
        <v>63</v>
      </c>
      <c r="C156" t="s">
        <v>345</v>
      </c>
      <c r="D156" t="s">
        <v>346</v>
      </c>
      <c r="E156" t="s">
        <v>43</v>
      </c>
      <c r="F156" t="s">
        <v>347</v>
      </c>
      <c r="G156" t="str">
        <f>"00014414"</f>
        <v>00014414</v>
      </c>
      <c r="H156" t="s">
        <v>280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70</v>
      </c>
      <c r="P156">
        <v>50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 t="s">
        <v>348</v>
      </c>
    </row>
    <row r="157" spans="1:25" x14ac:dyDescent="0.25">
      <c r="H157" t="s">
        <v>23</v>
      </c>
    </row>
    <row r="158" spans="1:25" x14ac:dyDescent="0.25">
      <c r="A158">
        <v>76</v>
      </c>
      <c r="B158">
        <v>6275</v>
      </c>
      <c r="C158" t="s">
        <v>349</v>
      </c>
      <c r="D158" t="s">
        <v>350</v>
      </c>
      <c r="E158" t="s">
        <v>71</v>
      </c>
      <c r="F158" t="s">
        <v>351</v>
      </c>
      <c r="G158" t="str">
        <f>"00197209"</f>
        <v>00197209</v>
      </c>
      <c r="H158" t="s">
        <v>352</v>
      </c>
      <c r="I158">
        <v>150</v>
      </c>
      <c r="J158">
        <v>0</v>
      </c>
      <c r="K158">
        <v>0</v>
      </c>
      <c r="L158">
        <v>0</v>
      </c>
      <c r="M158">
        <v>100</v>
      </c>
      <c r="N158">
        <v>70</v>
      </c>
      <c r="O158">
        <v>0</v>
      </c>
      <c r="P158">
        <v>30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 t="s">
        <v>353</v>
      </c>
    </row>
    <row r="159" spans="1:25" x14ac:dyDescent="0.25">
      <c r="H159" t="s">
        <v>34</v>
      </c>
    </row>
    <row r="160" spans="1:25" x14ac:dyDescent="0.25">
      <c r="A160">
        <v>77</v>
      </c>
      <c r="B160">
        <v>2944</v>
      </c>
      <c r="C160" t="s">
        <v>354</v>
      </c>
      <c r="D160" t="s">
        <v>355</v>
      </c>
      <c r="E160" t="s">
        <v>147</v>
      </c>
      <c r="F160" t="s">
        <v>356</v>
      </c>
      <c r="G160" t="str">
        <f>"00012441"</f>
        <v>00012441</v>
      </c>
      <c r="H160" t="s">
        <v>357</v>
      </c>
      <c r="I160">
        <v>0</v>
      </c>
      <c r="J160">
        <v>0</v>
      </c>
      <c r="K160">
        <v>0</v>
      </c>
      <c r="L160">
        <v>260</v>
      </c>
      <c r="M160">
        <v>0</v>
      </c>
      <c r="N160">
        <v>70</v>
      </c>
      <c r="O160">
        <v>70</v>
      </c>
      <c r="P160">
        <v>50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 t="s">
        <v>358</v>
      </c>
    </row>
    <row r="161" spans="1:25" x14ac:dyDescent="0.25">
      <c r="H161" t="s">
        <v>34</v>
      </c>
    </row>
    <row r="162" spans="1:25" x14ac:dyDescent="0.25">
      <c r="A162">
        <v>78</v>
      </c>
      <c r="B162">
        <v>1893</v>
      </c>
      <c r="C162" t="s">
        <v>359</v>
      </c>
      <c r="D162" t="s">
        <v>99</v>
      </c>
      <c r="E162" t="s">
        <v>55</v>
      </c>
      <c r="F162" t="s">
        <v>360</v>
      </c>
      <c r="G162" t="str">
        <f>"00011554"</f>
        <v>00011554</v>
      </c>
      <c r="H162" t="s">
        <v>357</v>
      </c>
      <c r="I162">
        <v>0</v>
      </c>
      <c r="J162">
        <v>0</v>
      </c>
      <c r="K162">
        <v>0</v>
      </c>
      <c r="L162">
        <v>260</v>
      </c>
      <c r="M162">
        <v>0</v>
      </c>
      <c r="N162">
        <v>70</v>
      </c>
      <c r="O162">
        <v>70</v>
      </c>
      <c r="P162">
        <v>0</v>
      </c>
      <c r="Q162">
        <v>50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 t="s">
        <v>358</v>
      </c>
    </row>
    <row r="163" spans="1:25" x14ac:dyDescent="0.25">
      <c r="H163" t="s">
        <v>23</v>
      </c>
    </row>
    <row r="164" spans="1:25" x14ac:dyDescent="0.25">
      <c r="A164">
        <v>79</v>
      </c>
      <c r="B164">
        <v>5382</v>
      </c>
      <c r="C164" t="s">
        <v>361</v>
      </c>
      <c r="D164" t="s">
        <v>362</v>
      </c>
      <c r="E164" t="s">
        <v>114</v>
      </c>
      <c r="F164" t="s">
        <v>363</v>
      </c>
      <c r="G164" t="str">
        <f>"201406010189"</f>
        <v>201406010189</v>
      </c>
      <c r="H164" t="s">
        <v>364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70</v>
      </c>
      <c r="O164">
        <v>0</v>
      </c>
      <c r="P164">
        <v>50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 t="s">
        <v>365</v>
      </c>
    </row>
    <row r="165" spans="1:25" x14ac:dyDescent="0.25">
      <c r="H165" t="s">
        <v>366</v>
      </c>
    </row>
    <row r="166" spans="1:25" x14ac:dyDescent="0.25">
      <c r="A166">
        <v>80</v>
      </c>
      <c r="B166">
        <v>4690</v>
      </c>
      <c r="C166" t="s">
        <v>367</v>
      </c>
      <c r="D166" t="s">
        <v>368</v>
      </c>
      <c r="E166" t="s">
        <v>49</v>
      </c>
      <c r="F166" t="s">
        <v>369</v>
      </c>
      <c r="G166" t="str">
        <f>"00208972"</f>
        <v>00208972</v>
      </c>
      <c r="H166" t="s">
        <v>370</v>
      </c>
      <c r="I166">
        <v>150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30</v>
      </c>
      <c r="S166">
        <v>0</v>
      </c>
      <c r="T166">
        <v>0</v>
      </c>
      <c r="U166">
        <v>0</v>
      </c>
      <c r="V166">
        <v>0</v>
      </c>
      <c r="X166">
        <v>0</v>
      </c>
      <c r="Y166" t="s">
        <v>371</v>
      </c>
    </row>
    <row r="167" spans="1:25" x14ac:dyDescent="0.25">
      <c r="H167" t="s">
        <v>91</v>
      </c>
    </row>
    <row r="168" spans="1:25" x14ac:dyDescent="0.25">
      <c r="A168">
        <v>81</v>
      </c>
      <c r="B168">
        <v>2754</v>
      </c>
      <c r="C168" t="s">
        <v>372</v>
      </c>
      <c r="D168" t="s">
        <v>25</v>
      </c>
      <c r="E168" t="s">
        <v>55</v>
      </c>
      <c r="F168" t="s">
        <v>373</v>
      </c>
      <c r="G168" t="str">
        <f>"00200437"</f>
        <v>00200437</v>
      </c>
      <c r="H168" t="s">
        <v>374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70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 t="s">
        <v>375</v>
      </c>
    </row>
    <row r="169" spans="1:25" x14ac:dyDescent="0.25">
      <c r="H169" t="s">
        <v>34</v>
      </c>
    </row>
    <row r="170" spans="1:25" x14ac:dyDescent="0.25">
      <c r="A170">
        <v>82</v>
      </c>
      <c r="B170">
        <v>5189</v>
      </c>
      <c r="C170" t="s">
        <v>376</v>
      </c>
      <c r="D170" t="s">
        <v>25</v>
      </c>
      <c r="E170" t="s">
        <v>377</v>
      </c>
      <c r="F170" t="s">
        <v>378</v>
      </c>
      <c r="G170" t="str">
        <f>"201406016433"</f>
        <v>201406016433</v>
      </c>
      <c r="H170" t="s">
        <v>379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70</v>
      </c>
      <c r="P170">
        <v>70</v>
      </c>
      <c r="Q170">
        <v>0</v>
      </c>
      <c r="R170">
        <v>30</v>
      </c>
      <c r="S170">
        <v>0</v>
      </c>
      <c r="T170">
        <v>0</v>
      </c>
      <c r="U170">
        <v>0</v>
      </c>
      <c r="V170">
        <v>0</v>
      </c>
      <c r="X170">
        <v>0</v>
      </c>
      <c r="Y170" t="s">
        <v>380</v>
      </c>
    </row>
    <row r="171" spans="1:25" x14ac:dyDescent="0.25">
      <c r="H171" t="s">
        <v>118</v>
      </c>
    </row>
    <row r="172" spans="1:25" x14ac:dyDescent="0.25">
      <c r="A172">
        <v>83</v>
      </c>
      <c r="B172">
        <v>5364</v>
      </c>
      <c r="C172" t="s">
        <v>381</v>
      </c>
      <c r="D172" t="s">
        <v>382</v>
      </c>
      <c r="E172" t="s">
        <v>383</v>
      </c>
      <c r="F172" t="s">
        <v>384</v>
      </c>
      <c r="G172" t="str">
        <f>"201506001384"</f>
        <v>201506001384</v>
      </c>
      <c r="H172" t="s">
        <v>385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50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 t="s">
        <v>386</v>
      </c>
    </row>
    <row r="173" spans="1:25" x14ac:dyDescent="0.25">
      <c r="H173" t="s">
        <v>34</v>
      </c>
    </row>
    <row r="174" spans="1:25" x14ac:dyDescent="0.25">
      <c r="A174">
        <v>84</v>
      </c>
      <c r="B174">
        <v>578</v>
      </c>
      <c r="C174" t="s">
        <v>387</v>
      </c>
      <c r="D174" t="s">
        <v>43</v>
      </c>
      <c r="E174" t="s">
        <v>388</v>
      </c>
      <c r="F174" t="s">
        <v>389</v>
      </c>
      <c r="G174" t="str">
        <f>"201304002176"</f>
        <v>201304002176</v>
      </c>
      <c r="H174" t="s">
        <v>390</v>
      </c>
      <c r="I174">
        <v>150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70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 t="s">
        <v>391</v>
      </c>
    </row>
    <row r="175" spans="1:25" x14ac:dyDescent="0.25">
      <c r="H175" t="s">
        <v>53</v>
      </c>
    </row>
    <row r="176" spans="1:25" x14ac:dyDescent="0.25">
      <c r="A176">
        <v>85</v>
      </c>
      <c r="B176">
        <v>436</v>
      </c>
      <c r="C176" t="s">
        <v>392</v>
      </c>
      <c r="D176" t="s">
        <v>393</v>
      </c>
      <c r="E176" t="s">
        <v>55</v>
      </c>
      <c r="F176" t="s">
        <v>394</v>
      </c>
      <c r="G176" t="str">
        <f>"201406002926"</f>
        <v>201406002926</v>
      </c>
      <c r="H176" t="s">
        <v>395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70</v>
      </c>
      <c r="P176">
        <v>70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 t="s">
        <v>396</v>
      </c>
    </row>
    <row r="177" spans="1:25" x14ac:dyDescent="0.25">
      <c r="H177">
        <v>101</v>
      </c>
    </row>
    <row r="178" spans="1:25" x14ac:dyDescent="0.25">
      <c r="A178">
        <v>86</v>
      </c>
      <c r="B178">
        <v>5265</v>
      </c>
      <c r="C178" t="s">
        <v>397</v>
      </c>
      <c r="D178" t="s">
        <v>346</v>
      </c>
      <c r="E178" t="s">
        <v>398</v>
      </c>
      <c r="F178" t="s">
        <v>399</v>
      </c>
      <c r="G178" t="str">
        <f>"201506002986"</f>
        <v>201506002986</v>
      </c>
      <c r="H178" t="s">
        <v>289</v>
      </c>
      <c r="I178">
        <v>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0</v>
      </c>
      <c r="P178">
        <v>70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 t="s">
        <v>400</v>
      </c>
    </row>
    <row r="179" spans="1:25" x14ac:dyDescent="0.25">
      <c r="H179" t="s">
        <v>23</v>
      </c>
    </row>
    <row r="180" spans="1:25" x14ac:dyDescent="0.25">
      <c r="A180">
        <v>87</v>
      </c>
      <c r="B180">
        <v>3262</v>
      </c>
      <c r="C180" t="s">
        <v>401</v>
      </c>
      <c r="D180" t="s">
        <v>402</v>
      </c>
      <c r="E180" t="s">
        <v>21</v>
      </c>
      <c r="F180" t="s">
        <v>403</v>
      </c>
      <c r="G180" t="str">
        <f>"201304003735"</f>
        <v>201304003735</v>
      </c>
      <c r="H180">
        <v>770</v>
      </c>
      <c r="I180">
        <v>150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30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1220</v>
      </c>
    </row>
    <row r="181" spans="1:25" x14ac:dyDescent="0.25">
      <c r="H181" t="s">
        <v>91</v>
      </c>
    </row>
    <row r="182" spans="1:25" x14ac:dyDescent="0.25">
      <c r="A182">
        <v>88</v>
      </c>
      <c r="B182">
        <v>1102</v>
      </c>
      <c r="C182" t="s">
        <v>404</v>
      </c>
      <c r="D182" t="s">
        <v>405</v>
      </c>
      <c r="E182" t="s">
        <v>147</v>
      </c>
      <c r="F182" t="s">
        <v>406</v>
      </c>
      <c r="G182" t="str">
        <f>"00140826"</f>
        <v>00140826</v>
      </c>
      <c r="H182" t="s">
        <v>407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50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 t="s">
        <v>408</v>
      </c>
    </row>
    <row r="183" spans="1:25" x14ac:dyDescent="0.25">
      <c r="H183" t="s">
        <v>91</v>
      </c>
    </row>
    <row r="184" spans="1:25" x14ac:dyDescent="0.25">
      <c r="A184">
        <v>89</v>
      </c>
      <c r="B184">
        <v>5136</v>
      </c>
      <c r="C184" t="s">
        <v>409</v>
      </c>
      <c r="D184" t="s">
        <v>410</v>
      </c>
      <c r="E184" t="s">
        <v>55</v>
      </c>
      <c r="F184" t="s">
        <v>411</v>
      </c>
      <c r="G184" t="str">
        <f>"00094454"</f>
        <v>00094454</v>
      </c>
      <c r="H184" t="s">
        <v>407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50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 t="s">
        <v>408</v>
      </c>
    </row>
    <row r="185" spans="1:25" x14ac:dyDescent="0.25">
      <c r="H185" t="s">
        <v>23</v>
      </c>
    </row>
    <row r="186" spans="1:25" x14ac:dyDescent="0.25">
      <c r="A186">
        <v>90</v>
      </c>
      <c r="B186">
        <v>2853</v>
      </c>
      <c r="C186" t="s">
        <v>412</v>
      </c>
      <c r="D186" t="s">
        <v>48</v>
      </c>
      <c r="E186" t="s">
        <v>49</v>
      </c>
      <c r="F186" t="s">
        <v>413</v>
      </c>
      <c r="G186" t="str">
        <f>"00116910"</f>
        <v>00116910</v>
      </c>
      <c r="H186" t="s">
        <v>414</v>
      </c>
      <c r="I186">
        <v>0</v>
      </c>
      <c r="J186">
        <v>0</v>
      </c>
      <c r="K186">
        <v>0</v>
      </c>
      <c r="L186">
        <v>260</v>
      </c>
      <c r="M186">
        <v>0</v>
      </c>
      <c r="N186">
        <v>70</v>
      </c>
      <c r="O186">
        <v>70</v>
      </c>
      <c r="P186">
        <v>0</v>
      </c>
      <c r="Q186">
        <v>0</v>
      </c>
      <c r="R186">
        <v>50</v>
      </c>
      <c r="S186">
        <v>0</v>
      </c>
      <c r="T186">
        <v>0</v>
      </c>
      <c r="U186">
        <v>0</v>
      </c>
      <c r="V186">
        <v>0</v>
      </c>
      <c r="X186">
        <v>0</v>
      </c>
      <c r="Y186" t="s">
        <v>415</v>
      </c>
    </row>
    <row r="187" spans="1:25" x14ac:dyDescent="0.25">
      <c r="H187">
        <v>103</v>
      </c>
    </row>
    <row r="188" spans="1:25" x14ac:dyDescent="0.25">
      <c r="A188">
        <v>91</v>
      </c>
      <c r="B188">
        <v>3276</v>
      </c>
      <c r="C188" t="s">
        <v>416</v>
      </c>
      <c r="D188" t="s">
        <v>20</v>
      </c>
      <c r="E188" t="s">
        <v>200</v>
      </c>
      <c r="F188" t="s">
        <v>417</v>
      </c>
      <c r="G188" t="str">
        <f>"00014846"</f>
        <v>00014846</v>
      </c>
      <c r="H188">
        <v>935</v>
      </c>
      <c r="I188">
        <v>0</v>
      </c>
      <c r="J188">
        <v>0</v>
      </c>
      <c r="K188">
        <v>0</v>
      </c>
      <c r="L188">
        <v>200</v>
      </c>
      <c r="M188">
        <v>30</v>
      </c>
      <c r="N188">
        <v>0</v>
      </c>
      <c r="O188">
        <v>0</v>
      </c>
      <c r="P188">
        <v>50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1215</v>
      </c>
    </row>
    <row r="189" spans="1:25" x14ac:dyDescent="0.25">
      <c r="H189" t="s">
        <v>23</v>
      </c>
    </row>
    <row r="190" spans="1:25" x14ac:dyDescent="0.25">
      <c r="A190">
        <v>92</v>
      </c>
      <c r="B190">
        <v>5099</v>
      </c>
      <c r="C190" t="s">
        <v>418</v>
      </c>
      <c r="D190" t="s">
        <v>419</v>
      </c>
      <c r="E190" t="s">
        <v>55</v>
      </c>
      <c r="F190" t="s">
        <v>420</v>
      </c>
      <c r="G190" t="str">
        <f>"201304000290"</f>
        <v>201304000290</v>
      </c>
      <c r="H190" t="s">
        <v>421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50</v>
      </c>
      <c r="O190">
        <v>50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 t="s">
        <v>422</v>
      </c>
    </row>
    <row r="191" spans="1:25" x14ac:dyDescent="0.25">
      <c r="H191" t="s">
        <v>23</v>
      </c>
    </row>
    <row r="192" spans="1:25" x14ac:dyDescent="0.25">
      <c r="A192">
        <v>93</v>
      </c>
      <c r="B192">
        <v>4731</v>
      </c>
      <c r="C192" t="s">
        <v>423</v>
      </c>
      <c r="D192" t="s">
        <v>20</v>
      </c>
      <c r="E192" t="s">
        <v>424</v>
      </c>
      <c r="F192" t="s">
        <v>425</v>
      </c>
      <c r="G192" t="str">
        <f>"00013637"</f>
        <v>00013637</v>
      </c>
      <c r="H192" t="s">
        <v>426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70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 t="s">
        <v>427</v>
      </c>
    </row>
    <row r="193" spans="1:25" x14ac:dyDescent="0.25">
      <c r="H193" t="s">
        <v>53</v>
      </c>
    </row>
    <row r="194" spans="1:25" x14ac:dyDescent="0.25">
      <c r="A194">
        <v>94</v>
      </c>
      <c r="B194">
        <v>693</v>
      </c>
      <c r="C194" t="s">
        <v>428</v>
      </c>
      <c r="D194" t="s">
        <v>429</v>
      </c>
      <c r="E194" t="s">
        <v>65</v>
      </c>
      <c r="F194" t="s">
        <v>430</v>
      </c>
      <c r="G194" t="str">
        <f>"201405000937"</f>
        <v>201405000937</v>
      </c>
      <c r="H194" t="s">
        <v>431</v>
      </c>
      <c r="I194">
        <v>0</v>
      </c>
      <c r="J194">
        <v>0</v>
      </c>
      <c r="K194">
        <v>200</v>
      </c>
      <c r="L194">
        <v>0</v>
      </c>
      <c r="M194">
        <v>100</v>
      </c>
      <c r="N194">
        <v>30</v>
      </c>
      <c r="O194">
        <v>70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 t="s">
        <v>432</v>
      </c>
    </row>
    <row r="195" spans="1:25" x14ac:dyDescent="0.25">
      <c r="H195" t="s">
        <v>53</v>
      </c>
    </row>
    <row r="196" spans="1:25" x14ac:dyDescent="0.25">
      <c r="A196">
        <v>95</v>
      </c>
      <c r="B196">
        <v>4420</v>
      </c>
      <c r="C196" t="s">
        <v>433</v>
      </c>
      <c r="D196" t="s">
        <v>48</v>
      </c>
      <c r="E196" t="s">
        <v>61</v>
      </c>
      <c r="F196" t="s">
        <v>434</v>
      </c>
      <c r="G196" t="str">
        <f>"200801001368"</f>
        <v>200801001368</v>
      </c>
      <c r="H196" t="s">
        <v>431</v>
      </c>
      <c r="I196">
        <v>0</v>
      </c>
      <c r="J196">
        <v>0</v>
      </c>
      <c r="K196">
        <v>0</v>
      </c>
      <c r="L196">
        <v>260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70</v>
      </c>
      <c r="S196">
        <v>0</v>
      </c>
      <c r="T196">
        <v>0</v>
      </c>
      <c r="U196">
        <v>0</v>
      </c>
      <c r="V196">
        <v>0</v>
      </c>
      <c r="X196">
        <v>0</v>
      </c>
      <c r="Y196" t="s">
        <v>432</v>
      </c>
    </row>
    <row r="197" spans="1:25" x14ac:dyDescent="0.25">
      <c r="H197" t="s">
        <v>53</v>
      </c>
    </row>
    <row r="198" spans="1:25" x14ac:dyDescent="0.25">
      <c r="A198">
        <v>96</v>
      </c>
      <c r="B198">
        <v>2648</v>
      </c>
      <c r="C198" t="s">
        <v>435</v>
      </c>
      <c r="D198" t="s">
        <v>37</v>
      </c>
      <c r="E198" t="s">
        <v>252</v>
      </c>
      <c r="F198" t="s">
        <v>436</v>
      </c>
      <c r="G198" t="str">
        <f>"00085917"</f>
        <v>00085917</v>
      </c>
      <c r="H198" t="s">
        <v>437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 t="s">
        <v>438</v>
      </c>
    </row>
    <row r="199" spans="1:25" x14ac:dyDescent="0.25">
      <c r="H199" t="s">
        <v>91</v>
      </c>
    </row>
    <row r="200" spans="1:25" x14ac:dyDescent="0.25">
      <c r="A200">
        <v>97</v>
      </c>
      <c r="B200">
        <v>5369</v>
      </c>
      <c r="C200" t="s">
        <v>439</v>
      </c>
      <c r="D200" t="s">
        <v>440</v>
      </c>
      <c r="E200" t="s">
        <v>147</v>
      </c>
      <c r="F200" t="s">
        <v>441</v>
      </c>
      <c r="G200" t="str">
        <f>"00127305"</f>
        <v>00127305</v>
      </c>
      <c r="H200" t="s">
        <v>442</v>
      </c>
      <c r="I200">
        <v>150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50</v>
      </c>
      <c r="P200">
        <v>0</v>
      </c>
      <c r="Q200">
        <v>50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 t="s">
        <v>443</v>
      </c>
    </row>
    <row r="201" spans="1:25" x14ac:dyDescent="0.25">
      <c r="H201" t="s">
        <v>34</v>
      </c>
    </row>
    <row r="202" spans="1:25" x14ac:dyDescent="0.25">
      <c r="A202">
        <v>98</v>
      </c>
      <c r="B202">
        <v>1544</v>
      </c>
      <c r="C202" t="s">
        <v>444</v>
      </c>
      <c r="D202" t="s">
        <v>245</v>
      </c>
      <c r="E202" t="s">
        <v>445</v>
      </c>
      <c r="F202" t="s">
        <v>446</v>
      </c>
      <c r="G202" t="str">
        <f>"00014563"</f>
        <v>00014563</v>
      </c>
      <c r="H202">
        <v>759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70</v>
      </c>
      <c r="O202">
        <v>50</v>
      </c>
      <c r="P202">
        <v>0</v>
      </c>
      <c r="Q202">
        <v>70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1209</v>
      </c>
    </row>
    <row r="203" spans="1:25" x14ac:dyDescent="0.25">
      <c r="H203" t="s">
        <v>53</v>
      </c>
    </row>
    <row r="204" spans="1:25" x14ac:dyDescent="0.25">
      <c r="A204">
        <v>99</v>
      </c>
      <c r="B204">
        <v>4477</v>
      </c>
      <c r="C204" t="s">
        <v>447</v>
      </c>
      <c r="D204" t="s">
        <v>448</v>
      </c>
      <c r="E204" t="s">
        <v>99</v>
      </c>
      <c r="F204" t="s">
        <v>449</v>
      </c>
      <c r="G204" t="str">
        <f>"00084478"</f>
        <v>00084478</v>
      </c>
      <c r="H204" t="s">
        <v>161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50</v>
      </c>
      <c r="Q204">
        <v>0</v>
      </c>
      <c r="R204">
        <v>70</v>
      </c>
      <c r="S204">
        <v>0</v>
      </c>
      <c r="T204">
        <v>0</v>
      </c>
      <c r="U204">
        <v>0</v>
      </c>
      <c r="V204">
        <v>0</v>
      </c>
      <c r="X204">
        <v>0</v>
      </c>
      <c r="Y204" t="s">
        <v>450</v>
      </c>
    </row>
    <row r="205" spans="1:25" x14ac:dyDescent="0.25">
      <c r="H205">
        <v>101</v>
      </c>
    </row>
    <row r="206" spans="1:25" x14ac:dyDescent="0.25">
      <c r="A206">
        <v>100</v>
      </c>
      <c r="B206">
        <v>5776</v>
      </c>
      <c r="C206" t="s">
        <v>412</v>
      </c>
      <c r="D206" t="s">
        <v>322</v>
      </c>
      <c r="E206" t="s">
        <v>147</v>
      </c>
      <c r="F206" t="s">
        <v>451</v>
      </c>
      <c r="G206" t="str">
        <f>"201406010465"</f>
        <v>201406010465</v>
      </c>
      <c r="H206" t="s">
        <v>452</v>
      </c>
      <c r="I206">
        <v>150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 t="s">
        <v>453</v>
      </c>
    </row>
    <row r="207" spans="1:25" x14ac:dyDescent="0.25">
      <c r="H207" t="s">
        <v>23</v>
      </c>
    </row>
    <row r="208" spans="1:25" x14ac:dyDescent="0.25">
      <c r="A208">
        <v>101</v>
      </c>
      <c r="B208">
        <v>6020</v>
      </c>
      <c r="C208" t="s">
        <v>454</v>
      </c>
      <c r="D208" t="s">
        <v>455</v>
      </c>
      <c r="E208" t="s">
        <v>456</v>
      </c>
      <c r="F208" t="s">
        <v>457</v>
      </c>
      <c r="G208" t="str">
        <f>"00193078"</f>
        <v>00193078</v>
      </c>
      <c r="H208" t="s">
        <v>452</v>
      </c>
      <c r="I208">
        <v>150</v>
      </c>
      <c r="J208">
        <v>0</v>
      </c>
      <c r="K208">
        <v>0</v>
      </c>
      <c r="L208">
        <v>200</v>
      </c>
      <c r="M208">
        <v>0</v>
      </c>
      <c r="N208">
        <v>0</v>
      </c>
      <c r="O208">
        <v>0</v>
      </c>
      <c r="P208">
        <v>70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2</v>
      </c>
      <c r="Y208" t="s">
        <v>453</v>
      </c>
    </row>
    <row r="209" spans="1:25" x14ac:dyDescent="0.25">
      <c r="H209" t="s">
        <v>23</v>
      </c>
    </row>
    <row r="210" spans="1:25" x14ac:dyDescent="0.25">
      <c r="A210">
        <v>102</v>
      </c>
      <c r="B210">
        <v>2924</v>
      </c>
      <c r="C210" t="s">
        <v>458</v>
      </c>
      <c r="D210" t="s">
        <v>459</v>
      </c>
      <c r="E210" t="s">
        <v>460</v>
      </c>
      <c r="F210" t="s">
        <v>461</v>
      </c>
      <c r="G210" t="str">
        <f>"00121294"</f>
        <v>00121294</v>
      </c>
      <c r="H210" t="s">
        <v>462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30</v>
      </c>
      <c r="P210">
        <v>0</v>
      </c>
      <c r="Q210">
        <v>0</v>
      </c>
      <c r="R210">
        <v>70</v>
      </c>
      <c r="S210">
        <v>0</v>
      </c>
      <c r="T210">
        <v>0</v>
      </c>
      <c r="U210">
        <v>0</v>
      </c>
      <c r="V210">
        <v>0</v>
      </c>
      <c r="X210">
        <v>0</v>
      </c>
      <c r="Y210" t="s">
        <v>463</v>
      </c>
    </row>
    <row r="211" spans="1:25" x14ac:dyDescent="0.25">
      <c r="H211" t="s">
        <v>53</v>
      </c>
    </row>
    <row r="212" spans="1:25" x14ac:dyDescent="0.25">
      <c r="A212">
        <v>103</v>
      </c>
      <c r="B212">
        <v>4749</v>
      </c>
      <c r="C212" t="s">
        <v>464</v>
      </c>
      <c r="D212" t="s">
        <v>322</v>
      </c>
      <c r="E212" t="s">
        <v>49</v>
      </c>
      <c r="F212" t="s">
        <v>465</v>
      </c>
      <c r="G212" t="str">
        <f>"00022610"</f>
        <v>00022610</v>
      </c>
      <c r="H212" t="s">
        <v>175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50</v>
      </c>
      <c r="P212">
        <v>0</v>
      </c>
      <c r="Q212">
        <v>70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2</v>
      </c>
      <c r="Y212" t="s">
        <v>466</v>
      </c>
    </row>
    <row r="213" spans="1:25" x14ac:dyDescent="0.25">
      <c r="H213" t="s">
        <v>118</v>
      </c>
    </row>
    <row r="214" spans="1:25" x14ac:dyDescent="0.25">
      <c r="A214">
        <v>104</v>
      </c>
      <c r="B214">
        <v>5219</v>
      </c>
      <c r="C214" t="s">
        <v>467</v>
      </c>
      <c r="D214" t="s">
        <v>468</v>
      </c>
      <c r="E214" t="s">
        <v>114</v>
      </c>
      <c r="F214" t="s">
        <v>469</v>
      </c>
      <c r="G214" t="str">
        <f>"00133260"</f>
        <v>00133260</v>
      </c>
      <c r="H214">
        <v>836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70</v>
      </c>
      <c r="P214">
        <v>0</v>
      </c>
      <c r="Q214">
        <v>30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1206</v>
      </c>
    </row>
    <row r="215" spans="1:25" x14ac:dyDescent="0.25">
      <c r="H215" t="s">
        <v>23</v>
      </c>
    </row>
    <row r="216" spans="1:25" x14ac:dyDescent="0.25">
      <c r="A216">
        <v>105</v>
      </c>
      <c r="B216">
        <v>338</v>
      </c>
      <c r="C216" t="s">
        <v>470</v>
      </c>
      <c r="D216" t="s">
        <v>159</v>
      </c>
      <c r="E216" t="s">
        <v>87</v>
      </c>
      <c r="F216" t="s">
        <v>471</v>
      </c>
      <c r="G216" t="str">
        <f>"201406000849"</f>
        <v>201406000849</v>
      </c>
      <c r="H216" t="s">
        <v>390</v>
      </c>
      <c r="I216">
        <v>150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50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 t="s">
        <v>472</v>
      </c>
    </row>
    <row r="217" spans="1:25" x14ac:dyDescent="0.25">
      <c r="H217" t="s">
        <v>53</v>
      </c>
    </row>
    <row r="218" spans="1:25" x14ac:dyDescent="0.25">
      <c r="A218">
        <v>106</v>
      </c>
      <c r="B218">
        <v>1693</v>
      </c>
      <c r="C218" t="s">
        <v>473</v>
      </c>
      <c r="D218" t="s">
        <v>474</v>
      </c>
      <c r="E218" t="s">
        <v>61</v>
      </c>
      <c r="F218" t="s">
        <v>475</v>
      </c>
      <c r="G218" t="str">
        <f>"00088872"</f>
        <v>00088872</v>
      </c>
      <c r="H218" t="s">
        <v>476</v>
      </c>
      <c r="I218">
        <v>0</v>
      </c>
      <c r="J218">
        <v>0</v>
      </c>
      <c r="K218">
        <v>0</v>
      </c>
      <c r="L218">
        <v>260</v>
      </c>
      <c r="M218">
        <v>0</v>
      </c>
      <c r="N218">
        <v>70</v>
      </c>
      <c r="O218">
        <v>70</v>
      </c>
      <c r="P218">
        <v>0</v>
      </c>
      <c r="Q218">
        <v>0</v>
      </c>
      <c r="R218">
        <v>0</v>
      </c>
      <c r="S218">
        <v>0</v>
      </c>
      <c r="T218">
        <v>30</v>
      </c>
      <c r="U218">
        <v>0</v>
      </c>
      <c r="V218">
        <v>0</v>
      </c>
      <c r="X218">
        <v>0</v>
      </c>
      <c r="Y218" t="s">
        <v>477</v>
      </c>
    </row>
    <row r="219" spans="1:25" x14ac:dyDescent="0.25">
      <c r="H219">
        <v>101</v>
      </c>
    </row>
    <row r="220" spans="1:25" x14ac:dyDescent="0.25">
      <c r="A220">
        <v>107</v>
      </c>
      <c r="B220">
        <v>2118</v>
      </c>
      <c r="C220" t="s">
        <v>478</v>
      </c>
      <c r="D220" t="s">
        <v>468</v>
      </c>
      <c r="E220" t="s">
        <v>55</v>
      </c>
      <c r="F220" t="s">
        <v>479</v>
      </c>
      <c r="G220" t="str">
        <f>"00015054"</f>
        <v>00015054</v>
      </c>
      <c r="H220" t="s">
        <v>480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 t="s">
        <v>481</v>
      </c>
    </row>
    <row r="221" spans="1:25" x14ac:dyDescent="0.25">
      <c r="H221" t="s">
        <v>23</v>
      </c>
    </row>
    <row r="222" spans="1:25" x14ac:dyDescent="0.25">
      <c r="A222">
        <v>108</v>
      </c>
      <c r="B222">
        <v>5181</v>
      </c>
      <c r="C222" t="s">
        <v>482</v>
      </c>
      <c r="D222" t="s">
        <v>322</v>
      </c>
      <c r="E222" t="s">
        <v>43</v>
      </c>
      <c r="F222" t="s">
        <v>483</v>
      </c>
      <c r="G222" t="str">
        <f>"201506002836"</f>
        <v>201506002836</v>
      </c>
      <c r="H222" t="s">
        <v>364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50</v>
      </c>
      <c r="P222">
        <v>0</v>
      </c>
      <c r="Q222">
        <v>0</v>
      </c>
      <c r="R222">
        <v>30</v>
      </c>
      <c r="S222">
        <v>0</v>
      </c>
      <c r="T222">
        <v>0</v>
      </c>
      <c r="U222">
        <v>0</v>
      </c>
      <c r="V222">
        <v>0</v>
      </c>
      <c r="X222">
        <v>0</v>
      </c>
      <c r="Y222" t="s">
        <v>484</v>
      </c>
    </row>
    <row r="223" spans="1:25" x14ac:dyDescent="0.25">
      <c r="H223">
        <v>101</v>
      </c>
    </row>
    <row r="224" spans="1:25" x14ac:dyDescent="0.25">
      <c r="A224">
        <v>109</v>
      </c>
      <c r="B224">
        <v>3452</v>
      </c>
      <c r="C224" t="s">
        <v>485</v>
      </c>
      <c r="D224" t="s">
        <v>486</v>
      </c>
      <c r="E224" t="s">
        <v>487</v>
      </c>
      <c r="F224" t="s">
        <v>488</v>
      </c>
      <c r="G224" t="str">
        <f>"201406007537"</f>
        <v>201406007537</v>
      </c>
      <c r="H224" t="s">
        <v>171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70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 t="s">
        <v>489</v>
      </c>
    </row>
    <row r="225" spans="1:25" x14ac:dyDescent="0.25">
      <c r="H225" t="s">
        <v>53</v>
      </c>
    </row>
    <row r="226" spans="1:25" x14ac:dyDescent="0.25">
      <c r="A226">
        <v>110</v>
      </c>
      <c r="B226">
        <v>4020</v>
      </c>
      <c r="C226" t="s">
        <v>490</v>
      </c>
      <c r="D226" t="s">
        <v>113</v>
      </c>
      <c r="E226" t="s">
        <v>99</v>
      </c>
      <c r="F226" t="s">
        <v>491</v>
      </c>
      <c r="G226" t="str">
        <f>"00120846"</f>
        <v>00120846</v>
      </c>
      <c r="H226" t="s">
        <v>234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50</v>
      </c>
      <c r="P226">
        <v>0</v>
      </c>
      <c r="Q226">
        <v>50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 t="s">
        <v>492</v>
      </c>
    </row>
    <row r="227" spans="1:25" x14ac:dyDescent="0.25">
      <c r="H227" t="s">
        <v>91</v>
      </c>
    </row>
    <row r="228" spans="1:25" x14ac:dyDescent="0.25">
      <c r="A228">
        <v>111</v>
      </c>
      <c r="B228">
        <v>2730</v>
      </c>
      <c r="C228" t="s">
        <v>493</v>
      </c>
      <c r="D228" t="s">
        <v>113</v>
      </c>
      <c r="E228" t="s">
        <v>49</v>
      </c>
      <c r="F228" t="s">
        <v>494</v>
      </c>
      <c r="G228" t="str">
        <f>"201406005550"</f>
        <v>201406005550</v>
      </c>
      <c r="H228" t="s">
        <v>495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30</v>
      </c>
      <c r="R228">
        <v>30</v>
      </c>
      <c r="S228">
        <v>0</v>
      </c>
      <c r="T228">
        <v>0</v>
      </c>
      <c r="U228">
        <v>0</v>
      </c>
      <c r="V228">
        <v>0</v>
      </c>
      <c r="X228">
        <v>0</v>
      </c>
      <c r="Y228" t="s">
        <v>496</v>
      </c>
    </row>
    <row r="229" spans="1:25" x14ac:dyDescent="0.25">
      <c r="H229">
        <v>101</v>
      </c>
    </row>
    <row r="230" spans="1:25" x14ac:dyDescent="0.25">
      <c r="A230">
        <v>112</v>
      </c>
      <c r="B230">
        <v>5521</v>
      </c>
      <c r="C230" t="s">
        <v>497</v>
      </c>
      <c r="D230" t="s">
        <v>70</v>
      </c>
      <c r="E230" t="s">
        <v>87</v>
      </c>
      <c r="F230" t="s">
        <v>498</v>
      </c>
      <c r="G230" t="str">
        <f>"00184174"</f>
        <v>00184174</v>
      </c>
      <c r="H230" t="s">
        <v>127</v>
      </c>
      <c r="I230">
        <v>0</v>
      </c>
      <c r="J230">
        <v>0</v>
      </c>
      <c r="K230">
        <v>0</v>
      </c>
      <c r="L230">
        <v>260</v>
      </c>
      <c r="M230">
        <v>0</v>
      </c>
      <c r="N230">
        <v>70</v>
      </c>
      <c r="O230">
        <v>70</v>
      </c>
      <c r="P230">
        <v>0</v>
      </c>
      <c r="Q230">
        <v>0</v>
      </c>
      <c r="R230">
        <v>30</v>
      </c>
      <c r="S230">
        <v>0</v>
      </c>
      <c r="T230">
        <v>0</v>
      </c>
      <c r="U230">
        <v>0</v>
      </c>
      <c r="V230">
        <v>0</v>
      </c>
      <c r="X230">
        <v>0</v>
      </c>
      <c r="Y230" t="s">
        <v>499</v>
      </c>
    </row>
    <row r="231" spans="1:25" x14ac:dyDescent="0.25">
      <c r="H231" t="s">
        <v>53</v>
      </c>
    </row>
    <row r="232" spans="1:25" x14ac:dyDescent="0.25">
      <c r="A232">
        <v>113</v>
      </c>
      <c r="B232">
        <v>5332</v>
      </c>
      <c r="C232" t="s">
        <v>500</v>
      </c>
      <c r="D232" t="s">
        <v>501</v>
      </c>
      <c r="E232" t="s">
        <v>334</v>
      </c>
      <c r="F232" t="s">
        <v>502</v>
      </c>
      <c r="G232" t="str">
        <f>"00165940"</f>
        <v>00165940</v>
      </c>
      <c r="H232">
        <v>825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70</v>
      </c>
      <c r="Q232">
        <v>0</v>
      </c>
      <c r="R232">
        <v>30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1195</v>
      </c>
    </row>
    <row r="233" spans="1:25" x14ac:dyDescent="0.25">
      <c r="H233" t="s">
        <v>213</v>
      </c>
    </row>
    <row r="234" spans="1:25" x14ac:dyDescent="0.25">
      <c r="A234">
        <v>114</v>
      </c>
      <c r="B234">
        <v>3053</v>
      </c>
      <c r="C234" t="s">
        <v>503</v>
      </c>
      <c r="D234" t="s">
        <v>36</v>
      </c>
      <c r="E234" t="s">
        <v>49</v>
      </c>
      <c r="F234" t="s">
        <v>504</v>
      </c>
      <c r="G234" t="str">
        <f>"00123027"</f>
        <v>00123027</v>
      </c>
      <c r="H234" t="s">
        <v>505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30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 t="s">
        <v>506</v>
      </c>
    </row>
    <row r="235" spans="1:25" x14ac:dyDescent="0.25">
      <c r="H235" t="s">
        <v>507</v>
      </c>
    </row>
    <row r="236" spans="1:25" x14ac:dyDescent="0.25">
      <c r="A236">
        <v>115</v>
      </c>
      <c r="B236">
        <v>3383</v>
      </c>
      <c r="C236" t="s">
        <v>508</v>
      </c>
      <c r="D236" t="s">
        <v>509</v>
      </c>
      <c r="E236" t="s">
        <v>87</v>
      </c>
      <c r="F236" t="s">
        <v>510</v>
      </c>
      <c r="G236" t="str">
        <f>"201406001760"</f>
        <v>201406001760</v>
      </c>
      <c r="H236" t="s">
        <v>511</v>
      </c>
      <c r="I236">
        <v>150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50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 t="s">
        <v>512</v>
      </c>
    </row>
    <row r="237" spans="1:25" x14ac:dyDescent="0.25">
      <c r="H237" t="s">
        <v>513</v>
      </c>
    </row>
    <row r="238" spans="1:25" x14ac:dyDescent="0.25">
      <c r="A238">
        <v>116</v>
      </c>
      <c r="B238">
        <v>6395</v>
      </c>
      <c r="C238" t="s">
        <v>514</v>
      </c>
      <c r="D238" t="s">
        <v>25</v>
      </c>
      <c r="E238" t="s">
        <v>87</v>
      </c>
      <c r="F238" t="s">
        <v>515</v>
      </c>
      <c r="G238" t="str">
        <f>"201406000061"</f>
        <v>201406000061</v>
      </c>
      <c r="H238" t="s">
        <v>289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70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 t="s">
        <v>516</v>
      </c>
    </row>
    <row r="239" spans="1:25" x14ac:dyDescent="0.25">
      <c r="H239" t="s">
        <v>23</v>
      </c>
    </row>
    <row r="240" spans="1:25" x14ac:dyDescent="0.25">
      <c r="A240">
        <v>117</v>
      </c>
      <c r="B240">
        <v>913</v>
      </c>
      <c r="C240" t="s">
        <v>517</v>
      </c>
      <c r="D240" t="s">
        <v>518</v>
      </c>
      <c r="E240" t="s">
        <v>147</v>
      </c>
      <c r="F240" t="s">
        <v>519</v>
      </c>
      <c r="G240" t="str">
        <f>"200809001190"</f>
        <v>200809001190</v>
      </c>
      <c r="H240" t="s">
        <v>520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70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 t="s">
        <v>521</v>
      </c>
    </row>
    <row r="241" spans="1:25" x14ac:dyDescent="0.25">
      <c r="H241" t="s">
        <v>118</v>
      </c>
    </row>
    <row r="242" spans="1:25" x14ac:dyDescent="0.25">
      <c r="A242">
        <v>118</v>
      </c>
      <c r="B242">
        <v>3018</v>
      </c>
      <c r="C242" t="s">
        <v>522</v>
      </c>
      <c r="D242" t="s">
        <v>523</v>
      </c>
      <c r="E242" t="s">
        <v>291</v>
      </c>
      <c r="F242" t="s">
        <v>524</v>
      </c>
      <c r="G242" t="str">
        <f>"00192184"</f>
        <v>00192184</v>
      </c>
      <c r="H242" t="s">
        <v>525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70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 t="s">
        <v>526</v>
      </c>
    </row>
    <row r="243" spans="1:25" x14ac:dyDescent="0.25">
      <c r="H243" t="s">
        <v>34</v>
      </c>
    </row>
    <row r="244" spans="1:25" x14ac:dyDescent="0.25">
      <c r="A244">
        <v>119</v>
      </c>
      <c r="B244">
        <v>3022</v>
      </c>
      <c r="C244" t="s">
        <v>527</v>
      </c>
      <c r="D244" t="s">
        <v>509</v>
      </c>
      <c r="E244" t="s">
        <v>147</v>
      </c>
      <c r="F244" t="s">
        <v>528</v>
      </c>
      <c r="G244" t="str">
        <f>"201406013064"</f>
        <v>201406013064</v>
      </c>
      <c r="H244" t="s">
        <v>32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30</v>
      </c>
      <c r="P244">
        <v>0</v>
      </c>
      <c r="Q244">
        <v>0</v>
      </c>
      <c r="R244">
        <v>50</v>
      </c>
      <c r="S244">
        <v>0</v>
      </c>
      <c r="T244">
        <v>0</v>
      </c>
      <c r="U244">
        <v>0</v>
      </c>
      <c r="V244">
        <v>0</v>
      </c>
      <c r="X244">
        <v>0</v>
      </c>
      <c r="Y244" t="s">
        <v>529</v>
      </c>
    </row>
    <row r="245" spans="1:25" x14ac:dyDescent="0.25">
      <c r="H245" t="s">
        <v>23</v>
      </c>
    </row>
    <row r="246" spans="1:25" x14ac:dyDescent="0.25">
      <c r="A246">
        <v>120</v>
      </c>
      <c r="B246">
        <v>5322</v>
      </c>
      <c r="C246" t="s">
        <v>530</v>
      </c>
      <c r="D246" t="s">
        <v>531</v>
      </c>
      <c r="E246" t="s">
        <v>55</v>
      </c>
      <c r="F246" t="s">
        <v>532</v>
      </c>
      <c r="G246" t="str">
        <f>"00079017"</f>
        <v>00079017</v>
      </c>
      <c r="H246" t="s">
        <v>414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70</v>
      </c>
      <c r="P246">
        <v>50</v>
      </c>
      <c r="Q246">
        <v>0</v>
      </c>
      <c r="R246">
        <v>30</v>
      </c>
      <c r="S246">
        <v>0</v>
      </c>
      <c r="T246">
        <v>0</v>
      </c>
      <c r="U246">
        <v>0</v>
      </c>
      <c r="V246">
        <v>0</v>
      </c>
      <c r="X246">
        <v>0</v>
      </c>
      <c r="Y246" t="s">
        <v>533</v>
      </c>
    </row>
    <row r="247" spans="1:25" x14ac:dyDescent="0.25">
      <c r="H247">
        <v>101</v>
      </c>
    </row>
    <row r="248" spans="1:25" x14ac:dyDescent="0.25">
      <c r="A248">
        <v>121</v>
      </c>
      <c r="B248">
        <v>4212</v>
      </c>
      <c r="C248" t="s">
        <v>534</v>
      </c>
      <c r="D248" t="s">
        <v>25</v>
      </c>
      <c r="E248" t="s">
        <v>200</v>
      </c>
      <c r="F248" t="s">
        <v>535</v>
      </c>
      <c r="G248" t="str">
        <f>"00197422"</f>
        <v>00197422</v>
      </c>
      <c r="H248" t="s">
        <v>536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30</v>
      </c>
      <c r="P248">
        <v>50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 t="s">
        <v>537</v>
      </c>
    </row>
    <row r="249" spans="1:25" x14ac:dyDescent="0.25">
      <c r="H249" t="s">
        <v>23</v>
      </c>
    </row>
    <row r="250" spans="1:25" x14ac:dyDescent="0.25">
      <c r="A250">
        <v>122</v>
      </c>
      <c r="B250">
        <v>5003</v>
      </c>
      <c r="C250" t="s">
        <v>538</v>
      </c>
      <c r="D250" t="s">
        <v>20</v>
      </c>
      <c r="E250" t="s">
        <v>99</v>
      </c>
      <c r="F250" t="s">
        <v>539</v>
      </c>
      <c r="G250" t="str">
        <f>"201304001199"</f>
        <v>201304001199</v>
      </c>
      <c r="H250" t="s">
        <v>206</v>
      </c>
      <c r="I250">
        <v>0</v>
      </c>
      <c r="J250">
        <v>0</v>
      </c>
      <c r="K250">
        <v>0</v>
      </c>
      <c r="L250">
        <v>260</v>
      </c>
      <c r="M250">
        <v>0</v>
      </c>
      <c r="N250">
        <v>70</v>
      </c>
      <c r="O250">
        <v>50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 t="s">
        <v>540</v>
      </c>
    </row>
    <row r="251" spans="1:25" x14ac:dyDescent="0.25">
      <c r="H251" t="s">
        <v>23</v>
      </c>
    </row>
    <row r="252" spans="1:25" x14ac:dyDescent="0.25">
      <c r="A252">
        <v>123</v>
      </c>
      <c r="B252">
        <v>410</v>
      </c>
      <c r="C252" t="s">
        <v>541</v>
      </c>
      <c r="D252" t="s">
        <v>245</v>
      </c>
      <c r="E252" t="s">
        <v>15</v>
      </c>
      <c r="F252" t="s">
        <v>542</v>
      </c>
      <c r="G252" t="str">
        <f>"00099241"</f>
        <v>00099241</v>
      </c>
      <c r="H252">
        <v>847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70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1187</v>
      </c>
    </row>
    <row r="253" spans="1:25" x14ac:dyDescent="0.25">
      <c r="H253" t="s">
        <v>34</v>
      </c>
    </row>
    <row r="254" spans="1:25" x14ac:dyDescent="0.25">
      <c r="A254">
        <v>124</v>
      </c>
      <c r="B254">
        <v>2003</v>
      </c>
      <c r="C254" t="s">
        <v>543</v>
      </c>
      <c r="D254" t="s">
        <v>113</v>
      </c>
      <c r="E254" t="s">
        <v>419</v>
      </c>
      <c r="F254" t="s">
        <v>544</v>
      </c>
      <c r="G254" t="str">
        <f>"00198267"</f>
        <v>00198267</v>
      </c>
      <c r="H254" t="s">
        <v>545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 t="s">
        <v>546</v>
      </c>
    </row>
    <row r="255" spans="1:25" x14ac:dyDescent="0.25">
      <c r="H255" t="s">
        <v>23</v>
      </c>
    </row>
    <row r="256" spans="1:25" x14ac:dyDescent="0.25">
      <c r="A256">
        <v>125</v>
      </c>
      <c r="B256">
        <v>2035</v>
      </c>
      <c r="C256" t="s">
        <v>547</v>
      </c>
      <c r="D256" t="s">
        <v>21</v>
      </c>
      <c r="E256" t="s">
        <v>87</v>
      </c>
      <c r="F256" t="s">
        <v>548</v>
      </c>
      <c r="G256" t="str">
        <f>"201304002825"</f>
        <v>201304002825</v>
      </c>
      <c r="H256" t="s">
        <v>549</v>
      </c>
      <c r="I256">
        <v>0</v>
      </c>
      <c r="J256">
        <v>0</v>
      </c>
      <c r="K256">
        <v>0</v>
      </c>
      <c r="L256">
        <v>260</v>
      </c>
      <c r="M256">
        <v>0</v>
      </c>
      <c r="N256">
        <v>70</v>
      </c>
      <c r="O256">
        <v>0</v>
      </c>
      <c r="P256">
        <v>50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 t="s">
        <v>546</v>
      </c>
    </row>
    <row r="257" spans="1:25" x14ac:dyDescent="0.25">
      <c r="H257" t="s">
        <v>91</v>
      </c>
    </row>
    <row r="258" spans="1:25" x14ac:dyDescent="0.25">
      <c r="A258">
        <v>126</v>
      </c>
      <c r="B258">
        <v>629</v>
      </c>
      <c r="C258" t="s">
        <v>550</v>
      </c>
      <c r="D258" t="s">
        <v>551</v>
      </c>
      <c r="E258" t="s">
        <v>130</v>
      </c>
      <c r="F258" t="s">
        <v>552</v>
      </c>
      <c r="G258" t="str">
        <f>"00182545"</f>
        <v>00182545</v>
      </c>
      <c r="H258" t="s">
        <v>137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70</v>
      </c>
      <c r="Q258">
        <v>0</v>
      </c>
      <c r="R258">
        <v>30</v>
      </c>
      <c r="S258">
        <v>0</v>
      </c>
      <c r="T258">
        <v>0</v>
      </c>
      <c r="U258">
        <v>0</v>
      </c>
      <c r="V258">
        <v>0</v>
      </c>
      <c r="X258">
        <v>0</v>
      </c>
      <c r="Y258" t="s">
        <v>553</v>
      </c>
    </row>
    <row r="259" spans="1:25" x14ac:dyDescent="0.25">
      <c r="H259" t="s">
        <v>34</v>
      </c>
    </row>
    <row r="260" spans="1:25" x14ac:dyDescent="0.25">
      <c r="A260">
        <v>127</v>
      </c>
      <c r="B260">
        <v>4272</v>
      </c>
      <c r="C260" t="s">
        <v>554</v>
      </c>
      <c r="D260" t="s">
        <v>159</v>
      </c>
      <c r="E260" t="s">
        <v>81</v>
      </c>
      <c r="F260" t="s">
        <v>555</v>
      </c>
      <c r="G260" t="str">
        <f>"00133258"</f>
        <v>00133258</v>
      </c>
      <c r="H260" t="s">
        <v>505</v>
      </c>
      <c r="I260">
        <v>0</v>
      </c>
      <c r="J260">
        <v>0</v>
      </c>
      <c r="K260">
        <v>0</v>
      </c>
      <c r="L260">
        <v>260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 t="s">
        <v>556</v>
      </c>
    </row>
    <row r="261" spans="1:25" x14ac:dyDescent="0.25">
      <c r="H261" t="s">
        <v>23</v>
      </c>
    </row>
    <row r="262" spans="1:25" x14ac:dyDescent="0.25">
      <c r="A262">
        <v>128</v>
      </c>
      <c r="B262">
        <v>5713</v>
      </c>
      <c r="C262" t="s">
        <v>557</v>
      </c>
      <c r="D262" t="s">
        <v>558</v>
      </c>
      <c r="E262" t="s">
        <v>87</v>
      </c>
      <c r="F262" t="s">
        <v>559</v>
      </c>
      <c r="G262" t="str">
        <f>"201511031243"</f>
        <v>201511031243</v>
      </c>
      <c r="H262">
        <v>781</v>
      </c>
      <c r="I262">
        <v>0</v>
      </c>
      <c r="J262">
        <v>0</v>
      </c>
      <c r="K262">
        <v>0</v>
      </c>
      <c r="L262">
        <v>260</v>
      </c>
      <c r="M262">
        <v>0</v>
      </c>
      <c r="N262">
        <v>70</v>
      </c>
      <c r="O262">
        <v>70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1181</v>
      </c>
    </row>
    <row r="263" spans="1:25" x14ac:dyDescent="0.25">
      <c r="H263" t="s">
        <v>23</v>
      </c>
    </row>
    <row r="264" spans="1:25" x14ac:dyDescent="0.25">
      <c r="A264">
        <v>129</v>
      </c>
      <c r="B264">
        <v>5238</v>
      </c>
      <c r="C264" t="s">
        <v>560</v>
      </c>
      <c r="D264" t="s">
        <v>561</v>
      </c>
      <c r="E264" t="s">
        <v>21</v>
      </c>
      <c r="F264" t="s">
        <v>562</v>
      </c>
      <c r="G264" t="str">
        <f>"00123538"</f>
        <v>00123538</v>
      </c>
      <c r="H264" t="s">
        <v>563</v>
      </c>
      <c r="I264">
        <v>0</v>
      </c>
      <c r="J264">
        <v>0</v>
      </c>
      <c r="K264">
        <v>0</v>
      </c>
      <c r="L264">
        <v>260</v>
      </c>
      <c r="M264">
        <v>0</v>
      </c>
      <c r="N264">
        <v>70</v>
      </c>
      <c r="O264">
        <v>70</v>
      </c>
      <c r="P264">
        <v>0</v>
      </c>
      <c r="Q264">
        <v>0</v>
      </c>
      <c r="R264">
        <v>30</v>
      </c>
      <c r="S264">
        <v>0</v>
      </c>
      <c r="T264">
        <v>0</v>
      </c>
      <c r="U264">
        <v>0</v>
      </c>
      <c r="V264">
        <v>0</v>
      </c>
      <c r="X264">
        <v>0</v>
      </c>
      <c r="Y264" t="s">
        <v>564</v>
      </c>
    </row>
    <row r="265" spans="1:25" x14ac:dyDescent="0.25">
      <c r="H265" t="s">
        <v>53</v>
      </c>
    </row>
    <row r="266" spans="1:25" x14ac:dyDescent="0.25">
      <c r="A266">
        <v>130</v>
      </c>
      <c r="B266">
        <v>5468</v>
      </c>
      <c r="C266" t="s">
        <v>565</v>
      </c>
      <c r="D266" t="s">
        <v>566</v>
      </c>
      <c r="E266" t="s">
        <v>567</v>
      </c>
      <c r="F266" t="s">
        <v>568</v>
      </c>
      <c r="G266" t="str">
        <f>"201506001893"</f>
        <v>201506001893</v>
      </c>
      <c r="H266" t="s">
        <v>407</v>
      </c>
      <c r="I266">
        <v>150</v>
      </c>
      <c r="J266">
        <v>0</v>
      </c>
      <c r="K266">
        <v>0</v>
      </c>
      <c r="L266">
        <v>0</v>
      </c>
      <c r="M266">
        <v>100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 t="s">
        <v>569</v>
      </c>
    </row>
    <row r="267" spans="1:25" x14ac:dyDescent="0.25">
      <c r="H267" t="s">
        <v>34</v>
      </c>
    </row>
    <row r="268" spans="1:25" x14ac:dyDescent="0.25">
      <c r="A268">
        <v>131</v>
      </c>
      <c r="B268">
        <v>5507</v>
      </c>
      <c r="C268" t="s">
        <v>570</v>
      </c>
      <c r="D268" t="s">
        <v>571</v>
      </c>
      <c r="E268" t="s">
        <v>14</v>
      </c>
      <c r="F268" t="s">
        <v>572</v>
      </c>
      <c r="G268" t="str">
        <f>"00122712"</f>
        <v>00122712</v>
      </c>
      <c r="H268" t="s">
        <v>414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70</v>
      </c>
      <c r="P268">
        <v>0</v>
      </c>
      <c r="Q268">
        <v>0</v>
      </c>
      <c r="R268">
        <v>70</v>
      </c>
      <c r="S268">
        <v>0</v>
      </c>
      <c r="T268">
        <v>0</v>
      </c>
      <c r="U268">
        <v>0</v>
      </c>
      <c r="V268">
        <v>0</v>
      </c>
      <c r="X268">
        <v>0</v>
      </c>
      <c r="Y268" t="s">
        <v>573</v>
      </c>
    </row>
    <row r="269" spans="1:25" x14ac:dyDescent="0.25">
      <c r="H269" t="s">
        <v>213</v>
      </c>
    </row>
    <row r="270" spans="1:25" x14ac:dyDescent="0.25">
      <c r="A270">
        <v>132</v>
      </c>
      <c r="B270">
        <v>5616</v>
      </c>
      <c r="C270" t="s">
        <v>574</v>
      </c>
      <c r="D270" t="s">
        <v>575</v>
      </c>
      <c r="E270" t="s">
        <v>43</v>
      </c>
      <c r="F270" t="s">
        <v>576</v>
      </c>
      <c r="G270" t="str">
        <f>"00198350"</f>
        <v>00198350</v>
      </c>
      <c r="H270" t="s">
        <v>202</v>
      </c>
      <c r="I270">
        <v>0</v>
      </c>
      <c r="J270">
        <v>0</v>
      </c>
      <c r="K270">
        <v>0</v>
      </c>
      <c r="L270">
        <v>200</v>
      </c>
      <c r="M270">
        <v>30</v>
      </c>
      <c r="N270">
        <v>70</v>
      </c>
      <c r="O270">
        <v>0</v>
      </c>
      <c r="P270">
        <v>70</v>
      </c>
      <c r="Q270">
        <v>0</v>
      </c>
      <c r="R270">
        <v>30</v>
      </c>
      <c r="S270">
        <v>0</v>
      </c>
      <c r="T270">
        <v>0</v>
      </c>
      <c r="U270">
        <v>0</v>
      </c>
      <c r="V270">
        <v>0</v>
      </c>
      <c r="X270">
        <v>0</v>
      </c>
      <c r="Y270" t="s">
        <v>577</v>
      </c>
    </row>
    <row r="271" spans="1:25" x14ac:dyDescent="0.25">
      <c r="H271" t="s">
        <v>34</v>
      </c>
    </row>
    <row r="272" spans="1:25" x14ac:dyDescent="0.25">
      <c r="A272">
        <v>133</v>
      </c>
      <c r="B272">
        <v>1635</v>
      </c>
      <c r="C272" t="s">
        <v>578</v>
      </c>
      <c r="D272" t="s">
        <v>15</v>
      </c>
      <c r="E272" t="s">
        <v>93</v>
      </c>
      <c r="F272" t="s">
        <v>579</v>
      </c>
      <c r="G272" t="str">
        <f>"00117502"</f>
        <v>00117502</v>
      </c>
      <c r="H272" t="s">
        <v>536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70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 t="s">
        <v>580</v>
      </c>
    </row>
    <row r="273" spans="1:25" x14ac:dyDescent="0.25">
      <c r="H273" t="s">
        <v>118</v>
      </c>
    </row>
    <row r="274" spans="1:25" x14ac:dyDescent="0.25">
      <c r="A274">
        <v>134</v>
      </c>
      <c r="B274">
        <v>2823</v>
      </c>
      <c r="C274" t="s">
        <v>581</v>
      </c>
      <c r="D274" t="s">
        <v>25</v>
      </c>
      <c r="E274" t="s">
        <v>86</v>
      </c>
      <c r="F274" t="s">
        <v>582</v>
      </c>
      <c r="G274" t="str">
        <f>"00194250"</f>
        <v>00194250</v>
      </c>
      <c r="H274" t="s">
        <v>536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70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 t="s">
        <v>580</v>
      </c>
    </row>
    <row r="275" spans="1:25" x14ac:dyDescent="0.25">
      <c r="H275" t="s">
        <v>53</v>
      </c>
    </row>
    <row r="276" spans="1:25" x14ac:dyDescent="0.25">
      <c r="A276">
        <v>135</v>
      </c>
      <c r="B276">
        <v>1669</v>
      </c>
      <c r="C276" t="s">
        <v>583</v>
      </c>
      <c r="D276" t="s">
        <v>584</v>
      </c>
      <c r="E276" t="s">
        <v>585</v>
      </c>
      <c r="F276" t="s">
        <v>586</v>
      </c>
      <c r="G276" t="str">
        <f>"00086718"</f>
        <v>00086718</v>
      </c>
      <c r="H276">
        <v>858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50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1178</v>
      </c>
    </row>
    <row r="277" spans="1:25" x14ac:dyDescent="0.25">
      <c r="H277" t="s">
        <v>23</v>
      </c>
    </row>
    <row r="278" spans="1:25" x14ac:dyDescent="0.25">
      <c r="A278">
        <v>136</v>
      </c>
      <c r="B278">
        <v>5633</v>
      </c>
      <c r="C278" t="s">
        <v>587</v>
      </c>
      <c r="D278" t="s">
        <v>350</v>
      </c>
      <c r="E278" t="s">
        <v>49</v>
      </c>
      <c r="F278" t="s">
        <v>588</v>
      </c>
      <c r="G278" t="str">
        <f>"00194969"</f>
        <v>00194969</v>
      </c>
      <c r="H278">
        <v>836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70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1176</v>
      </c>
    </row>
    <row r="279" spans="1:25" x14ac:dyDescent="0.25">
      <c r="H279" t="s">
        <v>34</v>
      </c>
    </row>
    <row r="280" spans="1:25" x14ac:dyDescent="0.25">
      <c r="A280">
        <v>137</v>
      </c>
      <c r="B280">
        <v>5909</v>
      </c>
      <c r="C280" t="s">
        <v>589</v>
      </c>
      <c r="D280" t="s">
        <v>49</v>
      </c>
      <c r="E280" t="s">
        <v>93</v>
      </c>
      <c r="F280" t="s">
        <v>590</v>
      </c>
      <c r="G280" t="str">
        <f>"201405002341"</f>
        <v>201405002341</v>
      </c>
      <c r="H280" t="s">
        <v>254</v>
      </c>
      <c r="I280">
        <v>0</v>
      </c>
      <c r="J280">
        <v>0</v>
      </c>
      <c r="K280">
        <v>0</v>
      </c>
      <c r="L280">
        <v>260</v>
      </c>
      <c r="M280">
        <v>0</v>
      </c>
      <c r="N280">
        <v>70</v>
      </c>
      <c r="O280">
        <v>70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 t="s">
        <v>591</v>
      </c>
    </row>
    <row r="281" spans="1:25" x14ac:dyDescent="0.25">
      <c r="H281" t="s">
        <v>91</v>
      </c>
    </row>
    <row r="282" spans="1:25" x14ac:dyDescent="0.25">
      <c r="A282">
        <v>138</v>
      </c>
      <c r="B282">
        <v>1096</v>
      </c>
      <c r="C282" t="s">
        <v>592</v>
      </c>
      <c r="D282" t="s">
        <v>593</v>
      </c>
      <c r="E282" t="s">
        <v>147</v>
      </c>
      <c r="F282" t="s">
        <v>594</v>
      </c>
      <c r="G282" t="str">
        <f>"00014332"</f>
        <v>00014332</v>
      </c>
      <c r="H282" t="s">
        <v>595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70</v>
      </c>
      <c r="P282">
        <v>0</v>
      </c>
      <c r="Q282">
        <v>0</v>
      </c>
      <c r="R282">
        <v>30</v>
      </c>
      <c r="S282">
        <v>0</v>
      </c>
      <c r="T282">
        <v>0</v>
      </c>
      <c r="U282">
        <v>0</v>
      </c>
      <c r="V282">
        <v>0</v>
      </c>
      <c r="X282">
        <v>0</v>
      </c>
      <c r="Y282" t="s">
        <v>596</v>
      </c>
    </row>
    <row r="283" spans="1:25" x14ac:dyDescent="0.25">
      <c r="H283" t="s">
        <v>53</v>
      </c>
    </row>
    <row r="284" spans="1:25" x14ac:dyDescent="0.25">
      <c r="A284">
        <v>139</v>
      </c>
      <c r="B284">
        <v>870</v>
      </c>
      <c r="C284" t="s">
        <v>597</v>
      </c>
      <c r="D284" t="s">
        <v>598</v>
      </c>
      <c r="E284" t="s">
        <v>55</v>
      </c>
      <c r="F284" t="s">
        <v>599</v>
      </c>
      <c r="G284" t="str">
        <f>"00135218"</f>
        <v>00135218</v>
      </c>
      <c r="H284" t="s">
        <v>600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70</v>
      </c>
      <c r="P284">
        <v>50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 t="s">
        <v>601</v>
      </c>
    </row>
    <row r="285" spans="1:25" x14ac:dyDescent="0.25">
      <c r="H285" t="s">
        <v>53</v>
      </c>
    </row>
    <row r="286" spans="1:25" x14ac:dyDescent="0.25">
      <c r="A286">
        <v>140</v>
      </c>
      <c r="B286">
        <v>2962</v>
      </c>
      <c r="C286" t="s">
        <v>602</v>
      </c>
      <c r="D286" t="s">
        <v>603</v>
      </c>
      <c r="E286" t="s">
        <v>71</v>
      </c>
      <c r="F286" t="s">
        <v>604</v>
      </c>
      <c r="G286" t="str">
        <f>"00129760"</f>
        <v>00129760</v>
      </c>
      <c r="H286" t="s">
        <v>116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 t="s">
        <v>605</v>
      </c>
    </row>
    <row r="287" spans="1:25" x14ac:dyDescent="0.25">
      <c r="H287" t="s">
        <v>34</v>
      </c>
    </row>
    <row r="288" spans="1:25" x14ac:dyDescent="0.25">
      <c r="A288">
        <v>141</v>
      </c>
      <c r="B288">
        <v>4695</v>
      </c>
      <c r="C288" t="s">
        <v>606</v>
      </c>
      <c r="D288" t="s">
        <v>147</v>
      </c>
      <c r="E288" t="s">
        <v>283</v>
      </c>
      <c r="F288" t="s">
        <v>607</v>
      </c>
      <c r="G288" t="str">
        <f>"00108452"</f>
        <v>00108452</v>
      </c>
      <c r="H288" t="s">
        <v>608</v>
      </c>
      <c r="I288">
        <v>0</v>
      </c>
      <c r="J288">
        <v>0</v>
      </c>
      <c r="K288">
        <v>0</v>
      </c>
      <c r="L288">
        <v>260</v>
      </c>
      <c r="M288">
        <v>0</v>
      </c>
      <c r="N288">
        <v>70</v>
      </c>
      <c r="O288">
        <v>70</v>
      </c>
      <c r="P288">
        <v>0</v>
      </c>
      <c r="Q288">
        <v>30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 t="s">
        <v>609</v>
      </c>
    </row>
    <row r="289" spans="1:25" x14ac:dyDescent="0.25">
      <c r="H289" t="s">
        <v>23</v>
      </c>
    </row>
    <row r="290" spans="1:25" x14ac:dyDescent="0.25">
      <c r="A290">
        <v>142</v>
      </c>
      <c r="B290">
        <v>6497</v>
      </c>
      <c r="C290" t="s">
        <v>610</v>
      </c>
      <c r="D290" t="s">
        <v>25</v>
      </c>
      <c r="E290" t="s">
        <v>21</v>
      </c>
      <c r="F290" t="s">
        <v>611</v>
      </c>
      <c r="G290" t="str">
        <f>"00117147"</f>
        <v>00117147</v>
      </c>
      <c r="H290" t="s">
        <v>612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70</v>
      </c>
      <c r="P290">
        <v>0</v>
      </c>
      <c r="Q290">
        <v>0</v>
      </c>
      <c r="R290">
        <v>0</v>
      </c>
      <c r="S290">
        <v>0</v>
      </c>
      <c r="T290">
        <v>70</v>
      </c>
      <c r="U290">
        <v>0</v>
      </c>
      <c r="V290">
        <v>0</v>
      </c>
      <c r="X290">
        <v>0</v>
      </c>
      <c r="Y290" t="s">
        <v>613</v>
      </c>
    </row>
    <row r="291" spans="1:25" x14ac:dyDescent="0.25">
      <c r="H291" t="s">
        <v>213</v>
      </c>
    </row>
    <row r="292" spans="1:25" x14ac:dyDescent="0.25">
      <c r="A292">
        <v>143</v>
      </c>
      <c r="B292">
        <v>6328</v>
      </c>
      <c r="C292" t="s">
        <v>614</v>
      </c>
      <c r="D292" t="s">
        <v>615</v>
      </c>
      <c r="E292" t="s">
        <v>616</v>
      </c>
      <c r="F292" t="s">
        <v>617</v>
      </c>
      <c r="G292" t="str">
        <f>"00192159"</f>
        <v>00192159</v>
      </c>
      <c r="H292" t="s">
        <v>618</v>
      </c>
      <c r="I292">
        <v>150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3</v>
      </c>
      <c r="Y292" t="s">
        <v>619</v>
      </c>
    </row>
    <row r="293" spans="1:25" x14ac:dyDescent="0.25">
      <c r="H293" t="s">
        <v>213</v>
      </c>
    </row>
    <row r="294" spans="1:25" x14ac:dyDescent="0.25">
      <c r="A294">
        <v>144</v>
      </c>
      <c r="B294">
        <v>3323</v>
      </c>
      <c r="C294" t="s">
        <v>620</v>
      </c>
      <c r="D294" t="s">
        <v>48</v>
      </c>
      <c r="E294" t="s">
        <v>15</v>
      </c>
      <c r="F294" t="s">
        <v>621</v>
      </c>
      <c r="G294" t="str">
        <f>"00015113"</f>
        <v>00015113</v>
      </c>
      <c r="H294" t="s">
        <v>622</v>
      </c>
      <c r="I294">
        <v>0</v>
      </c>
      <c r="J294">
        <v>0</v>
      </c>
      <c r="K294">
        <v>0</v>
      </c>
      <c r="L294">
        <v>260</v>
      </c>
      <c r="M294">
        <v>0</v>
      </c>
      <c r="N294">
        <v>70</v>
      </c>
      <c r="O294">
        <v>70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 t="s">
        <v>623</v>
      </c>
    </row>
    <row r="295" spans="1:25" x14ac:dyDescent="0.25">
      <c r="H295" t="s">
        <v>34</v>
      </c>
    </row>
    <row r="296" spans="1:25" x14ac:dyDescent="0.25">
      <c r="A296">
        <v>145</v>
      </c>
      <c r="B296">
        <v>5797</v>
      </c>
      <c r="C296" t="s">
        <v>624</v>
      </c>
      <c r="D296" t="s">
        <v>625</v>
      </c>
      <c r="E296" t="s">
        <v>626</v>
      </c>
      <c r="F296" t="s">
        <v>627</v>
      </c>
      <c r="G296" t="str">
        <f>"201406013479"</f>
        <v>201406013479</v>
      </c>
      <c r="H296">
        <v>891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0</v>
      </c>
      <c r="O296">
        <v>30</v>
      </c>
      <c r="P296">
        <v>50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1171</v>
      </c>
    </row>
    <row r="297" spans="1:25" x14ac:dyDescent="0.25">
      <c r="H297" t="s">
        <v>23</v>
      </c>
    </row>
    <row r="298" spans="1:25" x14ac:dyDescent="0.25">
      <c r="A298">
        <v>146</v>
      </c>
      <c r="B298">
        <v>890</v>
      </c>
      <c r="C298" t="s">
        <v>628</v>
      </c>
      <c r="D298" t="s">
        <v>629</v>
      </c>
      <c r="E298" t="s">
        <v>87</v>
      </c>
      <c r="F298" t="s">
        <v>630</v>
      </c>
      <c r="G298" t="str">
        <f>"201406009786"</f>
        <v>201406009786</v>
      </c>
      <c r="H298" t="s">
        <v>631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70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 t="s">
        <v>632</v>
      </c>
    </row>
    <row r="299" spans="1:25" x14ac:dyDescent="0.25">
      <c r="H299">
        <v>101</v>
      </c>
    </row>
    <row r="300" spans="1:25" x14ac:dyDescent="0.25">
      <c r="A300">
        <v>147</v>
      </c>
      <c r="B300">
        <v>1010</v>
      </c>
      <c r="C300" t="s">
        <v>633</v>
      </c>
      <c r="D300" t="s">
        <v>634</v>
      </c>
      <c r="E300" t="s">
        <v>49</v>
      </c>
      <c r="F300" t="s">
        <v>635</v>
      </c>
      <c r="G300" t="str">
        <f>"201401001109"</f>
        <v>201401001109</v>
      </c>
      <c r="H300" t="s">
        <v>636</v>
      </c>
      <c r="I300">
        <v>150</v>
      </c>
      <c r="J300">
        <v>0</v>
      </c>
      <c r="K300">
        <v>0</v>
      </c>
      <c r="L300">
        <v>0</v>
      </c>
      <c r="M300">
        <v>130</v>
      </c>
      <c r="N300">
        <v>70</v>
      </c>
      <c r="O300">
        <v>0</v>
      </c>
      <c r="P300">
        <v>50</v>
      </c>
      <c r="Q300">
        <v>50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 t="s">
        <v>632</v>
      </c>
    </row>
    <row r="301" spans="1:25" x14ac:dyDescent="0.25">
      <c r="H301" t="s">
        <v>637</v>
      </c>
    </row>
    <row r="302" spans="1:25" x14ac:dyDescent="0.25">
      <c r="A302">
        <v>148</v>
      </c>
      <c r="B302">
        <v>5661</v>
      </c>
      <c r="C302" t="s">
        <v>638</v>
      </c>
      <c r="D302" t="s">
        <v>291</v>
      </c>
      <c r="E302" t="s">
        <v>61</v>
      </c>
      <c r="F302" t="s">
        <v>639</v>
      </c>
      <c r="G302" t="str">
        <f>"00130455"</f>
        <v>00130455</v>
      </c>
      <c r="H302" t="s">
        <v>364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50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 t="s">
        <v>640</v>
      </c>
    </row>
    <row r="303" spans="1:25" x14ac:dyDescent="0.25">
      <c r="H303" t="s">
        <v>23</v>
      </c>
    </row>
    <row r="304" spans="1:25" x14ac:dyDescent="0.25">
      <c r="A304">
        <v>149</v>
      </c>
      <c r="B304">
        <v>3674</v>
      </c>
      <c r="C304" t="s">
        <v>641</v>
      </c>
      <c r="D304" t="s">
        <v>21</v>
      </c>
      <c r="E304" t="s">
        <v>87</v>
      </c>
      <c r="F304" t="s">
        <v>642</v>
      </c>
      <c r="G304" t="str">
        <f>"201405000421"</f>
        <v>201405000421</v>
      </c>
      <c r="H304" t="s">
        <v>563</v>
      </c>
      <c r="I304">
        <v>150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 t="s">
        <v>643</v>
      </c>
    </row>
    <row r="305" spans="1:25" x14ac:dyDescent="0.25">
      <c r="H305" t="s">
        <v>91</v>
      </c>
    </row>
    <row r="306" spans="1:25" x14ac:dyDescent="0.25">
      <c r="A306">
        <v>150</v>
      </c>
      <c r="B306">
        <v>5184</v>
      </c>
      <c r="C306" t="s">
        <v>644</v>
      </c>
      <c r="D306" t="s">
        <v>159</v>
      </c>
      <c r="E306" t="s">
        <v>645</v>
      </c>
      <c r="F306" t="s">
        <v>646</v>
      </c>
      <c r="G306" t="str">
        <f>"201405000854"</f>
        <v>201405000854</v>
      </c>
      <c r="H306" t="s">
        <v>647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50</v>
      </c>
      <c r="P306">
        <v>0</v>
      </c>
      <c r="Q306">
        <v>0</v>
      </c>
      <c r="R306">
        <v>0</v>
      </c>
      <c r="S306">
        <v>0</v>
      </c>
      <c r="T306">
        <v>30</v>
      </c>
      <c r="U306">
        <v>0</v>
      </c>
      <c r="V306">
        <v>0</v>
      </c>
      <c r="X306">
        <v>0</v>
      </c>
      <c r="Y306" t="s">
        <v>648</v>
      </c>
    </row>
    <row r="307" spans="1:25" x14ac:dyDescent="0.25">
      <c r="H307" t="s">
        <v>23</v>
      </c>
    </row>
    <row r="308" spans="1:25" x14ac:dyDescent="0.25">
      <c r="A308">
        <v>151</v>
      </c>
      <c r="B308">
        <v>4532</v>
      </c>
      <c r="C308" t="s">
        <v>649</v>
      </c>
      <c r="D308" t="s">
        <v>650</v>
      </c>
      <c r="E308" t="s">
        <v>200</v>
      </c>
      <c r="F308" t="s">
        <v>651</v>
      </c>
      <c r="G308" t="str">
        <f>"00128183"</f>
        <v>00128183</v>
      </c>
      <c r="H308" t="s">
        <v>223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70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 t="s">
        <v>652</v>
      </c>
    </row>
    <row r="309" spans="1:25" x14ac:dyDescent="0.25">
      <c r="H309" t="s">
        <v>34</v>
      </c>
    </row>
    <row r="310" spans="1:25" x14ac:dyDescent="0.25">
      <c r="A310">
        <v>152</v>
      </c>
      <c r="B310">
        <v>5573</v>
      </c>
      <c r="C310" t="s">
        <v>653</v>
      </c>
      <c r="D310" t="s">
        <v>113</v>
      </c>
      <c r="E310" t="s">
        <v>87</v>
      </c>
      <c r="F310" t="s">
        <v>654</v>
      </c>
      <c r="G310" t="str">
        <f>"201506003430"</f>
        <v>201506003430</v>
      </c>
      <c r="H310" t="s">
        <v>655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50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 t="s">
        <v>656</v>
      </c>
    </row>
    <row r="311" spans="1:25" x14ac:dyDescent="0.25">
      <c r="H311" t="s">
        <v>23</v>
      </c>
    </row>
    <row r="312" spans="1:25" x14ac:dyDescent="0.25">
      <c r="A312">
        <v>153</v>
      </c>
      <c r="B312">
        <v>5938</v>
      </c>
      <c r="C312" t="s">
        <v>657</v>
      </c>
      <c r="D312" t="s">
        <v>658</v>
      </c>
      <c r="E312" t="s">
        <v>15</v>
      </c>
      <c r="F312" t="s">
        <v>659</v>
      </c>
      <c r="G312" t="str">
        <f>"00013576"</f>
        <v>00013576</v>
      </c>
      <c r="H312" t="s">
        <v>660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50</v>
      </c>
      <c r="P312">
        <v>70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 t="s">
        <v>661</v>
      </c>
    </row>
    <row r="313" spans="1:25" x14ac:dyDescent="0.25">
      <c r="H313" t="s">
        <v>34</v>
      </c>
    </row>
    <row r="314" spans="1:25" x14ac:dyDescent="0.25">
      <c r="A314">
        <v>154</v>
      </c>
      <c r="B314">
        <v>891</v>
      </c>
      <c r="C314" t="s">
        <v>662</v>
      </c>
      <c r="D314" t="s">
        <v>663</v>
      </c>
      <c r="E314" t="s">
        <v>43</v>
      </c>
      <c r="F314" t="s">
        <v>664</v>
      </c>
      <c r="G314" t="str">
        <f>"00203084"</f>
        <v>00203084</v>
      </c>
      <c r="H314" t="s">
        <v>665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70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 t="s">
        <v>666</v>
      </c>
    </row>
    <row r="315" spans="1:25" x14ac:dyDescent="0.25">
      <c r="H315" t="s">
        <v>53</v>
      </c>
    </row>
    <row r="316" spans="1:25" x14ac:dyDescent="0.25">
      <c r="A316">
        <v>155</v>
      </c>
      <c r="B316">
        <v>5443</v>
      </c>
      <c r="C316" t="s">
        <v>667</v>
      </c>
      <c r="D316" t="s">
        <v>634</v>
      </c>
      <c r="E316" t="s">
        <v>283</v>
      </c>
      <c r="F316" t="s">
        <v>668</v>
      </c>
      <c r="G316" t="str">
        <f>"201304001878"</f>
        <v>201304001878</v>
      </c>
      <c r="H316">
        <v>836</v>
      </c>
      <c r="I316">
        <v>0</v>
      </c>
      <c r="J316">
        <v>0</v>
      </c>
      <c r="K316">
        <v>0</v>
      </c>
      <c r="L316">
        <v>260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1166</v>
      </c>
    </row>
    <row r="317" spans="1:25" x14ac:dyDescent="0.25">
      <c r="H317" t="s">
        <v>53</v>
      </c>
    </row>
    <row r="318" spans="1:25" x14ac:dyDescent="0.25">
      <c r="A318">
        <v>156</v>
      </c>
      <c r="B318">
        <v>431</v>
      </c>
      <c r="C318" t="s">
        <v>669</v>
      </c>
      <c r="D318" t="s">
        <v>21</v>
      </c>
      <c r="E318" t="s">
        <v>99</v>
      </c>
      <c r="F318" t="s">
        <v>670</v>
      </c>
      <c r="G318" t="str">
        <f>"00113656"</f>
        <v>00113656</v>
      </c>
      <c r="H318" t="s">
        <v>671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30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 t="s">
        <v>672</v>
      </c>
    </row>
    <row r="319" spans="1:25" x14ac:dyDescent="0.25">
      <c r="H319">
        <v>101</v>
      </c>
    </row>
    <row r="320" spans="1:25" x14ac:dyDescent="0.25">
      <c r="A320">
        <v>157</v>
      </c>
      <c r="B320">
        <v>1210</v>
      </c>
      <c r="C320" t="s">
        <v>673</v>
      </c>
      <c r="D320" t="s">
        <v>130</v>
      </c>
      <c r="E320" t="s">
        <v>43</v>
      </c>
      <c r="F320" t="s">
        <v>674</v>
      </c>
      <c r="G320" t="str">
        <f>"00014724"</f>
        <v>00014724</v>
      </c>
      <c r="H320" t="s">
        <v>549</v>
      </c>
      <c r="I320">
        <v>0</v>
      </c>
      <c r="J320">
        <v>0</v>
      </c>
      <c r="K320">
        <v>0</v>
      </c>
      <c r="L320">
        <v>260</v>
      </c>
      <c r="M320">
        <v>0</v>
      </c>
      <c r="N320">
        <v>70</v>
      </c>
      <c r="O320">
        <v>30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 t="s">
        <v>675</v>
      </c>
    </row>
    <row r="321" spans="1:25" x14ac:dyDescent="0.25">
      <c r="H321" t="s">
        <v>23</v>
      </c>
    </row>
    <row r="322" spans="1:25" x14ac:dyDescent="0.25">
      <c r="A322">
        <v>158</v>
      </c>
      <c r="B322">
        <v>5203</v>
      </c>
      <c r="C322" t="s">
        <v>676</v>
      </c>
      <c r="D322" t="s">
        <v>266</v>
      </c>
      <c r="E322" t="s">
        <v>147</v>
      </c>
      <c r="F322" t="s">
        <v>677</v>
      </c>
      <c r="G322" t="str">
        <f>"00133045"</f>
        <v>00133045</v>
      </c>
      <c r="H322" t="s">
        <v>678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50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 t="s">
        <v>679</v>
      </c>
    </row>
    <row r="323" spans="1:25" x14ac:dyDescent="0.25">
      <c r="H323" t="s">
        <v>23</v>
      </c>
    </row>
    <row r="324" spans="1:25" x14ac:dyDescent="0.25">
      <c r="A324">
        <v>159</v>
      </c>
      <c r="B324">
        <v>5187</v>
      </c>
      <c r="C324" t="s">
        <v>680</v>
      </c>
      <c r="D324" t="s">
        <v>25</v>
      </c>
      <c r="E324" t="s">
        <v>681</v>
      </c>
      <c r="F324" t="s">
        <v>682</v>
      </c>
      <c r="G324" t="str">
        <f>"201304002901"</f>
        <v>201304002901</v>
      </c>
      <c r="H324" t="s">
        <v>476</v>
      </c>
      <c r="I324">
        <v>0</v>
      </c>
      <c r="J324">
        <v>0</v>
      </c>
      <c r="K324">
        <v>0</v>
      </c>
      <c r="L324">
        <v>260</v>
      </c>
      <c r="M324">
        <v>0</v>
      </c>
      <c r="N324">
        <v>70</v>
      </c>
      <c r="O324">
        <v>30</v>
      </c>
      <c r="P324">
        <v>0</v>
      </c>
      <c r="Q324">
        <v>0</v>
      </c>
      <c r="R324">
        <v>30</v>
      </c>
      <c r="S324">
        <v>0</v>
      </c>
      <c r="T324">
        <v>0</v>
      </c>
      <c r="U324">
        <v>0</v>
      </c>
      <c r="V324">
        <v>0</v>
      </c>
      <c r="X324">
        <v>0</v>
      </c>
      <c r="Y324" t="s">
        <v>683</v>
      </c>
    </row>
    <row r="325" spans="1:25" x14ac:dyDescent="0.25">
      <c r="H325" t="s">
        <v>91</v>
      </c>
    </row>
    <row r="326" spans="1:25" x14ac:dyDescent="0.25">
      <c r="A326">
        <v>160</v>
      </c>
      <c r="B326">
        <v>5487</v>
      </c>
      <c r="C326" t="s">
        <v>684</v>
      </c>
      <c r="D326" t="s">
        <v>685</v>
      </c>
      <c r="E326" t="s">
        <v>55</v>
      </c>
      <c r="F326" t="s">
        <v>686</v>
      </c>
      <c r="G326" t="str">
        <f>"201505000358"</f>
        <v>201505000358</v>
      </c>
      <c r="H326" t="s">
        <v>476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70</v>
      </c>
      <c r="P326">
        <v>50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 t="s">
        <v>683</v>
      </c>
    </row>
    <row r="327" spans="1:25" x14ac:dyDescent="0.25">
      <c r="H327" t="s">
        <v>687</v>
      </c>
    </row>
    <row r="328" spans="1:25" x14ac:dyDescent="0.25">
      <c r="A328">
        <v>161</v>
      </c>
      <c r="B328">
        <v>1659</v>
      </c>
      <c r="C328" t="s">
        <v>688</v>
      </c>
      <c r="D328" t="s">
        <v>689</v>
      </c>
      <c r="E328" t="s">
        <v>21</v>
      </c>
      <c r="F328" t="s">
        <v>690</v>
      </c>
      <c r="G328" t="str">
        <f>"201406006570"</f>
        <v>201406006570</v>
      </c>
      <c r="H328" t="s">
        <v>691</v>
      </c>
      <c r="I328">
        <v>0</v>
      </c>
      <c r="J328">
        <v>0</v>
      </c>
      <c r="K328">
        <v>0</v>
      </c>
      <c r="L328">
        <v>260</v>
      </c>
      <c r="M328">
        <v>0</v>
      </c>
      <c r="N328">
        <v>70</v>
      </c>
      <c r="O328">
        <v>0</v>
      </c>
      <c r="P328">
        <v>50</v>
      </c>
      <c r="Q328">
        <v>0</v>
      </c>
      <c r="R328">
        <v>0</v>
      </c>
      <c r="S328">
        <v>30</v>
      </c>
      <c r="T328">
        <v>0</v>
      </c>
      <c r="U328">
        <v>0</v>
      </c>
      <c r="V328">
        <v>0</v>
      </c>
      <c r="X328">
        <v>0</v>
      </c>
      <c r="Y328" t="s">
        <v>692</v>
      </c>
    </row>
    <row r="329" spans="1:25" x14ac:dyDescent="0.25">
      <c r="H329" t="s">
        <v>91</v>
      </c>
    </row>
    <row r="330" spans="1:25" x14ac:dyDescent="0.25">
      <c r="A330">
        <v>162</v>
      </c>
      <c r="B330">
        <v>3065</v>
      </c>
      <c r="C330" t="s">
        <v>693</v>
      </c>
      <c r="D330" t="s">
        <v>685</v>
      </c>
      <c r="E330" t="s">
        <v>49</v>
      </c>
      <c r="F330" t="s">
        <v>694</v>
      </c>
      <c r="G330" t="str">
        <f>"201504003613"</f>
        <v>201504003613</v>
      </c>
      <c r="H330" t="s">
        <v>395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50</v>
      </c>
      <c r="P330">
        <v>30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 t="s">
        <v>695</v>
      </c>
    </row>
    <row r="331" spans="1:25" x14ac:dyDescent="0.25">
      <c r="H331" t="s">
        <v>23</v>
      </c>
    </row>
    <row r="332" spans="1:25" x14ac:dyDescent="0.25">
      <c r="A332">
        <v>163</v>
      </c>
      <c r="B332">
        <v>4937</v>
      </c>
      <c r="C332" t="s">
        <v>696</v>
      </c>
      <c r="D332" t="s">
        <v>697</v>
      </c>
      <c r="E332" t="s">
        <v>43</v>
      </c>
      <c r="F332" t="s">
        <v>698</v>
      </c>
      <c r="G332" t="str">
        <f>"00120893"</f>
        <v>00120893</v>
      </c>
      <c r="H332" t="s">
        <v>699</v>
      </c>
      <c r="I332">
        <v>0</v>
      </c>
      <c r="J332">
        <v>0</v>
      </c>
      <c r="K332">
        <v>0</v>
      </c>
      <c r="L332">
        <v>260</v>
      </c>
      <c r="M332">
        <v>0</v>
      </c>
      <c r="N332">
        <v>70</v>
      </c>
      <c r="O332">
        <v>70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 t="s">
        <v>700</v>
      </c>
    </row>
    <row r="333" spans="1:25" x14ac:dyDescent="0.25">
      <c r="H333" t="s">
        <v>118</v>
      </c>
    </row>
    <row r="334" spans="1:25" x14ac:dyDescent="0.25">
      <c r="A334">
        <v>164</v>
      </c>
      <c r="B334">
        <v>2363</v>
      </c>
      <c r="C334" t="s">
        <v>701</v>
      </c>
      <c r="D334" t="s">
        <v>702</v>
      </c>
      <c r="E334" t="s">
        <v>55</v>
      </c>
      <c r="F334" t="s">
        <v>703</v>
      </c>
      <c r="G334" t="str">
        <f>"201506003895"</f>
        <v>201506003895</v>
      </c>
      <c r="H334" t="s">
        <v>32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50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 t="s">
        <v>704</v>
      </c>
    </row>
    <row r="335" spans="1:25" x14ac:dyDescent="0.25">
      <c r="H335" t="s">
        <v>53</v>
      </c>
    </row>
    <row r="336" spans="1:25" x14ac:dyDescent="0.25">
      <c r="A336">
        <v>165</v>
      </c>
      <c r="B336">
        <v>417</v>
      </c>
      <c r="C336" t="s">
        <v>705</v>
      </c>
      <c r="D336" t="s">
        <v>706</v>
      </c>
      <c r="E336" t="s">
        <v>99</v>
      </c>
      <c r="F336" t="s">
        <v>707</v>
      </c>
      <c r="G336" t="str">
        <f>"00013830"</f>
        <v>00013830</v>
      </c>
      <c r="H336" t="s">
        <v>32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50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1</v>
      </c>
      <c r="Y336" t="s">
        <v>704</v>
      </c>
    </row>
    <row r="337" spans="1:25" x14ac:dyDescent="0.25">
      <c r="H337" t="s">
        <v>23</v>
      </c>
    </row>
    <row r="338" spans="1:25" x14ac:dyDescent="0.25">
      <c r="A338">
        <v>166</v>
      </c>
      <c r="B338">
        <v>5237</v>
      </c>
      <c r="C338" t="s">
        <v>708</v>
      </c>
      <c r="D338" t="s">
        <v>598</v>
      </c>
      <c r="E338" t="s">
        <v>709</v>
      </c>
      <c r="F338" t="s">
        <v>710</v>
      </c>
      <c r="G338" t="str">
        <f>"201506001550"</f>
        <v>201506001550</v>
      </c>
      <c r="H338" t="s">
        <v>711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70</v>
      </c>
      <c r="O338">
        <v>70</v>
      </c>
      <c r="P338">
        <v>0</v>
      </c>
      <c r="Q338">
        <v>0</v>
      </c>
      <c r="R338">
        <v>30</v>
      </c>
      <c r="S338">
        <v>0</v>
      </c>
      <c r="T338">
        <v>0</v>
      </c>
      <c r="U338">
        <v>0</v>
      </c>
      <c r="V338">
        <v>0</v>
      </c>
      <c r="X338">
        <v>0</v>
      </c>
      <c r="Y338" t="s">
        <v>712</v>
      </c>
    </row>
    <row r="339" spans="1:25" x14ac:dyDescent="0.25">
      <c r="H339" t="s">
        <v>34</v>
      </c>
    </row>
    <row r="340" spans="1:25" x14ac:dyDescent="0.25">
      <c r="A340">
        <v>167</v>
      </c>
      <c r="B340">
        <v>5395</v>
      </c>
      <c r="C340" t="s">
        <v>713</v>
      </c>
      <c r="D340" t="s">
        <v>566</v>
      </c>
      <c r="E340" t="s">
        <v>86</v>
      </c>
      <c r="F340" t="s">
        <v>714</v>
      </c>
      <c r="G340" t="str">
        <f>"00192139"</f>
        <v>00192139</v>
      </c>
      <c r="H340" t="s">
        <v>452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70</v>
      </c>
      <c r="Q340">
        <v>0</v>
      </c>
      <c r="R340">
        <v>0</v>
      </c>
      <c r="S340">
        <v>30</v>
      </c>
      <c r="T340">
        <v>0</v>
      </c>
      <c r="U340">
        <v>0</v>
      </c>
      <c r="V340">
        <v>0</v>
      </c>
      <c r="X340">
        <v>0</v>
      </c>
      <c r="Y340" t="s">
        <v>715</v>
      </c>
    </row>
    <row r="341" spans="1:25" x14ac:dyDescent="0.25">
      <c r="H341">
        <v>101</v>
      </c>
    </row>
    <row r="342" spans="1:25" x14ac:dyDescent="0.25">
      <c r="A342">
        <v>168</v>
      </c>
      <c r="B342">
        <v>3009</v>
      </c>
      <c r="C342" t="s">
        <v>716</v>
      </c>
      <c r="D342" t="s">
        <v>717</v>
      </c>
      <c r="E342" t="s">
        <v>49</v>
      </c>
      <c r="F342" t="s">
        <v>718</v>
      </c>
      <c r="G342" t="str">
        <f>"00115416"</f>
        <v>00115416</v>
      </c>
      <c r="H342" t="s">
        <v>719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70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 t="s">
        <v>720</v>
      </c>
    </row>
    <row r="343" spans="1:25" x14ac:dyDescent="0.25">
      <c r="H343" t="s">
        <v>23</v>
      </c>
    </row>
    <row r="344" spans="1:25" x14ac:dyDescent="0.25">
      <c r="A344">
        <v>169</v>
      </c>
      <c r="B344">
        <v>5256</v>
      </c>
      <c r="C344" t="s">
        <v>721</v>
      </c>
      <c r="D344" t="s">
        <v>266</v>
      </c>
      <c r="E344" t="s">
        <v>21</v>
      </c>
      <c r="F344" t="s">
        <v>722</v>
      </c>
      <c r="G344" t="str">
        <f>"201304001873"</f>
        <v>201304001873</v>
      </c>
      <c r="H344" t="s">
        <v>723</v>
      </c>
      <c r="I344">
        <v>0</v>
      </c>
      <c r="J344">
        <v>0</v>
      </c>
      <c r="K344">
        <v>0</v>
      </c>
      <c r="L344">
        <v>260</v>
      </c>
      <c r="M344">
        <v>0</v>
      </c>
      <c r="N344">
        <v>70</v>
      </c>
      <c r="O344">
        <v>0</v>
      </c>
      <c r="P344">
        <v>50</v>
      </c>
      <c r="Q344">
        <v>0</v>
      </c>
      <c r="R344">
        <v>50</v>
      </c>
      <c r="S344">
        <v>0</v>
      </c>
      <c r="T344">
        <v>0</v>
      </c>
      <c r="U344">
        <v>0</v>
      </c>
      <c r="V344">
        <v>0</v>
      </c>
      <c r="X344">
        <v>0</v>
      </c>
      <c r="Y344" t="s">
        <v>724</v>
      </c>
    </row>
    <row r="345" spans="1:25" x14ac:dyDescent="0.25">
      <c r="H345" t="s">
        <v>34</v>
      </c>
    </row>
    <row r="346" spans="1:25" x14ac:dyDescent="0.25">
      <c r="A346">
        <v>170</v>
      </c>
      <c r="B346">
        <v>5715</v>
      </c>
      <c r="C346" t="s">
        <v>725</v>
      </c>
      <c r="D346" t="s">
        <v>726</v>
      </c>
      <c r="E346" t="s">
        <v>727</v>
      </c>
      <c r="F346" t="s">
        <v>728</v>
      </c>
      <c r="G346" t="str">
        <f>"00193404"</f>
        <v>00193404</v>
      </c>
      <c r="H346" t="s">
        <v>729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70</v>
      </c>
      <c r="P346">
        <v>0</v>
      </c>
      <c r="Q346">
        <v>70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2</v>
      </c>
      <c r="Y346" t="s">
        <v>730</v>
      </c>
    </row>
    <row r="347" spans="1:25" x14ac:dyDescent="0.25">
      <c r="H347" t="s">
        <v>34</v>
      </c>
    </row>
    <row r="348" spans="1:25" x14ac:dyDescent="0.25">
      <c r="A348">
        <v>171</v>
      </c>
      <c r="B348">
        <v>2136</v>
      </c>
      <c r="C348" t="s">
        <v>731</v>
      </c>
      <c r="D348" t="s">
        <v>209</v>
      </c>
      <c r="E348" t="s">
        <v>200</v>
      </c>
      <c r="F348" t="s">
        <v>732</v>
      </c>
      <c r="G348" t="str">
        <f>"00077739"</f>
        <v>00077739</v>
      </c>
      <c r="H348" t="s">
        <v>324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70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 t="s">
        <v>733</v>
      </c>
    </row>
    <row r="349" spans="1:25" x14ac:dyDescent="0.25">
      <c r="H349" t="s">
        <v>111</v>
      </c>
    </row>
    <row r="350" spans="1:25" x14ac:dyDescent="0.25">
      <c r="A350">
        <v>172</v>
      </c>
      <c r="B350">
        <v>4980</v>
      </c>
      <c r="C350" t="s">
        <v>734</v>
      </c>
      <c r="D350" t="s">
        <v>571</v>
      </c>
      <c r="E350" t="s">
        <v>49</v>
      </c>
      <c r="F350" t="s">
        <v>735</v>
      </c>
      <c r="G350" t="str">
        <f>"00102544"</f>
        <v>00102544</v>
      </c>
      <c r="H350" t="s">
        <v>127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70</v>
      </c>
      <c r="P350">
        <v>50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 t="s">
        <v>736</v>
      </c>
    </row>
    <row r="351" spans="1:25" x14ac:dyDescent="0.25">
      <c r="H351" t="s">
        <v>34</v>
      </c>
    </row>
    <row r="352" spans="1:25" x14ac:dyDescent="0.25">
      <c r="A352">
        <v>173</v>
      </c>
      <c r="B352">
        <v>5482</v>
      </c>
      <c r="C352" t="s">
        <v>737</v>
      </c>
      <c r="D352" t="s">
        <v>55</v>
      </c>
      <c r="E352" t="s">
        <v>130</v>
      </c>
      <c r="F352" t="s">
        <v>738</v>
      </c>
      <c r="G352" t="str">
        <f>"00173613"</f>
        <v>00173613</v>
      </c>
      <c r="H352">
        <v>836</v>
      </c>
      <c r="I352">
        <v>0</v>
      </c>
      <c r="J352">
        <v>0</v>
      </c>
      <c r="K352">
        <v>0</v>
      </c>
      <c r="L352">
        <v>0</v>
      </c>
      <c r="M352">
        <v>130</v>
      </c>
      <c r="N352">
        <v>70</v>
      </c>
      <c r="O352">
        <v>70</v>
      </c>
      <c r="P352">
        <v>50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1156</v>
      </c>
    </row>
    <row r="353" spans="1:25" x14ac:dyDescent="0.25">
      <c r="H353" t="s">
        <v>34</v>
      </c>
    </row>
    <row r="354" spans="1:25" x14ac:dyDescent="0.25">
      <c r="A354">
        <v>174</v>
      </c>
      <c r="B354">
        <v>418</v>
      </c>
      <c r="C354" t="s">
        <v>739</v>
      </c>
      <c r="D354" t="s">
        <v>193</v>
      </c>
      <c r="E354" t="s">
        <v>49</v>
      </c>
      <c r="F354" t="s">
        <v>740</v>
      </c>
      <c r="G354" t="str">
        <f>"201406015046"</f>
        <v>201406015046</v>
      </c>
      <c r="H354">
        <v>825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30</v>
      </c>
      <c r="P354">
        <v>0</v>
      </c>
      <c r="Q354">
        <v>30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1155</v>
      </c>
    </row>
    <row r="355" spans="1:25" x14ac:dyDescent="0.25">
      <c r="H355">
        <v>101</v>
      </c>
    </row>
    <row r="356" spans="1:25" x14ac:dyDescent="0.25">
      <c r="A356">
        <v>175</v>
      </c>
      <c r="B356">
        <v>5592</v>
      </c>
      <c r="C356" t="s">
        <v>741</v>
      </c>
      <c r="D356" t="s">
        <v>689</v>
      </c>
      <c r="E356" t="s">
        <v>71</v>
      </c>
      <c r="F356" t="s">
        <v>742</v>
      </c>
      <c r="G356" t="str">
        <f>"201406013125"</f>
        <v>201406013125</v>
      </c>
      <c r="H356">
        <v>825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30</v>
      </c>
      <c r="P356">
        <v>0</v>
      </c>
      <c r="Q356">
        <v>0</v>
      </c>
      <c r="R356">
        <v>30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1155</v>
      </c>
    </row>
    <row r="357" spans="1:25" x14ac:dyDescent="0.25">
      <c r="H357" t="s">
        <v>23</v>
      </c>
    </row>
    <row r="358" spans="1:25" x14ac:dyDescent="0.25">
      <c r="A358">
        <v>176</v>
      </c>
      <c r="B358">
        <v>5568</v>
      </c>
      <c r="C358" t="s">
        <v>743</v>
      </c>
      <c r="D358" t="s">
        <v>744</v>
      </c>
      <c r="E358" t="s">
        <v>745</v>
      </c>
      <c r="F358" t="s">
        <v>746</v>
      </c>
      <c r="G358" t="str">
        <f>"201406000133"</f>
        <v>201406000133</v>
      </c>
      <c r="H358" t="s">
        <v>747</v>
      </c>
      <c r="I358">
        <v>0</v>
      </c>
      <c r="J358">
        <v>0</v>
      </c>
      <c r="K358">
        <v>0</v>
      </c>
      <c r="L358">
        <v>260</v>
      </c>
      <c r="M358">
        <v>0</v>
      </c>
      <c r="N358">
        <v>70</v>
      </c>
      <c r="O358">
        <v>50</v>
      </c>
      <c r="P358">
        <v>0</v>
      </c>
      <c r="Q358">
        <v>0</v>
      </c>
      <c r="R358">
        <v>30</v>
      </c>
      <c r="S358">
        <v>0</v>
      </c>
      <c r="T358">
        <v>0</v>
      </c>
      <c r="U358">
        <v>0</v>
      </c>
      <c r="V358">
        <v>0</v>
      </c>
      <c r="X358">
        <v>0</v>
      </c>
      <c r="Y358" t="s">
        <v>748</v>
      </c>
    </row>
    <row r="359" spans="1:25" x14ac:dyDescent="0.25">
      <c r="H359" t="s">
        <v>23</v>
      </c>
    </row>
    <row r="360" spans="1:25" x14ac:dyDescent="0.25">
      <c r="A360">
        <v>177</v>
      </c>
      <c r="B360">
        <v>6242</v>
      </c>
      <c r="C360" t="s">
        <v>749</v>
      </c>
      <c r="D360" t="s">
        <v>266</v>
      </c>
      <c r="E360" t="s">
        <v>55</v>
      </c>
      <c r="F360" t="s">
        <v>750</v>
      </c>
      <c r="G360" t="str">
        <f>"201304003319"</f>
        <v>201304003319</v>
      </c>
      <c r="H360" t="s">
        <v>751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 t="s">
        <v>752</v>
      </c>
    </row>
    <row r="361" spans="1:25" x14ac:dyDescent="0.25">
      <c r="H361" t="s">
        <v>213</v>
      </c>
    </row>
    <row r="362" spans="1:25" x14ac:dyDescent="0.25">
      <c r="A362">
        <v>178</v>
      </c>
      <c r="B362">
        <v>205</v>
      </c>
      <c r="C362" t="s">
        <v>753</v>
      </c>
      <c r="D362" t="s">
        <v>754</v>
      </c>
      <c r="E362" t="s">
        <v>55</v>
      </c>
      <c r="F362" t="s">
        <v>755</v>
      </c>
      <c r="G362" t="str">
        <f>"201506003770"</f>
        <v>201506003770</v>
      </c>
      <c r="H362">
        <v>814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70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1154</v>
      </c>
    </row>
    <row r="363" spans="1:25" x14ac:dyDescent="0.25">
      <c r="H363" t="s">
        <v>53</v>
      </c>
    </row>
    <row r="364" spans="1:25" x14ac:dyDescent="0.25">
      <c r="A364">
        <v>179</v>
      </c>
      <c r="B364">
        <v>152</v>
      </c>
      <c r="C364" t="s">
        <v>244</v>
      </c>
      <c r="D364" t="s">
        <v>756</v>
      </c>
      <c r="E364" t="s">
        <v>49</v>
      </c>
      <c r="F364" t="s">
        <v>757</v>
      </c>
      <c r="G364" t="str">
        <f>"201511038507"</f>
        <v>201511038507</v>
      </c>
      <c r="H364" t="s">
        <v>152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30</v>
      </c>
      <c r="P364">
        <v>0</v>
      </c>
      <c r="Q364">
        <v>30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 t="s">
        <v>758</v>
      </c>
    </row>
    <row r="365" spans="1:25" x14ac:dyDescent="0.25">
      <c r="H365" t="s">
        <v>366</v>
      </c>
    </row>
    <row r="366" spans="1:25" x14ac:dyDescent="0.25">
      <c r="A366">
        <v>180</v>
      </c>
      <c r="B366">
        <v>3951</v>
      </c>
      <c r="C366" t="s">
        <v>759</v>
      </c>
      <c r="D366" t="s">
        <v>760</v>
      </c>
      <c r="E366" t="s">
        <v>87</v>
      </c>
      <c r="F366" t="s">
        <v>761</v>
      </c>
      <c r="G366" t="str">
        <f>"201406013764"</f>
        <v>201406013764</v>
      </c>
      <c r="H366" t="s">
        <v>762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70</v>
      </c>
      <c r="O366">
        <v>50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 t="s">
        <v>763</v>
      </c>
    </row>
    <row r="367" spans="1:25" x14ac:dyDescent="0.25">
      <c r="H367" t="s">
        <v>118</v>
      </c>
    </row>
    <row r="368" spans="1:25" x14ac:dyDescent="0.25">
      <c r="A368">
        <v>181</v>
      </c>
      <c r="B368">
        <v>2213</v>
      </c>
      <c r="C368" t="s">
        <v>764</v>
      </c>
      <c r="D368" t="s">
        <v>21</v>
      </c>
      <c r="E368" t="s">
        <v>43</v>
      </c>
      <c r="F368" t="s">
        <v>765</v>
      </c>
      <c r="G368" t="str">
        <f>"00014123"</f>
        <v>00014123</v>
      </c>
      <c r="H368">
        <v>803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50</v>
      </c>
      <c r="Q368">
        <v>30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1153</v>
      </c>
    </row>
    <row r="369" spans="1:25" x14ac:dyDescent="0.25">
      <c r="H369" t="s">
        <v>23</v>
      </c>
    </row>
    <row r="370" spans="1:25" x14ac:dyDescent="0.25">
      <c r="A370">
        <v>182</v>
      </c>
      <c r="B370">
        <v>1803</v>
      </c>
      <c r="C370" t="s">
        <v>766</v>
      </c>
      <c r="D370" t="s">
        <v>49</v>
      </c>
      <c r="E370" t="s">
        <v>114</v>
      </c>
      <c r="F370" t="s">
        <v>767</v>
      </c>
      <c r="G370" t="str">
        <f>"201505000165"</f>
        <v>201505000165</v>
      </c>
      <c r="H370" t="s">
        <v>768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30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 t="s">
        <v>769</v>
      </c>
    </row>
    <row r="371" spans="1:25" x14ac:dyDescent="0.25">
      <c r="H371">
        <v>101</v>
      </c>
    </row>
    <row r="372" spans="1:25" x14ac:dyDescent="0.25">
      <c r="A372">
        <v>183</v>
      </c>
      <c r="B372">
        <v>4330</v>
      </c>
      <c r="C372" t="s">
        <v>770</v>
      </c>
      <c r="D372" t="s">
        <v>771</v>
      </c>
      <c r="E372" t="s">
        <v>87</v>
      </c>
      <c r="F372" t="s">
        <v>772</v>
      </c>
      <c r="G372" t="str">
        <f>"00196988"</f>
        <v>00196988</v>
      </c>
      <c r="H372" t="s">
        <v>395</v>
      </c>
      <c r="I372">
        <v>0</v>
      </c>
      <c r="J372">
        <v>0</v>
      </c>
      <c r="K372">
        <v>0</v>
      </c>
      <c r="L372">
        <v>0</v>
      </c>
      <c r="M372">
        <v>100</v>
      </c>
      <c r="N372">
        <v>70</v>
      </c>
      <c r="O372">
        <v>70</v>
      </c>
      <c r="P372">
        <v>50</v>
      </c>
      <c r="Q372">
        <v>0</v>
      </c>
      <c r="R372">
        <v>0</v>
      </c>
      <c r="S372">
        <v>0</v>
      </c>
      <c r="T372">
        <v>50</v>
      </c>
      <c r="U372">
        <v>0</v>
      </c>
      <c r="V372">
        <v>0</v>
      </c>
      <c r="X372">
        <v>0</v>
      </c>
      <c r="Y372" t="s">
        <v>773</v>
      </c>
    </row>
    <row r="373" spans="1:25" x14ac:dyDescent="0.25">
      <c r="H373" t="s">
        <v>34</v>
      </c>
    </row>
    <row r="374" spans="1:25" x14ac:dyDescent="0.25">
      <c r="A374">
        <v>184</v>
      </c>
      <c r="B374">
        <v>4837</v>
      </c>
      <c r="C374" t="s">
        <v>774</v>
      </c>
      <c r="D374" t="s">
        <v>184</v>
      </c>
      <c r="E374" t="s">
        <v>291</v>
      </c>
      <c r="F374" t="s">
        <v>775</v>
      </c>
      <c r="G374" t="str">
        <f>"00014963"</f>
        <v>00014963</v>
      </c>
      <c r="H374" t="s">
        <v>776</v>
      </c>
      <c r="I374">
        <v>150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50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 t="s">
        <v>777</v>
      </c>
    </row>
    <row r="375" spans="1:25" x14ac:dyDescent="0.25">
      <c r="H375" t="s">
        <v>23</v>
      </c>
    </row>
    <row r="376" spans="1:25" x14ac:dyDescent="0.25">
      <c r="A376">
        <v>185</v>
      </c>
      <c r="B376">
        <v>39</v>
      </c>
      <c r="C376" t="s">
        <v>522</v>
      </c>
      <c r="D376" t="s">
        <v>245</v>
      </c>
      <c r="E376" t="s">
        <v>114</v>
      </c>
      <c r="F376" t="s">
        <v>778</v>
      </c>
      <c r="G376" t="str">
        <f>"00015119"</f>
        <v>00015119</v>
      </c>
      <c r="H376" t="s">
        <v>431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70</v>
      </c>
      <c r="O376">
        <v>0</v>
      </c>
      <c r="P376">
        <v>70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 t="s">
        <v>779</v>
      </c>
    </row>
    <row r="377" spans="1:25" x14ac:dyDescent="0.25">
      <c r="H377" t="s">
        <v>23</v>
      </c>
    </row>
    <row r="378" spans="1:25" x14ac:dyDescent="0.25">
      <c r="A378">
        <v>186</v>
      </c>
      <c r="B378">
        <v>5790</v>
      </c>
      <c r="C378" t="s">
        <v>780</v>
      </c>
      <c r="D378" t="s">
        <v>468</v>
      </c>
      <c r="E378" t="s">
        <v>781</v>
      </c>
      <c r="F378" t="s">
        <v>782</v>
      </c>
      <c r="G378" t="str">
        <f>"00113215"</f>
        <v>00113215</v>
      </c>
      <c r="H378" t="s">
        <v>783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70</v>
      </c>
      <c r="P378">
        <v>0</v>
      </c>
      <c r="Q378">
        <v>70</v>
      </c>
      <c r="R378">
        <v>30</v>
      </c>
      <c r="S378">
        <v>0</v>
      </c>
      <c r="T378">
        <v>0</v>
      </c>
      <c r="U378">
        <v>0</v>
      </c>
      <c r="V378">
        <v>0</v>
      </c>
      <c r="X378">
        <v>0</v>
      </c>
      <c r="Y378" t="s">
        <v>784</v>
      </c>
    </row>
    <row r="379" spans="1:25" x14ac:dyDescent="0.25">
      <c r="H379" t="s">
        <v>34</v>
      </c>
    </row>
    <row r="380" spans="1:25" x14ac:dyDescent="0.25">
      <c r="A380">
        <v>187</v>
      </c>
      <c r="B380">
        <v>359</v>
      </c>
      <c r="C380" t="s">
        <v>785</v>
      </c>
      <c r="D380" t="s">
        <v>21</v>
      </c>
      <c r="E380" t="s">
        <v>37</v>
      </c>
      <c r="F380" t="s">
        <v>786</v>
      </c>
      <c r="G380" t="str">
        <f>"00013631"</f>
        <v>00013631</v>
      </c>
      <c r="H380" t="s">
        <v>51</v>
      </c>
      <c r="I380">
        <v>150</v>
      </c>
      <c r="J380">
        <v>0</v>
      </c>
      <c r="K380">
        <v>0</v>
      </c>
      <c r="L380">
        <v>200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 t="s">
        <v>787</v>
      </c>
    </row>
    <row r="381" spans="1:25" x14ac:dyDescent="0.25">
      <c r="H381" t="s">
        <v>788</v>
      </c>
    </row>
    <row r="382" spans="1:25" x14ac:dyDescent="0.25">
      <c r="A382">
        <v>188</v>
      </c>
      <c r="B382">
        <v>3420</v>
      </c>
      <c r="C382" t="s">
        <v>667</v>
      </c>
      <c r="D382" t="s">
        <v>48</v>
      </c>
      <c r="E382" t="s">
        <v>789</v>
      </c>
      <c r="F382" t="s">
        <v>790</v>
      </c>
      <c r="G382" t="str">
        <f>"00209520"</f>
        <v>00209520</v>
      </c>
      <c r="H382" t="s">
        <v>202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70</v>
      </c>
      <c r="P382">
        <v>0</v>
      </c>
      <c r="Q382">
        <v>30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 t="s">
        <v>791</v>
      </c>
    </row>
    <row r="383" spans="1:25" x14ac:dyDescent="0.25">
      <c r="H383" t="s">
        <v>53</v>
      </c>
    </row>
    <row r="384" spans="1:25" x14ac:dyDescent="0.25">
      <c r="A384">
        <v>189</v>
      </c>
      <c r="B384">
        <v>6484</v>
      </c>
      <c r="C384" t="s">
        <v>792</v>
      </c>
      <c r="D384" t="s">
        <v>245</v>
      </c>
      <c r="E384" t="s">
        <v>793</v>
      </c>
      <c r="F384" t="s">
        <v>794</v>
      </c>
      <c r="G384" t="str">
        <f>"00187407"</f>
        <v>00187407</v>
      </c>
      <c r="H384" t="s">
        <v>202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30</v>
      </c>
      <c r="P384">
        <v>70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 t="s">
        <v>791</v>
      </c>
    </row>
    <row r="385" spans="1:25" x14ac:dyDescent="0.25">
      <c r="H385" t="s">
        <v>118</v>
      </c>
    </row>
    <row r="386" spans="1:25" x14ac:dyDescent="0.25">
      <c r="A386">
        <v>190</v>
      </c>
      <c r="B386">
        <v>5557</v>
      </c>
      <c r="C386" t="s">
        <v>795</v>
      </c>
      <c r="D386" t="s">
        <v>796</v>
      </c>
      <c r="E386" t="s">
        <v>21</v>
      </c>
      <c r="F386" t="s">
        <v>797</v>
      </c>
      <c r="G386" t="str">
        <f>"201406018807"</f>
        <v>201406018807</v>
      </c>
      <c r="H386" t="s">
        <v>798</v>
      </c>
      <c r="I386">
        <v>0</v>
      </c>
      <c r="J386">
        <v>0</v>
      </c>
      <c r="K386">
        <v>0</v>
      </c>
      <c r="L386">
        <v>260</v>
      </c>
      <c r="M386">
        <v>0</v>
      </c>
      <c r="N386">
        <v>70</v>
      </c>
      <c r="O386">
        <v>70</v>
      </c>
      <c r="P386">
        <v>0</v>
      </c>
      <c r="Q386">
        <v>30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 t="s">
        <v>799</v>
      </c>
    </row>
    <row r="387" spans="1:25" x14ac:dyDescent="0.25">
      <c r="H387">
        <v>101</v>
      </c>
    </row>
    <row r="388" spans="1:25" x14ac:dyDescent="0.25">
      <c r="A388">
        <v>191</v>
      </c>
      <c r="B388">
        <v>5634</v>
      </c>
      <c r="C388" t="s">
        <v>800</v>
      </c>
      <c r="D388" t="s">
        <v>801</v>
      </c>
      <c r="E388" t="s">
        <v>21</v>
      </c>
      <c r="F388" t="s">
        <v>802</v>
      </c>
      <c r="G388" t="str">
        <f>"00209144"</f>
        <v>00209144</v>
      </c>
      <c r="H388" t="s">
        <v>206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70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 t="s">
        <v>803</v>
      </c>
    </row>
    <row r="389" spans="1:25" x14ac:dyDescent="0.25">
      <c r="H389" t="s">
        <v>34</v>
      </c>
    </row>
    <row r="390" spans="1:25" x14ac:dyDescent="0.25">
      <c r="A390">
        <v>192</v>
      </c>
      <c r="B390">
        <v>2419</v>
      </c>
      <c r="C390" t="s">
        <v>804</v>
      </c>
      <c r="D390" t="s">
        <v>805</v>
      </c>
      <c r="E390" t="s">
        <v>49</v>
      </c>
      <c r="F390" t="s">
        <v>806</v>
      </c>
      <c r="G390" t="str">
        <f>"00107223"</f>
        <v>00107223</v>
      </c>
      <c r="H390" t="s">
        <v>206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70</v>
      </c>
      <c r="S390">
        <v>0</v>
      </c>
      <c r="T390">
        <v>0</v>
      </c>
      <c r="U390">
        <v>0</v>
      </c>
      <c r="V390">
        <v>0</v>
      </c>
      <c r="X390">
        <v>0</v>
      </c>
      <c r="Y390" t="s">
        <v>803</v>
      </c>
    </row>
    <row r="391" spans="1:25" x14ac:dyDescent="0.25">
      <c r="H391" t="s">
        <v>34</v>
      </c>
    </row>
    <row r="392" spans="1:25" x14ac:dyDescent="0.25">
      <c r="A392">
        <v>193</v>
      </c>
      <c r="B392">
        <v>5667</v>
      </c>
      <c r="C392" t="s">
        <v>807</v>
      </c>
      <c r="D392" t="s">
        <v>25</v>
      </c>
      <c r="E392" t="s">
        <v>808</v>
      </c>
      <c r="F392" t="s">
        <v>809</v>
      </c>
      <c r="G392" t="str">
        <f>"00076545"</f>
        <v>00076545</v>
      </c>
      <c r="H392" t="s">
        <v>175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70</v>
      </c>
      <c r="P392">
        <v>50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 t="s">
        <v>810</v>
      </c>
    </row>
    <row r="393" spans="1:25" x14ac:dyDescent="0.25">
      <c r="H393" t="s">
        <v>53</v>
      </c>
    </row>
    <row r="394" spans="1:25" x14ac:dyDescent="0.25">
      <c r="A394">
        <v>194</v>
      </c>
      <c r="B394">
        <v>2726</v>
      </c>
      <c r="C394" t="s">
        <v>811</v>
      </c>
      <c r="D394" t="s">
        <v>20</v>
      </c>
      <c r="E394" t="s">
        <v>184</v>
      </c>
      <c r="F394" t="s">
        <v>812</v>
      </c>
      <c r="G394" t="str">
        <f>"00011998"</f>
        <v>00011998</v>
      </c>
      <c r="H394" t="s">
        <v>813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70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 t="s">
        <v>814</v>
      </c>
    </row>
    <row r="395" spans="1:25" x14ac:dyDescent="0.25">
      <c r="H395" t="s">
        <v>53</v>
      </c>
    </row>
    <row r="396" spans="1:25" x14ac:dyDescent="0.25">
      <c r="A396">
        <v>195</v>
      </c>
      <c r="B396">
        <v>801</v>
      </c>
      <c r="C396" t="s">
        <v>815</v>
      </c>
      <c r="D396" t="s">
        <v>816</v>
      </c>
      <c r="E396" t="s">
        <v>709</v>
      </c>
      <c r="F396" t="s">
        <v>817</v>
      </c>
      <c r="G396" t="str">
        <f>"201406017851"</f>
        <v>201406017851</v>
      </c>
      <c r="H396" t="s">
        <v>219</v>
      </c>
      <c r="I396">
        <v>0</v>
      </c>
      <c r="J396">
        <v>0</v>
      </c>
      <c r="K396">
        <v>0</v>
      </c>
      <c r="L396">
        <v>260</v>
      </c>
      <c r="M396">
        <v>0</v>
      </c>
      <c r="N396">
        <v>30</v>
      </c>
      <c r="O396">
        <v>70</v>
      </c>
      <c r="P396">
        <v>30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2</v>
      </c>
      <c r="Y396" t="s">
        <v>818</v>
      </c>
    </row>
    <row r="397" spans="1:25" x14ac:dyDescent="0.25">
      <c r="H397" t="s">
        <v>23</v>
      </c>
    </row>
    <row r="398" spans="1:25" x14ac:dyDescent="0.25">
      <c r="A398">
        <v>196</v>
      </c>
      <c r="B398">
        <v>824</v>
      </c>
      <c r="C398" t="s">
        <v>819</v>
      </c>
      <c r="D398" t="s">
        <v>820</v>
      </c>
      <c r="E398" t="s">
        <v>99</v>
      </c>
      <c r="F398" t="s">
        <v>821</v>
      </c>
      <c r="G398" t="str">
        <f>"201406013238"</f>
        <v>201406013238</v>
      </c>
      <c r="H398" t="s">
        <v>595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70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 t="s">
        <v>822</v>
      </c>
    </row>
    <row r="399" spans="1:25" x14ac:dyDescent="0.25">
      <c r="H399" t="s">
        <v>91</v>
      </c>
    </row>
    <row r="400" spans="1:25" x14ac:dyDescent="0.25">
      <c r="A400">
        <v>197</v>
      </c>
      <c r="B400">
        <v>5250</v>
      </c>
      <c r="C400" t="s">
        <v>823</v>
      </c>
      <c r="D400" t="s">
        <v>25</v>
      </c>
      <c r="E400" t="s">
        <v>200</v>
      </c>
      <c r="F400" t="s">
        <v>824</v>
      </c>
      <c r="G400" t="str">
        <f>"00187031"</f>
        <v>00187031</v>
      </c>
      <c r="H400" t="s">
        <v>678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30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 t="s">
        <v>825</v>
      </c>
    </row>
    <row r="401" spans="1:25" x14ac:dyDescent="0.25">
      <c r="H401" t="s">
        <v>34</v>
      </c>
    </row>
    <row r="402" spans="1:25" x14ac:dyDescent="0.25">
      <c r="A402">
        <v>198</v>
      </c>
      <c r="B402">
        <v>5626</v>
      </c>
      <c r="C402" t="s">
        <v>826</v>
      </c>
      <c r="D402" t="s">
        <v>625</v>
      </c>
      <c r="E402" t="s">
        <v>99</v>
      </c>
      <c r="F402" t="s">
        <v>827</v>
      </c>
      <c r="G402" t="str">
        <f>"00112338"</f>
        <v>00112338</v>
      </c>
      <c r="H402" t="s">
        <v>828</v>
      </c>
      <c r="I402">
        <v>150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0</v>
      </c>
      <c r="P402">
        <v>50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 t="s">
        <v>829</v>
      </c>
    </row>
    <row r="403" spans="1:25" x14ac:dyDescent="0.25">
      <c r="H403" t="s">
        <v>23</v>
      </c>
    </row>
    <row r="404" spans="1:25" x14ac:dyDescent="0.25">
      <c r="A404">
        <v>199</v>
      </c>
      <c r="B404">
        <v>6071</v>
      </c>
      <c r="C404" t="s">
        <v>830</v>
      </c>
      <c r="D404" t="s">
        <v>87</v>
      </c>
      <c r="E404" t="s">
        <v>21</v>
      </c>
      <c r="F404" t="s">
        <v>831</v>
      </c>
      <c r="G404" t="str">
        <f>"201406018514"</f>
        <v>201406018514</v>
      </c>
      <c r="H404" t="s">
        <v>832</v>
      </c>
      <c r="I404">
        <v>150</v>
      </c>
      <c r="J404">
        <v>0</v>
      </c>
      <c r="K404">
        <v>0</v>
      </c>
      <c r="L404">
        <v>0</v>
      </c>
      <c r="M404">
        <v>130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 t="s">
        <v>833</v>
      </c>
    </row>
    <row r="405" spans="1:25" x14ac:dyDescent="0.25">
      <c r="H405" t="s">
        <v>834</v>
      </c>
    </row>
    <row r="406" spans="1:25" x14ac:dyDescent="0.25">
      <c r="A406">
        <v>200</v>
      </c>
      <c r="B406">
        <v>3525</v>
      </c>
      <c r="C406" t="s">
        <v>835</v>
      </c>
      <c r="D406" t="s">
        <v>836</v>
      </c>
      <c r="E406" t="s">
        <v>93</v>
      </c>
      <c r="F406" t="s">
        <v>837</v>
      </c>
      <c r="G406" t="str">
        <f>"201412001965"</f>
        <v>201412001965</v>
      </c>
      <c r="H406" t="s">
        <v>296</v>
      </c>
      <c r="I406">
        <v>0</v>
      </c>
      <c r="J406">
        <v>0</v>
      </c>
      <c r="K406">
        <v>0</v>
      </c>
      <c r="L406">
        <v>0</v>
      </c>
      <c r="M406">
        <v>100</v>
      </c>
      <c r="N406">
        <v>30</v>
      </c>
      <c r="O406">
        <v>0</v>
      </c>
      <c r="P406">
        <v>0</v>
      </c>
      <c r="Q406">
        <v>70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 t="s">
        <v>838</v>
      </c>
    </row>
    <row r="407" spans="1:25" x14ac:dyDescent="0.25">
      <c r="H407" t="s">
        <v>23</v>
      </c>
    </row>
    <row r="408" spans="1:25" x14ac:dyDescent="0.25">
      <c r="A408">
        <v>201</v>
      </c>
      <c r="B408">
        <v>6243</v>
      </c>
      <c r="C408" t="s">
        <v>839</v>
      </c>
      <c r="D408" t="s">
        <v>217</v>
      </c>
      <c r="E408" t="s">
        <v>840</v>
      </c>
      <c r="F408" t="s">
        <v>841</v>
      </c>
      <c r="G408" t="str">
        <f>"00110337"</f>
        <v>00110337</v>
      </c>
      <c r="H408" t="s">
        <v>842</v>
      </c>
      <c r="I408">
        <v>150</v>
      </c>
      <c r="J408">
        <v>0</v>
      </c>
      <c r="K408">
        <v>0</v>
      </c>
      <c r="L408">
        <v>200</v>
      </c>
      <c r="M408">
        <v>30</v>
      </c>
      <c r="N408">
        <v>30</v>
      </c>
      <c r="O408">
        <v>30</v>
      </c>
      <c r="P408">
        <v>0</v>
      </c>
      <c r="Q408">
        <v>70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 t="s">
        <v>843</v>
      </c>
    </row>
    <row r="409" spans="1:25" x14ac:dyDescent="0.25">
      <c r="H409" t="s">
        <v>844</v>
      </c>
    </row>
    <row r="410" spans="1:25" x14ac:dyDescent="0.25">
      <c r="A410">
        <v>202</v>
      </c>
      <c r="B410">
        <v>5638</v>
      </c>
      <c r="C410" t="s">
        <v>845</v>
      </c>
      <c r="D410" t="s">
        <v>846</v>
      </c>
      <c r="E410" t="s">
        <v>43</v>
      </c>
      <c r="F410" t="s">
        <v>847</v>
      </c>
      <c r="G410" t="str">
        <f>"201304004897"</f>
        <v>201304004897</v>
      </c>
      <c r="H410" t="s">
        <v>691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70</v>
      </c>
      <c r="O410">
        <v>70</v>
      </c>
      <c r="P410">
        <v>0</v>
      </c>
      <c r="Q410">
        <v>0</v>
      </c>
      <c r="R410">
        <v>50</v>
      </c>
      <c r="S410">
        <v>0</v>
      </c>
      <c r="T410">
        <v>0</v>
      </c>
      <c r="U410">
        <v>0</v>
      </c>
      <c r="V410">
        <v>0</v>
      </c>
      <c r="X410">
        <v>0</v>
      </c>
      <c r="Y410" t="s">
        <v>848</v>
      </c>
    </row>
    <row r="411" spans="1:25" x14ac:dyDescent="0.25">
      <c r="H411" t="s">
        <v>53</v>
      </c>
    </row>
    <row r="412" spans="1:25" x14ac:dyDescent="0.25">
      <c r="A412">
        <v>203</v>
      </c>
      <c r="B412">
        <v>6207</v>
      </c>
      <c r="C412" t="s">
        <v>849</v>
      </c>
      <c r="D412" t="s">
        <v>598</v>
      </c>
      <c r="E412" t="s">
        <v>850</v>
      </c>
      <c r="F412" t="s">
        <v>851</v>
      </c>
      <c r="G412" t="str">
        <f>"00014613"</f>
        <v>00014613</v>
      </c>
      <c r="H412" t="s">
        <v>776</v>
      </c>
      <c r="I412">
        <v>0</v>
      </c>
      <c r="J412">
        <v>0</v>
      </c>
      <c r="K412">
        <v>0</v>
      </c>
      <c r="L412">
        <v>200</v>
      </c>
      <c r="M412">
        <v>30</v>
      </c>
      <c r="N412">
        <v>70</v>
      </c>
      <c r="O412">
        <v>50</v>
      </c>
      <c r="P412">
        <v>70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 t="s">
        <v>852</v>
      </c>
    </row>
    <row r="413" spans="1:25" x14ac:dyDescent="0.25">
      <c r="H413" t="s">
        <v>53</v>
      </c>
    </row>
    <row r="414" spans="1:25" x14ac:dyDescent="0.25">
      <c r="A414">
        <v>204</v>
      </c>
      <c r="B414">
        <v>6118</v>
      </c>
      <c r="C414" t="s">
        <v>853</v>
      </c>
      <c r="D414" t="s">
        <v>854</v>
      </c>
      <c r="E414" t="s">
        <v>419</v>
      </c>
      <c r="F414" t="s">
        <v>855</v>
      </c>
      <c r="G414" t="str">
        <f>"201406012804"</f>
        <v>201406012804</v>
      </c>
      <c r="H414" t="s">
        <v>622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0</v>
      </c>
      <c r="P414">
        <v>70</v>
      </c>
      <c r="Q414">
        <v>0</v>
      </c>
      <c r="R414">
        <v>30</v>
      </c>
      <c r="S414">
        <v>0</v>
      </c>
      <c r="T414">
        <v>0</v>
      </c>
      <c r="U414">
        <v>0</v>
      </c>
      <c r="V414">
        <v>0</v>
      </c>
      <c r="X414">
        <v>0</v>
      </c>
      <c r="Y414" t="s">
        <v>856</v>
      </c>
    </row>
    <row r="415" spans="1:25" x14ac:dyDescent="0.25">
      <c r="H415" t="s">
        <v>23</v>
      </c>
    </row>
    <row r="416" spans="1:25" x14ac:dyDescent="0.25">
      <c r="A416">
        <v>205</v>
      </c>
      <c r="B416">
        <v>4400</v>
      </c>
      <c r="C416" t="s">
        <v>857</v>
      </c>
      <c r="D416" t="s">
        <v>858</v>
      </c>
      <c r="E416" t="s">
        <v>55</v>
      </c>
      <c r="F416" t="s">
        <v>859</v>
      </c>
      <c r="G416" t="str">
        <f>"201304004321"</f>
        <v>201304004321</v>
      </c>
      <c r="H416" t="s">
        <v>860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50</v>
      </c>
      <c r="Q416">
        <v>30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 t="s">
        <v>861</v>
      </c>
    </row>
    <row r="417" spans="1:25" x14ac:dyDescent="0.25">
      <c r="H417" t="s">
        <v>53</v>
      </c>
    </row>
    <row r="418" spans="1:25" x14ac:dyDescent="0.25">
      <c r="A418">
        <v>206</v>
      </c>
      <c r="B418">
        <v>155</v>
      </c>
      <c r="C418" t="s">
        <v>862</v>
      </c>
      <c r="D418" t="s">
        <v>598</v>
      </c>
      <c r="E418" t="s">
        <v>200</v>
      </c>
      <c r="F418" t="s">
        <v>863</v>
      </c>
      <c r="G418" t="str">
        <f>"201406001496"</f>
        <v>201406001496</v>
      </c>
      <c r="H418" t="s">
        <v>860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50</v>
      </c>
      <c r="P418">
        <v>0</v>
      </c>
      <c r="Q418">
        <v>30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 t="s">
        <v>861</v>
      </c>
    </row>
    <row r="419" spans="1:25" x14ac:dyDescent="0.25">
      <c r="H419" t="s">
        <v>34</v>
      </c>
    </row>
    <row r="420" spans="1:25" x14ac:dyDescent="0.25">
      <c r="A420">
        <v>207</v>
      </c>
      <c r="B420">
        <v>3897</v>
      </c>
      <c r="C420" t="s">
        <v>795</v>
      </c>
      <c r="D420" t="s">
        <v>113</v>
      </c>
      <c r="E420" t="s">
        <v>864</v>
      </c>
      <c r="F420" t="s">
        <v>865</v>
      </c>
      <c r="G420" t="str">
        <f>"00125353"</f>
        <v>00125353</v>
      </c>
      <c r="H420" t="s">
        <v>860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30</v>
      </c>
      <c r="P420">
        <v>0</v>
      </c>
      <c r="Q420">
        <v>50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 t="s">
        <v>861</v>
      </c>
    </row>
    <row r="421" spans="1:25" x14ac:dyDescent="0.25">
      <c r="H421">
        <v>101</v>
      </c>
    </row>
    <row r="422" spans="1:25" x14ac:dyDescent="0.25">
      <c r="A422">
        <v>208</v>
      </c>
      <c r="B422">
        <v>4716</v>
      </c>
      <c r="C422" t="s">
        <v>866</v>
      </c>
      <c r="D422" t="s">
        <v>25</v>
      </c>
      <c r="E422" t="s">
        <v>283</v>
      </c>
      <c r="F422" t="s">
        <v>867</v>
      </c>
      <c r="G422" t="str">
        <f>"00011638"</f>
        <v>00011638</v>
      </c>
      <c r="H422" t="s">
        <v>868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50</v>
      </c>
      <c r="O422">
        <v>70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 t="s">
        <v>869</v>
      </c>
    </row>
    <row r="423" spans="1:25" x14ac:dyDescent="0.25">
      <c r="H423" t="s">
        <v>23</v>
      </c>
    </row>
    <row r="424" spans="1:25" x14ac:dyDescent="0.25">
      <c r="A424">
        <v>209</v>
      </c>
      <c r="B424">
        <v>2687</v>
      </c>
      <c r="C424" t="s">
        <v>870</v>
      </c>
      <c r="D424" t="s">
        <v>871</v>
      </c>
      <c r="E424" t="s">
        <v>872</v>
      </c>
      <c r="F424" t="s">
        <v>873</v>
      </c>
      <c r="G424" t="str">
        <f>"201304003147"</f>
        <v>201304003147</v>
      </c>
      <c r="H424" t="s">
        <v>868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50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 t="s">
        <v>869</v>
      </c>
    </row>
    <row r="425" spans="1:25" x14ac:dyDescent="0.25">
      <c r="H425" t="s">
        <v>23</v>
      </c>
    </row>
    <row r="426" spans="1:25" x14ac:dyDescent="0.25">
      <c r="A426">
        <v>210</v>
      </c>
      <c r="B426">
        <v>1002</v>
      </c>
      <c r="C426" t="s">
        <v>874</v>
      </c>
      <c r="D426" t="s">
        <v>159</v>
      </c>
      <c r="E426" t="s">
        <v>49</v>
      </c>
      <c r="F426" t="s">
        <v>875</v>
      </c>
      <c r="G426" t="str">
        <f>"201304004765"</f>
        <v>201304004765</v>
      </c>
      <c r="H426" t="s">
        <v>868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50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 t="s">
        <v>869</v>
      </c>
    </row>
    <row r="427" spans="1:25" x14ac:dyDescent="0.25">
      <c r="H427" t="s">
        <v>23</v>
      </c>
    </row>
    <row r="428" spans="1:25" x14ac:dyDescent="0.25">
      <c r="A428">
        <v>211</v>
      </c>
      <c r="B428">
        <v>3877</v>
      </c>
      <c r="C428" t="s">
        <v>876</v>
      </c>
      <c r="D428" t="s">
        <v>217</v>
      </c>
      <c r="E428" t="s">
        <v>15</v>
      </c>
      <c r="F428" t="s">
        <v>877</v>
      </c>
      <c r="G428" t="str">
        <f>"201406009994"</f>
        <v>201406009994</v>
      </c>
      <c r="H428" t="s">
        <v>32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30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 t="s">
        <v>878</v>
      </c>
    </row>
    <row r="429" spans="1:25" x14ac:dyDescent="0.25">
      <c r="H429" t="s">
        <v>23</v>
      </c>
    </row>
    <row r="430" spans="1:25" x14ac:dyDescent="0.25">
      <c r="A430">
        <v>212</v>
      </c>
      <c r="B430">
        <v>6114</v>
      </c>
      <c r="C430" t="s">
        <v>879</v>
      </c>
      <c r="D430" t="s">
        <v>571</v>
      </c>
      <c r="E430" t="s">
        <v>200</v>
      </c>
      <c r="F430" t="s">
        <v>880</v>
      </c>
      <c r="G430" t="str">
        <f>"00013653"</f>
        <v>00013653</v>
      </c>
      <c r="H430" t="s">
        <v>171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30</v>
      </c>
      <c r="O430">
        <v>0</v>
      </c>
      <c r="P430">
        <v>50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 t="s">
        <v>881</v>
      </c>
    </row>
    <row r="431" spans="1:25" x14ac:dyDescent="0.25">
      <c r="H431" t="s">
        <v>118</v>
      </c>
    </row>
    <row r="432" spans="1:25" x14ac:dyDescent="0.25">
      <c r="A432">
        <v>213</v>
      </c>
      <c r="B432">
        <v>5310</v>
      </c>
      <c r="C432" t="s">
        <v>882</v>
      </c>
      <c r="D432" t="s">
        <v>883</v>
      </c>
      <c r="E432" t="s">
        <v>283</v>
      </c>
      <c r="F432" t="s">
        <v>884</v>
      </c>
      <c r="G432" t="str">
        <f>"00116742"</f>
        <v>00116742</v>
      </c>
      <c r="H432">
        <v>759</v>
      </c>
      <c r="I432">
        <v>150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1139</v>
      </c>
    </row>
    <row r="433" spans="1:25" x14ac:dyDescent="0.25">
      <c r="H433" t="s">
        <v>213</v>
      </c>
    </row>
    <row r="434" spans="1:25" x14ac:dyDescent="0.25">
      <c r="A434">
        <v>214</v>
      </c>
      <c r="B434">
        <v>6307</v>
      </c>
      <c r="C434" t="s">
        <v>885</v>
      </c>
      <c r="D434" t="s">
        <v>20</v>
      </c>
      <c r="E434" t="s">
        <v>886</v>
      </c>
      <c r="F434" t="s">
        <v>887</v>
      </c>
      <c r="G434" t="str">
        <f>"201304004711"</f>
        <v>201304004711</v>
      </c>
      <c r="H434" t="s">
        <v>888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70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 t="s">
        <v>889</v>
      </c>
    </row>
    <row r="435" spans="1:25" x14ac:dyDescent="0.25">
      <c r="H435" t="s">
        <v>34</v>
      </c>
    </row>
    <row r="436" spans="1:25" x14ac:dyDescent="0.25">
      <c r="A436">
        <v>215</v>
      </c>
      <c r="B436">
        <v>4779</v>
      </c>
      <c r="C436" t="s">
        <v>890</v>
      </c>
      <c r="D436" t="s">
        <v>891</v>
      </c>
      <c r="E436" t="s">
        <v>93</v>
      </c>
      <c r="F436" t="s">
        <v>892</v>
      </c>
      <c r="G436" t="str">
        <f>"00196397"</f>
        <v>00196397</v>
      </c>
      <c r="H436" t="s">
        <v>263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70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 t="s">
        <v>893</v>
      </c>
    </row>
    <row r="437" spans="1:25" x14ac:dyDescent="0.25">
      <c r="H437" t="s">
        <v>34</v>
      </c>
    </row>
    <row r="438" spans="1:25" x14ac:dyDescent="0.25">
      <c r="A438">
        <v>216</v>
      </c>
      <c r="B438">
        <v>5609</v>
      </c>
      <c r="C438" t="s">
        <v>894</v>
      </c>
      <c r="D438" t="s">
        <v>854</v>
      </c>
      <c r="E438" t="s">
        <v>895</v>
      </c>
      <c r="F438" t="s">
        <v>896</v>
      </c>
      <c r="G438" t="str">
        <f>"201506003798"</f>
        <v>201506003798</v>
      </c>
      <c r="H438" t="s">
        <v>719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50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 t="s">
        <v>897</v>
      </c>
    </row>
    <row r="439" spans="1:25" x14ac:dyDescent="0.25">
      <c r="H439" t="s">
        <v>53</v>
      </c>
    </row>
    <row r="440" spans="1:25" x14ac:dyDescent="0.25">
      <c r="A440">
        <v>217</v>
      </c>
      <c r="B440">
        <v>5221</v>
      </c>
      <c r="C440" t="s">
        <v>898</v>
      </c>
      <c r="D440" t="s">
        <v>113</v>
      </c>
      <c r="E440" t="s">
        <v>49</v>
      </c>
      <c r="F440" t="s">
        <v>899</v>
      </c>
      <c r="G440" t="str">
        <f>"00199878"</f>
        <v>00199878</v>
      </c>
      <c r="H440" t="s">
        <v>719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50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 t="s">
        <v>897</v>
      </c>
    </row>
    <row r="441" spans="1:25" x14ac:dyDescent="0.25">
      <c r="H441">
        <v>101</v>
      </c>
    </row>
    <row r="442" spans="1:25" x14ac:dyDescent="0.25">
      <c r="A442">
        <v>218</v>
      </c>
      <c r="B442">
        <v>6526</v>
      </c>
      <c r="C442" t="s">
        <v>743</v>
      </c>
      <c r="D442" t="s">
        <v>900</v>
      </c>
      <c r="E442" t="s">
        <v>55</v>
      </c>
      <c r="F442" t="s">
        <v>901</v>
      </c>
      <c r="G442" t="str">
        <f>"00194576"</f>
        <v>00194576</v>
      </c>
      <c r="H442" t="s">
        <v>462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30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 t="s">
        <v>902</v>
      </c>
    </row>
    <row r="443" spans="1:25" x14ac:dyDescent="0.25">
      <c r="H443" t="s">
        <v>53</v>
      </c>
    </row>
    <row r="444" spans="1:25" x14ac:dyDescent="0.25">
      <c r="A444">
        <v>219</v>
      </c>
      <c r="B444">
        <v>5569</v>
      </c>
      <c r="C444" t="s">
        <v>903</v>
      </c>
      <c r="D444" t="s">
        <v>904</v>
      </c>
      <c r="E444" t="s">
        <v>252</v>
      </c>
      <c r="F444" t="s">
        <v>905</v>
      </c>
      <c r="G444" t="str">
        <f>"00112337"</f>
        <v>00112337</v>
      </c>
      <c r="H444" t="s">
        <v>175</v>
      </c>
      <c r="I444">
        <v>150</v>
      </c>
      <c r="J444">
        <v>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 t="s">
        <v>906</v>
      </c>
    </row>
    <row r="445" spans="1:25" x14ac:dyDescent="0.25">
      <c r="H445">
        <v>101</v>
      </c>
    </row>
    <row r="446" spans="1:25" x14ac:dyDescent="0.25">
      <c r="A446">
        <v>220</v>
      </c>
      <c r="B446">
        <v>6121</v>
      </c>
      <c r="C446" t="s">
        <v>907</v>
      </c>
      <c r="D446" t="s">
        <v>908</v>
      </c>
      <c r="E446" t="s">
        <v>21</v>
      </c>
      <c r="F446" t="s">
        <v>909</v>
      </c>
      <c r="G446" t="str">
        <f>"201506000962"</f>
        <v>201506000962</v>
      </c>
      <c r="H446" t="s">
        <v>910</v>
      </c>
      <c r="I446">
        <v>0</v>
      </c>
      <c r="J446">
        <v>0</v>
      </c>
      <c r="K446">
        <v>0</v>
      </c>
      <c r="L446">
        <v>200</v>
      </c>
      <c r="M446">
        <v>30</v>
      </c>
      <c r="N446">
        <v>70</v>
      </c>
      <c r="O446">
        <v>0</v>
      </c>
      <c r="P446">
        <v>50</v>
      </c>
      <c r="Q446">
        <v>0</v>
      </c>
      <c r="R446">
        <v>50</v>
      </c>
      <c r="S446">
        <v>0</v>
      </c>
      <c r="T446">
        <v>0</v>
      </c>
      <c r="U446">
        <v>0</v>
      </c>
      <c r="V446">
        <v>0</v>
      </c>
      <c r="X446">
        <v>0</v>
      </c>
      <c r="Y446" t="s">
        <v>911</v>
      </c>
    </row>
    <row r="447" spans="1:25" x14ac:dyDescent="0.25">
      <c r="H447" t="s">
        <v>213</v>
      </c>
    </row>
    <row r="448" spans="1:25" x14ac:dyDescent="0.25">
      <c r="A448">
        <v>221</v>
      </c>
      <c r="B448">
        <v>4614</v>
      </c>
      <c r="C448" t="s">
        <v>912</v>
      </c>
      <c r="D448" t="s">
        <v>913</v>
      </c>
      <c r="E448" t="s">
        <v>21</v>
      </c>
      <c r="F448" t="s">
        <v>914</v>
      </c>
      <c r="G448" t="str">
        <f>"201506002891"</f>
        <v>201506002891</v>
      </c>
      <c r="H448" t="s">
        <v>254</v>
      </c>
      <c r="I448">
        <v>0</v>
      </c>
      <c r="J448">
        <v>0</v>
      </c>
      <c r="K448">
        <v>0</v>
      </c>
      <c r="L448">
        <v>260</v>
      </c>
      <c r="M448">
        <v>0</v>
      </c>
      <c r="N448">
        <v>70</v>
      </c>
      <c r="O448">
        <v>30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 t="s">
        <v>915</v>
      </c>
    </row>
    <row r="449" spans="1:25" x14ac:dyDescent="0.25">
      <c r="H449" t="s">
        <v>23</v>
      </c>
    </row>
    <row r="450" spans="1:25" x14ac:dyDescent="0.25">
      <c r="A450">
        <v>222</v>
      </c>
      <c r="B450">
        <v>689</v>
      </c>
      <c r="C450" t="s">
        <v>916</v>
      </c>
      <c r="D450" t="s">
        <v>917</v>
      </c>
      <c r="E450" t="s">
        <v>49</v>
      </c>
      <c r="F450" t="s">
        <v>918</v>
      </c>
      <c r="G450" t="str">
        <f>"201304000224"</f>
        <v>201304000224</v>
      </c>
      <c r="H450" t="s">
        <v>549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30</v>
      </c>
      <c r="P450">
        <v>0</v>
      </c>
      <c r="Q450">
        <v>30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 t="s">
        <v>919</v>
      </c>
    </row>
    <row r="451" spans="1:25" x14ac:dyDescent="0.25">
      <c r="H451" t="s">
        <v>23</v>
      </c>
    </row>
    <row r="452" spans="1:25" x14ac:dyDescent="0.25">
      <c r="A452">
        <v>223</v>
      </c>
      <c r="B452">
        <v>2353</v>
      </c>
      <c r="C452" t="s">
        <v>920</v>
      </c>
      <c r="D452" t="s">
        <v>81</v>
      </c>
      <c r="E452" t="s">
        <v>895</v>
      </c>
      <c r="F452" t="s">
        <v>921</v>
      </c>
      <c r="G452" t="str">
        <f>"201406008080"</f>
        <v>201406008080</v>
      </c>
      <c r="H452" t="s">
        <v>280</v>
      </c>
      <c r="I452">
        <v>150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70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 t="s">
        <v>922</v>
      </c>
    </row>
    <row r="453" spans="1:25" x14ac:dyDescent="0.25">
      <c r="H453" t="s">
        <v>923</v>
      </c>
    </row>
    <row r="454" spans="1:25" x14ac:dyDescent="0.25">
      <c r="A454">
        <v>224</v>
      </c>
      <c r="B454">
        <v>4068</v>
      </c>
      <c r="C454" t="s">
        <v>924</v>
      </c>
      <c r="D454" t="s">
        <v>209</v>
      </c>
      <c r="E454" t="s">
        <v>184</v>
      </c>
      <c r="F454" t="s">
        <v>925</v>
      </c>
      <c r="G454" t="str">
        <f>"00199483"</f>
        <v>00199483</v>
      </c>
      <c r="H454" t="s">
        <v>109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 t="s">
        <v>926</v>
      </c>
    </row>
    <row r="455" spans="1:25" x14ac:dyDescent="0.25">
      <c r="H455" t="s">
        <v>118</v>
      </c>
    </row>
    <row r="456" spans="1:25" x14ac:dyDescent="0.25">
      <c r="A456">
        <v>225</v>
      </c>
      <c r="B456">
        <v>5409</v>
      </c>
      <c r="C456" t="s">
        <v>927</v>
      </c>
      <c r="D456" t="s">
        <v>159</v>
      </c>
      <c r="E456" t="s">
        <v>21</v>
      </c>
      <c r="F456" t="s">
        <v>928</v>
      </c>
      <c r="G456" t="str">
        <f>"00200640"</f>
        <v>00200640</v>
      </c>
      <c r="H456">
        <v>814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50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1134</v>
      </c>
    </row>
    <row r="457" spans="1:25" x14ac:dyDescent="0.25">
      <c r="H457" t="s">
        <v>23</v>
      </c>
    </row>
    <row r="458" spans="1:25" x14ac:dyDescent="0.25">
      <c r="A458">
        <v>226</v>
      </c>
      <c r="B458">
        <v>2293</v>
      </c>
      <c r="C458" t="s">
        <v>929</v>
      </c>
      <c r="D458" t="s">
        <v>805</v>
      </c>
      <c r="E458" t="s">
        <v>43</v>
      </c>
      <c r="F458" t="s">
        <v>930</v>
      </c>
      <c r="G458" t="str">
        <f>"201405000367"</f>
        <v>201405000367</v>
      </c>
      <c r="H458" t="s">
        <v>762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0</v>
      </c>
      <c r="Q458">
        <v>30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 t="s">
        <v>931</v>
      </c>
    </row>
    <row r="459" spans="1:25" x14ac:dyDescent="0.25">
      <c r="H459" t="s">
        <v>23</v>
      </c>
    </row>
    <row r="460" spans="1:25" x14ac:dyDescent="0.25">
      <c r="A460">
        <v>227</v>
      </c>
      <c r="B460">
        <v>2830</v>
      </c>
      <c r="C460" t="s">
        <v>932</v>
      </c>
      <c r="D460" t="s">
        <v>113</v>
      </c>
      <c r="E460" t="s">
        <v>933</v>
      </c>
      <c r="F460" t="s">
        <v>934</v>
      </c>
      <c r="G460" t="str">
        <f>"201304005848"</f>
        <v>201304005848</v>
      </c>
      <c r="H460" t="s">
        <v>762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30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 t="s">
        <v>931</v>
      </c>
    </row>
    <row r="461" spans="1:25" x14ac:dyDescent="0.25">
      <c r="H461" t="s">
        <v>53</v>
      </c>
    </row>
    <row r="462" spans="1:25" x14ac:dyDescent="0.25">
      <c r="A462">
        <v>228</v>
      </c>
      <c r="B462">
        <v>956</v>
      </c>
      <c r="C462" t="s">
        <v>935</v>
      </c>
      <c r="D462" t="s">
        <v>936</v>
      </c>
      <c r="E462" t="s">
        <v>21</v>
      </c>
      <c r="F462" t="s">
        <v>937</v>
      </c>
      <c r="G462" t="str">
        <f>"201304001844"</f>
        <v>201304001844</v>
      </c>
      <c r="H462" t="s">
        <v>938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50</v>
      </c>
      <c r="P462">
        <v>70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 t="s">
        <v>939</v>
      </c>
    </row>
    <row r="463" spans="1:25" x14ac:dyDescent="0.25">
      <c r="H463" t="s">
        <v>118</v>
      </c>
    </row>
    <row r="464" spans="1:25" x14ac:dyDescent="0.25">
      <c r="A464">
        <v>229</v>
      </c>
      <c r="B464">
        <v>3154</v>
      </c>
      <c r="C464" t="s">
        <v>940</v>
      </c>
      <c r="D464" t="s">
        <v>159</v>
      </c>
      <c r="E464" t="s">
        <v>61</v>
      </c>
      <c r="F464" t="s">
        <v>941</v>
      </c>
      <c r="G464" t="str">
        <f>"00015022"</f>
        <v>00015022</v>
      </c>
      <c r="H464" t="s">
        <v>67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70</v>
      </c>
      <c r="P464">
        <v>0</v>
      </c>
      <c r="Q464">
        <v>0</v>
      </c>
      <c r="R464">
        <v>0</v>
      </c>
      <c r="S464">
        <v>0</v>
      </c>
      <c r="T464">
        <v>30</v>
      </c>
      <c r="U464">
        <v>0</v>
      </c>
      <c r="V464">
        <v>0</v>
      </c>
      <c r="X464">
        <v>0</v>
      </c>
      <c r="Y464" t="s">
        <v>942</v>
      </c>
    </row>
    <row r="465" spans="1:25" x14ac:dyDescent="0.25">
      <c r="H465" t="s">
        <v>34</v>
      </c>
    </row>
    <row r="466" spans="1:25" x14ac:dyDescent="0.25">
      <c r="A466">
        <v>230</v>
      </c>
      <c r="B466">
        <v>1427</v>
      </c>
      <c r="C466" t="s">
        <v>943</v>
      </c>
      <c r="D466" t="s">
        <v>558</v>
      </c>
      <c r="E466" t="s">
        <v>61</v>
      </c>
      <c r="F466" t="s">
        <v>944</v>
      </c>
      <c r="G466" t="str">
        <f>"201406017209"</f>
        <v>201406017209</v>
      </c>
      <c r="H466" t="s">
        <v>608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70</v>
      </c>
      <c r="P466">
        <v>0</v>
      </c>
      <c r="Q466">
        <v>50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 t="s">
        <v>945</v>
      </c>
    </row>
    <row r="467" spans="1:25" x14ac:dyDescent="0.25">
      <c r="H467" t="s">
        <v>118</v>
      </c>
    </row>
    <row r="468" spans="1:25" x14ac:dyDescent="0.25">
      <c r="A468">
        <v>231</v>
      </c>
      <c r="B468">
        <v>5391</v>
      </c>
      <c r="C468" t="s">
        <v>946</v>
      </c>
      <c r="D468" t="s">
        <v>947</v>
      </c>
      <c r="E468" t="s">
        <v>948</v>
      </c>
      <c r="F468" t="s">
        <v>949</v>
      </c>
      <c r="G468" t="str">
        <f>"00130153"</f>
        <v>00130153</v>
      </c>
      <c r="H468">
        <v>792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70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1132</v>
      </c>
    </row>
    <row r="469" spans="1:25" x14ac:dyDescent="0.25">
      <c r="H469" t="s">
        <v>23</v>
      </c>
    </row>
    <row r="470" spans="1:25" x14ac:dyDescent="0.25">
      <c r="A470">
        <v>232</v>
      </c>
      <c r="B470">
        <v>4992</v>
      </c>
      <c r="C470" t="s">
        <v>950</v>
      </c>
      <c r="D470" t="s">
        <v>951</v>
      </c>
      <c r="E470" t="s">
        <v>87</v>
      </c>
      <c r="F470" t="s">
        <v>952</v>
      </c>
      <c r="G470" t="str">
        <f>"00047275"</f>
        <v>00047275</v>
      </c>
      <c r="H470">
        <v>792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70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1132</v>
      </c>
    </row>
    <row r="471" spans="1:25" x14ac:dyDescent="0.25">
      <c r="H471" t="s">
        <v>53</v>
      </c>
    </row>
    <row r="472" spans="1:25" x14ac:dyDescent="0.25">
      <c r="A472">
        <v>233</v>
      </c>
      <c r="B472">
        <v>4617</v>
      </c>
      <c r="C472" t="s">
        <v>412</v>
      </c>
      <c r="D472" t="s">
        <v>113</v>
      </c>
      <c r="E472" t="s">
        <v>61</v>
      </c>
      <c r="F472" t="s">
        <v>953</v>
      </c>
      <c r="G472" t="str">
        <f>"201405000401"</f>
        <v>201405000401</v>
      </c>
      <c r="H472" t="s">
        <v>954</v>
      </c>
      <c r="I472">
        <v>0</v>
      </c>
      <c r="J472">
        <v>0</v>
      </c>
      <c r="K472">
        <v>0</v>
      </c>
      <c r="L472">
        <v>260</v>
      </c>
      <c r="M472">
        <v>0</v>
      </c>
      <c r="N472">
        <v>70</v>
      </c>
      <c r="O472">
        <v>70</v>
      </c>
      <c r="P472">
        <v>0</v>
      </c>
      <c r="Q472">
        <v>0</v>
      </c>
      <c r="R472">
        <v>30</v>
      </c>
      <c r="S472">
        <v>0</v>
      </c>
      <c r="T472">
        <v>0</v>
      </c>
      <c r="U472">
        <v>0</v>
      </c>
      <c r="V472">
        <v>0</v>
      </c>
      <c r="X472">
        <v>0</v>
      </c>
      <c r="Y472" t="s">
        <v>955</v>
      </c>
    </row>
    <row r="473" spans="1:25" x14ac:dyDescent="0.25">
      <c r="H473" t="s">
        <v>53</v>
      </c>
    </row>
    <row r="474" spans="1:25" x14ac:dyDescent="0.25">
      <c r="A474">
        <v>234</v>
      </c>
      <c r="B474">
        <v>3371</v>
      </c>
      <c r="C474" t="s">
        <v>15</v>
      </c>
      <c r="D474" t="s">
        <v>956</v>
      </c>
      <c r="E474" t="s">
        <v>65</v>
      </c>
      <c r="F474" t="s">
        <v>957</v>
      </c>
      <c r="G474" t="str">
        <f>"201506001368"</f>
        <v>201506001368</v>
      </c>
      <c r="H474" t="s">
        <v>426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30</v>
      </c>
      <c r="O474">
        <v>30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2</v>
      </c>
      <c r="Y474" t="s">
        <v>958</v>
      </c>
    </row>
    <row r="475" spans="1:25" x14ac:dyDescent="0.25">
      <c r="H475" t="s">
        <v>23</v>
      </c>
    </row>
    <row r="476" spans="1:25" x14ac:dyDescent="0.25">
      <c r="A476">
        <v>235</v>
      </c>
      <c r="B476">
        <v>5737</v>
      </c>
      <c r="C476" t="s">
        <v>959</v>
      </c>
      <c r="D476" t="s">
        <v>25</v>
      </c>
      <c r="E476" t="s">
        <v>419</v>
      </c>
      <c r="F476" t="s">
        <v>960</v>
      </c>
      <c r="G476" t="str">
        <f>"201412000370"</f>
        <v>201412000370</v>
      </c>
      <c r="H476" t="s">
        <v>622</v>
      </c>
      <c r="I476">
        <v>0</v>
      </c>
      <c r="J476">
        <v>0</v>
      </c>
      <c r="K476">
        <v>0</v>
      </c>
      <c r="L476">
        <v>260</v>
      </c>
      <c r="M476">
        <v>0</v>
      </c>
      <c r="N476">
        <v>70</v>
      </c>
      <c r="O476">
        <v>30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 t="s">
        <v>961</v>
      </c>
    </row>
    <row r="477" spans="1:25" x14ac:dyDescent="0.25">
      <c r="H477" t="s">
        <v>118</v>
      </c>
    </row>
    <row r="478" spans="1:25" x14ac:dyDescent="0.25">
      <c r="A478">
        <v>236</v>
      </c>
      <c r="B478">
        <v>4578</v>
      </c>
      <c r="C478" t="s">
        <v>962</v>
      </c>
      <c r="D478" t="s">
        <v>322</v>
      </c>
      <c r="E478" t="s">
        <v>21</v>
      </c>
      <c r="F478" t="s">
        <v>963</v>
      </c>
      <c r="G478" t="str">
        <f>"201406013260"</f>
        <v>201406013260</v>
      </c>
      <c r="H478" t="s">
        <v>181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30</v>
      </c>
      <c r="Q478">
        <v>30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 t="s">
        <v>964</v>
      </c>
    </row>
    <row r="479" spans="1:25" x14ac:dyDescent="0.25">
      <c r="H479" t="s">
        <v>118</v>
      </c>
    </row>
    <row r="480" spans="1:25" x14ac:dyDescent="0.25">
      <c r="A480">
        <v>237</v>
      </c>
      <c r="B480">
        <v>4993</v>
      </c>
      <c r="C480" t="s">
        <v>965</v>
      </c>
      <c r="D480" t="s">
        <v>25</v>
      </c>
      <c r="E480" t="s">
        <v>61</v>
      </c>
      <c r="F480" t="s">
        <v>966</v>
      </c>
      <c r="G480" t="str">
        <f>"00021178"</f>
        <v>00021178</v>
      </c>
      <c r="H480" t="s">
        <v>631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30</v>
      </c>
      <c r="O480">
        <v>70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1</v>
      </c>
      <c r="Y480" t="s">
        <v>967</v>
      </c>
    </row>
    <row r="481" spans="1:25" x14ac:dyDescent="0.25">
      <c r="H481" t="s">
        <v>118</v>
      </c>
    </row>
    <row r="482" spans="1:25" x14ac:dyDescent="0.25">
      <c r="A482">
        <v>238</v>
      </c>
      <c r="B482">
        <v>1489</v>
      </c>
      <c r="C482" t="s">
        <v>968</v>
      </c>
      <c r="D482" t="s">
        <v>969</v>
      </c>
      <c r="E482" t="s">
        <v>114</v>
      </c>
      <c r="F482" t="s">
        <v>970</v>
      </c>
      <c r="G482" t="str">
        <f>"00209464"</f>
        <v>00209464</v>
      </c>
      <c r="H482" t="s">
        <v>171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1</v>
      </c>
      <c r="Y482" t="s">
        <v>971</v>
      </c>
    </row>
    <row r="483" spans="1:25" x14ac:dyDescent="0.25">
      <c r="H483" t="s">
        <v>34</v>
      </c>
    </row>
    <row r="484" spans="1:25" x14ac:dyDescent="0.25">
      <c r="A484">
        <v>239</v>
      </c>
      <c r="B484">
        <v>2645</v>
      </c>
      <c r="C484" t="s">
        <v>276</v>
      </c>
      <c r="D484" t="s">
        <v>49</v>
      </c>
      <c r="E484" t="s">
        <v>55</v>
      </c>
      <c r="F484" t="s">
        <v>277</v>
      </c>
      <c r="G484" t="str">
        <f>"201506003233"</f>
        <v>201506003233</v>
      </c>
      <c r="H484">
        <v>759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50</v>
      </c>
      <c r="Q484">
        <v>50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1129</v>
      </c>
    </row>
    <row r="485" spans="1:25" x14ac:dyDescent="0.25">
      <c r="H485" t="s">
        <v>23</v>
      </c>
    </row>
    <row r="486" spans="1:25" x14ac:dyDescent="0.25">
      <c r="A486">
        <v>240</v>
      </c>
      <c r="B486">
        <v>4562</v>
      </c>
      <c r="C486" t="s">
        <v>962</v>
      </c>
      <c r="D486" t="s">
        <v>70</v>
      </c>
      <c r="E486" t="s">
        <v>21</v>
      </c>
      <c r="F486" t="s">
        <v>972</v>
      </c>
      <c r="G486" t="str">
        <f>"201406013261"</f>
        <v>201406013261</v>
      </c>
      <c r="H486" t="s">
        <v>888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0</v>
      </c>
      <c r="P486">
        <v>30</v>
      </c>
      <c r="Q486">
        <v>30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 t="s">
        <v>973</v>
      </c>
    </row>
    <row r="487" spans="1:25" x14ac:dyDescent="0.25">
      <c r="H487" t="s">
        <v>118</v>
      </c>
    </row>
    <row r="488" spans="1:25" x14ac:dyDescent="0.25">
      <c r="A488">
        <v>241</v>
      </c>
      <c r="B488">
        <v>569</v>
      </c>
      <c r="C488" t="s">
        <v>974</v>
      </c>
      <c r="D488" t="s">
        <v>20</v>
      </c>
      <c r="E488" t="s">
        <v>86</v>
      </c>
      <c r="F488" t="s">
        <v>975</v>
      </c>
      <c r="G488" t="str">
        <f>"201506003702"</f>
        <v>201506003702</v>
      </c>
      <c r="H488" t="s">
        <v>976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50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2</v>
      </c>
      <c r="Y488" t="s">
        <v>977</v>
      </c>
    </row>
    <row r="489" spans="1:25" x14ac:dyDescent="0.25">
      <c r="H489" t="s">
        <v>213</v>
      </c>
    </row>
    <row r="490" spans="1:25" x14ac:dyDescent="0.25">
      <c r="A490">
        <v>242</v>
      </c>
      <c r="B490">
        <v>5084</v>
      </c>
      <c r="C490" t="s">
        <v>978</v>
      </c>
      <c r="D490" t="s">
        <v>113</v>
      </c>
      <c r="E490" t="s">
        <v>43</v>
      </c>
      <c r="F490" t="s">
        <v>979</v>
      </c>
      <c r="G490" t="str">
        <f>"201506000990"</f>
        <v>201506000990</v>
      </c>
      <c r="H490" t="s">
        <v>980</v>
      </c>
      <c r="I490">
        <v>0</v>
      </c>
      <c r="J490">
        <v>0</v>
      </c>
      <c r="K490">
        <v>0</v>
      </c>
      <c r="L490">
        <v>260</v>
      </c>
      <c r="M490">
        <v>0</v>
      </c>
      <c r="N490">
        <v>70</v>
      </c>
      <c r="O490">
        <v>30</v>
      </c>
      <c r="P490">
        <v>0</v>
      </c>
      <c r="Q490">
        <v>30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 t="s">
        <v>981</v>
      </c>
    </row>
    <row r="491" spans="1:25" x14ac:dyDescent="0.25">
      <c r="H491" t="s">
        <v>256</v>
      </c>
    </row>
    <row r="492" spans="1:25" x14ac:dyDescent="0.25">
      <c r="A492">
        <v>243</v>
      </c>
      <c r="B492">
        <v>1425</v>
      </c>
      <c r="C492" t="s">
        <v>982</v>
      </c>
      <c r="D492" t="s">
        <v>355</v>
      </c>
      <c r="E492" t="s">
        <v>61</v>
      </c>
      <c r="F492" t="s">
        <v>983</v>
      </c>
      <c r="G492" t="str">
        <f>"201406006413"</f>
        <v>201406006413</v>
      </c>
      <c r="H492" t="s">
        <v>984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50</v>
      </c>
      <c r="P492">
        <v>0</v>
      </c>
      <c r="Q492">
        <v>0</v>
      </c>
      <c r="R492">
        <v>30</v>
      </c>
      <c r="S492">
        <v>0</v>
      </c>
      <c r="T492">
        <v>0</v>
      </c>
      <c r="U492">
        <v>0</v>
      </c>
      <c r="V492">
        <v>0</v>
      </c>
      <c r="X492">
        <v>0</v>
      </c>
      <c r="Y492" t="s">
        <v>985</v>
      </c>
    </row>
    <row r="493" spans="1:25" x14ac:dyDescent="0.25">
      <c r="H493" t="s">
        <v>91</v>
      </c>
    </row>
    <row r="494" spans="1:25" x14ac:dyDescent="0.25">
      <c r="A494">
        <v>244</v>
      </c>
      <c r="B494">
        <v>3055</v>
      </c>
      <c r="C494" t="s">
        <v>986</v>
      </c>
      <c r="D494" t="s">
        <v>987</v>
      </c>
      <c r="E494" t="s">
        <v>681</v>
      </c>
      <c r="F494" t="s">
        <v>988</v>
      </c>
      <c r="G494" t="str">
        <f>"00079847"</f>
        <v>00079847</v>
      </c>
      <c r="H494" t="s">
        <v>206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50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 t="s">
        <v>989</v>
      </c>
    </row>
    <row r="495" spans="1:25" x14ac:dyDescent="0.25">
      <c r="H495">
        <v>101</v>
      </c>
    </row>
    <row r="496" spans="1:25" x14ac:dyDescent="0.25">
      <c r="A496">
        <v>245</v>
      </c>
      <c r="B496">
        <v>4449</v>
      </c>
      <c r="C496" t="s">
        <v>990</v>
      </c>
      <c r="D496" t="s">
        <v>36</v>
      </c>
      <c r="E496" t="s">
        <v>49</v>
      </c>
      <c r="F496" t="s">
        <v>991</v>
      </c>
      <c r="G496" t="str">
        <f>"201506002470"</f>
        <v>201506002470</v>
      </c>
      <c r="H496" t="s">
        <v>992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 t="s">
        <v>993</v>
      </c>
    </row>
    <row r="497" spans="1:25" x14ac:dyDescent="0.25">
      <c r="H497" t="s">
        <v>118</v>
      </c>
    </row>
    <row r="498" spans="1:25" x14ac:dyDescent="0.25">
      <c r="A498">
        <v>246</v>
      </c>
      <c r="B498">
        <v>1358</v>
      </c>
      <c r="C498" t="s">
        <v>994</v>
      </c>
      <c r="D498" t="s">
        <v>685</v>
      </c>
      <c r="E498" t="s">
        <v>87</v>
      </c>
      <c r="F498" t="s">
        <v>995</v>
      </c>
      <c r="G498" t="str">
        <f>"00200389"</f>
        <v>00200389</v>
      </c>
      <c r="H498" t="s">
        <v>175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50</v>
      </c>
      <c r="P498">
        <v>50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 t="s">
        <v>996</v>
      </c>
    </row>
    <row r="499" spans="1:25" x14ac:dyDescent="0.25">
      <c r="H499" t="s">
        <v>23</v>
      </c>
    </row>
    <row r="500" spans="1:25" x14ac:dyDescent="0.25">
      <c r="A500">
        <v>247</v>
      </c>
      <c r="B500">
        <v>5527</v>
      </c>
      <c r="C500" t="s">
        <v>997</v>
      </c>
      <c r="D500" t="s">
        <v>998</v>
      </c>
      <c r="E500" t="s">
        <v>21</v>
      </c>
      <c r="F500" t="s">
        <v>999</v>
      </c>
      <c r="G500" t="str">
        <f>"201506001125"</f>
        <v>201506001125</v>
      </c>
      <c r="H500" t="s">
        <v>1000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1</v>
      </c>
      <c r="Y500" t="s">
        <v>1001</v>
      </c>
    </row>
    <row r="501" spans="1:25" x14ac:dyDescent="0.25">
      <c r="H501" t="s">
        <v>23</v>
      </c>
    </row>
    <row r="502" spans="1:25" x14ac:dyDescent="0.25">
      <c r="A502">
        <v>248</v>
      </c>
      <c r="B502">
        <v>101</v>
      </c>
      <c r="C502" t="s">
        <v>1002</v>
      </c>
      <c r="D502" t="s">
        <v>393</v>
      </c>
      <c r="E502" t="s">
        <v>49</v>
      </c>
      <c r="F502" t="s">
        <v>1003</v>
      </c>
      <c r="G502" t="str">
        <f>"201304002779"</f>
        <v>201304002779</v>
      </c>
      <c r="H502" t="s">
        <v>1004</v>
      </c>
      <c r="I502">
        <v>0</v>
      </c>
      <c r="J502">
        <v>0</v>
      </c>
      <c r="K502">
        <v>0</v>
      </c>
      <c r="L502">
        <v>200</v>
      </c>
      <c r="M502">
        <v>30</v>
      </c>
      <c r="N502">
        <v>70</v>
      </c>
      <c r="O502">
        <v>30</v>
      </c>
      <c r="P502">
        <v>0</v>
      </c>
      <c r="Q502">
        <v>30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 t="s">
        <v>1005</v>
      </c>
    </row>
    <row r="503" spans="1:25" x14ac:dyDescent="0.25">
      <c r="H503" t="s">
        <v>23</v>
      </c>
    </row>
    <row r="504" spans="1:25" x14ac:dyDescent="0.25">
      <c r="A504">
        <v>249</v>
      </c>
      <c r="B504">
        <v>4633</v>
      </c>
      <c r="C504" t="s">
        <v>1006</v>
      </c>
      <c r="D504" t="s">
        <v>468</v>
      </c>
      <c r="E504" t="s">
        <v>15</v>
      </c>
      <c r="F504" t="s">
        <v>1007</v>
      </c>
      <c r="G504" t="str">
        <f>"201402012181"</f>
        <v>201402012181</v>
      </c>
      <c r="H504" t="s">
        <v>1008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30</v>
      </c>
      <c r="R504">
        <v>30</v>
      </c>
      <c r="S504">
        <v>0</v>
      </c>
      <c r="T504">
        <v>0</v>
      </c>
      <c r="U504">
        <v>0</v>
      </c>
      <c r="V504">
        <v>0</v>
      </c>
      <c r="X504">
        <v>0</v>
      </c>
      <c r="Y504" t="s">
        <v>1009</v>
      </c>
    </row>
    <row r="505" spans="1:25" x14ac:dyDescent="0.25">
      <c r="H505" t="s">
        <v>53</v>
      </c>
    </row>
    <row r="506" spans="1:25" x14ac:dyDescent="0.25">
      <c r="A506">
        <v>250</v>
      </c>
      <c r="B506">
        <v>848</v>
      </c>
      <c r="C506" t="s">
        <v>1010</v>
      </c>
      <c r="D506" t="s">
        <v>70</v>
      </c>
      <c r="E506" t="s">
        <v>429</v>
      </c>
      <c r="F506" t="s">
        <v>1011</v>
      </c>
      <c r="G506" t="str">
        <f>"00071758"</f>
        <v>00071758</v>
      </c>
      <c r="H506" t="s">
        <v>549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50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 t="s">
        <v>1012</v>
      </c>
    </row>
    <row r="507" spans="1:25" x14ac:dyDescent="0.25">
      <c r="H507" t="s">
        <v>23</v>
      </c>
    </row>
    <row r="508" spans="1:25" x14ac:dyDescent="0.25">
      <c r="A508">
        <v>251</v>
      </c>
      <c r="B508">
        <v>5282</v>
      </c>
      <c r="C508" t="s">
        <v>1013</v>
      </c>
      <c r="D508" t="s">
        <v>1014</v>
      </c>
      <c r="E508" t="s">
        <v>49</v>
      </c>
      <c r="F508" t="s">
        <v>1015</v>
      </c>
      <c r="G508" t="str">
        <f>"00113702"</f>
        <v>00113702</v>
      </c>
      <c r="H508" t="s">
        <v>39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 t="s">
        <v>1016</v>
      </c>
    </row>
    <row r="509" spans="1:25" x14ac:dyDescent="0.25">
      <c r="H509" t="s">
        <v>23</v>
      </c>
    </row>
    <row r="510" spans="1:25" x14ac:dyDescent="0.25">
      <c r="A510">
        <v>252</v>
      </c>
      <c r="B510">
        <v>5869</v>
      </c>
      <c r="C510" t="s">
        <v>1017</v>
      </c>
      <c r="D510" t="s">
        <v>440</v>
      </c>
      <c r="E510" t="s">
        <v>87</v>
      </c>
      <c r="F510" t="s">
        <v>1018</v>
      </c>
      <c r="G510" t="str">
        <f>"00206360"</f>
        <v>00206360</v>
      </c>
      <c r="H510" t="s">
        <v>219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70</v>
      </c>
      <c r="O510">
        <v>70</v>
      </c>
      <c r="P510">
        <v>0</v>
      </c>
      <c r="Q510">
        <v>0</v>
      </c>
      <c r="R510">
        <v>30</v>
      </c>
      <c r="S510">
        <v>0</v>
      </c>
      <c r="T510">
        <v>0</v>
      </c>
      <c r="U510">
        <v>0</v>
      </c>
      <c r="V510">
        <v>0</v>
      </c>
      <c r="X510">
        <v>0</v>
      </c>
      <c r="Y510" t="s">
        <v>1019</v>
      </c>
    </row>
    <row r="511" spans="1:25" x14ac:dyDescent="0.25">
      <c r="H511" t="s">
        <v>23</v>
      </c>
    </row>
    <row r="512" spans="1:25" x14ac:dyDescent="0.25">
      <c r="A512">
        <v>253</v>
      </c>
      <c r="B512">
        <v>5359</v>
      </c>
      <c r="C512" t="s">
        <v>1020</v>
      </c>
      <c r="D512" t="s">
        <v>193</v>
      </c>
      <c r="E512" t="s">
        <v>93</v>
      </c>
      <c r="F512" t="s">
        <v>1021</v>
      </c>
      <c r="G512" t="str">
        <f>"201505000328"</f>
        <v>201505000328</v>
      </c>
      <c r="H512" t="s">
        <v>1022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 t="s">
        <v>1023</v>
      </c>
    </row>
    <row r="513" spans="1:25" x14ac:dyDescent="0.25">
      <c r="H513" t="s">
        <v>23</v>
      </c>
    </row>
    <row r="514" spans="1:25" x14ac:dyDescent="0.25">
      <c r="A514">
        <v>254</v>
      </c>
      <c r="B514">
        <v>254</v>
      </c>
      <c r="C514" t="s">
        <v>1024</v>
      </c>
      <c r="D514" t="s">
        <v>1025</v>
      </c>
      <c r="E514" t="s">
        <v>15</v>
      </c>
      <c r="F514" t="s">
        <v>1026</v>
      </c>
      <c r="G514" t="str">
        <f>"00013529"</f>
        <v>00013529</v>
      </c>
      <c r="H514" t="s">
        <v>1027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30</v>
      </c>
      <c r="P514">
        <v>0</v>
      </c>
      <c r="Q514">
        <v>70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 t="s">
        <v>1028</v>
      </c>
    </row>
    <row r="515" spans="1:25" x14ac:dyDescent="0.25">
      <c r="H515" t="s">
        <v>118</v>
      </c>
    </row>
    <row r="516" spans="1:25" x14ac:dyDescent="0.25">
      <c r="A516">
        <v>255</v>
      </c>
      <c r="B516">
        <v>5903</v>
      </c>
      <c r="C516" t="s">
        <v>1029</v>
      </c>
      <c r="D516" t="s">
        <v>1030</v>
      </c>
      <c r="E516" t="s">
        <v>1031</v>
      </c>
      <c r="F516" t="s">
        <v>1032</v>
      </c>
      <c r="G516" t="str">
        <f>"201504004472"</f>
        <v>201504004472</v>
      </c>
      <c r="H516" t="s">
        <v>271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0</v>
      </c>
      <c r="Q516">
        <v>30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2</v>
      </c>
      <c r="Y516" t="s">
        <v>1033</v>
      </c>
    </row>
    <row r="517" spans="1:25" x14ac:dyDescent="0.25">
      <c r="H517">
        <v>101</v>
      </c>
    </row>
    <row r="518" spans="1:25" x14ac:dyDescent="0.25">
      <c r="A518">
        <v>256</v>
      </c>
      <c r="B518">
        <v>468</v>
      </c>
      <c r="C518" t="s">
        <v>1034</v>
      </c>
      <c r="D518" t="s">
        <v>36</v>
      </c>
      <c r="E518" t="s">
        <v>1035</v>
      </c>
      <c r="F518" t="s">
        <v>1036</v>
      </c>
      <c r="G518" t="str">
        <f>"201406000564"</f>
        <v>201406000564</v>
      </c>
      <c r="H518" t="s">
        <v>476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50</v>
      </c>
      <c r="Q518">
        <v>30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 t="s">
        <v>1037</v>
      </c>
    </row>
    <row r="519" spans="1:25" x14ac:dyDescent="0.25">
      <c r="H519" t="s">
        <v>118</v>
      </c>
    </row>
    <row r="520" spans="1:25" x14ac:dyDescent="0.25">
      <c r="A520">
        <v>257</v>
      </c>
      <c r="B520">
        <v>1513</v>
      </c>
      <c r="C520" t="s">
        <v>1038</v>
      </c>
      <c r="D520" t="s">
        <v>25</v>
      </c>
      <c r="E520" t="s">
        <v>87</v>
      </c>
      <c r="F520" t="s">
        <v>1039</v>
      </c>
      <c r="G520" t="str">
        <f>"201406002327"</f>
        <v>201406002327</v>
      </c>
      <c r="H520" t="s">
        <v>600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70</v>
      </c>
      <c r="O520">
        <v>70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 t="s">
        <v>1040</v>
      </c>
    </row>
    <row r="521" spans="1:25" x14ac:dyDescent="0.25">
      <c r="H521" t="s">
        <v>53</v>
      </c>
    </row>
    <row r="522" spans="1:25" x14ac:dyDescent="0.25">
      <c r="A522">
        <v>258</v>
      </c>
      <c r="B522">
        <v>6082</v>
      </c>
      <c r="C522" t="s">
        <v>1041</v>
      </c>
      <c r="D522" t="s">
        <v>1042</v>
      </c>
      <c r="E522" t="s">
        <v>147</v>
      </c>
      <c r="F522" t="s">
        <v>1043</v>
      </c>
      <c r="G522" t="str">
        <f>"201304001731"</f>
        <v>201304001731</v>
      </c>
      <c r="H522" t="s">
        <v>608</v>
      </c>
      <c r="I522">
        <v>0</v>
      </c>
      <c r="J522">
        <v>0</v>
      </c>
      <c r="K522">
        <v>0</v>
      </c>
      <c r="L522">
        <v>260</v>
      </c>
      <c r="M522">
        <v>0</v>
      </c>
      <c r="N522">
        <v>70</v>
      </c>
      <c r="O522">
        <v>50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 t="s">
        <v>1044</v>
      </c>
    </row>
    <row r="523" spans="1:25" x14ac:dyDescent="0.25">
      <c r="H523" t="s">
        <v>53</v>
      </c>
    </row>
    <row r="524" spans="1:25" x14ac:dyDescent="0.25">
      <c r="A524">
        <v>259</v>
      </c>
      <c r="B524">
        <v>5312</v>
      </c>
      <c r="C524" t="s">
        <v>1045</v>
      </c>
      <c r="D524" t="s">
        <v>1046</v>
      </c>
      <c r="E524" t="s">
        <v>1047</v>
      </c>
      <c r="F524" t="s">
        <v>1048</v>
      </c>
      <c r="G524" t="str">
        <f>"00172452"</f>
        <v>00172452</v>
      </c>
      <c r="H524" t="s">
        <v>691</v>
      </c>
      <c r="I524">
        <v>0</v>
      </c>
      <c r="J524">
        <v>0</v>
      </c>
      <c r="K524">
        <v>200</v>
      </c>
      <c r="L524">
        <v>0</v>
      </c>
      <c r="M524">
        <v>100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 t="s">
        <v>1049</v>
      </c>
    </row>
    <row r="525" spans="1:25" x14ac:dyDescent="0.25">
      <c r="H525" t="s">
        <v>23</v>
      </c>
    </row>
    <row r="526" spans="1:25" x14ac:dyDescent="0.25">
      <c r="A526">
        <v>260</v>
      </c>
      <c r="B526">
        <v>3416</v>
      </c>
      <c r="C526" t="s">
        <v>1050</v>
      </c>
      <c r="D526" t="s">
        <v>883</v>
      </c>
      <c r="E526" t="s">
        <v>49</v>
      </c>
      <c r="F526" t="s">
        <v>1051</v>
      </c>
      <c r="G526" t="str">
        <f>"201406017459"</f>
        <v>201406017459</v>
      </c>
      <c r="H526" t="s">
        <v>357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70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 t="s">
        <v>1052</v>
      </c>
    </row>
    <row r="527" spans="1:25" x14ac:dyDescent="0.25">
      <c r="H527" t="s">
        <v>366</v>
      </c>
    </row>
    <row r="528" spans="1:25" x14ac:dyDescent="0.25">
      <c r="A528">
        <v>261</v>
      </c>
      <c r="B528">
        <v>2212</v>
      </c>
      <c r="C528" t="s">
        <v>1053</v>
      </c>
      <c r="D528" t="s">
        <v>70</v>
      </c>
      <c r="E528" t="s">
        <v>21</v>
      </c>
      <c r="F528" t="s">
        <v>1054</v>
      </c>
      <c r="G528" t="str">
        <f>"201406006875"</f>
        <v>201406006875</v>
      </c>
      <c r="H528" t="s">
        <v>1055</v>
      </c>
      <c r="I528">
        <v>0</v>
      </c>
      <c r="J528">
        <v>0</v>
      </c>
      <c r="K528">
        <v>0</v>
      </c>
      <c r="L528">
        <v>260</v>
      </c>
      <c r="M528">
        <v>0</v>
      </c>
      <c r="N528">
        <v>50</v>
      </c>
      <c r="O528">
        <v>0</v>
      </c>
      <c r="P528">
        <v>70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 t="s">
        <v>1056</v>
      </c>
    </row>
    <row r="529" spans="1:25" x14ac:dyDescent="0.25">
      <c r="H529" t="s">
        <v>23</v>
      </c>
    </row>
    <row r="530" spans="1:25" x14ac:dyDescent="0.25">
      <c r="A530">
        <v>262</v>
      </c>
      <c r="B530">
        <v>6434</v>
      </c>
      <c r="C530" t="s">
        <v>1057</v>
      </c>
      <c r="D530" t="s">
        <v>1058</v>
      </c>
      <c r="E530" t="s">
        <v>43</v>
      </c>
      <c r="F530" t="s">
        <v>1059</v>
      </c>
      <c r="G530" t="str">
        <f>"201406007320"</f>
        <v>201406007320</v>
      </c>
      <c r="H530" t="s">
        <v>1060</v>
      </c>
      <c r="I530">
        <v>0</v>
      </c>
      <c r="J530">
        <v>0</v>
      </c>
      <c r="K530">
        <v>0</v>
      </c>
      <c r="L530">
        <v>260</v>
      </c>
      <c r="M530">
        <v>0</v>
      </c>
      <c r="N530">
        <v>70</v>
      </c>
      <c r="O530">
        <v>50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 t="s">
        <v>1061</v>
      </c>
    </row>
    <row r="531" spans="1:25" x14ac:dyDescent="0.25">
      <c r="H531" t="s">
        <v>23</v>
      </c>
    </row>
    <row r="532" spans="1:25" x14ac:dyDescent="0.25">
      <c r="A532">
        <v>263</v>
      </c>
      <c r="B532">
        <v>973</v>
      </c>
      <c r="C532" t="s">
        <v>1062</v>
      </c>
      <c r="D532" t="s">
        <v>20</v>
      </c>
      <c r="E532" t="s">
        <v>49</v>
      </c>
      <c r="F532" t="s">
        <v>1063</v>
      </c>
      <c r="G532" t="str">
        <f>"201406009076"</f>
        <v>201406009076</v>
      </c>
      <c r="H532" t="s">
        <v>73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30</v>
      </c>
      <c r="P532">
        <v>30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 t="s">
        <v>1064</v>
      </c>
    </row>
    <row r="533" spans="1:25" x14ac:dyDescent="0.25">
      <c r="H533" t="s">
        <v>34</v>
      </c>
    </row>
    <row r="534" spans="1:25" x14ac:dyDescent="0.25">
      <c r="A534">
        <v>264</v>
      </c>
      <c r="B534">
        <v>3351</v>
      </c>
      <c r="C534" t="s">
        <v>1017</v>
      </c>
      <c r="D534" t="s">
        <v>20</v>
      </c>
      <c r="E534" t="s">
        <v>334</v>
      </c>
      <c r="F534" t="s">
        <v>1065</v>
      </c>
      <c r="G534" t="str">
        <f>"201304002455"</f>
        <v>201304002455</v>
      </c>
      <c r="H534" t="s">
        <v>1066</v>
      </c>
      <c r="I534">
        <v>0</v>
      </c>
      <c r="J534">
        <v>0</v>
      </c>
      <c r="K534">
        <v>0</v>
      </c>
      <c r="L534">
        <v>260</v>
      </c>
      <c r="M534">
        <v>0</v>
      </c>
      <c r="N534">
        <v>70</v>
      </c>
      <c r="O534">
        <v>50</v>
      </c>
      <c r="P534">
        <v>0</v>
      </c>
      <c r="Q534">
        <v>0</v>
      </c>
      <c r="R534">
        <v>50</v>
      </c>
      <c r="S534">
        <v>0</v>
      </c>
      <c r="T534">
        <v>0</v>
      </c>
      <c r="U534">
        <v>0</v>
      </c>
      <c r="V534">
        <v>0</v>
      </c>
      <c r="X534">
        <v>0</v>
      </c>
      <c r="Y534" t="s">
        <v>1067</v>
      </c>
    </row>
    <row r="535" spans="1:25" x14ac:dyDescent="0.25">
      <c r="H535" t="s">
        <v>23</v>
      </c>
    </row>
    <row r="536" spans="1:25" x14ac:dyDescent="0.25">
      <c r="A536">
        <v>265</v>
      </c>
      <c r="B536">
        <v>1651</v>
      </c>
      <c r="C536" t="s">
        <v>1068</v>
      </c>
      <c r="D536" t="s">
        <v>113</v>
      </c>
      <c r="E536" t="s">
        <v>61</v>
      </c>
      <c r="F536" t="s">
        <v>1069</v>
      </c>
      <c r="G536" t="str">
        <f>"201406013715"</f>
        <v>201406013715</v>
      </c>
      <c r="H536" t="s">
        <v>234</v>
      </c>
      <c r="I536">
        <v>0</v>
      </c>
      <c r="J536">
        <v>0</v>
      </c>
      <c r="K536">
        <v>0</v>
      </c>
      <c r="L536">
        <v>0</v>
      </c>
      <c r="M536">
        <v>100</v>
      </c>
      <c r="N536">
        <v>70</v>
      </c>
      <c r="O536">
        <v>70</v>
      </c>
      <c r="P536">
        <v>50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 t="s">
        <v>1070</v>
      </c>
    </row>
    <row r="537" spans="1:25" x14ac:dyDescent="0.25">
      <c r="H537" t="s">
        <v>23</v>
      </c>
    </row>
    <row r="538" spans="1:25" x14ac:dyDescent="0.25">
      <c r="A538">
        <v>266</v>
      </c>
      <c r="B538">
        <v>5116</v>
      </c>
      <c r="C538" t="s">
        <v>1071</v>
      </c>
      <c r="D538" t="s">
        <v>209</v>
      </c>
      <c r="E538" t="s">
        <v>21</v>
      </c>
      <c r="F538" t="s">
        <v>1072</v>
      </c>
      <c r="G538" t="str">
        <f>"201506000063"</f>
        <v>201506000063</v>
      </c>
      <c r="H538" t="s">
        <v>980</v>
      </c>
      <c r="I538">
        <v>0</v>
      </c>
      <c r="J538">
        <v>0</v>
      </c>
      <c r="K538">
        <v>0</v>
      </c>
      <c r="L538">
        <v>260</v>
      </c>
      <c r="M538">
        <v>0</v>
      </c>
      <c r="N538">
        <v>70</v>
      </c>
      <c r="O538">
        <v>0</v>
      </c>
      <c r="P538">
        <v>50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 t="s">
        <v>1073</v>
      </c>
    </row>
    <row r="539" spans="1:25" x14ac:dyDescent="0.25">
      <c r="H539" t="s">
        <v>34</v>
      </c>
    </row>
    <row r="540" spans="1:25" x14ac:dyDescent="0.25">
      <c r="A540">
        <v>267</v>
      </c>
      <c r="B540">
        <v>4838</v>
      </c>
      <c r="C540" t="s">
        <v>1074</v>
      </c>
      <c r="D540" t="s">
        <v>113</v>
      </c>
      <c r="E540" t="s">
        <v>1075</v>
      </c>
      <c r="F540" t="s">
        <v>1076</v>
      </c>
      <c r="G540" t="str">
        <f>"201505000292"</f>
        <v>201505000292</v>
      </c>
      <c r="H540" t="s">
        <v>984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70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 t="s">
        <v>1077</v>
      </c>
    </row>
    <row r="541" spans="1:25" x14ac:dyDescent="0.25">
      <c r="H541" t="s">
        <v>53</v>
      </c>
    </row>
    <row r="542" spans="1:25" x14ac:dyDescent="0.25">
      <c r="A542">
        <v>268</v>
      </c>
      <c r="B542">
        <v>5465</v>
      </c>
      <c r="C542" t="s">
        <v>1078</v>
      </c>
      <c r="D542" t="s">
        <v>1079</v>
      </c>
      <c r="E542" t="s">
        <v>184</v>
      </c>
      <c r="F542" t="s">
        <v>1080</v>
      </c>
      <c r="G542" t="str">
        <f>"00013219"</f>
        <v>00013219</v>
      </c>
      <c r="H542" t="s">
        <v>374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 t="s">
        <v>1081</v>
      </c>
    </row>
    <row r="543" spans="1:25" x14ac:dyDescent="0.25">
      <c r="H543" t="s">
        <v>34</v>
      </c>
    </row>
    <row r="544" spans="1:25" x14ac:dyDescent="0.25">
      <c r="A544">
        <v>269</v>
      </c>
      <c r="B544">
        <v>2841</v>
      </c>
      <c r="C544" t="s">
        <v>1082</v>
      </c>
      <c r="D544" t="s">
        <v>49</v>
      </c>
      <c r="E544" t="s">
        <v>781</v>
      </c>
      <c r="F544" t="s">
        <v>1083</v>
      </c>
      <c r="G544" t="str">
        <f>"00003417"</f>
        <v>00003417</v>
      </c>
      <c r="H544" t="s">
        <v>1084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30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 t="s">
        <v>1085</v>
      </c>
    </row>
    <row r="545" spans="1:25" x14ac:dyDescent="0.25">
      <c r="H545" t="s">
        <v>34</v>
      </c>
    </row>
    <row r="546" spans="1:25" x14ac:dyDescent="0.25">
      <c r="A546">
        <v>270</v>
      </c>
      <c r="B546">
        <v>5339</v>
      </c>
      <c r="C546" t="s">
        <v>1086</v>
      </c>
      <c r="D546" t="s">
        <v>1087</v>
      </c>
      <c r="E546" t="s">
        <v>99</v>
      </c>
      <c r="F546" t="s">
        <v>1088</v>
      </c>
      <c r="G546" t="str">
        <f>"201406013269"</f>
        <v>201406013269</v>
      </c>
      <c r="H546" t="s">
        <v>1089</v>
      </c>
      <c r="I546">
        <v>0</v>
      </c>
      <c r="J546">
        <v>0</v>
      </c>
      <c r="K546">
        <v>0</v>
      </c>
      <c r="L546">
        <v>260</v>
      </c>
      <c r="M546">
        <v>0</v>
      </c>
      <c r="N546">
        <v>70</v>
      </c>
      <c r="O546">
        <v>70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 t="s">
        <v>1090</v>
      </c>
    </row>
    <row r="547" spans="1:25" x14ac:dyDescent="0.25">
      <c r="H547" t="s">
        <v>34</v>
      </c>
    </row>
    <row r="548" spans="1:25" x14ac:dyDescent="0.25">
      <c r="A548">
        <v>271</v>
      </c>
      <c r="B548">
        <v>806</v>
      </c>
      <c r="C548" t="s">
        <v>1091</v>
      </c>
      <c r="D548" t="s">
        <v>440</v>
      </c>
      <c r="E548" t="s">
        <v>1092</v>
      </c>
      <c r="F548" t="s">
        <v>1093</v>
      </c>
      <c r="G548" t="str">
        <f>"00190821"</f>
        <v>00190821</v>
      </c>
      <c r="H548">
        <v>726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70</v>
      </c>
      <c r="O548">
        <v>70</v>
      </c>
      <c r="P548">
        <v>50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1116</v>
      </c>
    </row>
    <row r="549" spans="1:25" x14ac:dyDescent="0.25">
      <c r="H549" t="s">
        <v>23</v>
      </c>
    </row>
    <row r="550" spans="1:25" x14ac:dyDescent="0.25">
      <c r="A550">
        <v>272</v>
      </c>
      <c r="B550">
        <v>4218</v>
      </c>
      <c r="C550" t="s">
        <v>1094</v>
      </c>
      <c r="D550" t="s">
        <v>55</v>
      </c>
      <c r="E550" t="s">
        <v>49</v>
      </c>
      <c r="F550" t="s">
        <v>1095</v>
      </c>
      <c r="G550" t="str">
        <f>"201406003817"</f>
        <v>201406003817</v>
      </c>
      <c r="H550" t="s">
        <v>1096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70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 t="s">
        <v>1097</v>
      </c>
    </row>
    <row r="551" spans="1:25" x14ac:dyDescent="0.25">
      <c r="H551" t="s">
        <v>118</v>
      </c>
    </row>
    <row r="552" spans="1:25" x14ac:dyDescent="0.25">
      <c r="A552">
        <v>273</v>
      </c>
      <c r="B552">
        <v>384</v>
      </c>
      <c r="C552" t="s">
        <v>1098</v>
      </c>
      <c r="D552" t="s">
        <v>1099</v>
      </c>
      <c r="E552" t="s">
        <v>200</v>
      </c>
      <c r="F552" t="s">
        <v>1100</v>
      </c>
      <c r="G552" t="str">
        <f>"201402012564"</f>
        <v>201402012564</v>
      </c>
      <c r="H552" t="s">
        <v>137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30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 t="s">
        <v>1101</v>
      </c>
    </row>
    <row r="553" spans="1:25" x14ac:dyDescent="0.25">
      <c r="H553" t="s">
        <v>91</v>
      </c>
    </row>
    <row r="554" spans="1:25" x14ac:dyDescent="0.25">
      <c r="A554">
        <v>274</v>
      </c>
      <c r="B554">
        <v>1027</v>
      </c>
      <c r="C554" t="s">
        <v>1102</v>
      </c>
      <c r="D554" t="s">
        <v>509</v>
      </c>
      <c r="E554" t="s">
        <v>350</v>
      </c>
      <c r="F554" t="s">
        <v>1103</v>
      </c>
      <c r="G554" t="str">
        <f>"00121958"</f>
        <v>00121958</v>
      </c>
      <c r="H554" t="s">
        <v>280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0</v>
      </c>
      <c r="O554">
        <v>0</v>
      </c>
      <c r="P554">
        <v>70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 t="s">
        <v>1104</v>
      </c>
    </row>
    <row r="555" spans="1:25" x14ac:dyDescent="0.25">
      <c r="H555" t="s">
        <v>23</v>
      </c>
    </row>
    <row r="556" spans="1:25" x14ac:dyDescent="0.25">
      <c r="A556">
        <v>275</v>
      </c>
      <c r="B556">
        <v>2522</v>
      </c>
      <c r="C556" t="s">
        <v>1105</v>
      </c>
      <c r="D556" t="s">
        <v>87</v>
      </c>
      <c r="E556" t="s">
        <v>1106</v>
      </c>
      <c r="F556" t="s">
        <v>1107</v>
      </c>
      <c r="G556" t="str">
        <f>"201304002442"</f>
        <v>201304002442</v>
      </c>
      <c r="H556" t="s">
        <v>1027</v>
      </c>
      <c r="I556">
        <v>0</v>
      </c>
      <c r="J556">
        <v>0</v>
      </c>
      <c r="K556">
        <v>0</v>
      </c>
      <c r="L556">
        <v>260</v>
      </c>
      <c r="M556">
        <v>0</v>
      </c>
      <c r="N556">
        <v>70</v>
      </c>
      <c r="O556">
        <v>30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 t="s">
        <v>1108</v>
      </c>
    </row>
    <row r="557" spans="1:25" x14ac:dyDescent="0.25">
      <c r="H557" t="s">
        <v>91</v>
      </c>
    </row>
    <row r="558" spans="1:25" x14ac:dyDescent="0.25">
      <c r="A558">
        <v>276</v>
      </c>
      <c r="B558">
        <v>4374</v>
      </c>
      <c r="C558" t="s">
        <v>1109</v>
      </c>
      <c r="D558" t="s">
        <v>440</v>
      </c>
      <c r="E558" t="s">
        <v>49</v>
      </c>
      <c r="F558" t="s">
        <v>1110</v>
      </c>
      <c r="G558" t="str">
        <f>"00013375"</f>
        <v>00013375</v>
      </c>
      <c r="H558" t="s">
        <v>476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70</v>
      </c>
      <c r="O558">
        <v>70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 t="s">
        <v>1111</v>
      </c>
    </row>
    <row r="559" spans="1:25" x14ac:dyDescent="0.25">
      <c r="H559" t="s">
        <v>23</v>
      </c>
    </row>
    <row r="560" spans="1:25" x14ac:dyDescent="0.25">
      <c r="A560">
        <v>277</v>
      </c>
      <c r="B560">
        <v>3548</v>
      </c>
      <c r="C560" t="s">
        <v>1112</v>
      </c>
      <c r="D560" t="s">
        <v>891</v>
      </c>
      <c r="E560" t="s">
        <v>99</v>
      </c>
      <c r="F560" t="s">
        <v>1113</v>
      </c>
      <c r="G560" t="str">
        <f>"00175935"</f>
        <v>00175935</v>
      </c>
      <c r="H560" t="s">
        <v>832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70</v>
      </c>
      <c r="O560">
        <v>50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 t="s">
        <v>1114</v>
      </c>
    </row>
    <row r="561" spans="1:25" x14ac:dyDescent="0.25">
      <c r="H561">
        <v>101</v>
      </c>
    </row>
    <row r="562" spans="1:25" x14ac:dyDescent="0.25">
      <c r="A562">
        <v>278</v>
      </c>
      <c r="B562">
        <v>555</v>
      </c>
      <c r="C562" t="s">
        <v>1115</v>
      </c>
      <c r="D562" t="s">
        <v>689</v>
      </c>
      <c r="E562" t="s">
        <v>21</v>
      </c>
      <c r="F562" t="s">
        <v>1116</v>
      </c>
      <c r="G562" t="str">
        <f>"201406018178"</f>
        <v>201406018178</v>
      </c>
      <c r="H562">
        <v>792</v>
      </c>
      <c r="I562">
        <v>0</v>
      </c>
      <c r="J562">
        <v>0</v>
      </c>
      <c r="K562">
        <v>0</v>
      </c>
      <c r="L562">
        <v>200</v>
      </c>
      <c r="M562">
        <v>0</v>
      </c>
      <c r="N562">
        <v>70</v>
      </c>
      <c r="O562">
        <v>0</v>
      </c>
      <c r="P562">
        <v>50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1112</v>
      </c>
    </row>
    <row r="563" spans="1:25" x14ac:dyDescent="0.25">
      <c r="H563" t="s">
        <v>23</v>
      </c>
    </row>
    <row r="564" spans="1:25" x14ac:dyDescent="0.25">
      <c r="A564">
        <v>279</v>
      </c>
      <c r="B564">
        <v>5217</v>
      </c>
      <c r="C564" t="s">
        <v>1117</v>
      </c>
      <c r="D564" t="s">
        <v>1118</v>
      </c>
      <c r="E564" t="s">
        <v>55</v>
      </c>
      <c r="F564" t="s">
        <v>1119</v>
      </c>
      <c r="G564" t="str">
        <f>"00163008"</f>
        <v>00163008</v>
      </c>
      <c r="H564" t="s">
        <v>622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70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 t="s">
        <v>1120</v>
      </c>
    </row>
    <row r="565" spans="1:25" x14ac:dyDescent="0.25">
      <c r="H565" t="s">
        <v>34</v>
      </c>
    </row>
    <row r="566" spans="1:25" x14ac:dyDescent="0.25">
      <c r="A566">
        <v>280</v>
      </c>
      <c r="B566">
        <v>3717</v>
      </c>
      <c r="C566" t="s">
        <v>1121</v>
      </c>
      <c r="D566" t="s">
        <v>598</v>
      </c>
      <c r="E566" t="s">
        <v>43</v>
      </c>
      <c r="F566" t="s">
        <v>1122</v>
      </c>
      <c r="G566" t="str">
        <f>"00015165"</f>
        <v>00015165</v>
      </c>
      <c r="H566" t="s">
        <v>431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 t="s">
        <v>1123</v>
      </c>
    </row>
    <row r="567" spans="1:25" x14ac:dyDescent="0.25">
      <c r="H567" t="s">
        <v>34</v>
      </c>
    </row>
    <row r="568" spans="1:25" x14ac:dyDescent="0.25">
      <c r="A568">
        <v>281</v>
      </c>
      <c r="B568">
        <v>1945</v>
      </c>
      <c r="C568" t="s">
        <v>1124</v>
      </c>
      <c r="D568" t="s">
        <v>25</v>
      </c>
      <c r="E568" t="s">
        <v>87</v>
      </c>
      <c r="F568" t="s">
        <v>1125</v>
      </c>
      <c r="G568" t="str">
        <f>"201406005109"</f>
        <v>201406005109</v>
      </c>
      <c r="H568" t="s">
        <v>1055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50</v>
      </c>
      <c r="P568">
        <v>0</v>
      </c>
      <c r="Q568">
        <v>50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1</v>
      </c>
      <c r="Y568" t="s">
        <v>1126</v>
      </c>
    </row>
    <row r="569" spans="1:25" x14ac:dyDescent="0.25">
      <c r="H569" t="s">
        <v>53</v>
      </c>
    </row>
    <row r="570" spans="1:25" x14ac:dyDescent="0.25">
      <c r="A570">
        <v>282</v>
      </c>
      <c r="B570">
        <v>2150</v>
      </c>
      <c r="C570" t="s">
        <v>1127</v>
      </c>
      <c r="D570" t="s">
        <v>1128</v>
      </c>
      <c r="E570" t="s">
        <v>55</v>
      </c>
      <c r="F570" t="s">
        <v>1129</v>
      </c>
      <c r="G570" t="str">
        <f>"00201860"</f>
        <v>00201860</v>
      </c>
      <c r="H570">
        <v>770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70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1110</v>
      </c>
    </row>
    <row r="571" spans="1:25" x14ac:dyDescent="0.25">
      <c r="H571" t="s">
        <v>53</v>
      </c>
    </row>
    <row r="572" spans="1:25" x14ac:dyDescent="0.25">
      <c r="A572">
        <v>283</v>
      </c>
      <c r="B572">
        <v>169</v>
      </c>
      <c r="C572" t="s">
        <v>1130</v>
      </c>
      <c r="D572" t="s">
        <v>1131</v>
      </c>
      <c r="E572" t="s">
        <v>1132</v>
      </c>
      <c r="F572" t="s">
        <v>1133</v>
      </c>
      <c r="G572" t="str">
        <f>"00012981"</f>
        <v>00012981</v>
      </c>
      <c r="H572" t="s">
        <v>1060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70</v>
      </c>
      <c r="P572">
        <v>0</v>
      </c>
      <c r="Q572">
        <v>30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 t="s">
        <v>1134</v>
      </c>
    </row>
    <row r="573" spans="1:25" x14ac:dyDescent="0.25">
      <c r="H573" t="s">
        <v>23</v>
      </c>
    </row>
    <row r="574" spans="1:25" x14ac:dyDescent="0.25">
      <c r="A574">
        <v>284</v>
      </c>
      <c r="B574">
        <v>1791</v>
      </c>
      <c r="C574" t="s">
        <v>1135</v>
      </c>
      <c r="D574" t="s">
        <v>21</v>
      </c>
      <c r="E574" t="s">
        <v>49</v>
      </c>
      <c r="F574" t="s">
        <v>1136</v>
      </c>
      <c r="G574" t="str">
        <f>"201304006260"</f>
        <v>201304006260</v>
      </c>
      <c r="H574" t="s">
        <v>202</v>
      </c>
      <c r="I574">
        <v>0</v>
      </c>
      <c r="J574">
        <v>0</v>
      </c>
      <c r="K574">
        <v>0</v>
      </c>
      <c r="L574">
        <v>260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 t="s">
        <v>1137</v>
      </c>
    </row>
    <row r="575" spans="1:25" x14ac:dyDescent="0.25">
      <c r="H575" t="s">
        <v>118</v>
      </c>
    </row>
    <row r="576" spans="1:25" x14ac:dyDescent="0.25">
      <c r="A576">
        <v>285</v>
      </c>
      <c r="B576">
        <v>4499</v>
      </c>
      <c r="C576" t="s">
        <v>1138</v>
      </c>
      <c r="D576" t="s">
        <v>1139</v>
      </c>
      <c r="E576" t="s">
        <v>55</v>
      </c>
      <c r="F576" t="s">
        <v>1140</v>
      </c>
      <c r="G576" t="str">
        <f>"00199226"</f>
        <v>00199226</v>
      </c>
      <c r="H576" t="s">
        <v>1141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50</v>
      </c>
      <c r="Q576">
        <v>30</v>
      </c>
      <c r="R576">
        <v>70</v>
      </c>
      <c r="S576">
        <v>0</v>
      </c>
      <c r="T576">
        <v>0</v>
      </c>
      <c r="U576">
        <v>0</v>
      </c>
      <c r="V576">
        <v>0</v>
      </c>
      <c r="X576">
        <v>0</v>
      </c>
      <c r="Y576" t="s">
        <v>1142</v>
      </c>
    </row>
    <row r="577" spans="1:25" x14ac:dyDescent="0.25">
      <c r="H577">
        <v>101</v>
      </c>
    </row>
    <row r="578" spans="1:25" x14ac:dyDescent="0.25">
      <c r="A578">
        <v>286</v>
      </c>
      <c r="B578">
        <v>327</v>
      </c>
      <c r="C578" t="s">
        <v>1143</v>
      </c>
      <c r="D578" t="s">
        <v>346</v>
      </c>
      <c r="E578" t="s">
        <v>616</v>
      </c>
      <c r="F578" t="s">
        <v>1144</v>
      </c>
      <c r="G578" t="str">
        <f>"201406014997"</f>
        <v>201406014997</v>
      </c>
      <c r="H578" t="s">
        <v>984</v>
      </c>
      <c r="I578">
        <v>0</v>
      </c>
      <c r="J578">
        <v>0</v>
      </c>
      <c r="K578">
        <v>0</v>
      </c>
      <c r="L578">
        <v>260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 t="s">
        <v>1142</v>
      </c>
    </row>
    <row r="579" spans="1:25" x14ac:dyDescent="0.25">
      <c r="H579" t="s">
        <v>23</v>
      </c>
    </row>
    <row r="580" spans="1:25" x14ac:dyDescent="0.25">
      <c r="A580">
        <v>287</v>
      </c>
      <c r="B580">
        <v>342</v>
      </c>
      <c r="C580" t="s">
        <v>1145</v>
      </c>
      <c r="D580" t="s">
        <v>1146</v>
      </c>
      <c r="E580" t="s">
        <v>87</v>
      </c>
      <c r="F580" t="s">
        <v>1147</v>
      </c>
      <c r="G580" t="str">
        <f>"201405001426"</f>
        <v>201405001426</v>
      </c>
      <c r="H580" t="s">
        <v>452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70</v>
      </c>
      <c r="O580">
        <v>0</v>
      </c>
      <c r="P580">
        <v>50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 t="s">
        <v>1148</v>
      </c>
    </row>
    <row r="581" spans="1:25" x14ac:dyDescent="0.25">
      <c r="H581">
        <v>101</v>
      </c>
    </row>
    <row r="582" spans="1:25" x14ac:dyDescent="0.25">
      <c r="A582">
        <v>288</v>
      </c>
      <c r="B582">
        <v>2402</v>
      </c>
      <c r="C582" t="s">
        <v>1149</v>
      </c>
      <c r="D582" t="s">
        <v>509</v>
      </c>
      <c r="E582" t="s">
        <v>99</v>
      </c>
      <c r="F582" t="s">
        <v>1150</v>
      </c>
      <c r="G582" t="str">
        <f>"00090852"</f>
        <v>00090852</v>
      </c>
      <c r="H582">
        <v>737</v>
      </c>
      <c r="I582">
        <v>0</v>
      </c>
      <c r="J582">
        <v>0</v>
      </c>
      <c r="K582">
        <v>0</v>
      </c>
      <c r="L582">
        <v>200</v>
      </c>
      <c r="M582">
        <v>30</v>
      </c>
      <c r="N582">
        <v>70</v>
      </c>
      <c r="O582">
        <v>0</v>
      </c>
      <c r="P582">
        <v>70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1107</v>
      </c>
    </row>
    <row r="583" spans="1:25" x14ac:dyDescent="0.25">
      <c r="H583" t="s">
        <v>23</v>
      </c>
    </row>
    <row r="584" spans="1:25" x14ac:dyDescent="0.25">
      <c r="A584">
        <v>289</v>
      </c>
      <c r="B584">
        <v>4913</v>
      </c>
      <c r="C584" t="s">
        <v>1151</v>
      </c>
      <c r="D584" t="s">
        <v>1152</v>
      </c>
      <c r="E584" t="s">
        <v>87</v>
      </c>
      <c r="F584" t="s">
        <v>1153</v>
      </c>
      <c r="G584" t="str">
        <f>"201505000270"</f>
        <v>201505000270</v>
      </c>
      <c r="H584">
        <v>737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50</v>
      </c>
      <c r="P584">
        <v>0</v>
      </c>
      <c r="Q584">
        <v>0</v>
      </c>
      <c r="R584">
        <v>50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1107</v>
      </c>
    </row>
    <row r="585" spans="1:25" x14ac:dyDescent="0.25">
      <c r="H585" t="s">
        <v>91</v>
      </c>
    </row>
    <row r="586" spans="1:25" x14ac:dyDescent="0.25">
      <c r="A586">
        <v>290</v>
      </c>
      <c r="B586">
        <v>3201</v>
      </c>
      <c r="C586" t="s">
        <v>1154</v>
      </c>
      <c r="D586" t="s">
        <v>209</v>
      </c>
      <c r="E586" t="s">
        <v>21</v>
      </c>
      <c r="F586" t="s">
        <v>1155</v>
      </c>
      <c r="G586" t="str">
        <f>"201304005810"</f>
        <v>201304005810</v>
      </c>
      <c r="H586" t="s">
        <v>660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70</v>
      </c>
      <c r="O586">
        <v>30</v>
      </c>
      <c r="P586">
        <v>30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 t="s">
        <v>1156</v>
      </c>
    </row>
    <row r="587" spans="1:25" x14ac:dyDescent="0.25">
      <c r="H587" t="s">
        <v>23</v>
      </c>
    </row>
    <row r="588" spans="1:25" x14ac:dyDescent="0.25">
      <c r="A588">
        <v>291</v>
      </c>
      <c r="B588">
        <v>5520</v>
      </c>
      <c r="C588" t="s">
        <v>1157</v>
      </c>
      <c r="D588" t="s">
        <v>193</v>
      </c>
      <c r="E588" t="s">
        <v>147</v>
      </c>
      <c r="F588" t="s">
        <v>1158</v>
      </c>
      <c r="G588" t="str">
        <f>"201506002194"</f>
        <v>201506002194</v>
      </c>
      <c r="H588" t="s">
        <v>813</v>
      </c>
      <c r="I588">
        <v>0</v>
      </c>
      <c r="J588">
        <v>0</v>
      </c>
      <c r="K588">
        <v>0</v>
      </c>
      <c r="L588">
        <v>200</v>
      </c>
      <c r="M588">
        <v>30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0</v>
      </c>
      <c r="Y588" t="s">
        <v>1159</v>
      </c>
    </row>
    <row r="589" spans="1:25" x14ac:dyDescent="0.25">
      <c r="H589" t="s">
        <v>91</v>
      </c>
    </row>
    <row r="590" spans="1:25" x14ac:dyDescent="0.25">
      <c r="A590">
        <v>292</v>
      </c>
      <c r="B590">
        <v>5769</v>
      </c>
      <c r="C590" t="s">
        <v>1160</v>
      </c>
      <c r="D590" t="s">
        <v>1161</v>
      </c>
      <c r="E590" t="s">
        <v>1035</v>
      </c>
      <c r="F590" t="s">
        <v>1162</v>
      </c>
      <c r="G590" t="str">
        <f>"201409000015"</f>
        <v>201409000015</v>
      </c>
      <c r="H590" t="s">
        <v>910</v>
      </c>
      <c r="I590">
        <v>0</v>
      </c>
      <c r="J590">
        <v>0</v>
      </c>
      <c r="K590">
        <v>200</v>
      </c>
      <c r="L590">
        <v>0</v>
      </c>
      <c r="M590">
        <v>100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 t="s">
        <v>1163</v>
      </c>
    </row>
    <row r="591" spans="1:25" x14ac:dyDescent="0.25">
      <c r="H591" t="s">
        <v>213</v>
      </c>
    </row>
    <row r="592" spans="1:25" x14ac:dyDescent="0.25">
      <c r="A592">
        <v>293</v>
      </c>
      <c r="B592">
        <v>5755</v>
      </c>
      <c r="C592" t="s">
        <v>1164</v>
      </c>
      <c r="D592" t="s">
        <v>194</v>
      </c>
      <c r="E592" t="s">
        <v>1106</v>
      </c>
      <c r="F592" t="s">
        <v>1165</v>
      </c>
      <c r="G592" t="str">
        <f>"200712005710"</f>
        <v>200712005710</v>
      </c>
      <c r="H592" t="s">
        <v>254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30</v>
      </c>
      <c r="P592">
        <v>30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 t="s">
        <v>1166</v>
      </c>
    </row>
    <row r="593" spans="1:25" x14ac:dyDescent="0.25">
      <c r="H593" t="s">
        <v>118</v>
      </c>
    </row>
    <row r="594" spans="1:25" x14ac:dyDescent="0.25">
      <c r="A594">
        <v>294</v>
      </c>
      <c r="B594">
        <v>1106</v>
      </c>
      <c r="C594" t="s">
        <v>1167</v>
      </c>
      <c r="D594" t="s">
        <v>1168</v>
      </c>
      <c r="E594" t="s">
        <v>87</v>
      </c>
      <c r="F594" t="s">
        <v>1169</v>
      </c>
      <c r="G594" t="str">
        <f>"00015133"</f>
        <v>00015133</v>
      </c>
      <c r="H594" t="s">
        <v>132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50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 t="s">
        <v>1170</v>
      </c>
    </row>
    <row r="595" spans="1:25" x14ac:dyDescent="0.25">
      <c r="H595" t="s">
        <v>91</v>
      </c>
    </row>
    <row r="596" spans="1:25" x14ac:dyDescent="0.25">
      <c r="A596">
        <v>295</v>
      </c>
      <c r="B596">
        <v>430</v>
      </c>
      <c r="C596" t="s">
        <v>1171</v>
      </c>
      <c r="D596" t="s">
        <v>1172</v>
      </c>
      <c r="E596" t="s">
        <v>30</v>
      </c>
      <c r="F596" t="s">
        <v>1173</v>
      </c>
      <c r="G596" t="str">
        <f>"00124429"</f>
        <v>00124429</v>
      </c>
      <c r="H596" t="s">
        <v>132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50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 t="s">
        <v>1170</v>
      </c>
    </row>
    <row r="597" spans="1:25" x14ac:dyDescent="0.25">
      <c r="H597" t="s">
        <v>118</v>
      </c>
    </row>
    <row r="598" spans="1:25" x14ac:dyDescent="0.25">
      <c r="A598">
        <v>296</v>
      </c>
      <c r="B598">
        <v>646</v>
      </c>
      <c r="C598" t="s">
        <v>1174</v>
      </c>
      <c r="D598" t="s">
        <v>663</v>
      </c>
      <c r="E598" t="s">
        <v>781</v>
      </c>
      <c r="F598" t="s">
        <v>1175</v>
      </c>
      <c r="G598" t="str">
        <f>"00190570"</f>
        <v>00190570</v>
      </c>
      <c r="H598" t="s">
        <v>1176</v>
      </c>
      <c r="I598">
        <v>0</v>
      </c>
      <c r="J598">
        <v>0</v>
      </c>
      <c r="K598">
        <v>0</v>
      </c>
      <c r="L598">
        <v>0</v>
      </c>
      <c r="M598">
        <v>100</v>
      </c>
      <c r="N598">
        <v>70</v>
      </c>
      <c r="O598">
        <v>70</v>
      </c>
      <c r="P598">
        <v>30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 t="s">
        <v>1177</v>
      </c>
    </row>
    <row r="599" spans="1:25" x14ac:dyDescent="0.25">
      <c r="H599">
        <v>101</v>
      </c>
    </row>
    <row r="600" spans="1:25" x14ac:dyDescent="0.25">
      <c r="A600">
        <v>297</v>
      </c>
      <c r="B600">
        <v>4199</v>
      </c>
      <c r="C600" t="s">
        <v>1178</v>
      </c>
      <c r="D600" t="s">
        <v>1179</v>
      </c>
      <c r="E600" t="s">
        <v>71</v>
      </c>
      <c r="F600" t="s">
        <v>1180</v>
      </c>
      <c r="G600" t="str">
        <f>"201406010000"</f>
        <v>201406010000</v>
      </c>
      <c r="H600" t="s">
        <v>595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30</v>
      </c>
      <c r="O600">
        <v>0</v>
      </c>
      <c r="P600">
        <v>70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 t="s">
        <v>1181</v>
      </c>
    </row>
    <row r="601" spans="1:25" x14ac:dyDescent="0.25">
      <c r="H601">
        <v>101</v>
      </c>
    </row>
    <row r="602" spans="1:25" x14ac:dyDescent="0.25">
      <c r="A602">
        <v>298</v>
      </c>
      <c r="B602">
        <v>6206</v>
      </c>
      <c r="C602" t="s">
        <v>1182</v>
      </c>
      <c r="D602" t="s">
        <v>48</v>
      </c>
      <c r="E602" t="s">
        <v>1183</v>
      </c>
      <c r="F602" t="s">
        <v>1184</v>
      </c>
      <c r="G602" t="str">
        <f>"201406011677"</f>
        <v>201406011677</v>
      </c>
      <c r="H602" t="s">
        <v>595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70</v>
      </c>
      <c r="O602">
        <v>0</v>
      </c>
      <c r="P602">
        <v>30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 t="s">
        <v>1181</v>
      </c>
    </row>
    <row r="603" spans="1:25" x14ac:dyDescent="0.25">
      <c r="H603" t="s">
        <v>23</v>
      </c>
    </row>
    <row r="604" spans="1:25" x14ac:dyDescent="0.25">
      <c r="A604">
        <v>299</v>
      </c>
      <c r="B604">
        <v>5579</v>
      </c>
      <c r="C604" t="s">
        <v>1185</v>
      </c>
      <c r="D604" t="s">
        <v>294</v>
      </c>
      <c r="E604" t="s">
        <v>37</v>
      </c>
      <c r="F604" t="s">
        <v>1186</v>
      </c>
      <c r="G604" t="str">
        <f>"00190920"</f>
        <v>00190920</v>
      </c>
      <c r="H604">
        <v>704</v>
      </c>
      <c r="I604">
        <v>0</v>
      </c>
      <c r="J604">
        <v>0</v>
      </c>
      <c r="K604">
        <v>0</v>
      </c>
      <c r="L604">
        <v>260</v>
      </c>
      <c r="M604">
        <v>0</v>
      </c>
      <c r="N604">
        <v>70</v>
      </c>
      <c r="O604">
        <v>70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1104</v>
      </c>
    </row>
    <row r="605" spans="1:25" x14ac:dyDescent="0.25">
      <c r="H605" t="s">
        <v>34</v>
      </c>
    </row>
    <row r="606" spans="1:25" x14ac:dyDescent="0.25">
      <c r="A606">
        <v>300</v>
      </c>
      <c r="B606">
        <v>5434</v>
      </c>
      <c r="C606" t="s">
        <v>1187</v>
      </c>
      <c r="D606" t="s">
        <v>1188</v>
      </c>
      <c r="E606" t="s">
        <v>252</v>
      </c>
      <c r="F606" t="s">
        <v>1189</v>
      </c>
      <c r="G606" t="str">
        <f>"201506003289"</f>
        <v>201506003289</v>
      </c>
      <c r="H606" t="s">
        <v>762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 t="s">
        <v>1190</v>
      </c>
    </row>
    <row r="607" spans="1:25" x14ac:dyDescent="0.25">
      <c r="H607" t="s">
        <v>23</v>
      </c>
    </row>
    <row r="608" spans="1:25" x14ac:dyDescent="0.25">
      <c r="A608">
        <v>301</v>
      </c>
      <c r="B608">
        <v>1045</v>
      </c>
      <c r="C608" t="s">
        <v>1191</v>
      </c>
      <c r="D608" t="s">
        <v>1192</v>
      </c>
      <c r="E608" t="s">
        <v>21</v>
      </c>
      <c r="F608" t="s">
        <v>1193</v>
      </c>
      <c r="G608" t="str">
        <f>"201304006032"</f>
        <v>201304006032</v>
      </c>
      <c r="H608" t="s">
        <v>938</v>
      </c>
      <c r="I608">
        <v>0</v>
      </c>
      <c r="J608">
        <v>0</v>
      </c>
      <c r="K608">
        <v>0</v>
      </c>
      <c r="L608">
        <v>260</v>
      </c>
      <c r="M608">
        <v>0</v>
      </c>
      <c r="N608">
        <v>70</v>
      </c>
      <c r="O608">
        <v>30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 t="s">
        <v>1194</v>
      </c>
    </row>
    <row r="609" spans="1:25" x14ac:dyDescent="0.25">
      <c r="H609" t="s">
        <v>53</v>
      </c>
    </row>
    <row r="610" spans="1:25" x14ac:dyDescent="0.25">
      <c r="A610">
        <v>302</v>
      </c>
      <c r="B610">
        <v>5018</v>
      </c>
      <c r="C610" t="s">
        <v>1195</v>
      </c>
      <c r="D610" t="s">
        <v>1196</v>
      </c>
      <c r="E610" t="s">
        <v>1197</v>
      </c>
      <c r="F610" t="s">
        <v>1198</v>
      </c>
      <c r="G610" t="str">
        <f>"201406018714"</f>
        <v>201406018714</v>
      </c>
      <c r="H610" t="s">
        <v>67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70</v>
      </c>
      <c r="U610">
        <v>0</v>
      </c>
      <c r="V610">
        <v>0</v>
      </c>
      <c r="X610">
        <v>0</v>
      </c>
      <c r="Y610" t="s">
        <v>1199</v>
      </c>
    </row>
    <row r="611" spans="1:25" x14ac:dyDescent="0.25">
      <c r="H611" t="s">
        <v>118</v>
      </c>
    </row>
    <row r="612" spans="1:25" x14ac:dyDescent="0.25">
      <c r="A612">
        <v>303</v>
      </c>
      <c r="B612">
        <v>1989</v>
      </c>
      <c r="C612" t="s">
        <v>1200</v>
      </c>
      <c r="D612" t="s">
        <v>36</v>
      </c>
      <c r="E612" t="s">
        <v>419</v>
      </c>
      <c r="F612" t="s">
        <v>1201</v>
      </c>
      <c r="G612" t="str">
        <f>"201304002532"</f>
        <v>201304002532</v>
      </c>
      <c r="H612">
        <v>693</v>
      </c>
      <c r="I612">
        <v>150</v>
      </c>
      <c r="J612">
        <v>0</v>
      </c>
      <c r="K612">
        <v>0</v>
      </c>
      <c r="L612">
        <v>200</v>
      </c>
      <c r="M612">
        <v>0</v>
      </c>
      <c r="N612">
        <v>30</v>
      </c>
      <c r="O612">
        <v>30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>
        <v>1103</v>
      </c>
    </row>
    <row r="613" spans="1:25" x14ac:dyDescent="0.25">
      <c r="H613" t="s">
        <v>23</v>
      </c>
    </row>
    <row r="614" spans="1:25" x14ac:dyDescent="0.25">
      <c r="A614">
        <v>304</v>
      </c>
      <c r="B614">
        <v>6451</v>
      </c>
      <c r="C614" t="s">
        <v>1202</v>
      </c>
      <c r="D614" t="s">
        <v>113</v>
      </c>
      <c r="E614" t="s">
        <v>49</v>
      </c>
      <c r="F614" t="s">
        <v>1203</v>
      </c>
      <c r="G614" t="str">
        <f>"00162951"</f>
        <v>00162951</v>
      </c>
      <c r="H614" t="s">
        <v>1204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70</v>
      </c>
      <c r="P614">
        <v>0</v>
      </c>
      <c r="Q614">
        <v>30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 t="s">
        <v>1205</v>
      </c>
    </row>
    <row r="615" spans="1:25" x14ac:dyDescent="0.25">
      <c r="H615">
        <v>101</v>
      </c>
    </row>
    <row r="616" spans="1:25" x14ac:dyDescent="0.25">
      <c r="A616">
        <v>305</v>
      </c>
      <c r="B616">
        <v>5160</v>
      </c>
      <c r="C616" t="s">
        <v>1206</v>
      </c>
      <c r="D616" t="s">
        <v>1207</v>
      </c>
      <c r="E616" t="s">
        <v>55</v>
      </c>
      <c r="F616" t="s">
        <v>1208</v>
      </c>
      <c r="G616" t="str">
        <f>"201406013511"</f>
        <v>201406013511</v>
      </c>
      <c r="H616" t="s">
        <v>1204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50</v>
      </c>
      <c r="P616">
        <v>50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 t="s">
        <v>1205</v>
      </c>
    </row>
    <row r="617" spans="1:25" x14ac:dyDescent="0.25">
      <c r="H617" t="s">
        <v>118</v>
      </c>
    </row>
    <row r="618" spans="1:25" x14ac:dyDescent="0.25">
      <c r="A618">
        <v>306</v>
      </c>
      <c r="B618">
        <v>2209</v>
      </c>
      <c r="C618" t="s">
        <v>1209</v>
      </c>
      <c r="D618" t="s">
        <v>25</v>
      </c>
      <c r="E618" t="s">
        <v>49</v>
      </c>
      <c r="F618" t="s">
        <v>1210</v>
      </c>
      <c r="G618" t="str">
        <f>"201406007438"</f>
        <v>201406007438</v>
      </c>
      <c r="H618" t="s">
        <v>691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50</v>
      </c>
      <c r="P618">
        <v>0</v>
      </c>
      <c r="Q618">
        <v>30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 t="s">
        <v>1211</v>
      </c>
    </row>
    <row r="619" spans="1:25" x14ac:dyDescent="0.25">
      <c r="H619" t="s">
        <v>53</v>
      </c>
    </row>
    <row r="620" spans="1:25" x14ac:dyDescent="0.25">
      <c r="A620">
        <v>307</v>
      </c>
      <c r="B620">
        <v>3062</v>
      </c>
      <c r="C620" t="s">
        <v>1212</v>
      </c>
      <c r="D620" t="s">
        <v>43</v>
      </c>
      <c r="E620" t="s">
        <v>1213</v>
      </c>
      <c r="F620" t="s">
        <v>1214</v>
      </c>
      <c r="G620" t="str">
        <f>"201510002110"</f>
        <v>201510002110</v>
      </c>
      <c r="H620" t="s">
        <v>612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70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 t="s">
        <v>1215</v>
      </c>
    </row>
    <row r="621" spans="1:25" x14ac:dyDescent="0.25">
      <c r="H621" t="s">
        <v>23</v>
      </c>
    </row>
    <row r="622" spans="1:25" x14ac:dyDescent="0.25">
      <c r="A622">
        <v>308</v>
      </c>
      <c r="B622">
        <v>3215</v>
      </c>
      <c r="C622" t="s">
        <v>1216</v>
      </c>
      <c r="D622" t="s">
        <v>663</v>
      </c>
      <c r="E622" t="s">
        <v>55</v>
      </c>
      <c r="F622" t="s">
        <v>1217</v>
      </c>
      <c r="G622" t="str">
        <f>"00011493"</f>
        <v>00011493</v>
      </c>
      <c r="H622" t="s">
        <v>1218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 t="s">
        <v>1219</v>
      </c>
    </row>
    <row r="623" spans="1:25" x14ac:dyDescent="0.25">
      <c r="H623" t="s">
        <v>23</v>
      </c>
    </row>
    <row r="624" spans="1:25" x14ac:dyDescent="0.25">
      <c r="A624">
        <v>309</v>
      </c>
      <c r="B624">
        <v>3517</v>
      </c>
      <c r="C624" t="s">
        <v>1220</v>
      </c>
      <c r="D624" t="s">
        <v>1221</v>
      </c>
      <c r="E624" t="s">
        <v>21</v>
      </c>
      <c r="F624">
        <v>2343</v>
      </c>
      <c r="G624" t="str">
        <f>"00187954"</f>
        <v>00187954</v>
      </c>
      <c r="H624" t="s">
        <v>247</v>
      </c>
      <c r="I624">
        <v>150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 t="s">
        <v>1222</v>
      </c>
    </row>
    <row r="625" spans="1:25" x14ac:dyDescent="0.25">
      <c r="H625">
        <v>101</v>
      </c>
    </row>
    <row r="626" spans="1:25" x14ac:dyDescent="0.25">
      <c r="A626">
        <v>310</v>
      </c>
      <c r="B626">
        <v>4696</v>
      </c>
      <c r="C626" t="s">
        <v>1223</v>
      </c>
      <c r="D626" t="s">
        <v>1224</v>
      </c>
      <c r="E626" t="s">
        <v>1225</v>
      </c>
      <c r="F626" t="s">
        <v>1226</v>
      </c>
      <c r="G626" t="str">
        <f>"201406015215"</f>
        <v>201406015215</v>
      </c>
      <c r="H626" t="s">
        <v>631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 t="s">
        <v>1227</v>
      </c>
    </row>
    <row r="627" spans="1:25" x14ac:dyDescent="0.25">
      <c r="H627">
        <v>101</v>
      </c>
    </row>
    <row r="628" spans="1:25" x14ac:dyDescent="0.25">
      <c r="A628">
        <v>311</v>
      </c>
      <c r="B628">
        <v>2851</v>
      </c>
      <c r="C628" t="s">
        <v>1228</v>
      </c>
      <c r="D628" t="s">
        <v>48</v>
      </c>
      <c r="E628" t="s">
        <v>49</v>
      </c>
      <c r="F628" t="s">
        <v>1229</v>
      </c>
      <c r="G628" t="str">
        <f>"00077221"</f>
        <v>00077221</v>
      </c>
      <c r="H628" t="s">
        <v>1230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30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 t="s">
        <v>1231</v>
      </c>
    </row>
    <row r="629" spans="1:25" x14ac:dyDescent="0.25">
      <c r="H629" t="s">
        <v>53</v>
      </c>
    </row>
    <row r="630" spans="1:25" x14ac:dyDescent="0.25">
      <c r="A630">
        <v>312</v>
      </c>
      <c r="B630">
        <v>5754</v>
      </c>
      <c r="C630" t="s">
        <v>1232</v>
      </c>
      <c r="D630" t="s">
        <v>245</v>
      </c>
      <c r="E630" t="s">
        <v>65</v>
      </c>
      <c r="F630" t="s">
        <v>1233</v>
      </c>
      <c r="G630" t="str">
        <f>"00112965"</f>
        <v>00112965</v>
      </c>
      <c r="H630" t="s">
        <v>202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50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 t="s">
        <v>1234</v>
      </c>
    </row>
    <row r="631" spans="1:25" x14ac:dyDescent="0.25">
      <c r="H631" t="s">
        <v>34</v>
      </c>
    </row>
    <row r="632" spans="1:25" x14ac:dyDescent="0.25">
      <c r="A632">
        <v>313</v>
      </c>
      <c r="B632">
        <v>6202</v>
      </c>
      <c r="C632" t="s">
        <v>1235</v>
      </c>
      <c r="D632" t="s">
        <v>1236</v>
      </c>
      <c r="E632" t="s">
        <v>49</v>
      </c>
      <c r="F632" t="s">
        <v>1237</v>
      </c>
      <c r="G632" t="str">
        <f>"00104266"</f>
        <v>00104266</v>
      </c>
      <c r="H632" t="s">
        <v>1238</v>
      </c>
      <c r="I632">
        <v>150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 t="s">
        <v>1239</v>
      </c>
    </row>
    <row r="633" spans="1:25" x14ac:dyDescent="0.25">
      <c r="H633" t="s">
        <v>53</v>
      </c>
    </row>
    <row r="634" spans="1:25" x14ac:dyDescent="0.25">
      <c r="A634">
        <v>314</v>
      </c>
      <c r="B634">
        <v>5936</v>
      </c>
      <c r="C634" t="s">
        <v>1240</v>
      </c>
      <c r="D634" t="s">
        <v>1241</v>
      </c>
      <c r="E634" t="s">
        <v>55</v>
      </c>
      <c r="F634" t="s">
        <v>1242</v>
      </c>
      <c r="G634" t="str">
        <f>"201506000069"</f>
        <v>201506000069</v>
      </c>
      <c r="H634" t="s">
        <v>101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70</v>
      </c>
      <c r="O634">
        <v>30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0</v>
      </c>
      <c r="Y634" t="s">
        <v>1243</v>
      </c>
    </row>
    <row r="635" spans="1:25" x14ac:dyDescent="0.25">
      <c r="H635" t="s">
        <v>118</v>
      </c>
    </row>
    <row r="636" spans="1:25" x14ac:dyDescent="0.25">
      <c r="A636">
        <v>315</v>
      </c>
      <c r="B636">
        <v>3784</v>
      </c>
      <c r="C636" t="s">
        <v>1244</v>
      </c>
      <c r="D636" t="s">
        <v>1245</v>
      </c>
      <c r="E636" t="s">
        <v>1035</v>
      </c>
      <c r="F636" t="s">
        <v>1246</v>
      </c>
      <c r="G636" t="str">
        <f>"201406002792"</f>
        <v>201406002792</v>
      </c>
      <c r="H636" t="s">
        <v>101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30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 t="s">
        <v>1243</v>
      </c>
    </row>
    <row r="637" spans="1:25" x14ac:dyDescent="0.25">
      <c r="H637" t="s">
        <v>118</v>
      </c>
    </row>
    <row r="638" spans="1:25" x14ac:dyDescent="0.25">
      <c r="A638">
        <v>316</v>
      </c>
      <c r="B638">
        <v>5036</v>
      </c>
      <c r="C638" t="s">
        <v>1247</v>
      </c>
      <c r="D638" t="s">
        <v>1248</v>
      </c>
      <c r="E638" t="s">
        <v>291</v>
      </c>
      <c r="F638" t="s">
        <v>1249</v>
      </c>
      <c r="G638" t="str">
        <f>"201506000180"</f>
        <v>201506000180</v>
      </c>
      <c r="H638" t="s">
        <v>1250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70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 t="s">
        <v>1251</v>
      </c>
    </row>
    <row r="639" spans="1:25" x14ac:dyDescent="0.25">
      <c r="H639" t="s">
        <v>23</v>
      </c>
    </row>
    <row r="640" spans="1:25" x14ac:dyDescent="0.25">
      <c r="A640">
        <v>317</v>
      </c>
      <c r="B640">
        <v>4066</v>
      </c>
      <c r="C640" t="s">
        <v>1252</v>
      </c>
      <c r="D640" t="s">
        <v>113</v>
      </c>
      <c r="E640" t="s">
        <v>21</v>
      </c>
      <c r="F640" t="s">
        <v>1253</v>
      </c>
      <c r="G640" t="str">
        <f>"201304003621"</f>
        <v>201304003621</v>
      </c>
      <c r="H640" t="s">
        <v>254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0</v>
      </c>
      <c r="P640">
        <v>50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 t="s">
        <v>1254</v>
      </c>
    </row>
    <row r="641" spans="1:25" x14ac:dyDescent="0.25">
      <c r="H641" t="s">
        <v>53</v>
      </c>
    </row>
    <row r="642" spans="1:25" x14ac:dyDescent="0.25">
      <c r="A642">
        <v>318</v>
      </c>
      <c r="B642">
        <v>4376</v>
      </c>
      <c r="C642" t="s">
        <v>1255</v>
      </c>
      <c r="D642" t="s">
        <v>1256</v>
      </c>
      <c r="E642" t="s">
        <v>1257</v>
      </c>
      <c r="F642" t="s">
        <v>1258</v>
      </c>
      <c r="G642" t="str">
        <f>"00199663"</f>
        <v>00199663</v>
      </c>
      <c r="H642" t="s">
        <v>254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50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 t="s">
        <v>1254</v>
      </c>
    </row>
    <row r="643" spans="1:25" x14ac:dyDescent="0.25">
      <c r="H643" t="s">
        <v>34</v>
      </c>
    </row>
    <row r="644" spans="1:25" x14ac:dyDescent="0.25">
      <c r="A644">
        <v>319</v>
      </c>
      <c r="B644">
        <v>4816</v>
      </c>
      <c r="C644" t="s">
        <v>1259</v>
      </c>
      <c r="D644" t="s">
        <v>854</v>
      </c>
      <c r="E644" t="s">
        <v>1260</v>
      </c>
      <c r="F644" t="s">
        <v>1261</v>
      </c>
      <c r="G644" t="str">
        <f>"201506002124"</f>
        <v>201506002124</v>
      </c>
      <c r="H644" t="s">
        <v>343</v>
      </c>
      <c r="I644">
        <v>0</v>
      </c>
      <c r="J644">
        <v>0</v>
      </c>
      <c r="K644">
        <v>0</v>
      </c>
      <c r="L644">
        <v>0</v>
      </c>
      <c r="M644">
        <v>100</v>
      </c>
      <c r="N644">
        <v>70</v>
      </c>
      <c r="O644">
        <v>0</v>
      </c>
      <c r="P644">
        <v>30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 t="s">
        <v>1262</v>
      </c>
    </row>
    <row r="645" spans="1:25" x14ac:dyDescent="0.25">
      <c r="H645" t="s">
        <v>34</v>
      </c>
    </row>
    <row r="646" spans="1:25" x14ac:dyDescent="0.25">
      <c r="A646">
        <v>320</v>
      </c>
      <c r="B646">
        <v>5563</v>
      </c>
      <c r="C646" t="s">
        <v>1263</v>
      </c>
      <c r="D646" t="s">
        <v>25</v>
      </c>
      <c r="E646" t="s">
        <v>1264</v>
      </c>
      <c r="F646" t="s">
        <v>1265</v>
      </c>
      <c r="G646" t="str">
        <f>"00113745"</f>
        <v>00113745</v>
      </c>
      <c r="H646" t="s">
        <v>545</v>
      </c>
      <c r="I646">
        <v>150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 t="s">
        <v>1266</v>
      </c>
    </row>
    <row r="647" spans="1:25" x14ac:dyDescent="0.25">
      <c r="H647" t="s">
        <v>23</v>
      </c>
    </row>
    <row r="648" spans="1:25" x14ac:dyDescent="0.25">
      <c r="A648">
        <v>321</v>
      </c>
      <c r="B648">
        <v>5543</v>
      </c>
      <c r="C648" t="s">
        <v>1267</v>
      </c>
      <c r="D648" t="s">
        <v>509</v>
      </c>
      <c r="E648" t="s">
        <v>15</v>
      </c>
      <c r="F648" t="s">
        <v>1268</v>
      </c>
      <c r="G648" t="str">
        <f>"201506000982"</f>
        <v>201506000982</v>
      </c>
      <c r="H648" t="s">
        <v>1269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30</v>
      </c>
      <c r="P648">
        <v>0</v>
      </c>
      <c r="Q648">
        <v>0</v>
      </c>
      <c r="R648">
        <v>30</v>
      </c>
      <c r="S648">
        <v>30</v>
      </c>
      <c r="T648">
        <v>0</v>
      </c>
      <c r="U648">
        <v>0</v>
      </c>
      <c r="V648">
        <v>0</v>
      </c>
      <c r="X648">
        <v>0</v>
      </c>
      <c r="Y648" t="s">
        <v>1270</v>
      </c>
    </row>
    <row r="649" spans="1:25" x14ac:dyDescent="0.25">
      <c r="H649" t="s">
        <v>23</v>
      </c>
    </row>
    <row r="650" spans="1:25" x14ac:dyDescent="0.25">
      <c r="A650">
        <v>322</v>
      </c>
      <c r="B650">
        <v>5898</v>
      </c>
      <c r="C650" t="s">
        <v>1271</v>
      </c>
      <c r="D650" t="s">
        <v>245</v>
      </c>
      <c r="E650" t="s">
        <v>49</v>
      </c>
      <c r="F650" t="s">
        <v>1272</v>
      </c>
      <c r="G650" t="str">
        <f>"201304005723"</f>
        <v>201304005723</v>
      </c>
      <c r="H650" t="s">
        <v>747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50</v>
      </c>
      <c r="P650">
        <v>0</v>
      </c>
      <c r="Q650">
        <v>0</v>
      </c>
      <c r="R650">
        <v>30</v>
      </c>
      <c r="S650">
        <v>0</v>
      </c>
      <c r="T650">
        <v>0</v>
      </c>
      <c r="U650">
        <v>0</v>
      </c>
      <c r="V650">
        <v>0</v>
      </c>
      <c r="X650">
        <v>0</v>
      </c>
      <c r="Y650" t="s">
        <v>1273</v>
      </c>
    </row>
    <row r="651" spans="1:25" x14ac:dyDescent="0.25">
      <c r="H651" t="s">
        <v>23</v>
      </c>
    </row>
    <row r="652" spans="1:25" x14ac:dyDescent="0.25">
      <c r="A652">
        <v>323</v>
      </c>
      <c r="B652">
        <v>3534</v>
      </c>
      <c r="C652" t="s">
        <v>1274</v>
      </c>
      <c r="D652" t="s">
        <v>362</v>
      </c>
      <c r="E652" t="s">
        <v>49</v>
      </c>
      <c r="F652" t="s">
        <v>1275</v>
      </c>
      <c r="G652" t="str">
        <f>"201506003709"</f>
        <v>201506003709</v>
      </c>
      <c r="H652" t="s">
        <v>1276</v>
      </c>
      <c r="I652">
        <v>0</v>
      </c>
      <c r="J652">
        <v>0</v>
      </c>
      <c r="K652">
        <v>0</v>
      </c>
      <c r="L652">
        <v>200</v>
      </c>
      <c r="M652">
        <v>30</v>
      </c>
      <c r="N652">
        <v>70</v>
      </c>
      <c r="O652">
        <v>70</v>
      </c>
      <c r="P652">
        <v>50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2</v>
      </c>
      <c r="Y652" t="s">
        <v>1277</v>
      </c>
    </row>
    <row r="653" spans="1:25" x14ac:dyDescent="0.25">
      <c r="H653" t="s">
        <v>53</v>
      </c>
    </row>
    <row r="654" spans="1:25" x14ac:dyDescent="0.25">
      <c r="A654">
        <v>324</v>
      </c>
      <c r="B654">
        <v>1056</v>
      </c>
      <c r="C654" t="s">
        <v>1278</v>
      </c>
      <c r="D654" t="s">
        <v>20</v>
      </c>
      <c r="E654" t="s">
        <v>99</v>
      </c>
      <c r="F654" t="s">
        <v>1279</v>
      </c>
      <c r="G654" t="str">
        <f>"00014559"</f>
        <v>00014559</v>
      </c>
      <c r="H654" t="s">
        <v>1280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30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 t="s">
        <v>1281</v>
      </c>
    </row>
    <row r="655" spans="1:25" x14ac:dyDescent="0.25">
      <c r="H655" t="s">
        <v>34</v>
      </c>
    </row>
    <row r="656" spans="1:25" x14ac:dyDescent="0.25">
      <c r="A656">
        <v>325</v>
      </c>
      <c r="B656">
        <v>2870</v>
      </c>
      <c r="C656" t="s">
        <v>1282</v>
      </c>
      <c r="D656" t="s">
        <v>1030</v>
      </c>
      <c r="E656" t="s">
        <v>49</v>
      </c>
      <c r="F656" t="s">
        <v>1283</v>
      </c>
      <c r="G656" t="str">
        <f>"201406012988"</f>
        <v>201406012988</v>
      </c>
      <c r="H656" t="s">
        <v>1280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30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 t="s">
        <v>1281</v>
      </c>
    </row>
    <row r="657" spans="1:25" x14ac:dyDescent="0.25">
      <c r="H657" t="s">
        <v>53</v>
      </c>
    </row>
    <row r="658" spans="1:25" x14ac:dyDescent="0.25">
      <c r="A658">
        <v>326</v>
      </c>
      <c r="B658">
        <v>5341</v>
      </c>
      <c r="C658" t="s">
        <v>1284</v>
      </c>
      <c r="D658" t="s">
        <v>25</v>
      </c>
      <c r="E658" t="s">
        <v>55</v>
      </c>
      <c r="F658" t="s">
        <v>1285</v>
      </c>
      <c r="G658" t="str">
        <f>"00127057"</f>
        <v>00127057</v>
      </c>
      <c r="H658" t="s">
        <v>1286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70</v>
      </c>
      <c r="P658">
        <v>0</v>
      </c>
      <c r="Q658">
        <v>0</v>
      </c>
      <c r="R658">
        <v>30</v>
      </c>
      <c r="S658">
        <v>0</v>
      </c>
      <c r="T658">
        <v>0</v>
      </c>
      <c r="U658">
        <v>0</v>
      </c>
      <c r="V658">
        <v>0</v>
      </c>
      <c r="X658">
        <v>0</v>
      </c>
      <c r="Y658" t="s">
        <v>1287</v>
      </c>
    </row>
    <row r="659" spans="1:25" x14ac:dyDescent="0.25">
      <c r="H659" t="s">
        <v>366</v>
      </c>
    </row>
    <row r="660" spans="1:25" x14ac:dyDescent="0.25">
      <c r="A660">
        <v>327</v>
      </c>
      <c r="B660">
        <v>2396</v>
      </c>
      <c r="C660" t="s">
        <v>1288</v>
      </c>
      <c r="D660" t="s">
        <v>895</v>
      </c>
      <c r="E660" t="s">
        <v>147</v>
      </c>
      <c r="F660" t="s">
        <v>1289</v>
      </c>
      <c r="G660" t="str">
        <f>"00119754"</f>
        <v>00119754</v>
      </c>
      <c r="H660" t="s">
        <v>678</v>
      </c>
      <c r="I660">
        <v>150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 t="s">
        <v>1290</v>
      </c>
    </row>
    <row r="661" spans="1:25" x14ac:dyDescent="0.25">
      <c r="H661" t="s">
        <v>53</v>
      </c>
    </row>
    <row r="662" spans="1:25" x14ac:dyDescent="0.25">
      <c r="A662">
        <v>328</v>
      </c>
      <c r="B662">
        <v>5055</v>
      </c>
      <c r="C662" t="s">
        <v>1291</v>
      </c>
      <c r="D662" t="s">
        <v>1292</v>
      </c>
      <c r="E662" t="s">
        <v>99</v>
      </c>
      <c r="F662" t="s">
        <v>1293</v>
      </c>
      <c r="G662" t="str">
        <f>"201304004596"</f>
        <v>201304004596</v>
      </c>
      <c r="H662" t="s">
        <v>938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50</v>
      </c>
      <c r="P662">
        <v>0</v>
      </c>
      <c r="Q662">
        <v>0</v>
      </c>
      <c r="R662">
        <v>0</v>
      </c>
      <c r="S662">
        <v>0</v>
      </c>
      <c r="T662">
        <v>30</v>
      </c>
      <c r="U662">
        <v>0</v>
      </c>
      <c r="V662">
        <v>0</v>
      </c>
      <c r="X662">
        <v>0</v>
      </c>
      <c r="Y662" t="s">
        <v>1294</v>
      </c>
    </row>
    <row r="663" spans="1:25" x14ac:dyDescent="0.25">
      <c r="H663" t="s">
        <v>53</v>
      </c>
    </row>
    <row r="664" spans="1:25" x14ac:dyDescent="0.25">
      <c r="A664">
        <v>329</v>
      </c>
      <c r="B664">
        <v>5140</v>
      </c>
      <c r="C664" t="s">
        <v>1295</v>
      </c>
      <c r="D664" t="s">
        <v>48</v>
      </c>
      <c r="E664" t="s">
        <v>87</v>
      </c>
      <c r="F664" t="s">
        <v>1296</v>
      </c>
      <c r="G664" t="str">
        <f>"00080300"</f>
        <v>00080300</v>
      </c>
      <c r="H664" t="s">
        <v>1297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50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 t="s">
        <v>1298</v>
      </c>
    </row>
    <row r="665" spans="1:25" x14ac:dyDescent="0.25">
      <c r="H665" t="s">
        <v>23</v>
      </c>
    </row>
    <row r="666" spans="1:25" x14ac:dyDescent="0.25">
      <c r="A666">
        <v>330</v>
      </c>
      <c r="B666">
        <v>1636</v>
      </c>
      <c r="C666" t="s">
        <v>1299</v>
      </c>
      <c r="D666" t="s">
        <v>509</v>
      </c>
      <c r="E666" t="s">
        <v>49</v>
      </c>
      <c r="F666" t="s">
        <v>1300</v>
      </c>
      <c r="G666" t="str">
        <f>"201406008416"</f>
        <v>201406008416</v>
      </c>
      <c r="H666">
        <v>792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30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>
        <v>1092</v>
      </c>
    </row>
    <row r="667" spans="1:25" x14ac:dyDescent="0.25">
      <c r="H667" t="s">
        <v>53</v>
      </c>
    </row>
    <row r="668" spans="1:25" x14ac:dyDescent="0.25">
      <c r="A668">
        <v>331</v>
      </c>
      <c r="B668">
        <v>5350</v>
      </c>
      <c r="C668" t="s">
        <v>1301</v>
      </c>
      <c r="D668" t="s">
        <v>598</v>
      </c>
      <c r="E668" t="s">
        <v>1302</v>
      </c>
      <c r="F668" t="s">
        <v>1303</v>
      </c>
      <c r="G668" t="str">
        <f>"00183817"</f>
        <v>00183817</v>
      </c>
      <c r="H668" t="s">
        <v>1304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50</v>
      </c>
      <c r="Q668">
        <v>30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 t="s">
        <v>1305</v>
      </c>
    </row>
    <row r="669" spans="1:25" x14ac:dyDescent="0.25">
      <c r="H669" t="s">
        <v>23</v>
      </c>
    </row>
    <row r="670" spans="1:25" x14ac:dyDescent="0.25">
      <c r="A670">
        <v>332</v>
      </c>
      <c r="B670">
        <v>6110</v>
      </c>
      <c r="C670" t="s">
        <v>1306</v>
      </c>
      <c r="D670" t="s">
        <v>48</v>
      </c>
      <c r="E670" t="s">
        <v>184</v>
      </c>
      <c r="F670" t="s">
        <v>1307</v>
      </c>
      <c r="G670" t="str">
        <f>"201304004452"</f>
        <v>201304004452</v>
      </c>
      <c r="H670">
        <v>781</v>
      </c>
      <c r="I670">
        <v>0</v>
      </c>
      <c r="J670">
        <v>0</v>
      </c>
      <c r="K670">
        <v>0</v>
      </c>
      <c r="L670">
        <v>200</v>
      </c>
      <c r="M670">
        <v>30</v>
      </c>
      <c r="N670">
        <v>30</v>
      </c>
      <c r="O670">
        <v>0</v>
      </c>
      <c r="P670">
        <v>50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>
        <v>1091</v>
      </c>
    </row>
    <row r="671" spans="1:25" x14ac:dyDescent="0.25">
      <c r="H671" t="s">
        <v>23</v>
      </c>
    </row>
    <row r="672" spans="1:25" x14ac:dyDescent="0.25">
      <c r="A672">
        <v>333</v>
      </c>
      <c r="B672">
        <v>5506</v>
      </c>
      <c r="C672" t="s">
        <v>1308</v>
      </c>
      <c r="D672" t="s">
        <v>322</v>
      </c>
      <c r="E672" t="s">
        <v>61</v>
      </c>
      <c r="F672" t="s">
        <v>1309</v>
      </c>
      <c r="G672" t="str">
        <f>"201304003345"</f>
        <v>201304003345</v>
      </c>
      <c r="H672" t="s">
        <v>563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0</v>
      </c>
      <c r="P672">
        <v>70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 t="s">
        <v>1310</v>
      </c>
    </row>
    <row r="673" spans="1:25" x14ac:dyDescent="0.25">
      <c r="H673" t="s">
        <v>23</v>
      </c>
    </row>
    <row r="674" spans="1:25" x14ac:dyDescent="0.25">
      <c r="A674">
        <v>334</v>
      </c>
      <c r="B674">
        <v>5253</v>
      </c>
      <c r="C674" t="s">
        <v>1311</v>
      </c>
      <c r="D674" t="s">
        <v>266</v>
      </c>
      <c r="E674" t="s">
        <v>15</v>
      </c>
      <c r="F674" t="s">
        <v>1312</v>
      </c>
      <c r="G674" t="str">
        <f>"201406005524"</f>
        <v>201406005524</v>
      </c>
      <c r="H674" t="s">
        <v>711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30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 t="s">
        <v>1313</v>
      </c>
    </row>
    <row r="675" spans="1:25" x14ac:dyDescent="0.25">
      <c r="H675" t="s">
        <v>91</v>
      </c>
    </row>
    <row r="676" spans="1:25" x14ac:dyDescent="0.25">
      <c r="A676">
        <v>335</v>
      </c>
      <c r="B676">
        <v>5606</v>
      </c>
      <c r="C676" t="s">
        <v>1314</v>
      </c>
      <c r="D676" t="s">
        <v>1315</v>
      </c>
      <c r="E676" t="s">
        <v>130</v>
      </c>
      <c r="F676" t="s">
        <v>1316</v>
      </c>
      <c r="G676" t="str">
        <f>"201406013284"</f>
        <v>201406013284</v>
      </c>
      <c r="H676" t="s">
        <v>1317</v>
      </c>
      <c r="I676">
        <v>0</v>
      </c>
      <c r="J676">
        <v>0</v>
      </c>
      <c r="K676">
        <v>0</v>
      </c>
      <c r="L676">
        <v>0</v>
      </c>
      <c r="M676">
        <v>100</v>
      </c>
      <c r="N676">
        <v>70</v>
      </c>
      <c r="O676">
        <v>70</v>
      </c>
      <c r="P676">
        <v>50</v>
      </c>
      <c r="Q676">
        <v>50</v>
      </c>
      <c r="R676">
        <v>70</v>
      </c>
      <c r="S676">
        <v>0</v>
      </c>
      <c r="T676">
        <v>0</v>
      </c>
      <c r="U676">
        <v>0</v>
      </c>
      <c r="V676">
        <v>0</v>
      </c>
      <c r="X676">
        <v>0</v>
      </c>
      <c r="Y676" t="s">
        <v>1313</v>
      </c>
    </row>
    <row r="677" spans="1:25" x14ac:dyDescent="0.25">
      <c r="H677" t="s">
        <v>118</v>
      </c>
    </row>
    <row r="678" spans="1:25" x14ac:dyDescent="0.25">
      <c r="A678">
        <v>336</v>
      </c>
      <c r="B678">
        <v>3126</v>
      </c>
      <c r="C678" t="s">
        <v>1318</v>
      </c>
      <c r="D678" t="s">
        <v>200</v>
      </c>
      <c r="E678" t="s">
        <v>49</v>
      </c>
      <c r="F678" t="s">
        <v>1319</v>
      </c>
      <c r="G678" t="str">
        <f>"00193814"</f>
        <v>00193814</v>
      </c>
      <c r="H678" t="s">
        <v>647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 t="s">
        <v>1320</v>
      </c>
    </row>
    <row r="679" spans="1:25" x14ac:dyDescent="0.25">
      <c r="H679" t="s">
        <v>53</v>
      </c>
    </row>
    <row r="680" spans="1:25" x14ac:dyDescent="0.25">
      <c r="A680">
        <v>337</v>
      </c>
      <c r="B680">
        <v>154</v>
      </c>
      <c r="C680" t="s">
        <v>1321</v>
      </c>
      <c r="D680" t="s">
        <v>193</v>
      </c>
      <c r="E680" t="s">
        <v>61</v>
      </c>
      <c r="F680" t="s">
        <v>1322</v>
      </c>
      <c r="G680" t="str">
        <f>"00014560"</f>
        <v>00014560</v>
      </c>
      <c r="H680" t="s">
        <v>442</v>
      </c>
      <c r="I680">
        <v>0</v>
      </c>
      <c r="J680">
        <v>0</v>
      </c>
      <c r="K680">
        <v>0</v>
      </c>
      <c r="L680">
        <v>260</v>
      </c>
      <c r="M680">
        <v>0</v>
      </c>
      <c r="N680">
        <v>30</v>
      </c>
      <c r="O680">
        <v>0</v>
      </c>
      <c r="P680">
        <v>70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 t="s">
        <v>1323</v>
      </c>
    </row>
    <row r="681" spans="1:25" x14ac:dyDescent="0.25">
      <c r="H681" t="s">
        <v>213</v>
      </c>
    </row>
    <row r="682" spans="1:25" x14ac:dyDescent="0.25">
      <c r="A682">
        <v>338</v>
      </c>
      <c r="B682">
        <v>6157</v>
      </c>
      <c r="C682" t="s">
        <v>1324</v>
      </c>
      <c r="D682" t="s">
        <v>362</v>
      </c>
      <c r="E682" t="s">
        <v>87</v>
      </c>
      <c r="F682" t="s">
        <v>1325</v>
      </c>
      <c r="G682" t="str">
        <f>"201406001928"</f>
        <v>201406001928</v>
      </c>
      <c r="H682" t="s">
        <v>73</v>
      </c>
      <c r="I682">
        <v>0</v>
      </c>
      <c r="J682">
        <v>0</v>
      </c>
      <c r="K682">
        <v>0</v>
      </c>
      <c r="L682">
        <v>200</v>
      </c>
      <c r="M682">
        <v>30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 t="s">
        <v>1326</v>
      </c>
    </row>
    <row r="683" spans="1:25" x14ac:dyDescent="0.25">
      <c r="H683">
        <v>101</v>
      </c>
    </row>
    <row r="684" spans="1:25" x14ac:dyDescent="0.25">
      <c r="A684">
        <v>339</v>
      </c>
      <c r="B684">
        <v>787</v>
      </c>
      <c r="C684" t="s">
        <v>1327</v>
      </c>
      <c r="D684" t="s">
        <v>61</v>
      </c>
      <c r="E684" t="s">
        <v>37</v>
      </c>
      <c r="F684" t="s">
        <v>1328</v>
      </c>
      <c r="G684" t="str">
        <f>"00120799"</f>
        <v>00120799</v>
      </c>
      <c r="H684" t="s">
        <v>976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30</v>
      </c>
      <c r="O684">
        <v>50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 t="s">
        <v>1329</v>
      </c>
    </row>
    <row r="685" spans="1:25" x14ac:dyDescent="0.25">
      <c r="H685">
        <v>101</v>
      </c>
    </row>
    <row r="686" spans="1:25" x14ac:dyDescent="0.25">
      <c r="A686">
        <v>340</v>
      </c>
      <c r="B686">
        <v>1406</v>
      </c>
      <c r="C686" t="s">
        <v>63</v>
      </c>
      <c r="D686" t="s">
        <v>501</v>
      </c>
      <c r="E686" t="s">
        <v>49</v>
      </c>
      <c r="F686" t="s">
        <v>1330</v>
      </c>
      <c r="G686" t="str">
        <f>"201506003258"</f>
        <v>201506003258</v>
      </c>
      <c r="H686" t="s">
        <v>798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30</v>
      </c>
      <c r="P686">
        <v>70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 t="s">
        <v>1331</v>
      </c>
    </row>
    <row r="687" spans="1:25" x14ac:dyDescent="0.25">
      <c r="H687" t="s">
        <v>34</v>
      </c>
    </row>
    <row r="688" spans="1:25" x14ac:dyDescent="0.25">
      <c r="A688">
        <v>341</v>
      </c>
      <c r="B688">
        <v>5394</v>
      </c>
      <c r="C688" t="s">
        <v>1332</v>
      </c>
      <c r="D688" t="s">
        <v>25</v>
      </c>
      <c r="E688" t="s">
        <v>43</v>
      </c>
      <c r="F688" t="s">
        <v>1333</v>
      </c>
      <c r="G688" t="str">
        <f>"00209264"</f>
        <v>00209264</v>
      </c>
      <c r="H688" t="s">
        <v>980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50</v>
      </c>
      <c r="Q688">
        <v>0</v>
      </c>
      <c r="R688">
        <v>30</v>
      </c>
      <c r="S688">
        <v>0</v>
      </c>
      <c r="T688">
        <v>0</v>
      </c>
      <c r="U688">
        <v>0</v>
      </c>
      <c r="V688">
        <v>0</v>
      </c>
      <c r="X688">
        <v>0</v>
      </c>
      <c r="Y688" t="s">
        <v>1334</v>
      </c>
    </row>
    <row r="689" spans="1:25" x14ac:dyDescent="0.25">
      <c r="H689">
        <v>101</v>
      </c>
    </row>
    <row r="690" spans="1:25" x14ac:dyDescent="0.25">
      <c r="A690">
        <v>342</v>
      </c>
      <c r="B690">
        <v>5893</v>
      </c>
      <c r="C690" t="s">
        <v>795</v>
      </c>
      <c r="D690" t="s">
        <v>1335</v>
      </c>
      <c r="E690" t="s">
        <v>1183</v>
      </c>
      <c r="F690" t="s">
        <v>1336</v>
      </c>
      <c r="G690" t="str">
        <f>"00040002"</f>
        <v>00040002</v>
      </c>
      <c r="H690" t="s">
        <v>1337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70</v>
      </c>
      <c r="O690">
        <v>50</v>
      </c>
      <c r="P690">
        <v>50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 t="s">
        <v>1338</v>
      </c>
    </row>
    <row r="691" spans="1:25" x14ac:dyDescent="0.25">
      <c r="H691" t="s">
        <v>23</v>
      </c>
    </row>
    <row r="692" spans="1:25" x14ac:dyDescent="0.25">
      <c r="A692">
        <v>343</v>
      </c>
      <c r="B692">
        <v>1753</v>
      </c>
      <c r="C692" t="s">
        <v>1339</v>
      </c>
      <c r="D692" t="s">
        <v>891</v>
      </c>
      <c r="E692" t="s">
        <v>1340</v>
      </c>
      <c r="F692" t="s">
        <v>1341</v>
      </c>
      <c r="G692" t="str">
        <f>"201406017709"</f>
        <v>201406017709</v>
      </c>
      <c r="H692">
        <v>737</v>
      </c>
      <c r="I692">
        <v>0</v>
      </c>
      <c r="J692">
        <v>0</v>
      </c>
      <c r="K692">
        <v>0</v>
      </c>
      <c r="L692">
        <v>200</v>
      </c>
      <c r="M692">
        <v>30</v>
      </c>
      <c r="N692">
        <v>70</v>
      </c>
      <c r="O692">
        <v>50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1087</v>
      </c>
    </row>
    <row r="693" spans="1:25" x14ac:dyDescent="0.25">
      <c r="H693" t="s">
        <v>53</v>
      </c>
    </row>
    <row r="694" spans="1:25" x14ac:dyDescent="0.25">
      <c r="A694">
        <v>344</v>
      </c>
      <c r="B694">
        <v>5721</v>
      </c>
      <c r="C694" t="s">
        <v>1342</v>
      </c>
      <c r="D694" t="s">
        <v>685</v>
      </c>
      <c r="E694" t="s">
        <v>49</v>
      </c>
      <c r="F694" t="s">
        <v>1343</v>
      </c>
      <c r="G694" t="str">
        <f>"201406014251"</f>
        <v>201406014251</v>
      </c>
      <c r="H694">
        <v>737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30</v>
      </c>
      <c r="P694">
        <v>50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1087</v>
      </c>
    </row>
    <row r="695" spans="1:25" x14ac:dyDescent="0.25">
      <c r="H695">
        <v>101</v>
      </c>
    </row>
    <row r="696" spans="1:25" x14ac:dyDescent="0.25">
      <c r="A696">
        <v>345</v>
      </c>
      <c r="B696">
        <v>5127</v>
      </c>
      <c r="C696" t="s">
        <v>1344</v>
      </c>
      <c r="D696" t="s">
        <v>217</v>
      </c>
      <c r="E696" t="s">
        <v>1345</v>
      </c>
      <c r="F696" t="s">
        <v>1346</v>
      </c>
      <c r="G696" t="str">
        <f>"00114958"</f>
        <v>00114958</v>
      </c>
      <c r="H696" t="s">
        <v>127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70</v>
      </c>
      <c r="O696">
        <v>0</v>
      </c>
      <c r="P696">
        <v>50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 t="s">
        <v>1347</v>
      </c>
    </row>
    <row r="697" spans="1:25" x14ac:dyDescent="0.25">
      <c r="H697" t="s">
        <v>53</v>
      </c>
    </row>
    <row r="698" spans="1:25" x14ac:dyDescent="0.25">
      <c r="A698">
        <v>346</v>
      </c>
      <c r="B698">
        <v>1602</v>
      </c>
      <c r="C698" t="s">
        <v>1348</v>
      </c>
      <c r="D698" t="s">
        <v>37</v>
      </c>
      <c r="E698" t="s">
        <v>350</v>
      </c>
      <c r="F698" t="s">
        <v>1349</v>
      </c>
      <c r="G698" t="str">
        <f>"00199336"</f>
        <v>00199336</v>
      </c>
      <c r="H698" t="s">
        <v>1350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30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 t="s">
        <v>1351</v>
      </c>
    </row>
    <row r="699" spans="1:25" x14ac:dyDescent="0.25">
      <c r="H699" t="s">
        <v>118</v>
      </c>
    </row>
    <row r="700" spans="1:25" x14ac:dyDescent="0.25">
      <c r="A700">
        <v>347</v>
      </c>
      <c r="B700">
        <v>5476</v>
      </c>
      <c r="C700" t="s">
        <v>1352</v>
      </c>
      <c r="D700" t="s">
        <v>1353</v>
      </c>
      <c r="E700" t="s">
        <v>424</v>
      </c>
      <c r="F700" t="s">
        <v>1354</v>
      </c>
      <c r="G700" t="str">
        <f>"00184629"</f>
        <v>00184629</v>
      </c>
      <c r="H700" t="s">
        <v>1096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70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 t="s">
        <v>1355</v>
      </c>
    </row>
    <row r="701" spans="1:25" x14ac:dyDescent="0.25">
      <c r="H701" t="s">
        <v>53</v>
      </c>
    </row>
    <row r="702" spans="1:25" x14ac:dyDescent="0.25">
      <c r="A702">
        <v>348</v>
      </c>
      <c r="B702">
        <v>377</v>
      </c>
      <c r="C702" t="s">
        <v>1356</v>
      </c>
      <c r="D702" t="s">
        <v>159</v>
      </c>
      <c r="E702" t="s">
        <v>334</v>
      </c>
      <c r="F702" t="s">
        <v>1357</v>
      </c>
      <c r="G702" t="str">
        <f>"201406007090"</f>
        <v>201406007090</v>
      </c>
      <c r="H702" t="s">
        <v>1250</v>
      </c>
      <c r="I702">
        <v>0</v>
      </c>
      <c r="J702">
        <v>0</v>
      </c>
      <c r="K702">
        <v>0</v>
      </c>
      <c r="L702">
        <v>260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 t="s">
        <v>1358</v>
      </c>
    </row>
    <row r="703" spans="1:25" x14ac:dyDescent="0.25">
      <c r="H703" t="s">
        <v>91</v>
      </c>
    </row>
    <row r="704" spans="1:25" x14ac:dyDescent="0.25">
      <c r="A704">
        <v>349</v>
      </c>
      <c r="B704">
        <v>4415</v>
      </c>
      <c r="C704" t="s">
        <v>1359</v>
      </c>
      <c r="D704" t="s">
        <v>1224</v>
      </c>
      <c r="E704" t="s">
        <v>147</v>
      </c>
      <c r="F704" t="s">
        <v>1360</v>
      </c>
      <c r="G704" t="str">
        <f>"201304004730"</f>
        <v>201304004730</v>
      </c>
      <c r="H704" t="s">
        <v>1361</v>
      </c>
      <c r="I704">
        <v>0</v>
      </c>
      <c r="J704">
        <v>0</v>
      </c>
      <c r="K704">
        <v>0</v>
      </c>
      <c r="L704">
        <v>0</v>
      </c>
      <c r="M704">
        <v>100</v>
      </c>
      <c r="N704">
        <v>70</v>
      </c>
      <c r="O704">
        <v>0</v>
      </c>
      <c r="P704">
        <v>0</v>
      </c>
      <c r="Q704">
        <v>30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 t="s">
        <v>1362</v>
      </c>
    </row>
    <row r="705" spans="1:25" x14ac:dyDescent="0.25">
      <c r="H705" t="s">
        <v>213</v>
      </c>
    </row>
    <row r="706" spans="1:25" x14ac:dyDescent="0.25">
      <c r="A706">
        <v>350</v>
      </c>
      <c r="B706">
        <v>1584</v>
      </c>
      <c r="C706" t="s">
        <v>1363</v>
      </c>
      <c r="D706" t="s">
        <v>1364</v>
      </c>
      <c r="E706" t="s">
        <v>86</v>
      </c>
      <c r="F706" t="s">
        <v>1365</v>
      </c>
      <c r="G706" t="str">
        <f>"201304002602"</f>
        <v>201304002602</v>
      </c>
      <c r="H706" t="s">
        <v>132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70</v>
      </c>
      <c r="O706">
        <v>30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 t="s">
        <v>1366</v>
      </c>
    </row>
    <row r="707" spans="1:25" x14ac:dyDescent="0.25">
      <c r="H707" t="s">
        <v>118</v>
      </c>
    </row>
    <row r="708" spans="1:25" x14ac:dyDescent="0.25">
      <c r="A708">
        <v>351</v>
      </c>
      <c r="B708">
        <v>3921</v>
      </c>
      <c r="C708" t="s">
        <v>1367</v>
      </c>
      <c r="D708" t="s">
        <v>440</v>
      </c>
      <c r="E708" t="s">
        <v>200</v>
      </c>
      <c r="F708" t="s">
        <v>1368</v>
      </c>
      <c r="G708" t="str">
        <f>"00013527"</f>
        <v>00013527</v>
      </c>
      <c r="H708">
        <v>715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30</v>
      </c>
      <c r="P708">
        <v>70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1085</v>
      </c>
    </row>
    <row r="709" spans="1:25" x14ac:dyDescent="0.25">
      <c r="H709" t="s">
        <v>34</v>
      </c>
    </row>
    <row r="710" spans="1:25" x14ac:dyDescent="0.25">
      <c r="A710">
        <v>352</v>
      </c>
      <c r="B710">
        <v>3106</v>
      </c>
      <c r="C710" t="s">
        <v>1369</v>
      </c>
      <c r="D710" t="s">
        <v>1370</v>
      </c>
      <c r="E710" t="s">
        <v>43</v>
      </c>
      <c r="F710" t="s">
        <v>1371</v>
      </c>
      <c r="G710" t="str">
        <f>"201406003880"</f>
        <v>201406003880</v>
      </c>
      <c r="H710" t="s">
        <v>1372</v>
      </c>
      <c r="I710">
        <v>150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30</v>
      </c>
      <c r="P710">
        <v>0</v>
      </c>
      <c r="Q710">
        <v>70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 t="s">
        <v>1373</v>
      </c>
    </row>
    <row r="711" spans="1:25" x14ac:dyDescent="0.25">
      <c r="H711" t="s">
        <v>23</v>
      </c>
    </row>
    <row r="712" spans="1:25" x14ac:dyDescent="0.25">
      <c r="A712">
        <v>353</v>
      </c>
      <c r="B712">
        <v>1469</v>
      </c>
      <c r="C712" t="s">
        <v>1374</v>
      </c>
      <c r="D712" t="s">
        <v>43</v>
      </c>
      <c r="E712" t="s">
        <v>49</v>
      </c>
      <c r="F712" t="s">
        <v>1375</v>
      </c>
      <c r="G712" t="str">
        <f>"201304001835"</f>
        <v>201304001835</v>
      </c>
      <c r="H712">
        <v>814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1084</v>
      </c>
    </row>
    <row r="713" spans="1:25" x14ac:dyDescent="0.25">
      <c r="H713" t="s">
        <v>23</v>
      </c>
    </row>
    <row r="714" spans="1:25" x14ac:dyDescent="0.25">
      <c r="A714">
        <v>354</v>
      </c>
      <c r="B714">
        <v>5041</v>
      </c>
      <c r="C714" t="s">
        <v>1376</v>
      </c>
      <c r="D714" t="s">
        <v>55</v>
      </c>
      <c r="E714" t="s">
        <v>49</v>
      </c>
      <c r="F714" t="s">
        <v>1377</v>
      </c>
      <c r="G714" t="str">
        <f>"201505000430"</f>
        <v>201505000430</v>
      </c>
      <c r="H714" t="s">
        <v>390</v>
      </c>
      <c r="I714">
        <v>0</v>
      </c>
      <c r="J714">
        <v>0</v>
      </c>
      <c r="K714">
        <v>0</v>
      </c>
      <c r="L714">
        <v>200</v>
      </c>
      <c r="M714">
        <v>30</v>
      </c>
      <c r="N714">
        <v>70</v>
      </c>
      <c r="O714">
        <v>0</v>
      </c>
      <c r="P714">
        <v>50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 t="s">
        <v>1378</v>
      </c>
    </row>
    <row r="715" spans="1:25" x14ac:dyDescent="0.25">
      <c r="H715" t="s">
        <v>118</v>
      </c>
    </row>
    <row r="716" spans="1:25" x14ac:dyDescent="0.25">
      <c r="A716">
        <v>355</v>
      </c>
      <c r="B716">
        <v>179</v>
      </c>
      <c r="C716" t="s">
        <v>1379</v>
      </c>
      <c r="D716" t="s">
        <v>650</v>
      </c>
      <c r="E716" t="s">
        <v>184</v>
      </c>
      <c r="F716" t="s">
        <v>1380</v>
      </c>
      <c r="G716" t="str">
        <f>"00189488"</f>
        <v>00189488</v>
      </c>
      <c r="H716" t="s">
        <v>67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0</v>
      </c>
      <c r="P716">
        <v>50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 t="s">
        <v>1381</v>
      </c>
    </row>
    <row r="717" spans="1:25" x14ac:dyDescent="0.25">
      <c r="H717" t="s">
        <v>53</v>
      </c>
    </row>
    <row r="718" spans="1:25" x14ac:dyDescent="0.25">
      <c r="A718">
        <v>356</v>
      </c>
      <c r="B718">
        <v>5822</v>
      </c>
      <c r="C718" t="s">
        <v>1382</v>
      </c>
      <c r="D718" t="s">
        <v>1383</v>
      </c>
      <c r="E718" t="s">
        <v>1384</v>
      </c>
      <c r="F718" t="s">
        <v>1385</v>
      </c>
      <c r="G718" t="str">
        <f>"00196544"</f>
        <v>00196544</v>
      </c>
      <c r="H718" t="s">
        <v>67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70</v>
      </c>
      <c r="O718">
        <v>50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 t="s">
        <v>1381</v>
      </c>
    </row>
    <row r="719" spans="1:25" x14ac:dyDescent="0.25">
      <c r="H719">
        <v>101</v>
      </c>
    </row>
    <row r="720" spans="1:25" x14ac:dyDescent="0.25">
      <c r="A720">
        <v>357</v>
      </c>
      <c r="B720">
        <v>3193</v>
      </c>
      <c r="C720" t="s">
        <v>1386</v>
      </c>
      <c r="D720" t="s">
        <v>43</v>
      </c>
      <c r="E720" t="s">
        <v>419</v>
      </c>
      <c r="F720" t="s">
        <v>1387</v>
      </c>
      <c r="G720" t="str">
        <f>"201406008210"</f>
        <v>201406008210</v>
      </c>
      <c r="H720" t="s">
        <v>395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 t="s">
        <v>1388</v>
      </c>
    </row>
    <row r="721" spans="1:25" x14ac:dyDescent="0.25">
      <c r="H721" t="s">
        <v>118</v>
      </c>
    </row>
    <row r="722" spans="1:25" x14ac:dyDescent="0.25">
      <c r="A722">
        <v>358</v>
      </c>
      <c r="B722">
        <v>3522</v>
      </c>
      <c r="C722" t="s">
        <v>1389</v>
      </c>
      <c r="D722" t="s">
        <v>25</v>
      </c>
      <c r="E722" t="s">
        <v>43</v>
      </c>
      <c r="F722" t="s">
        <v>1390</v>
      </c>
      <c r="G722" t="str">
        <f>"201304005150"</f>
        <v>201304005150</v>
      </c>
      <c r="H722" t="s">
        <v>395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 t="s">
        <v>1388</v>
      </c>
    </row>
    <row r="723" spans="1:25" x14ac:dyDescent="0.25">
      <c r="H723" t="s">
        <v>91</v>
      </c>
    </row>
    <row r="724" spans="1:25" x14ac:dyDescent="0.25">
      <c r="A724">
        <v>359</v>
      </c>
      <c r="B724">
        <v>2898</v>
      </c>
      <c r="C724" t="s">
        <v>1391</v>
      </c>
      <c r="D724" t="s">
        <v>1392</v>
      </c>
      <c r="E724" t="s">
        <v>87</v>
      </c>
      <c r="F724" t="s">
        <v>1393</v>
      </c>
      <c r="G724" t="str">
        <f>"201406014126"</f>
        <v>201406014126</v>
      </c>
      <c r="H724">
        <v>781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30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1081</v>
      </c>
    </row>
    <row r="725" spans="1:25" x14ac:dyDescent="0.25">
      <c r="H725">
        <v>102</v>
      </c>
    </row>
    <row r="726" spans="1:25" x14ac:dyDescent="0.25">
      <c r="A726">
        <v>360</v>
      </c>
      <c r="B726">
        <v>3755</v>
      </c>
      <c r="C726" t="s">
        <v>1394</v>
      </c>
      <c r="D726" t="s">
        <v>1395</v>
      </c>
      <c r="E726" t="s">
        <v>252</v>
      </c>
      <c r="F726" t="s">
        <v>1396</v>
      </c>
      <c r="G726" t="str">
        <f>"00208717"</f>
        <v>00208717</v>
      </c>
      <c r="H726" t="s">
        <v>1397</v>
      </c>
      <c r="I726">
        <v>0</v>
      </c>
      <c r="J726">
        <v>0</v>
      </c>
      <c r="K726">
        <v>0</v>
      </c>
      <c r="L726">
        <v>260</v>
      </c>
      <c r="M726">
        <v>0</v>
      </c>
      <c r="N726">
        <v>70</v>
      </c>
      <c r="O726">
        <v>70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 t="s">
        <v>1398</v>
      </c>
    </row>
    <row r="727" spans="1:25" x14ac:dyDescent="0.25">
      <c r="H727" t="s">
        <v>53</v>
      </c>
    </row>
    <row r="728" spans="1:25" x14ac:dyDescent="0.25">
      <c r="A728">
        <v>361</v>
      </c>
      <c r="B728">
        <v>3698</v>
      </c>
      <c r="C728" t="s">
        <v>1399</v>
      </c>
      <c r="D728" t="s">
        <v>322</v>
      </c>
      <c r="E728" t="s">
        <v>87</v>
      </c>
      <c r="F728" t="s">
        <v>1400</v>
      </c>
      <c r="G728" t="str">
        <f>"201405001156"</f>
        <v>201405001156</v>
      </c>
      <c r="H728" t="s">
        <v>431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 t="s">
        <v>1401</v>
      </c>
    </row>
    <row r="729" spans="1:25" x14ac:dyDescent="0.25">
      <c r="H729" t="s">
        <v>1402</v>
      </c>
    </row>
    <row r="730" spans="1:25" x14ac:dyDescent="0.25">
      <c r="A730">
        <v>362</v>
      </c>
      <c r="B730">
        <v>5586</v>
      </c>
      <c r="C730" t="s">
        <v>1403</v>
      </c>
      <c r="D730" t="s">
        <v>25</v>
      </c>
      <c r="E730" t="s">
        <v>21</v>
      </c>
      <c r="F730" t="s">
        <v>1404</v>
      </c>
      <c r="G730" t="str">
        <f>"201505000258"</f>
        <v>201505000258</v>
      </c>
      <c r="H730" t="s">
        <v>1317</v>
      </c>
      <c r="I730">
        <v>0</v>
      </c>
      <c r="J730">
        <v>0</v>
      </c>
      <c r="K730">
        <v>0</v>
      </c>
      <c r="L730">
        <v>260</v>
      </c>
      <c r="M730">
        <v>0</v>
      </c>
      <c r="N730">
        <v>70</v>
      </c>
      <c r="O730">
        <v>70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 t="s">
        <v>1405</v>
      </c>
    </row>
    <row r="731" spans="1:25" x14ac:dyDescent="0.25">
      <c r="H731" t="s">
        <v>53</v>
      </c>
    </row>
    <row r="732" spans="1:25" x14ac:dyDescent="0.25">
      <c r="A732">
        <v>363</v>
      </c>
      <c r="B732">
        <v>3211</v>
      </c>
      <c r="C732" t="s">
        <v>1406</v>
      </c>
      <c r="D732" t="s">
        <v>159</v>
      </c>
      <c r="E732" t="s">
        <v>49</v>
      </c>
      <c r="F732" t="s">
        <v>1407</v>
      </c>
      <c r="G732" t="str">
        <f>"201506003780"</f>
        <v>201506003780</v>
      </c>
      <c r="H732" t="s">
        <v>442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50</v>
      </c>
      <c r="P732">
        <v>0</v>
      </c>
      <c r="Q732">
        <v>0</v>
      </c>
      <c r="R732">
        <v>30</v>
      </c>
      <c r="S732">
        <v>0</v>
      </c>
      <c r="T732">
        <v>0</v>
      </c>
      <c r="U732">
        <v>0</v>
      </c>
      <c r="V732">
        <v>0</v>
      </c>
      <c r="X732">
        <v>0</v>
      </c>
      <c r="Y732" t="s">
        <v>1408</v>
      </c>
    </row>
    <row r="733" spans="1:25" x14ac:dyDescent="0.25">
      <c r="H733" t="s">
        <v>34</v>
      </c>
    </row>
    <row r="734" spans="1:25" x14ac:dyDescent="0.25">
      <c r="A734">
        <v>364</v>
      </c>
      <c r="B734">
        <v>3688</v>
      </c>
      <c r="C734" t="s">
        <v>1409</v>
      </c>
      <c r="D734" t="s">
        <v>663</v>
      </c>
      <c r="E734" t="s">
        <v>21</v>
      </c>
      <c r="F734" t="s">
        <v>1410</v>
      </c>
      <c r="G734" t="str">
        <f>"201411000957"</f>
        <v>201411000957</v>
      </c>
      <c r="H734" t="s">
        <v>202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70</v>
      </c>
      <c r="O734">
        <v>30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 t="s">
        <v>1411</v>
      </c>
    </row>
    <row r="735" spans="1:25" x14ac:dyDescent="0.25">
      <c r="H735" t="s">
        <v>23</v>
      </c>
    </row>
    <row r="736" spans="1:25" x14ac:dyDescent="0.25">
      <c r="A736">
        <v>365</v>
      </c>
      <c r="B736">
        <v>6244</v>
      </c>
      <c r="C736" t="s">
        <v>1412</v>
      </c>
      <c r="D736" t="s">
        <v>1413</v>
      </c>
      <c r="E736" t="s">
        <v>303</v>
      </c>
      <c r="F736" t="s">
        <v>1414</v>
      </c>
      <c r="G736" t="str">
        <f>"201406004818"</f>
        <v>201406004818</v>
      </c>
      <c r="H736" t="s">
        <v>202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30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 t="s">
        <v>1411</v>
      </c>
    </row>
    <row r="737" spans="1:25" x14ac:dyDescent="0.25">
      <c r="H737" t="s">
        <v>23</v>
      </c>
    </row>
    <row r="738" spans="1:25" x14ac:dyDescent="0.25">
      <c r="A738">
        <v>366</v>
      </c>
      <c r="B738">
        <v>2657</v>
      </c>
      <c r="C738" t="s">
        <v>1415</v>
      </c>
      <c r="D738" t="s">
        <v>1416</v>
      </c>
      <c r="E738" t="s">
        <v>49</v>
      </c>
      <c r="F738" t="s">
        <v>1417</v>
      </c>
      <c r="G738" t="str">
        <f>"201402007398"</f>
        <v>201402007398</v>
      </c>
      <c r="H738" t="s">
        <v>976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 t="s">
        <v>1418</v>
      </c>
    </row>
    <row r="739" spans="1:25" x14ac:dyDescent="0.25">
      <c r="H739">
        <v>101</v>
      </c>
    </row>
    <row r="740" spans="1:25" x14ac:dyDescent="0.25">
      <c r="A740">
        <v>367</v>
      </c>
      <c r="B740">
        <v>5392</v>
      </c>
      <c r="C740" t="s">
        <v>1419</v>
      </c>
      <c r="D740" t="s">
        <v>70</v>
      </c>
      <c r="E740" t="s">
        <v>86</v>
      </c>
      <c r="F740" t="s">
        <v>1420</v>
      </c>
      <c r="G740" t="str">
        <f>"00208517"</f>
        <v>00208517</v>
      </c>
      <c r="H740" t="s">
        <v>980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70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 t="s">
        <v>1421</v>
      </c>
    </row>
    <row r="741" spans="1:25" x14ac:dyDescent="0.25">
      <c r="H741" t="s">
        <v>34</v>
      </c>
    </row>
    <row r="742" spans="1:25" x14ac:dyDescent="0.25">
      <c r="A742">
        <v>368</v>
      </c>
      <c r="B742">
        <v>1256</v>
      </c>
      <c r="C742" t="s">
        <v>1422</v>
      </c>
      <c r="D742" t="s">
        <v>571</v>
      </c>
      <c r="E742" t="s">
        <v>1423</v>
      </c>
      <c r="F742" t="s">
        <v>1424</v>
      </c>
      <c r="G742" t="str">
        <f>"201406002267"</f>
        <v>201406002267</v>
      </c>
      <c r="H742" t="s">
        <v>1425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70</v>
      </c>
      <c r="P742">
        <v>0</v>
      </c>
      <c r="Q742">
        <v>0</v>
      </c>
      <c r="R742">
        <v>30</v>
      </c>
      <c r="S742">
        <v>0</v>
      </c>
      <c r="T742">
        <v>0</v>
      </c>
      <c r="U742">
        <v>0</v>
      </c>
      <c r="V742">
        <v>0</v>
      </c>
      <c r="X742">
        <v>0</v>
      </c>
      <c r="Y742" t="s">
        <v>1426</v>
      </c>
    </row>
    <row r="743" spans="1:25" x14ac:dyDescent="0.25">
      <c r="H743" t="s">
        <v>23</v>
      </c>
    </row>
    <row r="744" spans="1:25" x14ac:dyDescent="0.25">
      <c r="A744">
        <v>369</v>
      </c>
      <c r="B744">
        <v>3096</v>
      </c>
      <c r="C744" t="s">
        <v>1427</v>
      </c>
      <c r="D744" t="s">
        <v>25</v>
      </c>
      <c r="E744" t="s">
        <v>130</v>
      </c>
      <c r="F744" t="s">
        <v>1428</v>
      </c>
      <c r="G744" t="str">
        <f>"201406013150"</f>
        <v>201406013150</v>
      </c>
      <c r="H744" t="s">
        <v>723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70</v>
      </c>
      <c r="O744">
        <v>50</v>
      </c>
      <c r="P744">
        <v>0</v>
      </c>
      <c r="Q744">
        <v>0</v>
      </c>
      <c r="R744">
        <v>30</v>
      </c>
      <c r="S744">
        <v>0</v>
      </c>
      <c r="T744">
        <v>0</v>
      </c>
      <c r="U744">
        <v>0</v>
      </c>
      <c r="V744">
        <v>0</v>
      </c>
      <c r="X744">
        <v>0</v>
      </c>
      <c r="Y744" t="s">
        <v>1429</v>
      </c>
    </row>
    <row r="745" spans="1:25" x14ac:dyDescent="0.25">
      <c r="H745" t="s">
        <v>23</v>
      </c>
    </row>
    <row r="746" spans="1:25" x14ac:dyDescent="0.25">
      <c r="A746">
        <v>370</v>
      </c>
      <c r="B746">
        <v>1756</v>
      </c>
      <c r="C746" t="s">
        <v>1430</v>
      </c>
      <c r="D746" t="s">
        <v>245</v>
      </c>
      <c r="E746" t="s">
        <v>1431</v>
      </c>
      <c r="F746" t="s">
        <v>1432</v>
      </c>
      <c r="G746" t="str">
        <f>"201406005872"</f>
        <v>201406005872</v>
      </c>
      <c r="H746" t="s">
        <v>1433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70</v>
      </c>
      <c r="O746">
        <v>70</v>
      </c>
      <c r="P746">
        <v>0</v>
      </c>
      <c r="Q746">
        <v>50</v>
      </c>
      <c r="R746">
        <v>50</v>
      </c>
      <c r="S746">
        <v>0</v>
      </c>
      <c r="T746">
        <v>0</v>
      </c>
      <c r="U746">
        <v>0</v>
      </c>
      <c r="V746">
        <v>0</v>
      </c>
      <c r="X746">
        <v>0</v>
      </c>
      <c r="Y746" t="s">
        <v>1434</v>
      </c>
    </row>
    <row r="747" spans="1:25" x14ac:dyDescent="0.25">
      <c r="H747" t="s">
        <v>53</v>
      </c>
    </row>
    <row r="748" spans="1:25" x14ac:dyDescent="0.25">
      <c r="A748">
        <v>371</v>
      </c>
      <c r="B748">
        <v>6099</v>
      </c>
      <c r="C748" t="s">
        <v>1435</v>
      </c>
      <c r="D748" t="s">
        <v>1436</v>
      </c>
      <c r="E748" t="s">
        <v>43</v>
      </c>
      <c r="F748" t="s">
        <v>1437</v>
      </c>
      <c r="G748" t="str">
        <f>"201304000499"</f>
        <v>201304000499</v>
      </c>
      <c r="H748" t="s">
        <v>1438</v>
      </c>
      <c r="I748">
        <v>0</v>
      </c>
      <c r="J748">
        <v>0</v>
      </c>
      <c r="K748">
        <v>0</v>
      </c>
      <c r="L748">
        <v>260</v>
      </c>
      <c r="M748">
        <v>0</v>
      </c>
      <c r="N748">
        <v>70</v>
      </c>
      <c r="O748">
        <v>0</v>
      </c>
      <c r="P748">
        <v>50</v>
      </c>
      <c r="Q748">
        <v>0</v>
      </c>
      <c r="R748">
        <v>30</v>
      </c>
      <c r="S748">
        <v>0</v>
      </c>
      <c r="T748">
        <v>0</v>
      </c>
      <c r="U748">
        <v>0</v>
      </c>
      <c r="V748">
        <v>0</v>
      </c>
      <c r="X748">
        <v>0</v>
      </c>
      <c r="Y748" t="s">
        <v>1439</v>
      </c>
    </row>
    <row r="749" spans="1:25" x14ac:dyDescent="0.25">
      <c r="H749" t="s">
        <v>23</v>
      </c>
    </row>
    <row r="750" spans="1:25" x14ac:dyDescent="0.25">
      <c r="A750">
        <v>372</v>
      </c>
      <c r="B750">
        <v>1151</v>
      </c>
      <c r="C750" t="s">
        <v>1440</v>
      </c>
      <c r="D750" t="s">
        <v>1441</v>
      </c>
      <c r="E750" t="s">
        <v>49</v>
      </c>
      <c r="F750" t="s">
        <v>1442</v>
      </c>
      <c r="G750" t="str">
        <f>"201506002295"</f>
        <v>201506002295</v>
      </c>
      <c r="H750" t="s">
        <v>1089</v>
      </c>
      <c r="I750">
        <v>0</v>
      </c>
      <c r="J750">
        <v>0</v>
      </c>
      <c r="K750">
        <v>0</v>
      </c>
      <c r="L750">
        <v>260</v>
      </c>
      <c r="M750">
        <v>0</v>
      </c>
      <c r="N750">
        <v>70</v>
      </c>
      <c r="O750">
        <v>30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 t="s">
        <v>1443</v>
      </c>
    </row>
    <row r="751" spans="1:25" x14ac:dyDescent="0.25">
      <c r="H751" t="s">
        <v>23</v>
      </c>
    </row>
    <row r="752" spans="1:25" x14ac:dyDescent="0.25">
      <c r="A752">
        <v>373</v>
      </c>
      <c r="B752">
        <v>3934</v>
      </c>
      <c r="C752" t="s">
        <v>1444</v>
      </c>
      <c r="D752" t="s">
        <v>20</v>
      </c>
      <c r="E752" t="s">
        <v>43</v>
      </c>
      <c r="F752" t="s">
        <v>1445</v>
      </c>
      <c r="G752" t="str">
        <f>"00208941"</f>
        <v>00208941</v>
      </c>
      <c r="H752" t="s">
        <v>1446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 t="s">
        <v>1447</v>
      </c>
    </row>
    <row r="753" spans="1:25" x14ac:dyDescent="0.25">
      <c r="H753" t="s">
        <v>53</v>
      </c>
    </row>
    <row r="754" spans="1:25" x14ac:dyDescent="0.25">
      <c r="A754">
        <v>374</v>
      </c>
      <c r="B754">
        <v>5639</v>
      </c>
      <c r="C754" t="s">
        <v>1448</v>
      </c>
      <c r="D754" t="s">
        <v>1449</v>
      </c>
      <c r="E754" t="s">
        <v>184</v>
      </c>
      <c r="F754" t="s">
        <v>1450</v>
      </c>
      <c r="G754" t="str">
        <f>"00116926"</f>
        <v>00116926</v>
      </c>
      <c r="H754" t="s">
        <v>910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70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 t="s">
        <v>1447</v>
      </c>
    </row>
    <row r="755" spans="1:25" x14ac:dyDescent="0.25">
      <c r="H755" t="s">
        <v>34</v>
      </c>
    </row>
    <row r="756" spans="1:25" x14ac:dyDescent="0.25">
      <c r="A756">
        <v>375</v>
      </c>
      <c r="B756">
        <v>2638</v>
      </c>
      <c r="C756" t="s">
        <v>1451</v>
      </c>
      <c r="D756" t="s">
        <v>25</v>
      </c>
      <c r="E756" t="s">
        <v>200</v>
      </c>
      <c r="F756" t="s">
        <v>1452</v>
      </c>
      <c r="G756" t="str">
        <f>"00154888"</f>
        <v>00154888</v>
      </c>
      <c r="H756" t="s">
        <v>910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70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 t="s">
        <v>1447</v>
      </c>
    </row>
    <row r="757" spans="1:25" x14ac:dyDescent="0.25">
      <c r="H757" t="s">
        <v>23</v>
      </c>
    </row>
    <row r="758" spans="1:25" x14ac:dyDescent="0.25">
      <c r="A758">
        <v>376</v>
      </c>
      <c r="B758">
        <v>4250</v>
      </c>
      <c r="C758" t="s">
        <v>1453</v>
      </c>
      <c r="D758" t="s">
        <v>1248</v>
      </c>
      <c r="E758" t="s">
        <v>21</v>
      </c>
      <c r="F758" t="s">
        <v>1454</v>
      </c>
      <c r="G758" t="str">
        <f>"200801009138"</f>
        <v>200801009138</v>
      </c>
      <c r="H758" t="s">
        <v>910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70</v>
      </c>
      <c r="O758">
        <v>70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 t="s">
        <v>1447</v>
      </c>
    </row>
    <row r="759" spans="1:25" x14ac:dyDescent="0.25">
      <c r="H759" t="s">
        <v>34</v>
      </c>
    </row>
    <row r="760" spans="1:25" x14ac:dyDescent="0.25">
      <c r="A760">
        <v>377</v>
      </c>
      <c r="B760">
        <v>4202</v>
      </c>
      <c r="C760" t="s">
        <v>1455</v>
      </c>
      <c r="D760" t="s">
        <v>21</v>
      </c>
      <c r="E760" t="s">
        <v>99</v>
      </c>
      <c r="F760" t="s">
        <v>1456</v>
      </c>
      <c r="G760" t="str">
        <f>"00119069"</f>
        <v>00119069</v>
      </c>
      <c r="H760" t="s">
        <v>910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0</v>
      </c>
      <c r="P760">
        <v>70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 t="s">
        <v>1447</v>
      </c>
    </row>
    <row r="761" spans="1:25" x14ac:dyDescent="0.25">
      <c r="H761" t="s">
        <v>118</v>
      </c>
    </row>
    <row r="762" spans="1:25" x14ac:dyDescent="0.25">
      <c r="A762">
        <v>378</v>
      </c>
      <c r="B762">
        <v>5927</v>
      </c>
      <c r="C762" t="s">
        <v>1457</v>
      </c>
      <c r="D762" t="s">
        <v>1458</v>
      </c>
      <c r="E762" t="s">
        <v>55</v>
      </c>
      <c r="F762" t="s">
        <v>1459</v>
      </c>
      <c r="G762" t="str">
        <f>"00014801"</f>
        <v>00014801</v>
      </c>
      <c r="H762" t="s">
        <v>1250</v>
      </c>
      <c r="I762">
        <v>0</v>
      </c>
      <c r="J762">
        <v>0</v>
      </c>
      <c r="K762">
        <v>0</v>
      </c>
      <c r="L762">
        <v>200</v>
      </c>
      <c r="M762">
        <v>0</v>
      </c>
      <c r="N762">
        <v>70</v>
      </c>
      <c r="O762">
        <v>50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 t="s">
        <v>1460</v>
      </c>
    </row>
    <row r="763" spans="1:25" x14ac:dyDescent="0.25">
      <c r="H763" t="s">
        <v>34</v>
      </c>
    </row>
    <row r="764" spans="1:25" x14ac:dyDescent="0.25">
      <c r="A764">
        <v>379</v>
      </c>
      <c r="B764">
        <v>5231</v>
      </c>
      <c r="C764" t="s">
        <v>1461</v>
      </c>
      <c r="D764" t="s">
        <v>20</v>
      </c>
      <c r="E764" t="s">
        <v>55</v>
      </c>
      <c r="F764" t="s">
        <v>1462</v>
      </c>
      <c r="G764" t="str">
        <f>"00095635"</f>
        <v>00095635</v>
      </c>
      <c r="H764" t="s">
        <v>254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30</v>
      </c>
      <c r="S764">
        <v>0</v>
      </c>
      <c r="T764">
        <v>0</v>
      </c>
      <c r="U764">
        <v>0</v>
      </c>
      <c r="V764">
        <v>0</v>
      </c>
      <c r="X764">
        <v>0</v>
      </c>
      <c r="Y764" t="s">
        <v>1463</v>
      </c>
    </row>
    <row r="765" spans="1:25" x14ac:dyDescent="0.25">
      <c r="H765" t="s">
        <v>23</v>
      </c>
    </row>
    <row r="766" spans="1:25" x14ac:dyDescent="0.25">
      <c r="A766">
        <v>380</v>
      </c>
      <c r="B766">
        <v>3514</v>
      </c>
      <c r="C766" t="s">
        <v>1464</v>
      </c>
      <c r="D766" t="s">
        <v>509</v>
      </c>
      <c r="E766" t="s">
        <v>43</v>
      </c>
      <c r="F766" t="s">
        <v>1465</v>
      </c>
      <c r="G766" t="str">
        <f>"201304006277"</f>
        <v>201304006277</v>
      </c>
      <c r="H766" t="s">
        <v>1466</v>
      </c>
      <c r="I766">
        <v>150</v>
      </c>
      <c r="J766">
        <v>0</v>
      </c>
      <c r="K766">
        <v>0</v>
      </c>
      <c r="L766">
        <v>200</v>
      </c>
      <c r="M766">
        <v>0</v>
      </c>
      <c r="N766">
        <v>0</v>
      </c>
      <c r="O766">
        <v>0</v>
      </c>
      <c r="P766">
        <v>30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 t="s">
        <v>1467</v>
      </c>
    </row>
    <row r="767" spans="1:25" x14ac:dyDescent="0.25">
      <c r="H767" t="s">
        <v>23</v>
      </c>
    </row>
    <row r="768" spans="1:25" x14ac:dyDescent="0.25">
      <c r="A768">
        <v>381</v>
      </c>
      <c r="B768">
        <v>4011</v>
      </c>
      <c r="C768" t="s">
        <v>1468</v>
      </c>
      <c r="D768" t="s">
        <v>1392</v>
      </c>
      <c r="E768" t="s">
        <v>55</v>
      </c>
      <c r="F768" t="s">
        <v>1469</v>
      </c>
      <c r="G768" t="str">
        <f>"00202627"</f>
        <v>00202627</v>
      </c>
      <c r="H768">
        <v>935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70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>
        <v>1075</v>
      </c>
    </row>
    <row r="769" spans="1:25" x14ac:dyDescent="0.25">
      <c r="H769" t="s">
        <v>118</v>
      </c>
    </row>
    <row r="770" spans="1:25" x14ac:dyDescent="0.25">
      <c r="A770">
        <v>382</v>
      </c>
      <c r="B770">
        <v>5620</v>
      </c>
      <c r="C770" t="s">
        <v>1470</v>
      </c>
      <c r="D770" t="s">
        <v>25</v>
      </c>
      <c r="E770" t="s">
        <v>49</v>
      </c>
      <c r="F770" t="s">
        <v>1471</v>
      </c>
      <c r="G770" t="str">
        <f>"00208588"</f>
        <v>00208588</v>
      </c>
      <c r="H770" t="s">
        <v>83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30</v>
      </c>
      <c r="O770">
        <v>70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 t="s">
        <v>1472</v>
      </c>
    </row>
    <row r="771" spans="1:25" x14ac:dyDescent="0.25">
      <c r="H771" t="s">
        <v>213</v>
      </c>
    </row>
    <row r="772" spans="1:25" x14ac:dyDescent="0.25">
      <c r="A772">
        <v>383</v>
      </c>
      <c r="B772">
        <v>5658</v>
      </c>
      <c r="C772" t="s">
        <v>1473</v>
      </c>
      <c r="D772" t="s">
        <v>1474</v>
      </c>
      <c r="E772" t="s">
        <v>1475</v>
      </c>
      <c r="F772" t="s">
        <v>1476</v>
      </c>
      <c r="G772" t="str">
        <f>"201506003747"</f>
        <v>201506003747</v>
      </c>
      <c r="H772" t="s">
        <v>83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70</v>
      </c>
      <c r="O772">
        <v>0</v>
      </c>
      <c r="P772">
        <v>30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 t="s">
        <v>1472</v>
      </c>
    </row>
    <row r="773" spans="1:25" x14ac:dyDescent="0.25">
      <c r="H773" t="s">
        <v>53</v>
      </c>
    </row>
    <row r="774" spans="1:25" x14ac:dyDescent="0.25">
      <c r="A774">
        <v>384</v>
      </c>
      <c r="B774">
        <v>5549</v>
      </c>
      <c r="C774" t="s">
        <v>1477</v>
      </c>
      <c r="D774" t="s">
        <v>501</v>
      </c>
      <c r="E774" t="s">
        <v>99</v>
      </c>
      <c r="F774" t="s">
        <v>1478</v>
      </c>
      <c r="G774" t="str">
        <f>"201406003622"</f>
        <v>201406003622</v>
      </c>
      <c r="H774" t="s">
        <v>390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70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 t="s">
        <v>1479</v>
      </c>
    </row>
    <row r="775" spans="1:25" x14ac:dyDescent="0.25">
      <c r="H775" t="s">
        <v>53</v>
      </c>
    </row>
    <row r="776" spans="1:25" x14ac:dyDescent="0.25">
      <c r="A776">
        <v>385</v>
      </c>
      <c r="B776">
        <v>6493</v>
      </c>
      <c r="C776" t="s">
        <v>1480</v>
      </c>
      <c r="D776" t="s">
        <v>1481</v>
      </c>
      <c r="E776" t="s">
        <v>130</v>
      </c>
      <c r="F776" t="s">
        <v>1482</v>
      </c>
      <c r="G776" t="str">
        <f>"00197066"</f>
        <v>00197066</v>
      </c>
      <c r="H776" t="s">
        <v>1027</v>
      </c>
      <c r="I776">
        <v>150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30</v>
      </c>
      <c r="P776">
        <v>0</v>
      </c>
      <c r="Q776">
        <v>70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 t="s">
        <v>1483</v>
      </c>
    </row>
    <row r="777" spans="1:25" x14ac:dyDescent="0.25">
      <c r="H777" t="s">
        <v>23</v>
      </c>
    </row>
    <row r="778" spans="1:25" x14ac:dyDescent="0.25">
      <c r="A778">
        <v>386</v>
      </c>
      <c r="B778">
        <v>335</v>
      </c>
      <c r="C778" t="s">
        <v>1484</v>
      </c>
      <c r="D778" t="s">
        <v>322</v>
      </c>
      <c r="E778" t="s">
        <v>114</v>
      </c>
      <c r="F778" t="s">
        <v>1485</v>
      </c>
      <c r="G778" t="str">
        <f>"00116410"</f>
        <v>00116410</v>
      </c>
      <c r="H778" t="s">
        <v>1027</v>
      </c>
      <c r="I778">
        <v>0</v>
      </c>
      <c r="J778">
        <v>0</v>
      </c>
      <c r="K778">
        <v>0</v>
      </c>
      <c r="L778">
        <v>260</v>
      </c>
      <c r="M778">
        <v>0</v>
      </c>
      <c r="N778">
        <v>30</v>
      </c>
      <c r="O778">
        <v>0</v>
      </c>
      <c r="P778">
        <v>30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 t="s">
        <v>1483</v>
      </c>
    </row>
    <row r="779" spans="1:25" x14ac:dyDescent="0.25">
      <c r="H779" t="s">
        <v>213</v>
      </c>
    </row>
    <row r="780" spans="1:25" x14ac:dyDescent="0.25">
      <c r="A780">
        <v>387</v>
      </c>
      <c r="B780">
        <v>5135</v>
      </c>
      <c r="C780" t="s">
        <v>1486</v>
      </c>
      <c r="D780" t="s">
        <v>846</v>
      </c>
      <c r="E780" t="s">
        <v>87</v>
      </c>
      <c r="F780" t="s">
        <v>1487</v>
      </c>
      <c r="G780" t="str">
        <f>"00079224"</f>
        <v>00079224</v>
      </c>
      <c r="H780" t="s">
        <v>1488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50</v>
      </c>
      <c r="P780">
        <v>0</v>
      </c>
      <c r="Q780">
        <v>30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0</v>
      </c>
      <c r="Y780" t="s">
        <v>1489</v>
      </c>
    </row>
    <row r="781" spans="1:25" x14ac:dyDescent="0.25">
      <c r="H781">
        <v>101</v>
      </c>
    </row>
    <row r="782" spans="1:25" x14ac:dyDescent="0.25">
      <c r="A782">
        <v>388</v>
      </c>
      <c r="B782">
        <v>177</v>
      </c>
      <c r="C782" t="s">
        <v>1490</v>
      </c>
      <c r="D782" t="s">
        <v>245</v>
      </c>
      <c r="E782" t="s">
        <v>55</v>
      </c>
      <c r="F782" t="s">
        <v>1491</v>
      </c>
      <c r="G782" t="str">
        <f>"201304006161"</f>
        <v>201304006161</v>
      </c>
      <c r="H782" t="s">
        <v>1492</v>
      </c>
      <c r="I782">
        <v>0</v>
      </c>
      <c r="J782">
        <v>0</v>
      </c>
      <c r="K782">
        <v>0</v>
      </c>
      <c r="L782">
        <v>260</v>
      </c>
      <c r="M782">
        <v>0</v>
      </c>
      <c r="N782">
        <v>70</v>
      </c>
      <c r="O782">
        <v>30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 t="s">
        <v>1493</v>
      </c>
    </row>
    <row r="783" spans="1:25" x14ac:dyDescent="0.25">
      <c r="H783" t="s">
        <v>23</v>
      </c>
    </row>
    <row r="784" spans="1:25" x14ac:dyDescent="0.25">
      <c r="A784">
        <v>389</v>
      </c>
      <c r="B784">
        <v>5108</v>
      </c>
      <c r="C784" t="s">
        <v>1494</v>
      </c>
      <c r="D784" t="s">
        <v>1495</v>
      </c>
      <c r="E784" t="s">
        <v>87</v>
      </c>
      <c r="F784" t="s">
        <v>1496</v>
      </c>
      <c r="G784" t="str">
        <f>"201406003323"</f>
        <v>201406003323</v>
      </c>
      <c r="H784" t="s">
        <v>1204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70</v>
      </c>
      <c r="O784">
        <v>0</v>
      </c>
      <c r="P784">
        <v>70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 t="s">
        <v>1497</v>
      </c>
    </row>
    <row r="785" spans="1:25" x14ac:dyDescent="0.25">
      <c r="H785" t="s">
        <v>118</v>
      </c>
    </row>
    <row r="786" spans="1:25" x14ac:dyDescent="0.25">
      <c r="A786">
        <v>390</v>
      </c>
      <c r="B786">
        <v>4461</v>
      </c>
      <c r="C786" t="s">
        <v>1498</v>
      </c>
      <c r="D786" t="s">
        <v>242</v>
      </c>
      <c r="E786" t="s">
        <v>55</v>
      </c>
      <c r="F786" t="s">
        <v>1499</v>
      </c>
      <c r="G786" t="str">
        <f>"00209500"</f>
        <v>00209500</v>
      </c>
      <c r="H786" t="s">
        <v>691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0</v>
      </c>
      <c r="P786">
        <v>50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 t="s">
        <v>1500</v>
      </c>
    </row>
    <row r="787" spans="1:25" x14ac:dyDescent="0.25">
      <c r="H787" t="s">
        <v>53</v>
      </c>
    </row>
    <row r="788" spans="1:25" x14ac:dyDescent="0.25">
      <c r="A788">
        <v>391</v>
      </c>
      <c r="B788">
        <v>1698</v>
      </c>
      <c r="C788" t="s">
        <v>1501</v>
      </c>
      <c r="D788" t="s">
        <v>383</v>
      </c>
      <c r="E788" t="s">
        <v>1340</v>
      </c>
      <c r="F788" t="s">
        <v>1502</v>
      </c>
      <c r="G788" t="str">
        <f>"00084260"</f>
        <v>00084260</v>
      </c>
      <c r="H788" t="s">
        <v>1297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70</v>
      </c>
      <c r="T788">
        <v>0</v>
      </c>
      <c r="U788">
        <v>0</v>
      </c>
      <c r="V788">
        <v>0</v>
      </c>
      <c r="X788">
        <v>0</v>
      </c>
      <c r="Y788" t="s">
        <v>1503</v>
      </c>
    </row>
    <row r="789" spans="1:25" x14ac:dyDescent="0.25">
      <c r="H789" t="s">
        <v>23</v>
      </c>
    </row>
    <row r="790" spans="1:25" x14ac:dyDescent="0.25">
      <c r="A790">
        <v>392</v>
      </c>
      <c r="B790">
        <v>3911</v>
      </c>
      <c r="C790" t="s">
        <v>1504</v>
      </c>
      <c r="D790" t="s">
        <v>509</v>
      </c>
      <c r="E790" t="s">
        <v>130</v>
      </c>
      <c r="F790" t="s">
        <v>1505</v>
      </c>
      <c r="G790" t="str">
        <f>"00127818"</f>
        <v>00127818</v>
      </c>
      <c r="H790" t="s">
        <v>1506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 t="s">
        <v>1507</v>
      </c>
    </row>
    <row r="791" spans="1:25" x14ac:dyDescent="0.25">
      <c r="H791" t="s">
        <v>23</v>
      </c>
    </row>
    <row r="792" spans="1:25" x14ac:dyDescent="0.25">
      <c r="A792">
        <v>393</v>
      </c>
      <c r="B792">
        <v>4378</v>
      </c>
      <c r="C792" t="s">
        <v>1508</v>
      </c>
      <c r="D792" t="s">
        <v>25</v>
      </c>
      <c r="E792" t="s">
        <v>1035</v>
      </c>
      <c r="F792" t="s">
        <v>1509</v>
      </c>
      <c r="G792" t="str">
        <f>"201304003303"</f>
        <v>201304003303</v>
      </c>
      <c r="H792" t="s">
        <v>622</v>
      </c>
      <c r="I792">
        <v>0</v>
      </c>
      <c r="J792">
        <v>0</v>
      </c>
      <c r="K792">
        <v>0</v>
      </c>
      <c r="L792">
        <v>200</v>
      </c>
      <c r="M792">
        <v>0</v>
      </c>
      <c r="N792">
        <v>70</v>
      </c>
      <c r="O792">
        <v>30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 t="s">
        <v>1510</v>
      </c>
    </row>
    <row r="793" spans="1:25" x14ac:dyDescent="0.25">
      <c r="H793" t="s">
        <v>34</v>
      </c>
    </row>
    <row r="794" spans="1:25" x14ac:dyDescent="0.25">
      <c r="A794">
        <v>394</v>
      </c>
      <c r="B794">
        <v>1610</v>
      </c>
      <c r="C794" t="s">
        <v>1511</v>
      </c>
      <c r="D794" t="s">
        <v>419</v>
      </c>
      <c r="E794" t="s">
        <v>49</v>
      </c>
      <c r="F794" t="s">
        <v>1512</v>
      </c>
      <c r="G794" t="str">
        <f>"00093304"</f>
        <v>00093304</v>
      </c>
      <c r="H794" t="s">
        <v>431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30</v>
      </c>
      <c r="T794">
        <v>0</v>
      </c>
      <c r="U794">
        <v>0</v>
      </c>
      <c r="V794">
        <v>0</v>
      </c>
      <c r="X794">
        <v>0</v>
      </c>
      <c r="Y794" t="s">
        <v>1513</v>
      </c>
    </row>
    <row r="795" spans="1:25" x14ac:dyDescent="0.25">
      <c r="H795" t="s">
        <v>91</v>
      </c>
    </row>
    <row r="796" spans="1:25" x14ac:dyDescent="0.25">
      <c r="A796">
        <v>395</v>
      </c>
      <c r="B796">
        <v>6444</v>
      </c>
      <c r="C796" t="s">
        <v>1514</v>
      </c>
      <c r="D796" t="s">
        <v>48</v>
      </c>
      <c r="E796" t="s">
        <v>1515</v>
      </c>
      <c r="F796" t="s">
        <v>1516</v>
      </c>
      <c r="G796" t="str">
        <f>"201304002896"</f>
        <v>201304002896</v>
      </c>
      <c r="H796" t="s">
        <v>1055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70</v>
      </c>
      <c r="O796">
        <v>30</v>
      </c>
      <c r="P796">
        <v>30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 t="s">
        <v>1517</v>
      </c>
    </row>
    <row r="797" spans="1:25" x14ac:dyDescent="0.25">
      <c r="H797" t="s">
        <v>23</v>
      </c>
    </row>
    <row r="798" spans="1:25" x14ac:dyDescent="0.25">
      <c r="A798">
        <v>396</v>
      </c>
      <c r="B798">
        <v>3671</v>
      </c>
      <c r="C798" t="s">
        <v>1518</v>
      </c>
      <c r="D798" t="s">
        <v>1519</v>
      </c>
      <c r="E798" t="s">
        <v>147</v>
      </c>
      <c r="F798" t="s">
        <v>1520</v>
      </c>
      <c r="G798" t="str">
        <f>"00205583"</f>
        <v>00205583</v>
      </c>
      <c r="H798" t="s">
        <v>1521</v>
      </c>
      <c r="I798">
        <v>150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 t="s">
        <v>1522</v>
      </c>
    </row>
    <row r="799" spans="1:25" x14ac:dyDescent="0.25">
      <c r="H799">
        <v>101</v>
      </c>
    </row>
    <row r="800" spans="1:25" x14ac:dyDescent="0.25">
      <c r="A800">
        <v>397</v>
      </c>
      <c r="B800">
        <v>2599</v>
      </c>
      <c r="C800" t="s">
        <v>1523</v>
      </c>
      <c r="D800" t="s">
        <v>1524</v>
      </c>
      <c r="E800" t="s">
        <v>49</v>
      </c>
      <c r="F800" t="s">
        <v>1525</v>
      </c>
      <c r="G800" t="str">
        <f>"201506003393"</f>
        <v>201506003393</v>
      </c>
      <c r="H800" t="s">
        <v>1230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 t="s">
        <v>1526</v>
      </c>
    </row>
    <row r="801" spans="1:25" x14ac:dyDescent="0.25">
      <c r="H801" t="s">
        <v>118</v>
      </c>
    </row>
    <row r="802" spans="1:25" x14ac:dyDescent="0.25">
      <c r="A802">
        <v>398</v>
      </c>
      <c r="B802">
        <v>2517</v>
      </c>
      <c r="C802" t="s">
        <v>1527</v>
      </c>
      <c r="D802" t="s">
        <v>1528</v>
      </c>
      <c r="E802" t="s">
        <v>49</v>
      </c>
      <c r="F802" t="s">
        <v>1529</v>
      </c>
      <c r="G802" t="str">
        <f>"201506000339"</f>
        <v>201506000339</v>
      </c>
      <c r="H802" t="s">
        <v>1530</v>
      </c>
      <c r="I802">
        <v>0</v>
      </c>
      <c r="J802">
        <v>0</v>
      </c>
      <c r="K802">
        <v>0</v>
      </c>
      <c r="L802">
        <v>200</v>
      </c>
      <c r="M802">
        <v>0</v>
      </c>
      <c r="N802">
        <v>70</v>
      </c>
      <c r="O802">
        <v>70</v>
      </c>
      <c r="P802">
        <v>30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 t="s">
        <v>1531</v>
      </c>
    </row>
    <row r="803" spans="1:25" x14ac:dyDescent="0.25">
      <c r="H803" t="s">
        <v>53</v>
      </c>
    </row>
    <row r="804" spans="1:25" x14ac:dyDescent="0.25">
      <c r="A804">
        <v>399</v>
      </c>
      <c r="B804">
        <v>1320</v>
      </c>
      <c r="C804" t="s">
        <v>1532</v>
      </c>
      <c r="D804" t="s">
        <v>20</v>
      </c>
      <c r="E804" t="s">
        <v>184</v>
      </c>
      <c r="F804" t="s">
        <v>1533</v>
      </c>
      <c r="G804" t="str">
        <f>"00196101"</f>
        <v>00196101</v>
      </c>
      <c r="H804" t="s">
        <v>1534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 t="s">
        <v>1535</v>
      </c>
    </row>
    <row r="805" spans="1:25" x14ac:dyDescent="0.25">
      <c r="H805" t="s">
        <v>34</v>
      </c>
    </row>
    <row r="806" spans="1:25" x14ac:dyDescent="0.25">
      <c r="A806">
        <v>400</v>
      </c>
      <c r="B806">
        <v>2802</v>
      </c>
      <c r="C806" t="s">
        <v>1536</v>
      </c>
      <c r="D806" t="s">
        <v>209</v>
      </c>
      <c r="E806" t="s">
        <v>99</v>
      </c>
      <c r="F806" t="s">
        <v>1537</v>
      </c>
      <c r="G806" t="str">
        <f>"201406000082"</f>
        <v>201406000082</v>
      </c>
      <c r="H806" t="s">
        <v>442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70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 t="s">
        <v>1535</v>
      </c>
    </row>
    <row r="807" spans="1:25" x14ac:dyDescent="0.25">
      <c r="H807" t="s">
        <v>34</v>
      </c>
    </row>
    <row r="808" spans="1:25" x14ac:dyDescent="0.25">
      <c r="A808">
        <v>401</v>
      </c>
      <c r="B808">
        <v>2398</v>
      </c>
      <c r="C808" t="s">
        <v>1538</v>
      </c>
      <c r="D808" t="s">
        <v>575</v>
      </c>
      <c r="E808" t="s">
        <v>87</v>
      </c>
      <c r="F808" t="s">
        <v>1539</v>
      </c>
      <c r="G808" t="str">
        <f>"201511013630"</f>
        <v>201511013630</v>
      </c>
      <c r="H808" t="s">
        <v>1060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70</v>
      </c>
      <c r="O808">
        <v>30</v>
      </c>
      <c r="P808">
        <v>0</v>
      </c>
      <c r="Q808">
        <v>30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 t="s">
        <v>1540</v>
      </c>
    </row>
    <row r="809" spans="1:25" x14ac:dyDescent="0.25">
      <c r="H809" t="s">
        <v>1541</v>
      </c>
    </row>
    <row r="810" spans="1:25" x14ac:dyDescent="0.25">
      <c r="A810">
        <v>402</v>
      </c>
      <c r="B810">
        <v>1376</v>
      </c>
      <c r="C810" t="s">
        <v>1542</v>
      </c>
      <c r="D810" t="s">
        <v>36</v>
      </c>
      <c r="E810" t="s">
        <v>419</v>
      </c>
      <c r="F810" t="s">
        <v>1543</v>
      </c>
      <c r="G810" t="str">
        <f>"00208872"</f>
        <v>00208872</v>
      </c>
      <c r="H810" t="s">
        <v>1060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30</v>
      </c>
      <c r="P810">
        <v>30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0</v>
      </c>
      <c r="Y810" t="s">
        <v>1540</v>
      </c>
    </row>
    <row r="811" spans="1:25" x14ac:dyDescent="0.25">
      <c r="H811" t="s">
        <v>53</v>
      </c>
    </row>
    <row r="812" spans="1:25" x14ac:dyDescent="0.25">
      <c r="A812">
        <v>403</v>
      </c>
      <c r="B812">
        <v>1805</v>
      </c>
      <c r="C812" t="s">
        <v>1544</v>
      </c>
      <c r="D812" t="s">
        <v>598</v>
      </c>
      <c r="E812" t="s">
        <v>895</v>
      </c>
      <c r="F812" t="s">
        <v>1545</v>
      </c>
      <c r="G812" t="str">
        <f>"00081163"</f>
        <v>00081163</v>
      </c>
      <c r="H812" t="s">
        <v>1546</v>
      </c>
      <c r="I812">
        <v>0</v>
      </c>
      <c r="J812">
        <v>0</v>
      </c>
      <c r="K812">
        <v>0</v>
      </c>
      <c r="L812">
        <v>0</v>
      </c>
      <c r="M812">
        <v>100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 t="s">
        <v>1547</v>
      </c>
    </row>
    <row r="813" spans="1:25" x14ac:dyDescent="0.25">
      <c r="H813" t="s">
        <v>23</v>
      </c>
    </row>
    <row r="814" spans="1:25" x14ac:dyDescent="0.25">
      <c r="A814">
        <v>404</v>
      </c>
      <c r="B814">
        <v>5188</v>
      </c>
      <c r="C814" t="s">
        <v>1548</v>
      </c>
      <c r="D814" t="s">
        <v>346</v>
      </c>
      <c r="E814" t="s">
        <v>1549</v>
      </c>
      <c r="F814" t="s">
        <v>1550</v>
      </c>
      <c r="G814" t="str">
        <f>"00012823"</f>
        <v>00012823</v>
      </c>
      <c r="H814" t="s">
        <v>976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30</v>
      </c>
      <c r="O814">
        <v>30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 t="s">
        <v>1551</v>
      </c>
    </row>
    <row r="815" spans="1:25" x14ac:dyDescent="0.25">
      <c r="H815" t="s">
        <v>91</v>
      </c>
    </row>
    <row r="816" spans="1:25" x14ac:dyDescent="0.25">
      <c r="A816">
        <v>405</v>
      </c>
      <c r="B816">
        <v>3233</v>
      </c>
      <c r="C816" t="s">
        <v>1552</v>
      </c>
      <c r="D816" t="s">
        <v>25</v>
      </c>
      <c r="E816" t="s">
        <v>184</v>
      </c>
      <c r="F816" t="s">
        <v>1553</v>
      </c>
      <c r="G816" t="str">
        <f>"201304000900"</f>
        <v>201304000900</v>
      </c>
      <c r="H816" t="s">
        <v>798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70</v>
      </c>
      <c r="O816">
        <v>30</v>
      </c>
      <c r="P816">
        <v>50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 t="s">
        <v>1554</v>
      </c>
    </row>
    <row r="817" spans="1:25" x14ac:dyDescent="0.25">
      <c r="H817" t="s">
        <v>53</v>
      </c>
    </row>
    <row r="818" spans="1:25" x14ac:dyDescent="0.25">
      <c r="A818">
        <v>406</v>
      </c>
      <c r="B818">
        <v>4513</v>
      </c>
      <c r="C818" t="s">
        <v>1555</v>
      </c>
      <c r="D818" t="s">
        <v>1556</v>
      </c>
      <c r="E818" t="s">
        <v>21</v>
      </c>
      <c r="F818" t="s">
        <v>1557</v>
      </c>
      <c r="G818" t="str">
        <f>"201304004567"</f>
        <v>201304004567</v>
      </c>
      <c r="H818" t="s">
        <v>1558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70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0</v>
      </c>
      <c r="Y818" t="s">
        <v>1559</v>
      </c>
    </row>
    <row r="819" spans="1:25" x14ac:dyDescent="0.25">
      <c r="H819" t="s">
        <v>34</v>
      </c>
    </row>
    <row r="820" spans="1:25" x14ac:dyDescent="0.25">
      <c r="A820">
        <v>407</v>
      </c>
      <c r="B820">
        <v>5432</v>
      </c>
      <c r="C820" t="s">
        <v>1560</v>
      </c>
      <c r="D820" t="s">
        <v>509</v>
      </c>
      <c r="E820" t="s">
        <v>424</v>
      </c>
      <c r="F820" t="s">
        <v>1561</v>
      </c>
      <c r="G820" t="str">
        <f>"201304005222"</f>
        <v>201304005222</v>
      </c>
      <c r="H820" t="s">
        <v>1558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70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 t="s">
        <v>1559</v>
      </c>
    </row>
    <row r="821" spans="1:25" x14ac:dyDescent="0.25">
      <c r="H821" t="s">
        <v>213</v>
      </c>
    </row>
    <row r="822" spans="1:25" x14ac:dyDescent="0.25">
      <c r="A822">
        <v>408</v>
      </c>
      <c r="B822">
        <v>3279</v>
      </c>
      <c r="C822" t="s">
        <v>1562</v>
      </c>
      <c r="D822" t="s">
        <v>49</v>
      </c>
      <c r="E822" t="s">
        <v>840</v>
      </c>
      <c r="F822" t="s">
        <v>1563</v>
      </c>
      <c r="G822" t="str">
        <f>"201304005905"</f>
        <v>201304005905</v>
      </c>
      <c r="H822" t="s">
        <v>263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 t="s">
        <v>1564</v>
      </c>
    </row>
    <row r="823" spans="1:25" x14ac:dyDescent="0.25">
      <c r="H823" t="s">
        <v>23</v>
      </c>
    </row>
    <row r="824" spans="1:25" x14ac:dyDescent="0.25">
      <c r="A824">
        <v>409</v>
      </c>
      <c r="B824">
        <v>5069</v>
      </c>
      <c r="C824" t="s">
        <v>1565</v>
      </c>
      <c r="D824" t="s">
        <v>685</v>
      </c>
      <c r="E824" t="s">
        <v>43</v>
      </c>
      <c r="F824" t="s">
        <v>1566</v>
      </c>
      <c r="G824" t="str">
        <f>"00014926"</f>
        <v>00014926</v>
      </c>
      <c r="H824" t="s">
        <v>723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0</v>
      </c>
      <c r="P824">
        <v>70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 t="s">
        <v>1567</v>
      </c>
    </row>
    <row r="825" spans="1:25" x14ac:dyDescent="0.25">
      <c r="H825" t="s">
        <v>34</v>
      </c>
    </row>
    <row r="826" spans="1:25" x14ac:dyDescent="0.25">
      <c r="A826">
        <v>410</v>
      </c>
      <c r="B826">
        <v>4957</v>
      </c>
      <c r="C826" t="s">
        <v>1568</v>
      </c>
      <c r="D826" t="s">
        <v>242</v>
      </c>
      <c r="E826" t="s">
        <v>49</v>
      </c>
      <c r="F826" t="s">
        <v>1569</v>
      </c>
      <c r="G826" t="str">
        <f>"00129780"</f>
        <v>00129780</v>
      </c>
      <c r="H826" t="s">
        <v>1570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70</v>
      </c>
      <c r="O826">
        <v>70</v>
      </c>
      <c r="P826">
        <v>0</v>
      </c>
      <c r="Q826">
        <v>0</v>
      </c>
      <c r="R826">
        <v>70</v>
      </c>
      <c r="S826">
        <v>0</v>
      </c>
      <c r="T826">
        <v>0</v>
      </c>
      <c r="U826">
        <v>0</v>
      </c>
      <c r="V826">
        <v>0</v>
      </c>
      <c r="X826">
        <v>0</v>
      </c>
      <c r="Y826" t="s">
        <v>1571</v>
      </c>
    </row>
    <row r="827" spans="1:25" x14ac:dyDescent="0.25">
      <c r="H827" t="s">
        <v>213</v>
      </c>
    </row>
    <row r="828" spans="1:25" x14ac:dyDescent="0.25">
      <c r="A828">
        <v>411</v>
      </c>
      <c r="B828">
        <v>5404</v>
      </c>
      <c r="C828" t="s">
        <v>1572</v>
      </c>
      <c r="D828" t="s">
        <v>598</v>
      </c>
      <c r="E828" t="s">
        <v>49</v>
      </c>
      <c r="F828" t="s">
        <v>1573</v>
      </c>
      <c r="G828" t="str">
        <f>"201304003214"</f>
        <v>201304003214</v>
      </c>
      <c r="H828">
        <v>726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70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>
        <v>1066</v>
      </c>
    </row>
    <row r="829" spans="1:25" x14ac:dyDescent="0.25">
      <c r="H829" t="s">
        <v>53</v>
      </c>
    </row>
    <row r="830" spans="1:25" x14ac:dyDescent="0.25">
      <c r="A830">
        <v>412</v>
      </c>
      <c r="B830">
        <v>5875</v>
      </c>
      <c r="C830" t="s">
        <v>1574</v>
      </c>
      <c r="D830" t="s">
        <v>501</v>
      </c>
      <c r="E830" t="s">
        <v>87</v>
      </c>
      <c r="F830" t="s">
        <v>1575</v>
      </c>
      <c r="G830" t="str">
        <f>"00199094"</f>
        <v>00199094</v>
      </c>
      <c r="H830">
        <v>726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70</v>
      </c>
      <c r="O830">
        <v>70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1066</v>
      </c>
    </row>
    <row r="831" spans="1:25" x14ac:dyDescent="0.25">
      <c r="H831" t="s">
        <v>34</v>
      </c>
    </row>
    <row r="832" spans="1:25" x14ac:dyDescent="0.25">
      <c r="A832">
        <v>413</v>
      </c>
      <c r="B832">
        <v>5672</v>
      </c>
      <c r="C832" t="s">
        <v>1576</v>
      </c>
      <c r="D832" t="s">
        <v>346</v>
      </c>
      <c r="E832" t="s">
        <v>291</v>
      </c>
      <c r="F832" t="s">
        <v>1577</v>
      </c>
      <c r="G832" t="str">
        <f>"201406019219"</f>
        <v>201406019219</v>
      </c>
      <c r="H832" t="s">
        <v>1578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70</v>
      </c>
      <c r="O832">
        <v>0</v>
      </c>
      <c r="P832">
        <v>70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 t="s">
        <v>1579</v>
      </c>
    </row>
    <row r="833" spans="1:25" x14ac:dyDescent="0.25">
      <c r="H833" t="s">
        <v>34</v>
      </c>
    </row>
    <row r="834" spans="1:25" x14ac:dyDescent="0.25">
      <c r="A834">
        <v>414</v>
      </c>
      <c r="B834">
        <v>3064</v>
      </c>
      <c r="C834" t="s">
        <v>1580</v>
      </c>
      <c r="D834" t="s">
        <v>237</v>
      </c>
      <c r="E834" t="s">
        <v>87</v>
      </c>
      <c r="F834" t="s">
        <v>1581</v>
      </c>
      <c r="G834" t="str">
        <f>"00016417"</f>
        <v>00016417</v>
      </c>
      <c r="H834" t="s">
        <v>1372</v>
      </c>
      <c r="I834">
        <v>0</v>
      </c>
      <c r="J834">
        <v>0</v>
      </c>
      <c r="K834">
        <v>0</v>
      </c>
      <c r="L834">
        <v>200</v>
      </c>
      <c r="M834">
        <v>30</v>
      </c>
      <c r="N834">
        <v>70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 t="s">
        <v>1582</v>
      </c>
    </row>
    <row r="835" spans="1:25" x14ac:dyDescent="0.25">
      <c r="H835" t="s">
        <v>23</v>
      </c>
    </row>
    <row r="836" spans="1:25" x14ac:dyDescent="0.25">
      <c r="A836">
        <v>415</v>
      </c>
      <c r="B836">
        <v>5617</v>
      </c>
      <c r="C836" t="s">
        <v>1583</v>
      </c>
      <c r="D836" t="s">
        <v>76</v>
      </c>
      <c r="E836" t="s">
        <v>93</v>
      </c>
      <c r="F836" t="s">
        <v>1584</v>
      </c>
      <c r="G836" t="str">
        <f>"00179928"</f>
        <v>00179928</v>
      </c>
      <c r="H836" t="s">
        <v>379</v>
      </c>
      <c r="I836">
        <v>0</v>
      </c>
      <c r="J836">
        <v>0</v>
      </c>
      <c r="K836">
        <v>0</v>
      </c>
      <c r="L836">
        <v>0</v>
      </c>
      <c r="M836">
        <v>100</v>
      </c>
      <c r="N836">
        <v>50</v>
      </c>
      <c r="O836">
        <v>50</v>
      </c>
      <c r="P836">
        <v>50</v>
      </c>
      <c r="Q836">
        <v>0</v>
      </c>
      <c r="R836">
        <v>30</v>
      </c>
      <c r="S836">
        <v>0</v>
      </c>
      <c r="T836">
        <v>0</v>
      </c>
      <c r="U836">
        <v>0</v>
      </c>
      <c r="V836">
        <v>0</v>
      </c>
      <c r="X836">
        <v>0</v>
      </c>
      <c r="Y836" t="s">
        <v>1585</v>
      </c>
    </row>
    <row r="837" spans="1:25" x14ac:dyDescent="0.25">
      <c r="H837" t="s">
        <v>34</v>
      </c>
    </row>
    <row r="838" spans="1:25" x14ac:dyDescent="0.25">
      <c r="A838">
        <v>416</v>
      </c>
      <c r="B838">
        <v>1555</v>
      </c>
      <c r="C838" t="s">
        <v>1586</v>
      </c>
      <c r="D838" t="s">
        <v>65</v>
      </c>
      <c r="E838" t="s">
        <v>147</v>
      </c>
      <c r="F838" t="s">
        <v>1587</v>
      </c>
      <c r="G838" t="str">
        <f>"201406006964"</f>
        <v>201406006964</v>
      </c>
      <c r="H838" t="s">
        <v>1280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 t="s">
        <v>1588</v>
      </c>
    </row>
    <row r="839" spans="1:25" x14ac:dyDescent="0.25">
      <c r="H839" t="s">
        <v>23</v>
      </c>
    </row>
    <row r="840" spans="1:25" x14ac:dyDescent="0.25">
      <c r="A840">
        <v>417</v>
      </c>
      <c r="B840">
        <v>5523</v>
      </c>
      <c r="C840" t="s">
        <v>1589</v>
      </c>
      <c r="D840" t="s">
        <v>1590</v>
      </c>
      <c r="E840" t="s">
        <v>49</v>
      </c>
      <c r="F840" t="s">
        <v>1591</v>
      </c>
      <c r="G840" t="str">
        <f>"00014785"</f>
        <v>00014785</v>
      </c>
      <c r="H840" t="s">
        <v>1286</v>
      </c>
      <c r="I840">
        <v>0</v>
      </c>
      <c r="J840">
        <v>0</v>
      </c>
      <c r="K840">
        <v>0</v>
      </c>
      <c r="L840">
        <v>0</v>
      </c>
      <c r="M840">
        <v>100</v>
      </c>
      <c r="N840">
        <v>70</v>
      </c>
      <c r="O840">
        <v>70</v>
      </c>
      <c r="P840">
        <v>0</v>
      </c>
      <c r="Q840">
        <v>70</v>
      </c>
      <c r="R840">
        <v>30</v>
      </c>
      <c r="S840">
        <v>0</v>
      </c>
      <c r="T840">
        <v>0</v>
      </c>
      <c r="U840">
        <v>0</v>
      </c>
      <c r="V840">
        <v>0</v>
      </c>
      <c r="X840">
        <v>0</v>
      </c>
      <c r="Y840" t="s">
        <v>1592</v>
      </c>
    </row>
    <row r="841" spans="1:25" x14ac:dyDescent="0.25">
      <c r="H841" t="s">
        <v>23</v>
      </c>
    </row>
    <row r="842" spans="1:25" x14ac:dyDescent="0.25">
      <c r="A842">
        <v>418</v>
      </c>
      <c r="B842">
        <v>3475</v>
      </c>
      <c r="C842" t="s">
        <v>1593</v>
      </c>
      <c r="D842" t="s">
        <v>113</v>
      </c>
      <c r="E842" t="s">
        <v>87</v>
      </c>
      <c r="F842" t="s">
        <v>1594</v>
      </c>
      <c r="G842" t="str">
        <f>"00124699"</f>
        <v>00124699</v>
      </c>
      <c r="H842" t="s">
        <v>678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 t="s">
        <v>1595</v>
      </c>
    </row>
    <row r="843" spans="1:25" x14ac:dyDescent="0.25">
      <c r="H843" t="s">
        <v>91</v>
      </c>
    </row>
    <row r="844" spans="1:25" x14ac:dyDescent="0.25">
      <c r="A844">
        <v>419</v>
      </c>
      <c r="B844">
        <v>5604</v>
      </c>
      <c r="C844" t="s">
        <v>1596</v>
      </c>
      <c r="D844" t="s">
        <v>1597</v>
      </c>
      <c r="E844" t="s">
        <v>43</v>
      </c>
      <c r="F844" t="s">
        <v>1598</v>
      </c>
      <c r="G844" t="str">
        <f>"201406013199"</f>
        <v>201406013199</v>
      </c>
      <c r="H844" t="s">
        <v>67</v>
      </c>
      <c r="I844">
        <v>0</v>
      </c>
      <c r="J844">
        <v>0</v>
      </c>
      <c r="K844">
        <v>0</v>
      </c>
      <c r="L844">
        <v>200</v>
      </c>
      <c r="M844">
        <v>0</v>
      </c>
      <c r="N844">
        <v>70</v>
      </c>
      <c r="O844">
        <v>0</v>
      </c>
      <c r="P844">
        <v>0</v>
      </c>
      <c r="Q844">
        <v>30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1</v>
      </c>
      <c r="Y844" t="s">
        <v>1599</v>
      </c>
    </row>
    <row r="845" spans="1:25" x14ac:dyDescent="0.25">
      <c r="H845" t="s">
        <v>34</v>
      </c>
    </row>
    <row r="846" spans="1:25" x14ac:dyDescent="0.25">
      <c r="A846">
        <v>420</v>
      </c>
      <c r="B846">
        <v>5007</v>
      </c>
      <c r="C846" t="s">
        <v>1600</v>
      </c>
      <c r="D846" t="s">
        <v>70</v>
      </c>
      <c r="E846" t="s">
        <v>87</v>
      </c>
      <c r="F846" t="s">
        <v>1601</v>
      </c>
      <c r="G846" t="str">
        <f>"201504000347"</f>
        <v>201504000347</v>
      </c>
      <c r="H846" t="s">
        <v>67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70</v>
      </c>
      <c r="O846">
        <v>0</v>
      </c>
      <c r="P846">
        <v>0</v>
      </c>
      <c r="Q846">
        <v>30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2</v>
      </c>
      <c r="Y846" t="s">
        <v>1599</v>
      </c>
    </row>
    <row r="847" spans="1:25" x14ac:dyDescent="0.25">
      <c r="H847" t="s">
        <v>23</v>
      </c>
    </row>
    <row r="848" spans="1:25" x14ac:dyDescent="0.25">
      <c r="A848">
        <v>421</v>
      </c>
      <c r="B848">
        <v>5778</v>
      </c>
      <c r="C848" t="s">
        <v>1602</v>
      </c>
      <c r="D848" t="s">
        <v>87</v>
      </c>
      <c r="E848" t="s">
        <v>99</v>
      </c>
      <c r="F848" t="s">
        <v>1603</v>
      </c>
      <c r="G848" t="str">
        <f>"201405001808"</f>
        <v>201405001808</v>
      </c>
      <c r="H848" t="s">
        <v>1604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 t="s">
        <v>1605</v>
      </c>
    </row>
    <row r="849" spans="1:25" x14ac:dyDescent="0.25">
      <c r="H849">
        <v>101</v>
      </c>
    </row>
    <row r="850" spans="1:25" x14ac:dyDescent="0.25">
      <c r="A850">
        <v>422</v>
      </c>
      <c r="B850">
        <v>3680</v>
      </c>
      <c r="C850" t="s">
        <v>522</v>
      </c>
      <c r="D850" t="s">
        <v>805</v>
      </c>
      <c r="E850" t="s">
        <v>49</v>
      </c>
      <c r="F850" t="s">
        <v>1606</v>
      </c>
      <c r="G850" t="str">
        <f>"00015085"</f>
        <v>00015085</v>
      </c>
      <c r="H850" t="s">
        <v>1204</v>
      </c>
      <c r="I850">
        <v>0</v>
      </c>
      <c r="J850">
        <v>0</v>
      </c>
      <c r="K850">
        <v>0</v>
      </c>
      <c r="L850">
        <v>200</v>
      </c>
      <c r="M850">
        <v>30</v>
      </c>
      <c r="N850">
        <v>70</v>
      </c>
      <c r="O850">
        <v>0</v>
      </c>
      <c r="P850">
        <v>30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0</v>
      </c>
      <c r="Y850" t="s">
        <v>1607</v>
      </c>
    </row>
    <row r="851" spans="1:25" x14ac:dyDescent="0.25">
      <c r="H851" t="s">
        <v>23</v>
      </c>
    </row>
    <row r="852" spans="1:25" x14ac:dyDescent="0.25">
      <c r="A852">
        <v>423</v>
      </c>
      <c r="B852">
        <v>713</v>
      </c>
      <c r="C852" t="s">
        <v>1608</v>
      </c>
      <c r="D852" t="s">
        <v>322</v>
      </c>
      <c r="E852" t="s">
        <v>87</v>
      </c>
      <c r="F852" t="s">
        <v>1609</v>
      </c>
      <c r="G852" t="str">
        <f>"00092068"</f>
        <v>00092068</v>
      </c>
      <c r="H852" t="s">
        <v>1610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70</v>
      </c>
      <c r="T852">
        <v>0</v>
      </c>
      <c r="U852">
        <v>0</v>
      </c>
      <c r="V852">
        <v>0</v>
      </c>
      <c r="X852">
        <v>0</v>
      </c>
      <c r="Y852" t="s">
        <v>1611</v>
      </c>
    </row>
    <row r="853" spans="1:25" x14ac:dyDescent="0.25">
      <c r="H853" t="s">
        <v>34</v>
      </c>
    </row>
    <row r="854" spans="1:25" x14ac:dyDescent="0.25">
      <c r="A854">
        <v>424</v>
      </c>
      <c r="B854">
        <v>701</v>
      </c>
      <c r="C854" t="s">
        <v>1612</v>
      </c>
      <c r="D854" t="s">
        <v>1613</v>
      </c>
      <c r="E854" t="s">
        <v>200</v>
      </c>
      <c r="F854" t="s">
        <v>1614</v>
      </c>
      <c r="G854" t="str">
        <f>"201505000452"</f>
        <v>201505000452</v>
      </c>
      <c r="H854" t="s">
        <v>608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70</v>
      </c>
      <c r="O854">
        <v>50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 t="s">
        <v>1611</v>
      </c>
    </row>
    <row r="855" spans="1:25" x14ac:dyDescent="0.25">
      <c r="H855" t="s">
        <v>23</v>
      </c>
    </row>
    <row r="856" spans="1:25" x14ac:dyDescent="0.25">
      <c r="A856">
        <v>425</v>
      </c>
      <c r="B856">
        <v>4046</v>
      </c>
      <c r="C856" t="s">
        <v>1615</v>
      </c>
      <c r="D856" t="s">
        <v>1118</v>
      </c>
      <c r="E856" t="s">
        <v>1616</v>
      </c>
      <c r="F856" t="s">
        <v>1617</v>
      </c>
      <c r="G856" t="str">
        <f>"00208714"</f>
        <v>00208714</v>
      </c>
      <c r="H856" t="s">
        <v>776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70</v>
      </c>
      <c r="O856">
        <v>70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 t="s">
        <v>1618</v>
      </c>
    </row>
    <row r="857" spans="1:25" x14ac:dyDescent="0.25">
      <c r="H857" t="s">
        <v>34</v>
      </c>
    </row>
    <row r="858" spans="1:25" x14ac:dyDescent="0.25">
      <c r="A858">
        <v>426</v>
      </c>
      <c r="B858">
        <v>2518</v>
      </c>
      <c r="C858" t="s">
        <v>1619</v>
      </c>
      <c r="D858" t="s">
        <v>25</v>
      </c>
      <c r="E858" t="s">
        <v>252</v>
      </c>
      <c r="F858" t="s">
        <v>1620</v>
      </c>
      <c r="G858" t="str">
        <f>"00199680"</f>
        <v>00199680</v>
      </c>
      <c r="H858" t="s">
        <v>776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70</v>
      </c>
      <c r="O858">
        <v>70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 t="s">
        <v>1618</v>
      </c>
    </row>
    <row r="859" spans="1:25" x14ac:dyDescent="0.25">
      <c r="H859" t="s">
        <v>34</v>
      </c>
    </row>
    <row r="860" spans="1:25" x14ac:dyDescent="0.25">
      <c r="A860">
        <v>427</v>
      </c>
      <c r="B860">
        <v>3008</v>
      </c>
      <c r="C860" t="s">
        <v>1621</v>
      </c>
      <c r="D860" t="s">
        <v>891</v>
      </c>
      <c r="E860" t="s">
        <v>1622</v>
      </c>
      <c r="F860" t="s">
        <v>1623</v>
      </c>
      <c r="G860" t="str">
        <f>"201302000101"</f>
        <v>201302000101</v>
      </c>
      <c r="H860" t="s">
        <v>860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2</v>
      </c>
      <c r="Y860" t="s">
        <v>1624</v>
      </c>
    </row>
    <row r="861" spans="1:25" x14ac:dyDescent="0.25">
      <c r="H861" t="s">
        <v>91</v>
      </c>
    </row>
    <row r="862" spans="1:25" x14ac:dyDescent="0.25">
      <c r="A862">
        <v>428</v>
      </c>
      <c r="B862">
        <v>4541</v>
      </c>
      <c r="C862" t="s">
        <v>1625</v>
      </c>
      <c r="D862" t="s">
        <v>571</v>
      </c>
      <c r="E862" t="s">
        <v>30</v>
      </c>
      <c r="F862" t="s">
        <v>1626</v>
      </c>
      <c r="G862" t="str">
        <f>"00013513"</f>
        <v>00013513</v>
      </c>
      <c r="H862" t="s">
        <v>1055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0</v>
      </c>
      <c r="P862">
        <v>50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 t="s">
        <v>1627</v>
      </c>
    </row>
    <row r="863" spans="1:25" x14ac:dyDescent="0.25">
      <c r="H863" t="s">
        <v>34</v>
      </c>
    </row>
    <row r="864" spans="1:25" x14ac:dyDescent="0.25">
      <c r="A864">
        <v>429</v>
      </c>
      <c r="B864">
        <v>3601</v>
      </c>
      <c r="C864" t="s">
        <v>1628</v>
      </c>
      <c r="D864" t="s">
        <v>805</v>
      </c>
      <c r="E864" t="s">
        <v>71</v>
      </c>
      <c r="F864" t="s">
        <v>1629</v>
      </c>
      <c r="G864" t="str">
        <f>"201406010986"</f>
        <v>201406010986</v>
      </c>
      <c r="H864" t="s">
        <v>563</v>
      </c>
      <c r="I864">
        <v>0</v>
      </c>
      <c r="J864">
        <v>0</v>
      </c>
      <c r="K864">
        <v>0</v>
      </c>
      <c r="L864">
        <v>260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 t="s">
        <v>1630</v>
      </c>
    </row>
    <row r="865" spans="1:25" x14ac:dyDescent="0.25">
      <c r="H865" t="s">
        <v>53</v>
      </c>
    </row>
    <row r="866" spans="1:25" x14ac:dyDescent="0.25">
      <c r="A866">
        <v>430</v>
      </c>
      <c r="B866">
        <v>24</v>
      </c>
      <c r="C866" t="s">
        <v>103</v>
      </c>
      <c r="D866" t="s">
        <v>36</v>
      </c>
      <c r="E866" t="s">
        <v>1631</v>
      </c>
      <c r="F866" t="s">
        <v>1632</v>
      </c>
      <c r="G866" t="str">
        <f>"00047037"</f>
        <v>00047037</v>
      </c>
      <c r="H866" t="s">
        <v>711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70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 t="s">
        <v>1633</v>
      </c>
    </row>
    <row r="867" spans="1:25" x14ac:dyDescent="0.25">
      <c r="H867" t="s">
        <v>23</v>
      </c>
    </row>
    <row r="868" spans="1:25" x14ac:dyDescent="0.25">
      <c r="A868">
        <v>431</v>
      </c>
      <c r="B868">
        <v>4254</v>
      </c>
      <c r="C868" t="s">
        <v>1634</v>
      </c>
      <c r="D868" t="s">
        <v>1236</v>
      </c>
      <c r="E868" t="s">
        <v>567</v>
      </c>
      <c r="F868" t="s">
        <v>1635</v>
      </c>
      <c r="G868" t="str">
        <f>"00104629"</f>
        <v>00104629</v>
      </c>
      <c r="H868" t="s">
        <v>1636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70</v>
      </c>
      <c r="O868">
        <v>70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 t="s">
        <v>1637</v>
      </c>
    </row>
    <row r="869" spans="1:25" x14ac:dyDescent="0.25">
      <c r="H869" t="s">
        <v>23</v>
      </c>
    </row>
    <row r="870" spans="1:25" x14ac:dyDescent="0.25">
      <c r="A870">
        <v>432</v>
      </c>
      <c r="B870">
        <v>4745</v>
      </c>
      <c r="C870" t="s">
        <v>1638</v>
      </c>
      <c r="D870" t="s">
        <v>147</v>
      </c>
      <c r="E870" t="s">
        <v>43</v>
      </c>
      <c r="F870" t="s">
        <v>1639</v>
      </c>
      <c r="G870" t="str">
        <f>"00131672"</f>
        <v>00131672</v>
      </c>
      <c r="H870" t="s">
        <v>73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0</v>
      </c>
      <c r="Y870" t="s">
        <v>1640</v>
      </c>
    </row>
    <row r="871" spans="1:25" x14ac:dyDescent="0.25">
      <c r="H871" t="s">
        <v>23</v>
      </c>
    </row>
    <row r="872" spans="1:25" x14ac:dyDescent="0.25">
      <c r="A872">
        <v>433</v>
      </c>
      <c r="B872">
        <v>1040</v>
      </c>
      <c r="C872" t="s">
        <v>1641</v>
      </c>
      <c r="D872" t="s">
        <v>21</v>
      </c>
      <c r="E872" t="s">
        <v>1035</v>
      </c>
      <c r="F872" t="s">
        <v>1642</v>
      </c>
      <c r="G872" t="str">
        <f>"200801008253"</f>
        <v>200801008253</v>
      </c>
      <c r="H872" t="s">
        <v>976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50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 t="s">
        <v>1643</v>
      </c>
    </row>
    <row r="873" spans="1:25" x14ac:dyDescent="0.25">
      <c r="H873" t="s">
        <v>23</v>
      </c>
    </row>
    <row r="874" spans="1:25" x14ac:dyDescent="0.25">
      <c r="A874">
        <v>434</v>
      </c>
      <c r="B874">
        <v>5453</v>
      </c>
      <c r="C874" t="s">
        <v>1644</v>
      </c>
      <c r="D874" t="s">
        <v>159</v>
      </c>
      <c r="E874" t="s">
        <v>43</v>
      </c>
      <c r="F874" t="s">
        <v>1645</v>
      </c>
      <c r="G874" t="str">
        <f>"00081914"</f>
        <v>00081914</v>
      </c>
      <c r="H874" t="s">
        <v>798</v>
      </c>
      <c r="I874">
        <v>0</v>
      </c>
      <c r="J874">
        <v>0</v>
      </c>
      <c r="K874">
        <v>0</v>
      </c>
      <c r="L874">
        <v>200</v>
      </c>
      <c r="M874">
        <v>0</v>
      </c>
      <c r="N874">
        <v>70</v>
      </c>
      <c r="O874">
        <v>0</v>
      </c>
      <c r="P874">
        <v>70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 t="s">
        <v>1646</v>
      </c>
    </row>
    <row r="875" spans="1:25" x14ac:dyDescent="0.25">
      <c r="H875" t="s">
        <v>23</v>
      </c>
    </row>
    <row r="876" spans="1:25" x14ac:dyDescent="0.25">
      <c r="A876">
        <v>435</v>
      </c>
      <c r="B876">
        <v>5888</v>
      </c>
      <c r="C876" t="s">
        <v>1647</v>
      </c>
      <c r="D876" t="s">
        <v>1648</v>
      </c>
      <c r="E876" t="s">
        <v>1649</v>
      </c>
      <c r="F876" t="s">
        <v>1650</v>
      </c>
      <c r="G876" t="str">
        <f>"201405002092"</f>
        <v>201405002092</v>
      </c>
      <c r="H876">
        <v>858</v>
      </c>
      <c r="I876">
        <v>0</v>
      </c>
      <c r="J876">
        <v>0</v>
      </c>
      <c r="K876">
        <v>0</v>
      </c>
      <c r="L876">
        <v>0</v>
      </c>
      <c r="M876">
        <v>100</v>
      </c>
      <c r="N876">
        <v>70</v>
      </c>
      <c r="O876">
        <v>30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>
        <v>1058</v>
      </c>
    </row>
    <row r="877" spans="1:25" x14ac:dyDescent="0.25">
      <c r="H877" t="s">
        <v>23</v>
      </c>
    </row>
    <row r="878" spans="1:25" x14ac:dyDescent="0.25">
      <c r="A878">
        <v>436</v>
      </c>
      <c r="B878">
        <v>2803</v>
      </c>
      <c r="C878" t="s">
        <v>1651</v>
      </c>
      <c r="D878" t="s">
        <v>468</v>
      </c>
      <c r="E878" t="s">
        <v>43</v>
      </c>
      <c r="F878" t="s">
        <v>1652</v>
      </c>
      <c r="G878" t="str">
        <f>"00190226"</f>
        <v>00190226</v>
      </c>
      <c r="H878" t="s">
        <v>452</v>
      </c>
      <c r="I878">
        <v>0</v>
      </c>
      <c r="J878">
        <v>0</v>
      </c>
      <c r="K878">
        <v>0</v>
      </c>
      <c r="L878">
        <v>0</v>
      </c>
      <c r="M878">
        <v>100</v>
      </c>
      <c r="N878">
        <v>70</v>
      </c>
      <c r="O878">
        <v>70</v>
      </c>
      <c r="P878">
        <v>0</v>
      </c>
      <c r="Q878">
        <v>0</v>
      </c>
      <c r="R878">
        <v>30</v>
      </c>
      <c r="S878">
        <v>0</v>
      </c>
      <c r="T878">
        <v>0</v>
      </c>
      <c r="U878">
        <v>0</v>
      </c>
      <c r="V878">
        <v>0</v>
      </c>
      <c r="X878">
        <v>0</v>
      </c>
      <c r="Y878" t="s">
        <v>1653</v>
      </c>
    </row>
    <row r="879" spans="1:25" x14ac:dyDescent="0.25">
      <c r="H879" t="s">
        <v>34</v>
      </c>
    </row>
    <row r="880" spans="1:25" x14ac:dyDescent="0.25">
      <c r="A880">
        <v>437</v>
      </c>
      <c r="B880">
        <v>1520</v>
      </c>
      <c r="C880" t="s">
        <v>1654</v>
      </c>
      <c r="D880" t="s">
        <v>147</v>
      </c>
      <c r="E880" t="s">
        <v>49</v>
      </c>
      <c r="F880" t="s">
        <v>1655</v>
      </c>
      <c r="G880" t="str">
        <f>"201406010171"</f>
        <v>201406010171</v>
      </c>
      <c r="H880" t="s">
        <v>175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70</v>
      </c>
      <c r="O880">
        <v>0</v>
      </c>
      <c r="P880">
        <v>0</v>
      </c>
      <c r="Q880">
        <v>30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 t="s">
        <v>1656</v>
      </c>
    </row>
    <row r="881" spans="1:25" x14ac:dyDescent="0.25">
      <c r="H881" t="s">
        <v>23</v>
      </c>
    </row>
    <row r="882" spans="1:25" x14ac:dyDescent="0.25">
      <c r="A882">
        <v>438</v>
      </c>
      <c r="B882">
        <v>975</v>
      </c>
      <c r="C882" t="s">
        <v>1657</v>
      </c>
      <c r="D882" t="s">
        <v>48</v>
      </c>
      <c r="E882" t="s">
        <v>99</v>
      </c>
      <c r="F882" t="s">
        <v>1658</v>
      </c>
      <c r="G882" t="str">
        <f>"00115228"</f>
        <v>00115228</v>
      </c>
      <c r="H882">
        <v>726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50</v>
      </c>
      <c r="O882">
        <v>50</v>
      </c>
      <c r="P882">
        <v>0</v>
      </c>
      <c r="Q882">
        <v>0</v>
      </c>
      <c r="R882">
        <v>0</v>
      </c>
      <c r="S882">
        <v>30</v>
      </c>
      <c r="T882">
        <v>0</v>
      </c>
      <c r="U882">
        <v>0</v>
      </c>
      <c r="V882">
        <v>0</v>
      </c>
      <c r="X882">
        <v>0</v>
      </c>
      <c r="Y882">
        <v>1056</v>
      </c>
    </row>
    <row r="883" spans="1:25" x14ac:dyDescent="0.25">
      <c r="H883" t="s">
        <v>118</v>
      </c>
    </row>
    <row r="884" spans="1:25" x14ac:dyDescent="0.25">
      <c r="A884">
        <v>439</v>
      </c>
      <c r="B884">
        <v>2234</v>
      </c>
      <c r="C884" t="s">
        <v>1659</v>
      </c>
      <c r="D884" t="s">
        <v>193</v>
      </c>
      <c r="E884" t="s">
        <v>87</v>
      </c>
      <c r="F884" t="s">
        <v>1660</v>
      </c>
      <c r="G884" t="str">
        <f>"201511030581"</f>
        <v>201511030581</v>
      </c>
      <c r="H884" t="s">
        <v>910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70</v>
      </c>
      <c r="O884">
        <v>0</v>
      </c>
      <c r="P884">
        <v>50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 t="s">
        <v>1661</v>
      </c>
    </row>
    <row r="885" spans="1:25" x14ac:dyDescent="0.25">
      <c r="H885" t="s">
        <v>23</v>
      </c>
    </row>
    <row r="886" spans="1:25" x14ac:dyDescent="0.25">
      <c r="A886">
        <v>440</v>
      </c>
      <c r="B886">
        <v>5514</v>
      </c>
      <c r="C886" t="s">
        <v>1662</v>
      </c>
      <c r="D886" t="s">
        <v>1663</v>
      </c>
      <c r="E886" t="s">
        <v>81</v>
      </c>
      <c r="F886" t="s">
        <v>1664</v>
      </c>
      <c r="G886" t="str">
        <f>"00197086"</f>
        <v>00197086</v>
      </c>
      <c r="H886" t="s">
        <v>1250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30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 t="s">
        <v>1665</v>
      </c>
    </row>
    <row r="887" spans="1:25" x14ac:dyDescent="0.25">
      <c r="H887" t="s">
        <v>53</v>
      </c>
    </row>
    <row r="888" spans="1:25" x14ac:dyDescent="0.25">
      <c r="A888">
        <v>441</v>
      </c>
      <c r="B888">
        <v>5589</v>
      </c>
      <c r="C888" t="s">
        <v>1666</v>
      </c>
      <c r="D888" t="s">
        <v>193</v>
      </c>
      <c r="E888" t="s">
        <v>1667</v>
      </c>
      <c r="F888" t="s">
        <v>1668</v>
      </c>
      <c r="G888" t="str">
        <f>"201406013392"</f>
        <v>201406013392</v>
      </c>
      <c r="H888" t="s">
        <v>1250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30</v>
      </c>
      <c r="O888">
        <v>0</v>
      </c>
      <c r="P888">
        <v>70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 t="s">
        <v>1665</v>
      </c>
    </row>
    <row r="889" spans="1:25" x14ac:dyDescent="0.25">
      <c r="H889" t="s">
        <v>118</v>
      </c>
    </row>
    <row r="890" spans="1:25" x14ac:dyDescent="0.25">
      <c r="A890">
        <v>442</v>
      </c>
      <c r="B890">
        <v>5152</v>
      </c>
      <c r="C890" t="s">
        <v>1669</v>
      </c>
      <c r="D890" t="s">
        <v>1670</v>
      </c>
      <c r="E890" t="s">
        <v>55</v>
      </c>
      <c r="F890" t="s">
        <v>1671</v>
      </c>
      <c r="G890" t="str">
        <f>"00039694"</f>
        <v>00039694</v>
      </c>
      <c r="H890" t="s">
        <v>1672</v>
      </c>
      <c r="I890">
        <v>150</v>
      </c>
      <c r="J890">
        <v>0</v>
      </c>
      <c r="K890">
        <v>0</v>
      </c>
      <c r="L890">
        <v>0</v>
      </c>
      <c r="M890">
        <v>100</v>
      </c>
      <c r="N890">
        <v>70</v>
      </c>
      <c r="O890">
        <v>70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 t="s">
        <v>1673</v>
      </c>
    </row>
    <row r="891" spans="1:25" x14ac:dyDescent="0.25">
      <c r="H891" t="s">
        <v>118</v>
      </c>
    </row>
    <row r="892" spans="1:25" x14ac:dyDescent="0.25">
      <c r="A892">
        <v>443</v>
      </c>
      <c r="B892">
        <v>483</v>
      </c>
      <c r="C892" t="s">
        <v>1674</v>
      </c>
      <c r="D892" t="s">
        <v>796</v>
      </c>
      <c r="E892" t="s">
        <v>1257</v>
      </c>
      <c r="F892" t="s">
        <v>1675</v>
      </c>
      <c r="G892" t="str">
        <f>"00209470"</f>
        <v>00209470</v>
      </c>
      <c r="H892" t="s">
        <v>132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 t="s">
        <v>1676</v>
      </c>
    </row>
    <row r="893" spans="1:25" x14ac:dyDescent="0.25">
      <c r="H893" t="s">
        <v>91</v>
      </c>
    </row>
    <row r="894" spans="1:25" x14ac:dyDescent="0.25">
      <c r="A894">
        <v>444</v>
      </c>
      <c r="B894">
        <v>5504</v>
      </c>
      <c r="C894" t="s">
        <v>103</v>
      </c>
      <c r="D894" t="s">
        <v>266</v>
      </c>
      <c r="E894" t="s">
        <v>1677</v>
      </c>
      <c r="F894" t="s">
        <v>1678</v>
      </c>
      <c r="G894" t="str">
        <f>"201304003078"</f>
        <v>201304003078</v>
      </c>
      <c r="H894" t="s">
        <v>1578</v>
      </c>
      <c r="I894">
        <v>0</v>
      </c>
      <c r="J894">
        <v>0</v>
      </c>
      <c r="K894">
        <v>0</v>
      </c>
      <c r="L894">
        <v>200</v>
      </c>
      <c r="M894">
        <v>30</v>
      </c>
      <c r="N894">
        <v>70</v>
      </c>
      <c r="O894">
        <v>30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0</v>
      </c>
      <c r="Y894" t="s">
        <v>1679</v>
      </c>
    </row>
    <row r="895" spans="1:25" x14ac:dyDescent="0.25">
      <c r="H895" t="s">
        <v>34</v>
      </c>
    </row>
    <row r="896" spans="1:25" x14ac:dyDescent="0.25">
      <c r="A896">
        <v>445</v>
      </c>
      <c r="B896">
        <v>2013</v>
      </c>
      <c r="C896" t="s">
        <v>1680</v>
      </c>
      <c r="D896" t="s">
        <v>854</v>
      </c>
      <c r="E896" t="s">
        <v>334</v>
      </c>
      <c r="F896" t="s">
        <v>1681</v>
      </c>
      <c r="G896" t="str">
        <f>"201304005835"</f>
        <v>201304005835</v>
      </c>
      <c r="H896" t="s">
        <v>1269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50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 t="s">
        <v>1682</v>
      </c>
    </row>
    <row r="897" spans="1:25" x14ac:dyDescent="0.25">
      <c r="H897" t="s">
        <v>23</v>
      </c>
    </row>
    <row r="898" spans="1:25" x14ac:dyDescent="0.25">
      <c r="A898">
        <v>446</v>
      </c>
      <c r="B898">
        <v>5483</v>
      </c>
      <c r="C898" t="s">
        <v>1683</v>
      </c>
      <c r="D898" t="s">
        <v>113</v>
      </c>
      <c r="E898" t="s">
        <v>87</v>
      </c>
      <c r="F898" t="s">
        <v>1684</v>
      </c>
      <c r="G898" t="str">
        <f>"201304004338"</f>
        <v>201304004338</v>
      </c>
      <c r="H898" t="s">
        <v>1269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70</v>
      </c>
      <c r="O898">
        <v>0</v>
      </c>
      <c r="P898">
        <v>50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X898">
        <v>0</v>
      </c>
      <c r="Y898" t="s">
        <v>1682</v>
      </c>
    </row>
    <row r="899" spans="1:25" x14ac:dyDescent="0.25">
      <c r="H899" t="s">
        <v>23</v>
      </c>
    </row>
    <row r="900" spans="1:25" x14ac:dyDescent="0.25">
      <c r="A900">
        <v>447</v>
      </c>
      <c r="B900">
        <v>3011</v>
      </c>
      <c r="C900" t="s">
        <v>1685</v>
      </c>
      <c r="D900" t="s">
        <v>1686</v>
      </c>
      <c r="E900" t="s">
        <v>419</v>
      </c>
      <c r="F900" t="s">
        <v>1687</v>
      </c>
      <c r="G900" t="str">
        <f>"201506001252"</f>
        <v>201506001252</v>
      </c>
      <c r="H900" t="s">
        <v>219</v>
      </c>
      <c r="I900">
        <v>0</v>
      </c>
      <c r="J900">
        <v>0</v>
      </c>
      <c r="K900">
        <v>0</v>
      </c>
      <c r="L900">
        <v>200</v>
      </c>
      <c r="M900">
        <v>0</v>
      </c>
      <c r="N900">
        <v>70</v>
      </c>
      <c r="O900">
        <v>0</v>
      </c>
      <c r="P900">
        <v>30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 t="s">
        <v>1688</v>
      </c>
    </row>
    <row r="901" spans="1:25" x14ac:dyDescent="0.25">
      <c r="H901" t="s">
        <v>34</v>
      </c>
    </row>
    <row r="902" spans="1:25" x14ac:dyDescent="0.25">
      <c r="A902">
        <v>448</v>
      </c>
      <c r="B902">
        <v>6090</v>
      </c>
      <c r="C902" t="s">
        <v>1689</v>
      </c>
      <c r="D902" t="s">
        <v>362</v>
      </c>
      <c r="E902" t="s">
        <v>49</v>
      </c>
      <c r="F902" t="s">
        <v>1690</v>
      </c>
      <c r="G902" t="str">
        <f>"201506001653"</f>
        <v>201506001653</v>
      </c>
      <c r="H902" t="s">
        <v>595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50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0</v>
      </c>
      <c r="Y902" t="s">
        <v>1691</v>
      </c>
    </row>
    <row r="903" spans="1:25" x14ac:dyDescent="0.25">
      <c r="H903" t="s">
        <v>23</v>
      </c>
    </row>
    <row r="904" spans="1:25" x14ac:dyDescent="0.25">
      <c r="A904">
        <v>449</v>
      </c>
      <c r="B904">
        <v>4362</v>
      </c>
      <c r="C904" t="s">
        <v>119</v>
      </c>
      <c r="D904" t="s">
        <v>1692</v>
      </c>
      <c r="E904" t="s">
        <v>21</v>
      </c>
      <c r="F904" t="s">
        <v>1693</v>
      </c>
      <c r="G904" t="str">
        <f>"00198254"</f>
        <v>00198254</v>
      </c>
      <c r="H904" t="s">
        <v>1694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50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 t="s">
        <v>1695</v>
      </c>
    </row>
    <row r="905" spans="1:25" x14ac:dyDescent="0.25">
      <c r="H905" t="s">
        <v>34</v>
      </c>
    </row>
    <row r="906" spans="1:25" x14ac:dyDescent="0.25">
      <c r="A906">
        <v>450</v>
      </c>
      <c r="B906">
        <v>3229</v>
      </c>
      <c r="C906" t="s">
        <v>1696</v>
      </c>
      <c r="D906" t="s">
        <v>237</v>
      </c>
      <c r="E906" t="s">
        <v>350</v>
      </c>
      <c r="F906" t="s">
        <v>1697</v>
      </c>
      <c r="G906" t="str">
        <f>"00194402"</f>
        <v>00194402</v>
      </c>
      <c r="H906" t="s">
        <v>1698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70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 t="s">
        <v>1695</v>
      </c>
    </row>
    <row r="907" spans="1:25" x14ac:dyDescent="0.25">
      <c r="H907">
        <v>101</v>
      </c>
    </row>
    <row r="908" spans="1:25" x14ac:dyDescent="0.25">
      <c r="A908">
        <v>451</v>
      </c>
      <c r="B908">
        <v>5017</v>
      </c>
      <c r="C908" t="s">
        <v>1699</v>
      </c>
      <c r="D908" t="s">
        <v>509</v>
      </c>
      <c r="E908" t="s">
        <v>55</v>
      </c>
      <c r="F908" t="s">
        <v>1700</v>
      </c>
      <c r="G908" t="str">
        <f>"00086352"</f>
        <v>00086352</v>
      </c>
      <c r="H908" t="s">
        <v>1204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70</v>
      </c>
      <c r="O908">
        <v>50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 t="s">
        <v>1701</v>
      </c>
    </row>
    <row r="909" spans="1:25" x14ac:dyDescent="0.25">
      <c r="H909" t="s">
        <v>118</v>
      </c>
    </row>
    <row r="910" spans="1:25" x14ac:dyDescent="0.25">
      <c r="A910">
        <v>452</v>
      </c>
      <c r="B910">
        <v>2229</v>
      </c>
      <c r="C910" t="s">
        <v>1702</v>
      </c>
      <c r="D910" t="s">
        <v>393</v>
      </c>
      <c r="E910" t="s">
        <v>283</v>
      </c>
      <c r="F910" t="s">
        <v>1703</v>
      </c>
      <c r="G910" t="str">
        <f>"00203485"</f>
        <v>00203485</v>
      </c>
      <c r="H910" t="s">
        <v>691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70</v>
      </c>
      <c r="O910">
        <v>30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 t="s">
        <v>1704</v>
      </c>
    </row>
    <row r="911" spans="1:25" x14ac:dyDescent="0.25">
      <c r="H911" t="s">
        <v>23</v>
      </c>
    </row>
    <row r="912" spans="1:25" x14ac:dyDescent="0.25">
      <c r="A912">
        <v>453</v>
      </c>
      <c r="B912">
        <v>6164</v>
      </c>
      <c r="C912" t="s">
        <v>1705</v>
      </c>
      <c r="D912" t="s">
        <v>820</v>
      </c>
      <c r="E912" t="s">
        <v>49</v>
      </c>
      <c r="F912" t="s">
        <v>1706</v>
      </c>
      <c r="G912" t="str">
        <f>"00113372"</f>
        <v>00113372</v>
      </c>
      <c r="H912" t="s">
        <v>357</v>
      </c>
      <c r="I912">
        <v>150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50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 t="s">
        <v>1707</v>
      </c>
    </row>
    <row r="913" spans="1:25" x14ac:dyDescent="0.25">
      <c r="H913">
        <v>101</v>
      </c>
    </row>
    <row r="914" spans="1:25" x14ac:dyDescent="0.25">
      <c r="A914">
        <v>454</v>
      </c>
      <c r="B914">
        <v>287</v>
      </c>
      <c r="C914" t="s">
        <v>1708</v>
      </c>
      <c r="D914" t="s">
        <v>685</v>
      </c>
      <c r="E914" t="s">
        <v>1709</v>
      </c>
      <c r="F914" t="s">
        <v>1710</v>
      </c>
      <c r="G914" t="str">
        <f>"201402001063"</f>
        <v>201402001063</v>
      </c>
      <c r="H914" t="s">
        <v>1711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70</v>
      </c>
      <c r="R914">
        <v>0</v>
      </c>
      <c r="S914">
        <v>0</v>
      </c>
      <c r="T914">
        <v>0</v>
      </c>
      <c r="U914">
        <v>0</v>
      </c>
      <c r="V914">
        <v>0</v>
      </c>
      <c r="X914">
        <v>2</v>
      </c>
      <c r="Y914" t="s">
        <v>1712</v>
      </c>
    </row>
    <row r="915" spans="1:25" x14ac:dyDescent="0.25">
      <c r="H915">
        <v>101</v>
      </c>
    </row>
    <row r="916" spans="1:25" x14ac:dyDescent="0.25">
      <c r="A916">
        <v>455</v>
      </c>
      <c r="B916">
        <v>5600</v>
      </c>
      <c r="C916" t="s">
        <v>1422</v>
      </c>
      <c r="D916" t="s">
        <v>1713</v>
      </c>
      <c r="E916" t="s">
        <v>1714</v>
      </c>
      <c r="F916" t="s">
        <v>1715</v>
      </c>
      <c r="G916" t="str">
        <f>"00193589"</f>
        <v>00193589</v>
      </c>
      <c r="H916" t="s">
        <v>1716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70</v>
      </c>
      <c r="O916">
        <v>70</v>
      </c>
      <c r="P916">
        <v>50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 t="s">
        <v>1717</v>
      </c>
    </row>
    <row r="917" spans="1:25" x14ac:dyDescent="0.25">
      <c r="H917">
        <v>101</v>
      </c>
    </row>
    <row r="918" spans="1:25" x14ac:dyDescent="0.25">
      <c r="A918">
        <v>456</v>
      </c>
      <c r="B918">
        <v>5352</v>
      </c>
      <c r="C918" t="s">
        <v>1718</v>
      </c>
      <c r="D918" t="s">
        <v>113</v>
      </c>
      <c r="E918" t="s">
        <v>65</v>
      </c>
      <c r="F918" t="s">
        <v>1719</v>
      </c>
      <c r="G918" t="str">
        <f>"201304005121"</f>
        <v>201304005121</v>
      </c>
      <c r="H918" t="s">
        <v>618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70</v>
      </c>
      <c r="O918">
        <v>30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0</v>
      </c>
      <c r="Y918" t="s">
        <v>1717</v>
      </c>
    </row>
    <row r="919" spans="1:25" x14ac:dyDescent="0.25">
      <c r="H919" t="s">
        <v>53</v>
      </c>
    </row>
    <row r="920" spans="1:25" x14ac:dyDescent="0.25">
      <c r="A920">
        <v>457</v>
      </c>
      <c r="B920">
        <v>5688</v>
      </c>
      <c r="C920" t="s">
        <v>1720</v>
      </c>
      <c r="D920" t="s">
        <v>193</v>
      </c>
      <c r="E920" t="s">
        <v>294</v>
      </c>
      <c r="F920" t="s">
        <v>1721</v>
      </c>
      <c r="G920" t="str">
        <f>"201304003375"</f>
        <v>201304003375</v>
      </c>
      <c r="H920">
        <v>781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0</v>
      </c>
      <c r="Y920">
        <v>1051</v>
      </c>
    </row>
    <row r="921" spans="1:25" x14ac:dyDescent="0.25">
      <c r="H921" t="s">
        <v>23</v>
      </c>
    </row>
    <row r="922" spans="1:25" x14ac:dyDescent="0.25">
      <c r="A922">
        <v>458</v>
      </c>
      <c r="B922">
        <v>5190</v>
      </c>
      <c r="C922" t="s">
        <v>1722</v>
      </c>
      <c r="D922" t="s">
        <v>113</v>
      </c>
      <c r="E922" t="s">
        <v>55</v>
      </c>
      <c r="F922" t="s">
        <v>1723</v>
      </c>
      <c r="G922" t="str">
        <f>"201304004273"</f>
        <v>201304004273</v>
      </c>
      <c r="H922" t="s">
        <v>1530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70</v>
      </c>
      <c r="O922">
        <v>50</v>
      </c>
      <c r="P922">
        <v>30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 t="s">
        <v>1724</v>
      </c>
    </row>
    <row r="923" spans="1:25" x14ac:dyDescent="0.25">
      <c r="H923" t="s">
        <v>23</v>
      </c>
    </row>
    <row r="924" spans="1:25" x14ac:dyDescent="0.25">
      <c r="A924">
        <v>459</v>
      </c>
      <c r="B924">
        <v>2201</v>
      </c>
      <c r="C924" t="s">
        <v>1725</v>
      </c>
      <c r="D924" t="s">
        <v>685</v>
      </c>
      <c r="E924" t="s">
        <v>114</v>
      </c>
      <c r="F924" t="s">
        <v>1726</v>
      </c>
      <c r="G924" t="str">
        <f>"00190962"</f>
        <v>00190962</v>
      </c>
      <c r="H924" t="s">
        <v>51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70</v>
      </c>
      <c r="O924">
        <v>0</v>
      </c>
      <c r="P924">
        <v>30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 t="s">
        <v>1727</v>
      </c>
    </row>
    <row r="925" spans="1:25" x14ac:dyDescent="0.25">
      <c r="H925" t="s">
        <v>34</v>
      </c>
    </row>
    <row r="926" spans="1:25" x14ac:dyDescent="0.25">
      <c r="A926">
        <v>460</v>
      </c>
      <c r="B926">
        <v>5719</v>
      </c>
      <c r="C926" t="s">
        <v>1728</v>
      </c>
      <c r="D926" t="s">
        <v>362</v>
      </c>
      <c r="E926" t="s">
        <v>21</v>
      </c>
      <c r="F926" t="s">
        <v>1729</v>
      </c>
      <c r="G926" t="str">
        <f>"201511004810"</f>
        <v>201511004810</v>
      </c>
      <c r="H926" t="s">
        <v>1730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50</v>
      </c>
      <c r="P926">
        <v>50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X926">
        <v>0</v>
      </c>
      <c r="Y926" t="s">
        <v>1731</v>
      </c>
    </row>
    <row r="927" spans="1:25" x14ac:dyDescent="0.25">
      <c r="H927" t="s">
        <v>23</v>
      </c>
    </row>
    <row r="928" spans="1:25" x14ac:dyDescent="0.25">
      <c r="A928">
        <v>461</v>
      </c>
      <c r="B928">
        <v>6517</v>
      </c>
      <c r="C928" t="s">
        <v>1732</v>
      </c>
      <c r="D928" t="s">
        <v>245</v>
      </c>
      <c r="E928" t="s">
        <v>99</v>
      </c>
      <c r="F928" t="s">
        <v>1733</v>
      </c>
      <c r="G928" t="str">
        <f>"201506003452"</f>
        <v>201506003452</v>
      </c>
      <c r="H928" t="s">
        <v>1734</v>
      </c>
      <c r="I928">
        <v>0</v>
      </c>
      <c r="J928">
        <v>0</v>
      </c>
      <c r="K928">
        <v>0</v>
      </c>
      <c r="L928">
        <v>200</v>
      </c>
      <c r="M928">
        <v>0</v>
      </c>
      <c r="N928">
        <v>70</v>
      </c>
      <c r="O928">
        <v>70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0</v>
      </c>
      <c r="Y928" t="s">
        <v>1735</v>
      </c>
    </row>
    <row r="929" spans="1:25" x14ac:dyDescent="0.25">
      <c r="H929" t="s">
        <v>23</v>
      </c>
    </row>
    <row r="930" spans="1:25" x14ac:dyDescent="0.25">
      <c r="A930">
        <v>462</v>
      </c>
      <c r="B930">
        <v>446</v>
      </c>
      <c r="C930" t="s">
        <v>1736</v>
      </c>
      <c r="D930" t="s">
        <v>355</v>
      </c>
      <c r="E930" t="s">
        <v>419</v>
      </c>
      <c r="F930" t="s">
        <v>1737</v>
      </c>
      <c r="G930" t="str">
        <f>"00123610"</f>
        <v>00123610</v>
      </c>
      <c r="H930" t="s">
        <v>1558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70</v>
      </c>
      <c r="O930">
        <v>0</v>
      </c>
      <c r="P930">
        <v>50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 t="s">
        <v>1738</v>
      </c>
    </row>
    <row r="931" spans="1:25" x14ac:dyDescent="0.25">
      <c r="H931" t="s">
        <v>53</v>
      </c>
    </row>
    <row r="932" spans="1:25" x14ac:dyDescent="0.25">
      <c r="A932">
        <v>463</v>
      </c>
      <c r="B932">
        <v>2590</v>
      </c>
      <c r="C932" t="s">
        <v>1739</v>
      </c>
      <c r="D932" t="s">
        <v>322</v>
      </c>
      <c r="E932" t="s">
        <v>55</v>
      </c>
      <c r="F932" t="s">
        <v>1740</v>
      </c>
      <c r="G932" t="str">
        <f>"00115883"</f>
        <v>00115883</v>
      </c>
      <c r="H932">
        <v>737</v>
      </c>
      <c r="I932">
        <v>0</v>
      </c>
      <c r="J932">
        <v>0</v>
      </c>
      <c r="K932">
        <v>0</v>
      </c>
      <c r="L932">
        <v>0</v>
      </c>
      <c r="M932">
        <v>100</v>
      </c>
      <c r="N932">
        <v>70</v>
      </c>
      <c r="O932">
        <v>70</v>
      </c>
      <c r="P932">
        <v>0</v>
      </c>
      <c r="Q932">
        <v>0</v>
      </c>
      <c r="R932">
        <v>70</v>
      </c>
      <c r="S932">
        <v>0</v>
      </c>
      <c r="T932">
        <v>0</v>
      </c>
      <c r="U932">
        <v>0</v>
      </c>
      <c r="V932">
        <v>0</v>
      </c>
      <c r="X932">
        <v>0</v>
      </c>
      <c r="Y932">
        <v>1047</v>
      </c>
    </row>
    <row r="933" spans="1:25" x14ac:dyDescent="0.25">
      <c r="H933" t="s">
        <v>23</v>
      </c>
    </row>
    <row r="934" spans="1:25" x14ac:dyDescent="0.25">
      <c r="A934">
        <v>464</v>
      </c>
      <c r="B934">
        <v>77</v>
      </c>
      <c r="C934" t="s">
        <v>1741</v>
      </c>
      <c r="D934" t="s">
        <v>663</v>
      </c>
      <c r="E934" t="s">
        <v>147</v>
      </c>
      <c r="F934" t="s">
        <v>1742</v>
      </c>
      <c r="G934" t="str">
        <f>"201506002509"</f>
        <v>201506002509</v>
      </c>
      <c r="H934" t="s">
        <v>729</v>
      </c>
      <c r="I934">
        <v>0</v>
      </c>
      <c r="J934">
        <v>0</v>
      </c>
      <c r="K934">
        <v>0</v>
      </c>
      <c r="L934">
        <v>200</v>
      </c>
      <c r="M934">
        <v>0</v>
      </c>
      <c r="N934">
        <v>70</v>
      </c>
      <c r="O934">
        <v>30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 t="s">
        <v>1743</v>
      </c>
    </row>
    <row r="935" spans="1:25" x14ac:dyDescent="0.25">
      <c r="H935" t="s">
        <v>34</v>
      </c>
    </row>
    <row r="936" spans="1:25" x14ac:dyDescent="0.25">
      <c r="A936">
        <v>465</v>
      </c>
      <c r="B936">
        <v>770</v>
      </c>
      <c r="C936" t="s">
        <v>1744</v>
      </c>
      <c r="D936" t="s">
        <v>891</v>
      </c>
      <c r="E936" t="s">
        <v>1745</v>
      </c>
      <c r="F936" t="s">
        <v>1746</v>
      </c>
      <c r="G936" t="str">
        <f>"00192380"</f>
        <v>00192380</v>
      </c>
      <c r="H936" t="s">
        <v>1747</v>
      </c>
      <c r="I936">
        <v>150</v>
      </c>
      <c r="J936">
        <v>0</v>
      </c>
      <c r="K936">
        <v>0</v>
      </c>
      <c r="L936">
        <v>200</v>
      </c>
      <c r="M936">
        <v>0</v>
      </c>
      <c r="N936">
        <v>50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 t="s">
        <v>1748</v>
      </c>
    </row>
    <row r="937" spans="1:25" x14ac:dyDescent="0.25">
      <c r="H937">
        <v>101</v>
      </c>
    </row>
    <row r="938" spans="1:25" x14ac:dyDescent="0.25">
      <c r="A938">
        <v>466</v>
      </c>
      <c r="B938">
        <v>5462</v>
      </c>
      <c r="C938" t="s">
        <v>1749</v>
      </c>
      <c r="D938" t="s">
        <v>917</v>
      </c>
      <c r="E938" t="s">
        <v>81</v>
      </c>
      <c r="F938" t="s">
        <v>1750</v>
      </c>
      <c r="G938" t="str">
        <f>"00115585"</f>
        <v>00115585</v>
      </c>
      <c r="H938">
        <v>726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70</v>
      </c>
      <c r="O938">
        <v>50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>
        <v>1046</v>
      </c>
    </row>
    <row r="939" spans="1:25" x14ac:dyDescent="0.25">
      <c r="H939" t="s">
        <v>118</v>
      </c>
    </row>
    <row r="940" spans="1:25" x14ac:dyDescent="0.25">
      <c r="A940">
        <v>467</v>
      </c>
      <c r="B940">
        <v>1593</v>
      </c>
      <c r="C940" t="s">
        <v>1751</v>
      </c>
      <c r="D940" t="s">
        <v>1752</v>
      </c>
      <c r="E940" t="s">
        <v>55</v>
      </c>
      <c r="F940" t="s">
        <v>1753</v>
      </c>
      <c r="G940" t="str">
        <f>"201506002612"</f>
        <v>201506002612</v>
      </c>
      <c r="H940" t="s">
        <v>1096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30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X940">
        <v>0</v>
      </c>
      <c r="Y940" t="s">
        <v>1754</v>
      </c>
    </row>
    <row r="941" spans="1:25" x14ac:dyDescent="0.25">
      <c r="H941" t="s">
        <v>53</v>
      </c>
    </row>
    <row r="942" spans="1:25" x14ac:dyDescent="0.25">
      <c r="A942">
        <v>468</v>
      </c>
      <c r="B942">
        <v>5303</v>
      </c>
      <c r="C942" t="s">
        <v>1755</v>
      </c>
      <c r="D942" t="s">
        <v>43</v>
      </c>
      <c r="E942" t="s">
        <v>895</v>
      </c>
      <c r="F942" t="s">
        <v>1756</v>
      </c>
      <c r="G942" t="str">
        <f>"00197253"</f>
        <v>00197253</v>
      </c>
      <c r="H942" t="s">
        <v>1578</v>
      </c>
      <c r="I942">
        <v>0</v>
      </c>
      <c r="J942">
        <v>0</v>
      </c>
      <c r="K942">
        <v>0</v>
      </c>
      <c r="L942">
        <v>200</v>
      </c>
      <c r="M942">
        <v>0</v>
      </c>
      <c r="N942">
        <v>70</v>
      </c>
      <c r="O942">
        <v>50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 t="s">
        <v>1757</v>
      </c>
    </row>
    <row r="943" spans="1:25" x14ac:dyDescent="0.25">
      <c r="H943" t="s">
        <v>23</v>
      </c>
    </row>
    <row r="944" spans="1:25" x14ac:dyDescent="0.25">
      <c r="A944">
        <v>469</v>
      </c>
      <c r="B944">
        <v>3801</v>
      </c>
      <c r="C944" t="s">
        <v>1758</v>
      </c>
      <c r="D944" t="s">
        <v>419</v>
      </c>
      <c r="E944" t="s">
        <v>147</v>
      </c>
      <c r="F944" t="s">
        <v>1759</v>
      </c>
      <c r="G944" t="str">
        <f>"201304002764"</f>
        <v>201304002764</v>
      </c>
      <c r="H944" t="s">
        <v>1578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50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 t="s">
        <v>1757</v>
      </c>
    </row>
    <row r="945" spans="1:25" x14ac:dyDescent="0.25">
      <c r="H945" t="s">
        <v>1541</v>
      </c>
    </row>
    <row r="946" spans="1:25" x14ac:dyDescent="0.25">
      <c r="A946">
        <v>470</v>
      </c>
      <c r="B946">
        <v>1853</v>
      </c>
      <c r="C946" t="s">
        <v>1760</v>
      </c>
      <c r="D946" t="s">
        <v>1761</v>
      </c>
      <c r="E946" t="s">
        <v>933</v>
      </c>
      <c r="F946" t="s">
        <v>1762</v>
      </c>
      <c r="G946" t="str">
        <f>"00188454"</f>
        <v>00188454</v>
      </c>
      <c r="H946" t="s">
        <v>1578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70</v>
      </c>
      <c r="O946">
        <v>0</v>
      </c>
      <c r="P946">
        <v>50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2</v>
      </c>
      <c r="Y946" t="s">
        <v>1757</v>
      </c>
    </row>
    <row r="947" spans="1:25" x14ac:dyDescent="0.25">
      <c r="H947">
        <v>101</v>
      </c>
    </row>
    <row r="948" spans="1:25" x14ac:dyDescent="0.25">
      <c r="A948">
        <v>471</v>
      </c>
      <c r="B948">
        <v>5059</v>
      </c>
      <c r="C948" t="s">
        <v>1763</v>
      </c>
      <c r="D948" t="s">
        <v>1335</v>
      </c>
      <c r="E948" t="s">
        <v>303</v>
      </c>
      <c r="F948" t="s">
        <v>1764</v>
      </c>
      <c r="G948" t="str">
        <f>"00001800"</f>
        <v>00001800</v>
      </c>
      <c r="H948" t="s">
        <v>219</v>
      </c>
      <c r="I948">
        <v>0</v>
      </c>
      <c r="J948">
        <v>0</v>
      </c>
      <c r="K948">
        <v>0</v>
      </c>
      <c r="L948">
        <v>200</v>
      </c>
      <c r="M948">
        <v>30</v>
      </c>
      <c r="N948">
        <v>30</v>
      </c>
      <c r="O948">
        <v>30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 t="s">
        <v>1765</v>
      </c>
    </row>
    <row r="949" spans="1:25" x14ac:dyDescent="0.25">
      <c r="H949">
        <v>101</v>
      </c>
    </row>
    <row r="950" spans="1:25" x14ac:dyDescent="0.25">
      <c r="A950">
        <v>472</v>
      </c>
      <c r="B950">
        <v>1846</v>
      </c>
      <c r="C950" t="s">
        <v>1766</v>
      </c>
      <c r="D950" t="s">
        <v>440</v>
      </c>
      <c r="E950" t="s">
        <v>706</v>
      </c>
      <c r="F950" t="s">
        <v>1767</v>
      </c>
      <c r="G950" t="str">
        <f>"201304002338"</f>
        <v>201304002338</v>
      </c>
      <c r="H950" t="s">
        <v>83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70</v>
      </c>
      <c r="O950">
        <v>0</v>
      </c>
      <c r="P950">
        <v>50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0</v>
      </c>
      <c r="Y950" t="s">
        <v>1768</v>
      </c>
    </row>
    <row r="951" spans="1:25" x14ac:dyDescent="0.25">
      <c r="H951" t="s">
        <v>23</v>
      </c>
    </row>
    <row r="952" spans="1:25" x14ac:dyDescent="0.25">
      <c r="A952">
        <v>473</v>
      </c>
      <c r="B952">
        <v>5485</v>
      </c>
      <c r="C952" t="s">
        <v>1769</v>
      </c>
      <c r="D952" t="s">
        <v>237</v>
      </c>
      <c r="E952" t="s">
        <v>87</v>
      </c>
      <c r="F952" t="s">
        <v>1770</v>
      </c>
      <c r="G952" t="str">
        <f>"201506001720"</f>
        <v>201506001720</v>
      </c>
      <c r="H952" t="s">
        <v>1280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50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 t="s">
        <v>1771</v>
      </c>
    </row>
    <row r="953" spans="1:25" x14ac:dyDescent="0.25">
      <c r="H953" t="s">
        <v>91</v>
      </c>
    </row>
    <row r="954" spans="1:25" x14ac:dyDescent="0.25">
      <c r="A954">
        <v>474</v>
      </c>
      <c r="B954">
        <v>2778</v>
      </c>
      <c r="C954" t="s">
        <v>1772</v>
      </c>
      <c r="D954" t="s">
        <v>598</v>
      </c>
      <c r="E954" t="s">
        <v>87</v>
      </c>
      <c r="F954" t="s">
        <v>1773</v>
      </c>
      <c r="G954" t="str">
        <f>"00127875"</f>
        <v>00127875</v>
      </c>
      <c r="H954" t="s">
        <v>1286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70</v>
      </c>
      <c r="O954">
        <v>0</v>
      </c>
      <c r="P954">
        <v>50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0</v>
      </c>
      <c r="Y954" t="s">
        <v>1774</v>
      </c>
    </row>
    <row r="955" spans="1:25" x14ac:dyDescent="0.25">
      <c r="H955" t="s">
        <v>23</v>
      </c>
    </row>
    <row r="956" spans="1:25" x14ac:dyDescent="0.25">
      <c r="A956">
        <v>475</v>
      </c>
      <c r="B956">
        <v>816</v>
      </c>
      <c r="C956" t="s">
        <v>1775</v>
      </c>
      <c r="D956" t="s">
        <v>283</v>
      </c>
      <c r="E956" t="s">
        <v>99</v>
      </c>
      <c r="F956" t="s">
        <v>1776</v>
      </c>
      <c r="G956" t="str">
        <f>"00209555"</f>
        <v>00209555</v>
      </c>
      <c r="H956" t="s">
        <v>1286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70</v>
      </c>
      <c r="O956">
        <v>50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 t="s">
        <v>1774</v>
      </c>
    </row>
    <row r="957" spans="1:25" x14ac:dyDescent="0.25">
      <c r="H957" t="s">
        <v>23</v>
      </c>
    </row>
    <row r="958" spans="1:25" x14ac:dyDescent="0.25">
      <c r="A958">
        <v>476</v>
      </c>
      <c r="B958">
        <v>799</v>
      </c>
      <c r="C958" t="s">
        <v>1777</v>
      </c>
      <c r="D958" t="s">
        <v>468</v>
      </c>
      <c r="E958" t="s">
        <v>781</v>
      </c>
      <c r="F958" t="s">
        <v>1778</v>
      </c>
      <c r="G958" t="str">
        <f>"201403000242"</f>
        <v>201403000242</v>
      </c>
      <c r="H958" t="s">
        <v>938</v>
      </c>
      <c r="I958">
        <v>0</v>
      </c>
      <c r="J958">
        <v>0</v>
      </c>
      <c r="K958">
        <v>0</v>
      </c>
      <c r="L958">
        <v>200</v>
      </c>
      <c r="M958">
        <v>30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 t="s">
        <v>1779</v>
      </c>
    </row>
    <row r="959" spans="1:25" x14ac:dyDescent="0.25">
      <c r="H959" t="s">
        <v>23</v>
      </c>
    </row>
    <row r="960" spans="1:25" x14ac:dyDescent="0.25">
      <c r="A960">
        <v>477</v>
      </c>
      <c r="B960">
        <v>294</v>
      </c>
      <c r="C960" t="s">
        <v>1780</v>
      </c>
      <c r="D960" t="s">
        <v>629</v>
      </c>
      <c r="E960" t="s">
        <v>781</v>
      </c>
      <c r="F960" t="s">
        <v>1781</v>
      </c>
      <c r="G960" t="str">
        <f>"201405002167"</f>
        <v>201405002167</v>
      </c>
      <c r="H960" t="s">
        <v>938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30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 t="s">
        <v>1779</v>
      </c>
    </row>
    <row r="961" spans="1:25" x14ac:dyDescent="0.25">
      <c r="H961" t="s">
        <v>118</v>
      </c>
    </row>
    <row r="962" spans="1:25" x14ac:dyDescent="0.25">
      <c r="A962">
        <v>478</v>
      </c>
      <c r="B962">
        <v>461</v>
      </c>
      <c r="C962" t="s">
        <v>1782</v>
      </c>
      <c r="D962" t="s">
        <v>895</v>
      </c>
      <c r="E962" t="s">
        <v>49</v>
      </c>
      <c r="F962" t="s">
        <v>1783</v>
      </c>
      <c r="G962" t="str">
        <f>"201304001660"</f>
        <v>201304001660</v>
      </c>
      <c r="H962" t="s">
        <v>938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70</v>
      </c>
      <c r="O962">
        <v>0</v>
      </c>
      <c r="P962">
        <v>0</v>
      </c>
      <c r="Q962">
        <v>0</v>
      </c>
      <c r="R962">
        <v>30</v>
      </c>
      <c r="S962">
        <v>0</v>
      </c>
      <c r="T962">
        <v>0</v>
      </c>
      <c r="U962">
        <v>0</v>
      </c>
      <c r="V962">
        <v>0</v>
      </c>
      <c r="X962">
        <v>0</v>
      </c>
      <c r="Y962" t="s">
        <v>1779</v>
      </c>
    </row>
    <row r="963" spans="1:25" x14ac:dyDescent="0.25">
      <c r="H963" t="s">
        <v>91</v>
      </c>
    </row>
    <row r="964" spans="1:25" x14ac:dyDescent="0.25">
      <c r="A964">
        <v>479</v>
      </c>
      <c r="B964">
        <v>1156</v>
      </c>
      <c r="C964" t="s">
        <v>1784</v>
      </c>
      <c r="D964" t="s">
        <v>393</v>
      </c>
      <c r="E964" t="s">
        <v>61</v>
      </c>
      <c r="F964" t="s">
        <v>1785</v>
      </c>
      <c r="G964" t="str">
        <f>"201506003270"</f>
        <v>201506003270</v>
      </c>
      <c r="H964" t="s">
        <v>938</v>
      </c>
      <c r="I964">
        <v>0</v>
      </c>
      <c r="J964">
        <v>0</v>
      </c>
      <c r="K964">
        <v>0</v>
      </c>
      <c r="L964">
        <v>200</v>
      </c>
      <c r="M964">
        <v>0</v>
      </c>
      <c r="N964">
        <v>70</v>
      </c>
      <c r="O964">
        <v>30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0</v>
      </c>
      <c r="Y964" t="s">
        <v>1779</v>
      </c>
    </row>
    <row r="965" spans="1:25" x14ac:dyDescent="0.25">
      <c r="H965" t="s">
        <v>53</v>
      </c>
    </row>
    <row r="966" spans="1:25" x14ac:dyDescent="0.25">
      <c r="A966">
        <v>480</v>
      </c>
      <c r="B966">
        <v>242</v>
      </c>
      <c r="C966" t="s">
        <v>1786</v>
      </c>
      <c r="D966" t="s">
        <v>1787</v>
      </c>
      <c r="E966" t="s">
        <v>49</v>
      </c>
      <c r="F966" t="s">
        <v>1788</v>
      </c>
      <c r="G966" t="str">
        <f>"00117122"</f>
        <v>00117122</v>
      </c>
      <c r="H966" t="s">
        <v>938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50</v>
      </c>
      <c r="O966">
        <v>50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 t="s">
        <v>1779</v>
      </c>
    </row>
    <row r="967" spans="1:25" x14ac:dyDescent="0.25">
      <c r="H967" t="s">
        <v>23</v>
      </c>
    </row>
    <row r="968" spans="1:25" x14ac:dyDescent="0.25">
      <c r="A968">
        <v>481</v>
      </c>
      <c r="B968">
        <v>4849</v>
      </c>
      <c r="C968" t="s">
        <v>241</v>
      </c>
      <c r="D968" t="s">
        <v>1789</v>
      </c>
      <c r="E968" t="s">
        <v>1790</v>
      </c>
      <c r="F968" t="s">
        <v>1791</v>
      </c>
      <c r="G968" t="str">
        <f>"201506002549"</f>
        <v>201506002549</v>
      </c>
      <c r="H968" t="s">
        <v>476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0</v>
      </c>
      <c r="Y968" t="s">
        <v>1792</v>
      </c>
    </row>
    <row r="969" spans="1:25" x14ac:dyDescent="0.25">
      <c r="H969" t="s">
        <v>23</v>
      </c>
    </row>
    <row r="970" spans="1:25" x14ac:dyDescent="0.25">
      <c r="A970">
        <v>482</v>
      </c>
      <c r="B970">
        <v>5045</v>
      </c>
      <c r="C970" t="s">
        <v>1793</v>
      </c>
      <c r="D970" t="s">
        <v>86</v>
      </c>
      <c r="E970" t="s">
        <v>61</v>
      </c>
      <c r="F970" t="s">
        <v>1794</v>
      </c>
      <c r="G970" t="str">
        <f>"00122859"</f>
        <v>00122859</v>
      </c>
      <c r="H970" t="s">
        <v>1204</v>
      </c>
      <c r="I970">
        <v>0</v>
      </c>
      <c r="J970">
        <v>0</v>
      </c>
      <c r="K970">
        <v>0</v>
      </c>
      <c r="L970">
        <v>200</v>
      </c>
      <c r="M970">
        <v>0</v>
      </c>
      <c r="N970">
        <v>0</v>
      </c>
      <c r="O970">
        <v>30</v>
      </c>
      <c r="P970">
        <v>0</v>
      </c>
      <c r="Q970">
        <v>30</v>
      </c>
      <c r="R970">
        <v>50</v>
      </c>
      <c r="S970">
        <v>0</v>
      </c>
      <c r="T970">
        <v>0</v>
      </c>
      <c r="U970">
        <v>0</v>
      </c>
      <c r="V970">
        <v>0</v>
      </c>
      <c r="X970">
        <v>0</v>
      </c>
      <c r="Y970" t="s">
        <v>1795</v>
      </c>
    </row>
    <row r="971" spans="1:25" x14ac:dyDescent="0.25">
      <c r="H971" t="s">
        <v>23</v>
      </c>
    </row>
    <row r="972" spans="1:25" x14ac:dyDescent="0.25">
      <c r="A972">
        <v>483</v>
      </c>
      <c r="B972">
        <v>5148</v>
      </c>
      <c r="C972" t="s">
        <v>1796</v>
      </c>
      <c r="D972" t="s">
        <v>1797</v>
      </c>
      <c r="E972" t="s">
        <v>334</v>
      </c>
      <c r="F972" t="s">
        <v>1798</v>
      </c>
      <c r="G972" t="str">
        <f>"00208756"</f>
        <v>00208756</v>
      </c>
      <c r="H972" t="s">
        <v>608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30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X972">
        <v>0</v>
      </c>
      <c r="Y972" t="s">
        <v>1799</v>
      </c>
    </row>
    <row r="973" spans="1:25" x14ac:dyDescent="0.25">
      <c r="H973" t="s">
        <v>34</v>
      </c>
    </row>
    <row r="974" spans="1:25" x14ac:dyDescent="0.25">
      <c r="A974">
        <v>484</v>
      </c>
      <c r="B974">
        <v>5371</v>
      </c>
      <c r="C974" t="s">
        <v>1800</v>
      </c>
      <c r="D974" t="s">
        <v>1801</v>
      </c>
      <c r="E974" t="s">
        <v>99</v>
      </c>
      <c r="F974" t="s">
        <v>1802</v>
      </c>
      <c r="G974" t="str">
        <f>"00085290"</f>
        <v>00085290</v>
      </c>
      <c r="H974" t="s">
        <v>357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30</v>
      </c>
      <c r="O974">
        <v>30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X974">
        <v>0</v>
      </c>
      <c r="Y974" t="s">
        <v>1803</v>
      </c>
    </row>
    <row r="975" spans="1:25" x14ac:dyDescent="0.25">
      <c r="H975" t="s">
        <v>23</v>
      </c>
    </row>
    <row r="976" spans="1:25" x14ac:dyDescent="0.25">
      <c r="A976">
        <v>485</v>
      </c>
      <c r="B976">
        <v>846</v>
      </c>
      <c r="C976" t="s">
        <v>1804</v>
      </c>
      <c r="D976" t="s">
        <v>854</v>
      </c>
      <c r="E976" t="s">
        <v>184</v>
      </c>
      <c r="F976" t="s">
        <v>1805</v>
      </c>
      <c r="G976" t="str">
        <f>"201406006598"</f>
        <v>201406006598</v>
      </c>
      <c r="H976" t="s">
        <v>1304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70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0</v>
      </c>
      <c r="Y976" t="s">
        <v>1806</v>
      </c>
    </row>
    <row r="977" spans="1:25" x14ac:dyDescent="0.25">
      <c r="H977" t="s">
        <v>23</v>
      </c>
    </row>
    <row r="978" spans="1:25" x14ac:dyDescent="0.25">
      <c r="A978">
        <v>486</v>
      </c>
      <c r="B978">
        <v>647</v>
      </c>
      <c r="C978" t="s">
        <v>1807</v>
      </c>
      <c r="D978" t="s">
        <v>291</v>
      </c>
      <c r="E978" t="s">
        <v>706</v>
      </c>
      <c r="F978">
        <v>2226</v>
      </c>
      <c r="G978" t="str">
        <f>"00160984"</f>
        <v>00160984</v>
      </c>
      <c r="H978">
        <v>781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30</v>
      </c>
      <c r="O978">
        <v>30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>
        <v>1041</v>
      </c>
    </row>
    <row r="979" spans="1:25" x14ac:dyDescent="0.25">
      <c r="H979">
        <v>101</v>
      </c>
    </row>
    <row r="980" spans="1:25" x14ac:dyDescent="0.25">
      <c r="A980">
        <v>487</v>
      </c>
      <c r="B980">
        <v>293</v>
      </c>
      <c r="C980" t="s">
        <v>1808</v>
      </c>
      <c r="D980" t="s">
        <v>20</v>
      </c>
      <c r="E980" t="s">
        <v>43</v>
      </c>
      <c r="F980" t="s">
        <v>1809</v>
      </c>
      <c r="G980" t="str">
        <f>"00015076"</f>
        <v>00015076</v>
      </c>
      <c r="H980" t="s">
        <v>1055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30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 t="s">
        <v>1810</v>
      </c>
    </row>
    <row r="981" spans="1:25" x14ac:dyDescent="0.25">
      <c r="H981" t="s">
        <v>53</v>
      </c>
    </row>
    <row r="982" spans="1:25" x14ac:dyDescent="0.25">
      <c r="A982">
        <v>488</v>
      </c>
      <c r="B982">
        <v>3391</v>
      </c>
      <c r="C982" t="s">
        <v>1811</v>
      </c>
      <c r="D982" t="s">
        <v>685</v>
      </c>
      <c r="E982" t="s">
        <v>43</v>
      </c>
      <c r="F982" t="s">
        <v>1812</v>
      </c>
      <c r="G982" t="str">
        <f>"201304001948"</f>
        <v>201304001948</v>
      </c>
      <c r="H982" t="s">
        <v>1055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70</v>
      </c>
      <c r="O982">
        <v>30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 t="s">
        <v>1810</v>
      </c>
    </row>
    <row r="983" spans="1:25" x14ac:dyDescent="0.25">
      <c r="H983" t="s">
        <v>118</v>
      </c>
    </row>
    <row r="984" spans="1:25" x14ac:dyDescent="0.25">
      <c r="A984">
        <v>489</v>
      </c>
      <c r="B984">
        <v>5056</v>
      </c>
      <c r="C984" t="s">
        <v>1813</v>
      </c>
      <c r="D984" t="s">
        <v>209</v>
      </c>
      <c r="E984" t="s">
        <v>87</v>
      </c>
      <c r="F984" t="s">
        <v>1814</v>
      </c>
      <c r="G984" t="str">
        <f>"00111661"</f>
        <v>00111661</v>
      </c>
      <c r="H984">
        <v>770</v>
      </c>
      <c r="I984">
        <v>0</v>
      </c>
      <c r="J984">
        <v>0</v>
      </c>
      <c r="K984">
        <v>0</v>
      </c>
      <c r="L984">
        <v>200</v>
      </c>
      <c r="M984">
        <v>0</v>
      </c>
      <c r="N984">
        <v>70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0</v>
      </c>
      <c r="Y984">
        <v>1040</v>
      </c>
    </row>
    <row r="985" spans="1:25" x14ac:dyDescent="0.25">
      <c r="H985" t="s">
        <v>213</v>
      </c>
    </row>
    <row r="986" spans="1:25" x14ac:dyDescent="0.25">
      <c r="A986">
        <v>490</v>
      </c>
      <c r="B986">
        <v>882</v>
      </c>
      <c r="C986" t="s">
        <v>1815</v>
      </c>
      <c r="D986" t="s">
        <v>509</v>
      </c>
      <c r="E986" t="s">
        <v>114</v>
      </c>
      <c r="F986" t="s">
        <v>1816</v>
      </c>
      <c r="G986" t="str">
        <f>"201304005579"</f>
        <v>201304005579</v>
      </c>
      <c r="H986">
        <v>770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0</v>
      </c>
      <c r="Y986">
        <v>1040</v>
      </c>
    </row>
    <row r="987" spans="1:25" x14ac:dyDescent="0.25">
      <c r="H987" t="s">
        <v>118</v>
      </c>
    </row>
    <row r="988" spans="1:25" x14ac:dyDescent="0.25">
      <c r="A988">
        <v>491</v>
      </c>
      <c r="B988">
        <v>6120</v>
      </c>
      <c r="C988" t="s">
        <v>1817</v>
      </c>
      <c r="D988" t="s">
        <v>1818</v>
      </c>
      <c r="E988" t="s">
        <v>49</v>
      </c>
      <c r="F988" t="s">
        <v>1819</v>
      </c>
      <c r="G988" t="str">
        <f>"201506002371"</f>
        <v>201506002371</v>
      </c>
      <c r="H988" t="s">
        <v>309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30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2</v>
      </c>
      <c r="Y988" t="s">
        <v>1820</v>
      </c>
    </row>
    <row r="989" spans="1:25" x14ac:dyDescent="0.25">
      <c r="H989">
        <v>101</v>
      </c>
    </row>
    <row r="990" spans="1:25" x14ac:dyDescent="0.25">
      <c r="A990">
        <v>492</v>
      </c>
      <c r="B990">
        <v>4417</v>
      </c>
      <c r="C990" t="s">
        <v>1821</v>
      </c>
      <c r="D990" t="s">
        <v>1822</v>
      </c>
      <c r="E990" t="s">
        <v>55</v>
      </c>
      <c r="F990" t="s">
        <v>1823</v>
      </c>
      <c r="G990" t="str">
        <f>"00131252"</f>
        <v>00131252</v>
      </c>
      <c r="H990" t="s">
        <v>798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50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X990">
        <v>0</v>
      </c>
      <c r="Y990" t="s">
        <v>1820</v>
      </c>
    </row>
    <row r="991" spans="1:25" x14ac:dyDescent="0.25">
      <c r="H991" t="s">
        <v>53</v>
      </c>
    </row>
    <row r="992" spans="1:25" x14ac:dyDescent="0.25">
      <c r="A992">
        <v>493</v>
      </c>
      <c r="B992">
        <v>1123</v>
      </c>
      <c r="C992" t="s">
        <v>1824</v>
      </c>
      <c r="D992" t="s">
        <v>193</v>
      </c>
      <c r="E992" t="s">
        <v>21</v>
      </c>
      <c r="F992" t="s">
        <v>1825</v>
      </c>
      <c r="G992" t="str">
        <f>"200810000304"</f>
        <v>200810000304</v>
      </c>
      <c r="H992" t="s">
        <v>798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70</v>
      </c>
      <c r="O992">
        <v>50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X992">
        <v>0</v>
      </c>
      <c r="Y992" t="s">
        <v>1820</v>
      </c>
    </row>
    <row r="993" spans="1:25" x14ac:dyDescent="0.25">
      <c r="H993" t="s">
        <v>213</v>
      </c>
    </row>
    <row r="994" spans="1:25" x14ac:dyDescent="0.25">
      <c r="A994">
        <v>494</v>
      </c>
      <c r="B994">
        <v>5732</v>
      </c>
      <c r="C994" t="s">
        <v>1826</v>
      </c>
      <c r="D994" t="s">
        <v>319</v>
      </c>
      <c r="E994" t="s">
        <v>87</v>
      </c>
      <c r="F994" t="s">
        <v>1827</v>
      </c>
      <c r="G994" t="str">
        <f>"00014643"</f>
        <v>00014643</v>
      </c>
      <c r="H994" t="s">
        <v>798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50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 t="s">
        <v>1820</v>
      </c>
    </row>
    <row r="995" spans="1:25" x14ac:dyDescent="0.25">
      <c r="H995" t="s">
        <v>23</v>
      </c>
    </row>
    <row r="996" spans="1:25" x14ac:dyDescent="0.25">
      <c r="A996">
        <v>495</v>
      </c>
      <c r="B996">
        <v>2520</v>
      </c>
      <c r="C996" t="s">
        <v>1828</v>
      </c>
      <c r="D996" t="s">
        <v>448</v>
      </c>
      <c r="E996" t="s">
        <v>200</v>
      </c>
      <c r="F996" t="s">
        <v>1829</v>
      </c>
      <c r="G996" t="str">
        <f>"201406017485"</f>
        <v>201406017485</v>
      </c>
      <c r="H996" t="s">
        <v>798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70</v>
      </c>
      <c r="O996">
        <v>50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 t="s">
        <v>1820</v>
      </c>
    </row>
    <row r="997" spans="1:25" x14ac:dyDescent="0.25">
      <c r="H997" t="s">
        <v>23</v>
      </c>
    </row>
    <row r="998" spans="1:25" x14ac:dyDescent="0.25">
      <c r="A998">
        <v>496</v>
      </c>
      <c r="B998">
        <v>5887</v>
      </c>
      <c r="C998" t="s">
        <v>1830</v>
      </c>
      <c r="D998" t="s">
        <v>891</v>
      </c>
      <c r="E998" t="s">
        <v>99</v>
      </c>
      <c r="F998" t="s">
        <v>1831</v>
      </c>
      <c r="G998" t="str">
        <f>"201406002803"</f>
        <v>201406002803</v>
      </c>
      <c r="H998" t="s">
        <v>1832</v>
      </c>
      <c r="I998">
        <v>0</v>
      </c>
      <c r="J998">
        <v>0</v>
      </c>
      <c r="K998">
        <v>0</v>
      </c>
      <c r="L998">
        <v>200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0</v>
      </c>
      <c r="Y998" t="s">
        <v>1833</v>
      </c>
    </row>
    <row r="999" spans="1:25" x14ac:dyDescent="0.25">
      <c r="H999" t="s">
        <v>23</v>
      </c>
    </row>
    <row r="1000" spans="1:25" x14ac:dyDescent="0.25">
      <c r="A1000">
        <v>497</v>
      </c>
      <c r="B1000">
        <v>3574</v>
      </c>
      <c r="C1000" t="s">
        <v>1834</v>
      </c>
      <c r="D1000" t="s">
        <v>1087</v>
      </c>
      <c r="E1000" t="s">
        <v>55</v>
      </c>
      <c r="F1000" t="s">
        <v>1835</v>
      </c>
      <c r="G1000" t="str">
        <f>"201406002418"</f>
        <v>201406002418</v>
      </c>
      <c r="H1000" t="s">
        <v>452</v>
      </c>
      <c r="I1000">
        <v>0</v>
      </c>
      <c r="J1000">
        <v>0</v>
      </c>
      <c r="K1000">
        <v>0</v>
      </c>
      <c r="L1000">
        <v>0</v>
      </c>
      <c r="M1000">
        <v>100</v>
      </c>
      <c r="N1000">
        <v>70</v>
      </c>
      <c r="O1000">
        <v>30</v>
      </c>
      <c r="P1000">
        <v>50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 t="s">
        <v>1836</v>
      </c>
    </row>
    <row r="1001" spans="1:25" x14ac:dyDescent="0.25">
      <c r="H1001" t="s">
        <v>53</v>
      </c>
    </row>
    <row r="1002" spans="1:25" x14ac:dyDescent="0.25">
      <c r="A1002">
        <v>498</v>
      </c>
      <c r="B1002">
        <v>5101</v>
      </c>
      <c r="C1002" t="s">
        <v>1837</v>
      </c>
      <c r="D1002" t="s">
        <v>48</v>
      </c>
      <c r="E1002" t="s">
        <v>87</v>
      </c>
      <c r="F1002" t="s">
        <v>1838</v>
      </c>
      <c r="G1002" t="str">
        <f>"201304004801"</f>
        <v>201304004801</v>
      </c>
      <c r="H1002" t="s">
        <v>1337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70</v>
      </c>
      <c r="O1002">
        <v>50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0</v>
      </c>
      <c r="Y1002" t="s">
        <v>1839</v>
      </c>
    </row>
    <row r="1003" spans="1:25" x14ac:dyDescent="0.25">
      <c r="H1003" t="s">
        <v>23</v>
      </c>
    </row>
    <row r="1004" spans="1:25" x14ac:dyDescent="0.25">
      <c r="A1004">
        <v>499</v>
      </c>
      <c r="B1004">
        <v>5246</v>
      </c>
      <c r="C1004" t="s">
        <v>1840</v>
      </c>
      <c r="D1004" t="s">
        <v>25</v>
      </c>
      <c r="E1004" t="s">
        <v>147</v>
      </c>
      <c r="F1004" t="s">
        <v>1841</v>
      </c>
      <c r="G1004" t="str">
        <f>"201406003133"</f>
        <v>201406003133</v>
      </c>
      <c r="H1004" t="s">
        <v>1337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70</v>
      </c>
      <c r="O1004">
        <v>50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 t="s">
        <v>1839</v>
      </c>
    </row>
    <row r="1005" spans="1:25" x14ac:dyDescent="0.25">
      <c r="H1005" t="s">
        <v>366</v>
      </c>
    </row>
    <row r="1006" spans="1:25" x14ac:dyDescent="0.25">
      <c r="A1006">
        <v>500</v>
      </c>
      <c r="B1006">
        <v>4050</v>
      </c>
      <c r="C1006" t="s">
        <v>1842</v>
      </c>
      <c r="D1006" t="s">
        <v>1843</v>
      </c>
      <c r="E1006" t="s">
        <v>55</v>
      </c>
      <c r="F1006" t="s">
        <v>1844</v>
      </c>
      <c r="G1006" t="str">
        <f>"201304002471"</f>
        <v>201304002471</v>
      </c>
      <c r="H1006" t="s">
        <v>127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 t="s">
        <v>1845</v>
      </c>
    </row>
    <row r="1007" spans="1:25" x14ac:dyDescent="0.25">
      <c r="H1007" t="s">
        <v>53</v>
      </c>
    </row>
    <row r="1008" spans="1:25" x14ac:dyDescent="0.25">
      <c r="A1008">
        <v>501</v>
      </c>
      <c r="B1008">
        <v>5031</v>
      </c>
      <c r="C1008" t="s">
        <v>1846</v>
      </c>
      <c r="D1008" t="s">
        <v>1847</v>
      </c>
      <c r="E1008" t="s">
        <v>87</v>
      </c>
      <c r="F1008" t="s">
        <v>1848</v>
      </c>
      <c r="G1008" t="str">
        <f>"00012595"</f>
        <v>00012595</v>
      </c>
      <c r="H1008" t="s">
        <v>127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 t="s">
        <v>1845</v>
      </c>
    </row>
    <row r="1009" spans="1:25" x14ac:dyDescent="0.25">
      <c r="H1009" t="s">
        <v>23</v>
      </c>
    </row>
    <row r="1010" spans="1:25" x14ac:dyDescent="0.25">
      <c r="A1010">
        <v>502</v>
      </c>
      <c r="B1010">
        <v>6269</v>
      </c>
      <c r="C1010" t="s">
        <v>1849</v>
      </c>
      <c r="D1010" t="s">
        <v>307</v>
      </c>
      <c r="E1010" t="s">
        <v>55</v>
      </c>
      <c r="F1010" t="s">
        <v>1850</v>
      </c>
      <c r="G1010" t="str">
        <f>"00084204"</f>
        <v>00084204</v>
      </c>
      <c r="H1010" t="s">
        <v>910</v>
      </c>
      <c r="I1010">
        <v>0</v>
      </c>
      <c r="J1010">
        <v>0</v>
      </c>
      <c r="K1010">
        <v>0</v>
      </c>
      <c r="L1010">
        <v>200</v>
      </c>
      <c r="M1010">
        <v>0</v>
      </c>
      <c r="N1010">
        <v>50</v>
      </c>
      <c r="O1010">
        <v>50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0</v>
      </c>
      <c r="Y1010" t="s">
        <v>1851</v>
      </c>
    </row>
    <row r="1011" spans="1:25" x14ac:dyDescent="0.25">
      <c r="H1011" t="s">
        <v>23</v>
      </c>
    </row>
    <row r="1012" spans="1:25" x14ac:dyDescent="0.25">
      <c r="A1012">
        <v>503</v>
      </c>
      <c r="B1012">
        <v>3251</v>
      </c>
      <c r="C1012" t="s">
        <v>1852</v>
      </c>
      <c r="D1012" t="s">
        <v>1853</v>
      </c>
      <c r="E1012" t="s">
        <v>1854</v>
      </c>
      <c r="F1012" t="s">
        <v>1855</v>
      </c>
      <c r="G1012" t="str">
        <f>"00197990"</f>
        <v>00197990</v>
      </c>
      <c r="H1012" t="s">
        <v>1004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 t="s">
        <v>1856</v>
      </c>
    </row>
    <row r="1013" spans="1:25" x14ac:dyDescent="0.25">
      <c r="H1013" t="s">
        <v>53</v>
      </c>
    </row>
    <row r="1014" spans="1:25" x14ac:dyDescent="0.25">
      <c r="A1014">
        <v>504</v>
      </c>
      <c r="B1014">
        <v>5201</v>
      </c>
      <c r="C1014" t="s">
        <v>1857</v>
      </c>
      <c r="D1014" t="s">
        <v>159</v>
      </c>
      <c r="E1014" t="s">
        <v>303</v>
      </c>
      <c r="F1014" t="s">
        <v>1858</v>
      </c>
      <c r="G1014" t="str">
        <f>"00200241"</f>
        <v>00200241</v>
      </c>
      <c r="H1014" t="s">
        <v>549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X1014">
        <v>0</v>
      </c>
      <c r="Y1014" t="s">
        <v>1859</v>
      </c>
    </row>
    <row r="1015" spans="1:25" x14ac:dyDescent="0.25">
      <c r="H1015" t="s">
        <v>23</v>
      </c>
    </row>
    <row r="1016" spans="1:25" x14ac:dyDescent="0.25">
      <c r="A1016">
        <v>505</v>
      </c>
      <c r="B1016">
        <v>6175</v>
      </c>
      <c r="C1016" t="s">
        <v>1860</v>
      </c>
      <c r="D1016" t="s">
        <v>440</v>
      </c>
      <c r="E1016" t="s">
        <v>21</v>
      </c>
      <c r="F1016" t="s">
        <v>1861</v>
      </c>
      <c r="G1016" t="str">
        <f>"00108046"</f>
        <v>00108046</v>
      </c>
      <c r="H1016">
        <v>935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30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X1016">
        <v>0</v>
      </c>
      <c r="Y1016">
        <v>1035</v>
      </c>
    </row>
    <row r="1017" spans="1:25" x14ac:dyDescent="0.25">
      <c r="H1017" t="s">
        <v>91</v>
      </c>
    </row>
    <row r="1018" spans="1:25" x14ac:dyDescent="0.25">
      <c r="A1018">
        <v>506</v>
      </c>
      <c r="B1018">
        <v>423</v>
      </c>
      <c r="C1018" t="s">
        <v>657</v>
      </c>
      <c r="D1018" t="s">
        <v>1862</v>
      </c>
      <c r="E1018" t="s">
        <v>87</v>
      </c>
      <c r="F1018" t="s">
        <v>1863</v>
      </c>
      <c r="G1018" t="str">
        <f>"00127555"</f>
        <v>00127555</v>
      </c>
      <c r="H1018">
        <v>935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70</v>
      </c>
      <c r="O1018">
        <v>0</v>
      </c>
      <c r="P1018">
        <v>30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0</v>
      </c>
      <c r="Y1018">
        <v>1035</v>
      </c>
    </row>
    <row r="1019" spans="1:25" x14ac:dyDescent="0.25">
      <c r="H1019" t="s">
        <v>23</v>
      </c>
    </row>
    <row r="1020" spans="1:25" x14ac:dyDescent="0.25">
      <c r="A1020">
        <v>507</v>
      </c>
      <c r="B1020">
        <v>4602</v>
      </c>
      <c r="C1020" t="s">
        <v>1864</v>
      </c>
      <c r="D1020" t="s">
        <v>245</v>
      </c>
      <c r="E1020" t="s">
        <v>43</v>
      </c>
      <c r="F1020" t="s">
        <v>1865</v>
      </c>
      <c r="G1020" t="str">
        <f>"00014534"</f>
        <v>00014534</v>
      </c>
      <c r="H1020">
        <v>715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70</v>
      </c>
      <c r="O1020">
        <v>0</v>
      </c>
      <c r="P1020">
        <v>50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1035</v>
      </c>
    </row>
    <row r="1021" spans="1:25" x14ac:dyDescent="0.25">
      <c r="H1021" t="s">
        <v>213</v>
      </c>
    </row>
    <row r="1022" spans="1:25" x14ac:dyDescent="0.25">
      <c r="A1022">
        <v>508</v>
      </c>
      <c r="B1022">
        <v>5838</v>
      </c>
      <c r="C1022" t="s">
        <v>1866</v>
      </c>
      <c r="D1022" t="s">
        <v>598</v>
      </c>
      <c r="E1022" t="s">
        <v>21</v>
      </c>
      <c r="F1022" t="s">
        <v>1867</v>
      </c>
      <c r="G1022" t="str">
        <f>"201406017307"</f>
        <v>201406017307</v>
      </c>
      <c r="H1022" t="s">
        <v>379</v>
      </c>
      <c r="I1022">
        <v>0</v>
      </c>
      <c r="J1022">
        <v>0</v>
      </c>
      <c r="K1022">
        <v>0</v>
      </c>
      <c r="L1022">
        <v>0</v>
      </c>
      <c r="M1022">
        <v>100</v>
      </c>
      <c r="N1022">
        <v>70</v>
      </c>
      <c r="O1022">
        <v>0</v>
      </c>
      <c r="P1022">
        <v>50</v>
      </c>
      <c r="Q1022">
        <v>0</v>
      </c>
      <c r="R1022">
        <v>30</v>
      </c>
      <c r="S1022">
        <v>0</v>
      </c>
      <c r="T1022">
        <v>0</v>
      </c>
      <c r="U1022">
        <v>0</v>
      </c>
      <c r="V1022">
        <v>0</v>
      </c>
      <c r="X1022">
        <v>0</v>
      </c>
      <c r="Y1022" t="s">
        <v>1868</v>
      </c>
    </row>
    <row r="1023" spans="1:25" x14ac:dyDescent="0.25">
      <c r="H1023" t="s">
        <v>213</v>
      </c>
    </row>
    <row r="1024" spans="1:25" x14ac:dyDescent="0.25">
      <c r="A1024">
        <v>509</v>
      </c>
      <c r="B1024">
        <v>26</v>
      </c>
      <c r="C1024" t="s">
        <v>1869</v>
      </c>
      <c r="D1024" t="s">
        <v>43</v>
      </c>
      <c r="E1024" t="s">
        <v>81</v>
      </c>
      <c r="F1024" t="s">
        <v>1870</v>
      </c>
      <c r="G1024" t="str">
        <f>"200712001557"</f>
        <v>200712001557</v>
      </c>
      <c r="H1024">
        <v>704</v>
      </c>
      <c r="I1024">
        <v>0</v>
      </c>
      <c r="J1024">
        <v>0</v>
      </c>
      <c r="K1024">
        <v>0</v>
      </c>
      <c r="L1024">
        <v>200</v>
      </c>
      <c r="M1024">
        <v>0</v>
      </c>
      <c r="N1024">
        <v>70</v>
      </c>
      <c r="O1024">
        <v>0</v>
      </c>
      <c r="P1024">
        <v>30</v>
      </c>
      <c r="Q1024">
        <v>0</v>
      </c>
      <c r="R1024">
        <v>30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1034</v>
      </c>
    </row>
    <row r="1025" spans="1:25" x14ac:dyDescent="0.25">
      <c r="H1025">
        <v>101</v>
      </c>
    </row>
    <row r="1026" spans="1:25" x14ac:dyDescent="0.25">
      <c r="A1026">
        <v>510</v>
      </c>
      <c r="B1026">
        <v>2702</v>
      </c>
      <c r="C1026" t="s">
        <v>1871</v>
      </c>
      <c r="D1026" t="s">
        <v>1030</v>
      </c>
      <c r="E1026" t="s">
        <v>1872</v>
      </c>
      <c r="F1026" t="s">
        <v>1873</v>
      </c>
      <c r="G1026" t="str">
        <f>"201406005276"</f>
        <v>201406005276</v>
      </c>
      <c r="H1026" t="s">
        <v>390</v>
      </c>
      <c r="I1026">
        <v>0</v>
      </c>
      <c r="J1026">
        <v>0</v>
      </c>
      <c r="K1026">
        <v>0</v>
      </c>
      <c r="L1026">
        <v>200</v>
      </c>
      <c r="M1026">
        <v>0</v>
      </c>
      <c r="N1026">
        <v>70</v>
      </c>
      <c r="O1026">
        <v>30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 t="s">
        <v>1874</v>
      </c>
    </row>
    <row r="1027" spans="1:25" x14ac:dyDescent="0.25">
      <c r="H1027" t="s">
        <v>366</v>
      </c>
    </row>
    <row r="1028" spans="1:25" x14ac:dyDescent="0.25">
      <c r="A1028">
        <v>511</v>
      </c>
      <c r="B1028">
        <v>4178</v>
      </c>
      <c r="C1028" t="s">
        <v>1875</v>
      </c>
      <c r="D1028" t="s">
        <v>55</v>
      </c>
      <c r="E1028" t="s">
        <v>87</v>
      </c>
      <c r="F1028" t="s">
        <v>1876</v>
      </c>
      <c r="G1028" t="str">
        <f>"00192430"</f>
        <v>00192430</v>
      </c>
      <c r="H1028" t="s">
        <v>67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0</v>
      </c>
      <c r="Y1028" t="s">
        <v>1877</v>
      </c>
    </row>
    <row r="1029" spans="1:25" x14ac:dyDescent="0.25">
      <c r="H1029" t="s">
        <v>1878</v>
      </c>
    </row>
    <row r="1030" spans="1:25" x14ac:dyDescent="0.25">
      <c r="A1030">
        <v>512</v>
      </c>
      <c r="B1030">
        <v>5325</v>
      </c>
      <c r="C1030" t="s">
        <v>1879</v>
      </c>
      <c r="D1030" t="s">
        <v>685</v>
      </c>
      <c r="E1030" t="s">
        <v>1260</v>
      </c>
      <c r="F1030" t="s">
        <v>1880</v>
      </c>
      <c r="G1030" t="str">
        <f>"201406004891"</f>
        <v>201406004891</v>
      </c>
      <c r="H1030" t="s">
        <v>1204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30</v>
      </c>
      <c r="O1030">
        <v>70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0</v>
      </c>
      <c r="Y1030" t="s">
        <v>1881</v>
      </c>
    </row>
    <row r="1031" spans="1:25" x14ac:dyDescent="0.25">
      <c r="H1031" t="s">
        <v>34</v>
      </c>
    </row>
    <row r="1032" spans="1:25" x14ac:dyDescent="0.25">
      <c r="A1032">
        <v>513</v>
      </c>
      <c r="B1032">
        <v>2988</v>
      </c>
      <c r="C1032" t="s">
        <v>1882</v>
      </c>
      <c r="D1032" t="s">
        <v>36</v>
      </c>
      <c r="E1032" t="s">
        <v>81</v>
      </c>
      <c r="F1032" t="s">
        <v>1883</v>
      </c>
      <c r="G1032" t="str">
        <f>"201304003019"</f>
        <v>201304003019</v>
      </c>
      <c r="H1032">
        <v>682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50</v>
      </c>
      <c r="O1032">
        <v>50</v>
      </c>
      <c r="P1032">
        <v>0</v>
      </c>
      <c r="Q1032">
        <v>50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2</v>
      </c>
      <c r="Y1032">
        <v>1032</v>
      </c>
    </row>
    <row r="1033" spans="1:25" x14ac:dyDescent="0.25">
      <c r="H1033">
        <v>103</v>
      </c>
    </row>
    <row r="1034" spans="1:25" x14ac:dyDescent="0.25">
      <c r="A1034">
        <v>514</v>
      </c>
      <c r="B1034">
        <v>5377</v>
      </c>
      <c r="C1034" t="s">
        <v>1884</v>
      </c>
      <c r="D1034" t="s">
        <v>1885</v>
      </c>
      <c r="E1034" t="s">
        <v>1886</v>
      </c>
      <c r="F1034" t="s">
        <v>1887</v>
      </c>
      <c r="G1034" t="str">
        <f>"00127565"</f>
        <v>00127565</v>
      </c>
      <c r="H1034" t="s">
        <v>954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30</v>
      </c>
      <c r="O1034">
        <v>70</v>
      </c>
      <c r="P1034">
        <v>30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 t="s">
        <v>1888</v>
      </c>
    </row>
    <row r="1035" spans="1:25" x14ac:dyDescent="0.25">
      <c r="H1035" t="s">
        <v>366</v>
      </c>
    </row>
    <row r="1036" spans="1:25" x14ac:dyDescent="0.25">
      <c r="A1036">
        <v>515</v>
      </c>
      <c r="B1036">
        <v>5601</v>
      </c>
      <c r="C1036" t="s">
        <v>1889</v>
      </c>
      <c r="D1036" t="s">
        <v>70</v>
      </c>
      <c r="E1036" t="s">
        <v>21</v>
      </c>
      <c r="F1036" t="s">
        <v>1890</v>
      </c>
      <c r="G1036" t="str">
        <f>"00092203"</f>
        <v>00092203</v>
      </c>
      <c r="H1036" t="s">
        <v>954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70</v>
      </c>
      <c r="O1036">
        <v>0</v>
      </c>
      <c r="P1036">
        <v>30</v>
      </c>
      <c r="Q1036">
        <v>30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 t="s">
        <v>1888</v>
      </c>
    </row>
    <row r="1037" spans="1:25" x14ac:dyDescent="0.25">
      <c r="H1037" t="s">
        <v>53</v>
      </c>
    </row>
    <row r="1038" spans="1:25" x14ac:dyDescent="0.25">
      <c r="A1038">
        <v>516</v>
      </c>
      <c r="B1038">
        <v>4600</v>
      </c>
      <c r="C1038" t="s">
        <v>1891</v>
      </c>
      <c r="D1038" t="s">
        <v>25</v>
      </c>
      <c r="E1038" t="s">
        <v>947</v>
      </c>
      <c r="F1038" t="s">
        <v>1892</v>
      </c>
      <c r="G1038" t="str">
        <f>"201505000123"</f>
        <v>201505000123</v>
      </c>
      <c r="H1038" t="s">
        <v>1893</v>
      </c>
      <c r="I1038">
        <v>0</v>
      </c>
      <c r="J1038">
        <v>0</v>
      </c>
      <c r="K1038">
        <v>0</v>
      </c>
      <c r="L1038">
        <v>200</v>
      </c>
      <c r="M1038">
        <v>0</v>
      </c>
      <c r="N1038">
        <v>70</v>
      </c>
      <c r="O1038">
        <v>30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0</v>
      </c>
      <c r="Y1038" t="s">
        <v>1894</v>
      </c>
    </row>
    <row r="1039" spans="1:25" x14ac:dyDescent="0.25">
      <c r="H1039" t="s">
        <v>53</v>
      </c>
    </row>
    <row r="1040" spans="1:25" x14ac:dyDescent="0.25">
      <c r="A1040">
        <v>517</v>
      </c>
      <c r="B1040">
        <v>1832</v>
      </c>
      <c r="C1040" t="s">
        <v>1895</v>
      </c>
      <c r="D1040" t="s">
        <v>25</v>
      </c>
      <c r="E1040" t="s">
        <v>37</v>
      </c>
      <c r="F1040" t="s">
        <v>1896</v>
      </c>
      <c r="G1040" t="str">
        <f>"201601000569"</f>
        <v>201601000569</v>
      </c>
      <c r="H1040">
        <v>891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70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>
        <v>1031</v>
      </c>
    </row>
    <row r="1041" spans="1:25" x14ac:dyDescent="0.25">
      <c r="H1041" t="s">
        <v>34</v>
      </c>
    </row>
    <row r="1042" spans="1:25" x14ac:dyDescent="0.25">
      <c r="A1042">
        <v>518</v>
      </c>
      <c r="B1042">
        <v>3980</v>
      </c>
      <c r="C1042" t="s">
        <v>1897</v>
      </c>
      <c r="D1042" t="s">
        <v>48</v>
      </c>
      <c r="E1042" t="s">
        <v>55</v>
      </c>
      <c r="F1042" t="s">
        <v>1898</v>
      </c>
      <c r="G1042" t="str">
        <f>"00101407"</f>
        <v>00101407</v>
      </c>
      <c r="H1042">
        <v>781</v>
      </c>
      <c r="I1042">
        <v>150</v>
      </c>
      <c r="J1042">
        <v>0</v>
      </c>
      <c r="K1042">
        <v>0</v>
      </c>
      <c r="L1042">
        <v>0</v>
      </c>
      <c r="M1042">
        <v>0</v>
      </c>
      <c r="N1042">
        <v>70</v>
      </c>
      <c r="O1042">
        <v>30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1031</v>
      </c>
    </row>
    <row r="1043" spans="1:25" x14ac:dyDescent="0.25">
      <c r="H1043" t="s">
        <v>34</v>
      </c>
    </row>
    <row r="1044" spans="1:25" x14ac:dyDescent="0.25">
      <c r="A1044">
        <v>519</v>
      </c>
      <c r="B1044">
        <v>1577</v>
      </c>
      <c r="C1044" t="s">
        <v>1899</v>
      </c>
      <c r="D1044" t="s">
        <v>558</v>
      </c>
      <c r="E1044" t="s">
        <v>81</v>
      </c>
      <c r="F1044" t="s">
        <v>1900</v>
      </c>
      <c r="G1044" t="str">
        <f>"00070393"</f>
        <v>00070393</v>
      </c>
      <c r="H1044" t="s">
        <v>631</v>
      </c>
      <c r="I1044">
        <v>0</v>
      </c>
      <c r="J1044">
        <v>0</v>
      </c>
      <c r="K1044">
        <v>0</v>
      </c>
      <c r="L1044">
        <v>0</v>
      </c>
      <c r="M1044">
        <v>100</v>
      </c>
      <c r="N1044">
        <v>70</v>
      </c>
      <c r="O1044">
        <v>0</v>
      </c>
      <c r="P1044">
        <v>30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 t="s">
        <v>1901</v>
      </c>
    </row>
    <row r="1045" spans="1:25" x14ac:dyDescent="0.25">
      <c r="H1045" t="s">
        <v>118</v>
      </c>
    </row>
    <row r="1046" spans="1:25" x14ac:dyDescent="0.25">
      <c r="A1046">
        <v>520</v>
      </c>
      <c r="B1046">
        <v>5584</v>
      </c>
      <c r="C1046" t="s">
        <v>1902</v>
      </c>
      <c r="D1046" t="s">
        <v>49</v>
      </c>
      <c r="E1046" t="s">
        <v>55</v>
      </c>
      <c r="F1046" t="s">
        <v>1903</v>
      </c>
      <c r="G1046" t="str">
        <f>"00109712"</f>
        <v>00109712</v>
      </c>
      <c r="H1046" t="s">
        <v>1904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30</v>
      </c>
      <c r="S1046">
        <v>0</v>
      </c>
      <c r="T1046">
        <v>0</v>
      </c>
      <c r="U1046">
        <v>0</v>
      </c>
      <c r="V1046">
        <v>0</v>
      </c>
      <c r="X1046">
        <v>0</v>
      </c>
      <c r="Y1046" t="s">
        <v>1905</v>
      </c>
    </row>
    <row r="1047" spans="1:25" x14ac:dyDescent="0.25">
      <c r="H1047" t="s">
        <v>34</v>
      </c>
    </row>
    <row r="1048" spans="1:25" x14ac:dyDescent="0.25">
      <c r="A1048">
        <v>521</v>
      </c>
      <c r="B1048">
        <v>390</v>
      </c>
      <c r="C1048" t="s">
        <v>1906</v>
      </c>
      <c r="D1048" t="s">
        <v>199</v>
      </c>
      <c r="E1048" t="s">
        <v>147</v>
      </c>
      <c r="F1048" t="s">
        <v>1907</v>
      </c>
      <c r="G1048" t="str">
        <f>"201406006910"</f>
        <v>201406006910</v>
      </c>
      <c r="H1048" t="s">
        <v>1904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50</v>
      </c>
      <c r="O1048">
        <v>50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 t="s">
        <v>1905</v>
      </c>
    </row>
    <row r="1049" spans="1:25" x14ac:dyDescent="0.25">
      <c r="H1049" t="s">
        <v>23</v>
      </c>
    </row>
    <row r="1050" spans="1:25" x14ac:dyDescent="0.25">
      <c r="A1050">
        <v>522</v>
      </c>
      <c r="B1050">
        <v>5779</v>
      </c>
      <c r="C1050" t="s">
        <v>1908</v>
      </c>
      <c r="D1050" t="s">
        <v>87</v>
      </c>
      <c r="E1050" t="s">
        <v>283</v>
      </c>
      <c r="F1050" t="s">
        <v>1909</v>
      </c>
      <c r="G1050" t="str">
        <f>"00209451"</f>
        <v>00209451</v>
      </c>
      <c r="H1050" t="s">
        <v>1910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 t="s">
        <v>1911</v>
      </c>
    </row>
    <row r="1051" spans="1:25" x14ac:dyDescent="0.25">
      <c r="H1051" t="s">
        <v>23</v>
      </c>
    </row>
    <row r="1052" spans="1:25" x14ac:dyDescent="0.25">
      <c r="A1052">
        <v>523</v>
      </c>
      <c r="B1052">
        <v>5104</v>
      </c>
      <c r="C1052" t="s">
        <v>1912</v>
      </c>
      <c r="D1052" t="s">
        <v>1913</v>
      </c>
      <c r="E1052" t="s">
        <v>21</v>
      </c>
      <c r="F1052" t="s">
        <v>1914</v>
      </c>
      <c r="G1052" t="str">
        <f>"00014774"</f>
        <v>00014774</v>
      </c>
      <c r="H1052" t="s">
        <v>711</v>
      </c>
      <c r="I1052">
        <v>0</v>
      </c>
      <c r="J1052">
        <v>0</v>
      </c>
      <c r="K1052">
        <v>0</v>
      </c>
      <c r="L1052">
        <v>0</v>
      </c>
      <c r="M1052">
        <v>100</v>
      </c>
      <c r="N1052">
        <v>70</v>
      </c>
      <c r="O1052">
        <v>70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X1052">
        <v>0</v>
      </c>
      <c r="Y1052" t="s">
        <v>1915</v>
      </c>
    </row>
    <row r="1053" spans="1:25" x14ac:dyDescent="0.25">
      <c r="H1053" t="s">
        <v>91</v>
      </c>
    </row>
    <row r="1054" spans="1:25" x14ac:dyDescent="0.25">
      <c r="A1054">
        <v>524</v>
      </c>
      <c r="B1054">
        <v>6520</v>
      </c>
      <c r="C1054" t="s">
        <v>1916</v>
      </c>
      <c r="D1054" t="s">
        <v>1917</v>
      </c>
      <c r="E1054" t="s">
        <v>43</v>
      </c>
      <c r="F1054" t="s">
        <v>1918</v>
      </c>
      <c r="G1054" t="str">
        <f>"00206651"</f>
        <v>00206651</v>
      </c>
      <c r="H1054" t="s">
        <v>1230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 t="s">
        <v>1919</v>
      </c>
    </row>
    <row r="1055" spans="1:25" x14ac:dyDescent="0.25">
      <c r="H1055" t="s">
        <v>118</v>
      </c>
    </row>
    <row r="1056" spans="1:25" x14ac:dyDescent="0.25">
      <c r="A1056">
        <v>525</v>
      </c>
      <c r="B1056">
        <v>4735</v>
      </c>
      <c r="C1056" t="s">
        <v>1920</v>
      </c>
      <c r="D1056" t="s">
        <v>1921</v>
      </c>
      <c r="E1056" t="s">
        <v>87</v>
      </c>
      <c r="F1056" t="s">
        <v>1922</v>
      </c>
      <c r="G1056" t="str">
        <f>"00014892"</f>
        <v>00014892</v>
      </c>
      <c r="H1056" t="s">
        <v>442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70</v>
      </c>
      <c r="O1056">
        <v>30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0</v>
      </c>
      <c r="Y1056" t="s">
        <v>1923</v>
      </c>
    </row>
    <row r="1057" spans="1:25" x14ac:dyDescent="0.25">
      <c r="H1057" t="s">
        <v>53</v>
      </c>
    </row>
    <row r="1058" spans="1:25" x14ac:dyDescent="0.25">
      <c r="A1058">
        <v>526</v>
      </c>
      <c r="B1058">
        <v>2014</v>
      </c>
      <c r="C1058" t="s">
        <v>1924</v>
      </c>
      <c r="D1058" t="s">
        <v>1925</v>
      </c>
      <c r="E1058" t="s">
        <v>1926</v>
      </c>
      <c r="F1058" t="s">
        <v>1927</v>
      </c>
      <c r="G1058" t="str">
        <f>"00012439"</f>
        <v>00012439</v>
      </c>
      <c r="H1058">
        <v>759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X1058">
        <v>0</v>
      </c>
      <c r="Y1058">
        <v>1029</v>
      </c>
    </row>
    <row r="1059" spans="1:25" x14ac:dyDescent="0.25">
      <c r="H1059" t="s">
        <v>118</v>
      </c>
    </row>
    <row r="1060" spans="1:25" x14ac:dyDescent="0.25">
      <c r="A1060">
        <v>527</v>
      </c>
      <c r="B1060">
        <v>2646</v>
      </c>
      <c r="C1060" t="s">
        <v>1928</v>
      </c>
      <c r="D1060" t="s">
        <v>1929</v>
      </c>
      <c r="E1060" t="s">
        <v>87</v>
      </c>
      <c r="F1060" t="s">
        <v>1930</v>
      </c>
      <c r="G1060" t="str">
        <f>"201506002759"</f>
        <v>201506002759</v>
      </c>
      <c r="H1060">
        <v>759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70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>
        <v>1029</v>
      </c>
    </row>
    <row r="1061" spans="1:25" x14ac:dyDescent="0.25">
      <c r="H1061" t="s">
        <v>23</v>
      </c>
    </row>
    <row r="1062" spans="1:25" x14ac:dyDescent="0.25">
      <c r="A1062">
        <v>528</v>
      </c>
      <c r="B1062">
        <v>1873</v>
      </c>
      <c r="C1062" t="s">
        <v>1931</v>
      </c>
      <c r="D1062" t="s">
        <v>1932</v>
      </c>
      <c r="E1062" t="s">
        <v>55</v>
      </c>
      <c r="F1062" t="s">
        <v>1933</v>
      </c>
      <c r="G1062" t="str">
        <f>"00014932"</f>
        <v>00014932</v>
      </c>
      <c r="H1062" t="s">
        <v>1558</v>
      </c>
      <c r="I1062">
        <v>0</v>
      </c>
      <c r="J1062">
        <v>0</v>
      </c>
      <c r="K1062">
        <v>0</v>
      </c>
      <c r="L1062">
        <v>200</v>
      </c>
      <c r="M1062">
        <v>0</v>
      </c>
      <c r="N1062">
        <v>70</v>
      </c>
      <c r="O1062">
        <v>0</v>
      </c>
      <c r="P1062">
        <v>0</v>
      </c>
      <c r="Q1062">
        <v>30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0</v>
      </c>
      <c r="Y1062" t="s">
        <v>1934</v>
      </c>
    </row>
    <row r="1063" spans="1:25" x14ac:dyDescent="0.25">
      <c r="H1063" t="s">
        <v>23</v>
      </c>
    </row>
    <row r="1064" spans="1:25" x14ac:dyDescent="0.25">
      <c r="A1064">
        <v>529</v>
      </c>
      <c r="B1064">
        <v>2410</v>
      </c>
      <c r="C1064" t="s">
        <v>1935</v>
      </c>
      <c r="D1064" t="s">
        <v>509</v>
      </c>
      <c r="E1064" t="s">
        <v>21</v>
      </c>
      <c r="F1064" t="s">
        <v>1936</v>
      </c>
      <c r="G1064" t="str">
        <f>"201304005854"</f>
        <v>201304005854</v>
      </c>
      <c r="H1064" t="s">
        <v>1937</v>
      </c>
      <c r="I1064">
        <v>0</v>
      </c>
      <c r="J1064">
        <v>0</v>
      </c>
      <c r="K1064">
        <v>0</v>
      </c>
      <c r="L1064">
        <v>200</v>
      </c>
      <c r="M1064">
        <v>0</v>
      </c>
      <c r="N1064">
        <v>70</v>
      </c>
      <c r="O1064">
        <v>0</v>
      </c>
      <c r="P1064">
        <v>70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 t="s">
        <v>1938</v>
      </c>
    </row>
    <row r="1065" spans="1:25" x14ac:dyDescent="0.25">
      <c r="H1065" t="s">
        <v>23</v>
      </c>
    </row>
    <row r="1066" spans="1:25" x14ac:dyDescent="0.25">
      <c r="A1066">
        <v>530</v>
      </c>
      <c r="B1066">
        <v>1812</v>
      </c>
      <c r="C1066" t="s">
        <v>412</v>
      </c>
      <c r="D1066" t="s">
        <v>1939</v>
      </c>
      <c r="E1066" t="s">
        <v>147</v>
      </c>
      <c r="F1066" t="s">
        <v>1940</v>
      </c>
      <c r="G1066" t="str">
        <f>"201511037746"</f>
        <v>201511037746</v>
      </c>
      <c r="H1066">
        <v>737</v>
      </c>
      <c r="I1066">
        <v>0</v>
      </c>
      <c r="J1066">
        <v>0</v>
      </c>
      <c r="K1066">
        <v>0</v>
      </c>
      <c r="L1066">
        <v>0</v>
      </c>
      <c r="M1066">
        <v>100</v>
      </c>
      <c r="N1066">
        <v>70</v>
      </c>
      <c r="O1066">
        <v>70</v>
      </c>
      <c r="P1066">
        <v>0</v>
      </c>
      <c r="Q1066">
        <v>0</v>
      </c>
      <c r="R1066">
        <v>50</v>
      </c>
      <c r="S1066">
        <v>0</v>
      </c>
      <c r="T1066">
        <v>0</v>
      </c>
      <c r="U1066">
        <v>0</v>
      </c>
      <c r="V1066">
        <v>0</v>
      </c>
      <c r="X1066">
        <v>0</v>
      </c>
      <c r="Y1066">
        <v>1027</v>
      </c>
    </row>
    <row r="1067" spans="1:25" x14ac:dyDescent="0.25">
      <c r="H1067">
        <v>103</v>
      </c>
    </row>
    <row r="1068" spans="1:25" x14ac:dyDescent="0.25">
      <c r="A1068">
        <v>531</v>
      </c>
      <c r="B1068">
        <v>5183</v>
      </c>
      <c r="C1068" t="s">
        <v>1941</v>
      </c>
      <c r="D1068" t="s">
        <v>193</v>
      </c>
      <c r="E1068" t="s">
        <v>303</v>
      </c>
      <c r="F1068" t="s">
        <v>1942</v>
      </c>
      <c r="G1068" t="str">
        <f>"00120757"</f>
        <v>00120757</v>
      </c>
      <c r="H1068" t="s">
        <v>101</v>
      </c>
      <c r="I1068">
        <v>0</v>
      </c>
      <c r="J1068">
        <v>0</v>
      </c>
      <c r="K1068">
        <v>0</v>
      </c>
      <c r="L1068">
        <v>200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 t="s">
        <v>1943</v>
      </c>
    </row>
    <row r="1069" spans="1:25" x14ac:dyDescent="0.25">
      <c r="H1069">
        <v>101</v>
      </c>
    </row>
    <row r="1070" spans="1:25" x14ac:dyDescent="0.25">
      <c r="A1070">
        <v>532</v>
      </c>
      <c r="B1070">
        <v>1411</v>
      </c>
      <c r="C1070" t="s">
        <v>1944</v>
      </c>
      <c r="D1070" t="s">
        <v>93</v>
      </c>
      <c r="E1070" t="s">
        <v>1945</v>
      </c>
      <c r="F1070" t="s">
        <v>1946</v>
      </c>
      <c r="G1070" t="str">
        <f>"201506001151"</f>
        <v>201506001151</v>
      </c>
      <c r="H1070">
        <v>726</v>
      </c>
      <c r="I1070">
        <v>0</v>
      </c>
      <c r="J1070">
        <v>0</v>
      </c>
      <c r="K1070">
        <v>0</v>
      </c>
      <c r="L1070">
        <v>200</v>
      </c>
      <c r="M1070">
        <v>30</v>
      </c>
      <c r="N1070">
        <v>70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2</v>
      </c>
      <c r="Y1070">
        <v>1026</v>
      </c>
    </row>
    <row r="1071" spans="1:25" x14ac:dyDescent="0.25">
      <c r="H1071" t="s">
        <v>118</v>
      </c>
    </row>
    <row r="1072" spans="1:25" x14ac:dyDescent="0.25">
      <c r="A1072">
        <v>533</v>
      </c>
      <c r="B1072">
        <v>1187</v>
      </c>
      <c r="C1072" t="s">
        <v>1947</v>
      </c>
      <c r="D1072" t="s">
        <v>1948</v>
      </c>
      <c r="E1072" t="s">
        <v>283</v>
      </c>
      <c r="F1072" t="s">
        <v>1949</v>
      </c>
      <c r="G1072" t="str">
        <f>"00113199"</f>
        <v>00113199</v>
      </c>
      <c r="H1072" t="s">
        <v>1008</v>
      </c>
      <c r="I1072">
        <v>0</v>
      </c>
      <c r="J1072">
        <v>0</v>
      </c>
      <c r="K1072">
        <v>0</v>
      </c>
      <c r="L1072">
        <v>200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1</v>
      </c>
      <c r="Y1072" t="s">
        <v>1950</v>
      </c>
    </row>
    <row r="1073" spans="1:25" x14ac:dyDescent="0.25">
      <c r="H1073" t="s">
        <v>34</v>
      </c>
    </row>
    <row r="1074" spans="1:25" x14ac:dyDescent="0.25">
      <c r="A1074">
        <v>534</v>
      </c>
      <c r="B1074">
        <v>5191</v>
      </c>
      <c r="C1074" t="s">
        <v>1951</v>
      </c>
      <c r="D1074" t="s">
        <v>1192</v>
      </c>
      <c r="E1074" t="s">
        <v>49</v>
      </c>
      <c r="F1074" t="s">
        <v>1952</v>
      </c>
      <c r="G1074" t="str">
        <f>"00163613"</f>
        <v>00163613</v>
      </c>
      <c r="H1074" t="s">
        <v>1953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70</v>
      </c>
      <c r="O1074">
        <v>70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0</v>
      </c>
      <c r="Y1074" t="s">
        <v>1950</v>
      </c>
    </row>
    <row r="1075" spans="1:25" x14ac:dyDescent="0.25">
      <c r="H1075">
        <v>102</v>
      </c>
    </row>
    <row r="1076" spans="1:25" x14ac:dyDescent="0.25">
      <c r="A1076">
        <v>535</v>
      </c>
      <c r="B1076">
        <v>3001</v>
      </c>
      <c r="C1076" t="s">
        <v>1954</v>
      </c>
      <c r="D1076" t="s">
        <v>266</v>
      </c>
      <c r="E1076" t="s">
        <v>99</v>
      </c>
      <c r="F1076" t="s">
        <v>1955</v>
      </c>
      <c r="G1076" t="str">
        <f>"201506001390"</f>
        <v>201506001390</v>
      </c>
      <c r="H1076" t="s">
        <v>1372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30</v>
      </c>
      <c r="O1076">
        <v>0</v>
      </c>
      <c r="P1076">
        <v>30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 t="s">
        <v>1956</v>
      </c>
    </row>
    <row r="1077" spans="1:25" x14ac:dyDescent="0.25">
      <c r="H1077" t="s">
        <v>53</v>
      </c>
    </row>
    <row r="1078" spans="1:25" x14ac:dyDescent="0.25">
      <c r="A1078">
        <v>536</v>
      </c>
      <c r="B1078">
        <v>2549</v>
      </c>
      <c r="C1078" t="s">
        <v>1957</v>
      </c>
      <c r="D1078" t="s">
        <v>571</v>
      </c>
      <c r="E1078" t="s">
        <v>616</v>
      </c>
      <c r="F1078" t="s">
        <v>1958</v>
      </c>
      <c r="G1078" t="str">
        <f>"201303000248"</f>
        <v>201303000248</v>
      </c>
      <c r="H1078" t="s">
        <v>1959</v>
      </c>
      <c r="I1078">
        <v>0</v>
      </c>
      <c r="J1078">
        <v>0</v>
      </c>
      <c r="K1078">
        <v>0</v>
      </c>
      <c r="L1078">
        <v>200</v>
      </c>
      <c r="M1078">
        <v>0</v>
      </c>
      <c r="N1078">
        <v>70</v>
      </c>
      <c r="O1078">
        <v>70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 t="s">
        <v>1960</v>
      </c>
    </row>
    <row r="1079" spans="1:25" x14ac:dyDescent="0.25">
      <c r="H1079" t="s">
        <v>118</v>
      </c>
    </row>
    <row r="1080" spans="1:25" x14ac:dyDescent="0.25">
      <c r="A1080">
        <v>537</v>
      </c>
      <c r="B1080">
        <v>1198</v>
      </c>
      <c r="C1080" t="s">
        <v>1961</v>
      </c>
      <c r="D1080" t="s">
        <v>25</v>
      </c>
      <c r="E1080" t="s">
        <v>1962</v>
      </c>
      <c r="F1080" t="s">
        <v>1963</v>
      </c>
      <c r="G1080" t="str">
        <f>"00182812"</f>
        <v>00182812</v>
      </c>
      <c r="H1080">
        <v>704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70</v>
      </c>
      <c r="O1080">
        <v>0</v>
      </c>
      <c r="P1080">
        <v>50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>
        <v>1024</v>
      </c>
    </row>
    <row r="1081" spans="1:25" x14ac:dyDescent="0.25">
      <c r="H1081" t="s">
        <v>53</v>
      </c>
    </row>
    <row r="1082" spans="1:25" x14ac:dyDescent="0.25">
      <c r="A1082">
        <v>538</v>
      </c>
      <c r="B1082">
        <v>741</v>
      </c>
      <c r="C1082" t="s">
        <v>1964</v>
      </c>
      <c r="D1082" t="s">
        <v>1965</v>
      </c>
      <c r="E1082" t="s">
        <v>99</v>
      </c>
      <c r="F1082" t="s">
        <v>1966</v>
      </c>
      <c r="G1082" t="str">
        <f>"201304005679"</f>
        <v>201304005679</v>
      </c>
      <c r="H1082" t="s">
        <v>1286</v>
      </c>
      <c r="I1082">
        <v>0</v>
      </c>
      <c r="J1082">
        <v>0</v>
      </c>
      <c r="K1082">
        <v>0</v>
      </c>
      <c r="L1082">
        <v>200</v>
      </c>
      <c r="M1082">
        <v>0</v>
      </c>
      <c r="N1082">
        <v>30</v>
      </c>
      <c r="O1082">
        <v>70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 t="s">
        <v>1967</v>
      </c>
    </row>
    <row r="1083" spans="1:25" x14ac:dyDescent="0.25">
      <c r="H1083" t="s">
        <v>53</v>
      </c>
    </row>
    <row r="1084" spans="1:25" x14ac:dyDescent="0.25">
      <c r="A1084">
        <v>539</v>
      </c>
      <c r="B1084">
        <v>5761</v>
      </c>
      <c r="C1084" t="s">
        <v>1968</v>
      </c>
      <c r="D1084" t="s">
        <v>598</v>
      </c>
      <c r="E1084" t="s">
        <v>184</v>
      </c>
      <c r="F1084" t="s">
        <v>1969</v>
      </c>
      <c r="G1084" t="str">
        <f>"00089897"</f>
        <v>00089897</v>
      </c>
      <c r="H1084" t="s">
        <v>1970</v>
      </c>
      <c r="I1084">
        <v>0</v>
      </c>
      <c r="J1084">
        <v>0</v>
      </c>
      <c r="K1084">
        <v>0</v>
      </c>
      <c r="L1084">
        <v>200</v>
      </c>
      <c r="M1084">
        <v>0</v>
      </c>
      <c r="N1084">
        <v>70</v>
      </c>
      <c r="O1084">
        <v>70</v>
      </c>
      <c r="P1084">
        <v>0</v>
      </c>
      <c r="Q1084">
        <v>0</v>
      </c>
      <c r="R1084">
        <v>30</v>
      </c>
      <c r="S1084">
        <v>0</v>
      </c>
      <c r="T1084">
        <v>0</v>
      </c>
      <c r="U1084">
        <v>0</v>
      </c>
      <c r="V1084">
        <v>0</v>
      </c>
      <c r="X1084">
        <v>0</v>
      </c>
      <c r="Y1084" t="s">
        <v>1971</v>
      </c>
    </row>
    <row r="1085" spans="1:25" x14ac:dyDescent="0.25">
      <c r="H1085" t="s">
        <v>53</v>
      </c>
    </row>
    <row r="1086" spans="1:25" x14ac:dyDescent="0.25">
      <c r="A1086">
        <v>540</v>
      </c>
      <c r="B1086">
        <v>5562</v>
      </c>
      <c r="C1086" t="s">
        <v>1972</v>
      </c>
      <c r="D1086" t="s">
        <v>1973</v>
      </c>
      <c r="E1086" t="s">
        <v>933</v>
      </c>
      <c r="F1086" t="s">
        <v>1974</v>
      </c>
      <c r="G1086" t="str">
        <f>"201406009680"</f>
        <v>201406009680</v>
      </c>
      <c r="H1086">
        <v>803</v>
      </c>
      <c r="I1086">
        <v>0</v>
      </c>
      <c r="J1086">
        <v>0</v>
      </c>
      <c r="K1086">
        <v>0</v>
      </c>
      <c r="L1086">
        <v>0</v>
      </c>
      <c r="M1086">
        <v>100</v>
      </c>
      <c r="N1086">
        <v>70</v>
      </c>
      <c r="O1086">
        <v>50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X1086">
        <v>0</v>
      </c>
      <c r="Y1086">
        <v>1023</v>
      </c>
    </row>
    <row r="1087" spans="1:25" x14ac:dyDescent="0.25">
      <c r="H1087" t="s">
        <v>34</v>
      </c>
    </row>
    <row r="1088" spans="1:25" x14ac:dyDescent="0.25">
      <c r="A1088">
        <v>541</v>
      </c>
      <c r="B1088">
        <v>6365</v>
      </c>
      <c r="C1088" t="s">
        <v>1975</v>
      </c>
      <c r="D1088" t="s">
        <v>501</v>
      </c>
      <c r="E1088" t="s">
        <v>93</v>
      </c>
      <c r="F1088" t="s">
        <v>1976</v>
      </c>
      <c r="G1088" t="str">
        <f>"00202511"</f>
        <v>00202511</v>
      </c>
      <c r="H1088">
        <v>803</v>
      </c>
      <c r="I1088">
        <v>0</v>
      </c>
      <c r="J1088">
        <v>0</v>
      </c>
      <c r="K1088">
        <v>0</v>
      </c>
      <c r="L1088">
        <v>0</v>
      </c>
      <c r="M1088">
        <v>100</v>
      </c>
      <c r="N1088">
        <v>70</v>
      </c>
      <c r="O1088">
        <v>50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1</v>
      </c>
      <c r="Y1088">
        <v>1023</v>
      </c>
    </row>
    <row r="1089" spans="1:25" x14ac:dyDescent="0.25">
      <c r="H1089" t="s">
        <v>34</v>
      </c>
    </row>
    <row r="1090" spans="1:25" x14ac:dyDescent="0.25">
      <c r="A1090">
        <v>542</v>
      </c>
      <c r="B1090">
        <v>1308</v>
      </c>
      <c r="C1090" t="s">
        <v>1178</v>
      </c>
      <c r="D1090" t="s">
        <v>355</v>
      </c>
      <c r="E1090" t="s">
        <v>55</v>
      </c>
      <c r="F1090" t="s">
        <v>1977</v>
      </c>
      <c r="G1090" t="str">
        <f>"201506000433"</f>
        <v>201506000433</v>
      </c>
      <c r="H1090" t="s">
        <v>511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30</v>
      </c>
      <c r="O1090">
        <v>70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 t="s">
        <v>1978</v>
      </c>
    </row>
    <row r="1091" spans="1:25" x14ac:dyDescent="0.25">
      <c r="H1091" t="s">
        <v>53</v>
      </c>
    </row>
    <row r="1092" spans="1:25" x14ac:dyDescent="0.25">
      <c r="A1092">
        <v>543</v>
      </c>
      <c r="B1092">
        <v>456</v>
      </c>
      <c r="C1092" t="s">
        <v>1979</v>
      </c>
      <c r="D1092" t="s">
        <v>25</v>
      </c>
      <c r="E1092" t="s">
        <v>87</v>
      </c>
      <c r="F1092" t="s">
        <v>1980</v>
      </c>
      <c r="G1092" t="str">
        <f>"00131580"</f>
        <v>00131580</v>
      </c>
      <c r="H1092" t="s">
        <v>691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70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0</v>
      </c>
      <c r="Y1092" t="s">
        <v>1981</v>
      </c>
    </row>
    <row r="1093" spans="1:25" x14ac:dyDescent="0.25">
      <c r="H1093" t="s">
        <v>91</v>
      </c>
    </row>
    <row r="1094" spans="1:25" x14ac:dyDescent="0.25">
      <c r="A1094">
        <v>544</v>
      </c>
      <c r="B1094">
        <v>5608</v>
      </c>
      <c r="C1094" t="s">
        <v>1982</v>
      </c>
      <c r="D1094" t="s">
        <v>99</v>
      </c>
      <c r="E1094" t="s">
        <v>87</v>
      </c>
      <c r="F1094" t="s">
        <v>1983</v>
      </c>
      <c r="G1094" t="str">
        <f>"201412004295"</f>
        <v>201412004295</v>
      </c>
      <c r="H1094" t="s">
        <v>776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30</v>
      </c>
      <c r="O1094">
        <v>70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X1094">
        <v>2</v>
      </c>
      <c r="Y1094" t="s">
        <v>1984</v>
      </c>
    </row>
    <row r="1095" spans="1:25" x14ac:dyDescent="0.25">
      <c r="H1095" t="s">
        <v>34</v>
      </c>
    </row>
    <row r="1096" spans="1:25" x14ac:dyDescent="0.25">
      <c r="A1096">
        <v>545</v>
      </c>
      <c r="B1096">
        <v>1793</v>
      </c>
      <c r="C1096" t="s">
        <v>1985</v>
      </c>
      <c r="D1096" t="s">
        <v>440</v>
      </c>
      <c r="E1096" t="s">
        <v>1986</v>
      </c>
      <c r="F1096" t="s">
        <v>1987</v>
      </c>
      <c r="G1096" t="str">
        <f>"201506001214"</f>
        <v>201506001214</v>
      </c>
      <c r="H1096" t="s">
        <v>1304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50</v>
      </c>
      <c r="U1096">
        <v>0</v>
      </c>
      <c r="V1096">
        <v>0</v>
      </c>
      <c r="X1096">
        <v>0</v>
      </c>
      <c r="Y1096" t="s">
        <v>1988</v>
      </c>
    </row>
    <row r="1097" spans="1:25" x14ac:dyDescent="0.25">
      <c r="H1097" t="s">
        <v>34</v>
      </c>
    </row>
    <row r="1098" spans="1:25" x14ac:dyDescent="0.25">
      <c r="A1098">
        <v>546</v>
      </c>
      <c r="B1098">
        <v>2580</v>
      </c>
      <c r="C1098" t="s">
        <v>1989</v>
      </c>
      <c r="D1098" t="s">
        <v>440</v>
      </c>
      <c r="E1098" t="s">
        <v>43</v>
      </c>
      <c r="F1098" t="s">
        <v>1990</v>
      </c>
      <c r="G1098" t="str">
        <f>"00131736"</f>
        <v>00131736</v>
      </c>
      <c r="H1098" t="s">
        <v>618</v>
      </c>
      <c r="I1098">
        <v>0</v>
      </c>
      <c r="J1098">
        <v>0</v>
      </c>
      <c r="K1098">
        <v>0</v>
      </c>
      <c r="L1098">
        <v>200</v>
      </c>
      <c r="M1098">
        <v>0</v>
      </c>
      <c r="N1098">
        <v>70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0</v>
      </c>
      <c r="Y1098" t="s">
        <v>1991</v>
      </c>
    </row>
    <row r="1099" spans="1:25" x14ac:dyDescent="0.25">
      <c r="H1099" t="s">
        <v>34</v>
      </c>
    </row>
    <row r="1100" spans="1:25" x14ac:dyDescent="0.25">
      <c r="A1100">
        <v>547</v>
      </c>
      <c r="B1100">
        <v>2168</v>
      </c>
      <c r="C1100" t="s">
        <v>1992</v>
      </c>
      <c r="D1100" t="s">
        <v>194</v>
      </c>
      <c r="E1100" t="s">
        <v>147</v>
      </c>
      <c r="F1100" t="s">
        <v>1993</v>
      </c>
      <c r="G1100" t="str">
        <f>"00011499"</f>
        <v>00011499</v>
      </c>
      <c r="H1100" t="s">
        <v>1994</v>
      </c>
      <c r="I1100">
        <v>0</v>
      </c>
      <c r="J1100">
        <v>0</v>
      </c>
      <c r="K1100">
        <v>0</v>
      </c>
      <c r="L1100">
        <v>200</v>
      </c>
      <c r="M1100">
        <v>0</v>
      </c>
      <c r="N1100">
        <v>70</v>
      </c>
      <c r="O1100">
        <v>0</v>
      </c>
      <c r="P1100">
        <v>50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0</v>
      </c>
      <c r="Y1100" t="s">
        <v>1995</v>
      </c>
    </row>
    <row r="1101" spans="1:25" x14ac:dyDescent="0.25">
      <c r="H1101" t="s">
        <v>91</v>
      </c>
    </row>
    <row r="1102" spans="1:25" x14ac:dyDescent="0.25">
      <c r="A1102">
        <v>548</v>
      </c>
      <c r="B1102">
        <v>252</v>
      </c>
      <c r="C1102" t="s">
        <v>1996</v>
      </c>
      <c r="D1102" t="s">
        <v>159</v>
      </c>
      <c r="E1102" t="s">
        <v>1997</v>
      </c>
      <c r="F1102" t="s">
        <v>1998</v>
      </c>
      <c r="G1102" t="str">
        <f>"201506003859"</f>
        <v>201506003859</v>
      </c>
      <c r="H1102" t="s">
        <v>636</v>
      </c>
      <c r="I1102">
        <v>0</v>
      </c>
      <c r="J1102">
        <v>0</v>
      </c>
      <c r="K1102">
        <v>0</v>
      </c>
      <c r="L1102">
        <v>200</v>
      </c>
      <c r="M1102">
        <v>0</v>
      </c>
      <c r="N1102">
        <v>70</v>
      </c>
      <c r="O1102">
        <v>30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 t="s">
        <v>1999</v>
      </c>
    </row>
    <row r="1103" spans="1:25" x14ac:dyDescent="0.25">
      <c r="H1103" t="s">
        <v>34</v>
      </c>
    </row>
    <row r="1104" spans="1:25" x14ac:dyDescent="0.25">
      <c r="A1104">
        <v>549</v>
      </c>
      <c r="B1104">
        <v>5166</v>
      </c>
      <c r="C1104" t="s">
        <v>2000</v>
      </c>
      <c r="D1104" t="s">
        <v>36</v>
      </c>
      <c r="E1104" t="s">
        <v>15</v>
      </c>
      <c r="F1104" t="s">
        <v>2001</v>
      </c>
      <c r="G1104" t="str">
        <f>"201406015797"</f>
        <v>201406015797</v>
      </c>
      <c r="H1104">
        <v>660</v>
      </c>
      <c r="I1104">
        <v>0</v>
      </c>
      <c r="J1104">
        <v>0</v>
      </c>
      <c r="K1104">
        <v>0</v>
      </c>
      <c r="L1104">
        <v>260</v>
      </c>
      <c r="M1104">
        <v>0</v>
      </c>
      <c r="N1104">
        <v>70</v>
      </c>
      <c r="O1104">
        <v>30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X1104">
        <v>0</v>
      </c>
      <c r="Y1104">
        <v>1020</v>
      </c>
    </row>
    <row r="1105" spans="1:25" x14ac:dyDescent="0.25">
      <c r="H1105" t="s">
        <v>23</v>
      </c>
    </row>
    <row r="1106" spans="1:25" x14ac:dyDescent="0.25">
      <c r="A1106">
        <v>550</v>
      </c>
      <c r="B1106">
        <v>5470</v>
      </c>
      <c r="C1106" t="s">
        <v>2002</v>
      </c>
      <c r="D1106" t="s">
        <v>2003</v>
      </c>
      <c r="E1106" t="s">
        <v>55</v>
      </c>
      <c r="F1106" t="s">
        <v>2004</v>
      </c>
      <c r="G1106" t="str">
        <f>"201506001282"</f>
        <v>201506001282</v>
      </c>
      <c r="H1106" t="s">
        <v>1317</v>
      </c>
      <c r="I1106">
        <v>0</v>
      </c>
      <c r="J1106">
        <v>0</v>
      </c>
      <c r="K1106">
        <v>0</v>
      </c>
      <c r="L1106">
        <v>200</v>
      </c>
      <c r="M1106">
        <v>0</v>
      </c>
      <c r="N1106">
        <v>70</v>
      </c>
      <c r="O1106">
        <v>70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 t="s">
        <v>2005</v>
      </c>
    </row>
    <row r="1107" spans="1:25" x14ac:dyDescent="0.25">
      <c r="H1107" t="s">
        <v>118</v>
      </c>
    </row>
    <row r="1108" spans="1:25" x14ac:dyDescent="0.25">
      <c r="A1108">
        <v>551</v>
      </c>
      <c r="B1108">
        <v>5630</v>
      </c>
      <c r="C1108" t="s">
        <v>830</v>
      </c>
      <c r="D1108" t="s">
        <v>113</v>
      </c>
      <c r="E1108" t="s">
        <v>49</v>
      </c>
      <c r="F1108" t="s">
        <v>2006</v>
      </c>
      <c r="G1108" t="str">
        <f>"201410000406"</f>
        <v>201410000406</v>
      </c>
      <c r="H1108" t="s">
        <v>2007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70</v>
      </c>
      <c r="O1108">
        <v>30</v>
      </c>
      <c r="P1108">
        <v>0</v>
      </c>
      <c r="Q1108">
        <v>0</v>
      </c>
      <c r="R1108">
        <v>0</v>
      </c>
      <c r="S1108">
        <v>30</v>
      </c>
      <c r="T1108">
        <v>0</v>
      </c>
      <c r="U1108">
        <v>0</v>
      </c>
      <c r="V1108">
        <v>0</v>
      </c>
      <c r="X1108">
        <v>1</v>
      </c>
      <c r="Y1108" t="s">
        <v>2008</v>
      </c>
    </row>
    <row r="1109" spans="1:25" x14ac:dyDescent="0.25">
      <c r="H1109" t="s">
        <v>118</v>
      </c>
    </row>
    <row r="1110" spans="1:25" x14ac:dyDescent="0.25">
      <c r="A1110">
        <v>552</v>
      </c>
      <c r="B1110">
        <v>6265</v>
      </c>
      <c r="C1110" t="s">
        <v>2009</v>
      </c>
      <c r="D1110" t="s">
        <v>393</v>
      </c>
      <c r="E1110" t="s">
        <v>419</v>
      </c>
      <c r="F1110" t="s">
        <v>2010</v>
      </c>
      <c r="G1110" t="str">
        <f>"201406012236"</f>
        <v>201406012236</v>
      </c>
      <c r="H1110" t="s">
        <v>1636</v>
      </c>
      <c r="I1110">
        <v>0</v>
      </c>
      <c r="J1110">
        <v>0</v>
      </c>
      <c r="K1110">
        <v>0</v>
      </c>
      <c r="L1110">
        <v>200</v>
      </c>
      <c r="M1110">
        <v>0</v>
      </c>
      <c r="N1110">
        <v>70</v>
      </c>
      <c r="O1110">
        <v>30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 t="s">
        <v>2011</v>
      </c>
    </row>
    <row r="1111" spans="1:25" x14ac:dyDescent="0.25">
      <c r="H1111" t="s">
        <v>23</v>
      </c>
    </row>
    <row r="1112" spans="1:25" x14ac:dyDescent="0.25">
      <c r="A1112">
        <v>553</v>
      </c>
      <c r="B1112">
        <v>1158</v>
      </c>
      <c r="C1112" t="s">
        <v>2012</v>
      </c>
      <c r="D1112" t="s">
        <v>55</v>
      </c>
      <c r="E1112" t="s">
        <v>1340</v>
      </c>
      <c r="F1112" t="s">
        <v>2013</v>
      </c>
      <c r="G1112" t="str">
        <f>"201505000081"</f>
        <v>201505000081</v>
      </c>
      <c r="H1112" t="s">
        <v>51</v>
      </c>
      <c r="I1112">
        <v>0</v>
      </c>
      <c r="J1112">
        <v>0</v>
      </c>
      <c r="K1112">
        <v>0</v>
      </c>
      <c r="L1112">
        <v>200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 t="s">
        <v>2014</v>
      </c>
    </row>
    <row r="1113" spans="1:25" x14ac:dyDescent="0.25">
      <c r="H1113" t="s">
        <v>34</v>
      </c>
    </row>
    <row r="1114" spans="1:25" x14ac:dyDescent="0.25">
      <c r="A1114">
        <v>554</v>
      </c>
      <c r="B1114">
        <v>903</v>
      </c>
      <c r="C1114" t="s">
        <v>2015</v>
      </c>
      <c r="D1114" t="s">
        <v>20</v>
      </c>
      <c r="E1114" t="s">
        <v>55</v>
      </c>
      <c r="F1114" t="s">
        <v>2016</v>
      </c>
      <c r="G1114" t="str">
        <f>"201506003713"</f>
        <v>201506003713</v>
      </c>
      <c r="H1114" t="s">
        <v>51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 t="s">
        <v>2014</v>
      </c>
    </row>
    <row r="1115" spans="1:25" x14ac:dyDescent="0.25">
      <c r="H1115" t="s">
        <v>118</v>
      </c>
    </row>
    <row r="1116" spans="1:25" x14ac:dyDescent="0.25">
      <c r="A1116">
        <v>555</v>
      </c>
      <c r="B1116">
        <v>4194</v>
      </c>
      <c r="C1116" t="s">
        <v>2017</v>
      </c>
      <c r="D1116" t="s">
        <v>25</v>
      </c>
      <c r="E1116" t="s">
        <v>87</v>
      </c>
      <c r="F1116" t="s">
        <v>2018</v>
      </c>
      <c r="G1116" t="str">
        <f>"00209620"</f>
        <v>00209620</v>
      </c>
      <c r="H1116" t="s">
        <v>51</v>
      </c>
      <c r="I1116">
        <v>0</v>
      </c>
      <c r="J1116">
        <v>0</v>
      </c>
      <c r="K1116">
        <v>0</v>
      </c>
      <c r="L1116">
        <v>200</v>
      </c>
      <c r="M1116">
        <v>0</v>
      </c>
      <c r="N1116">
        <v>70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2</v>
      </c>
      <c r="Y1116" t="s">
        <v>2014</v>
      </c>
    </row>
    <row r="1117" spans="1:25" x14ac:dyDescent="0.25">
      <c r="H1117" t="s">
        <v>34</v>
      </c>
    </row>
    <row r="1118" spans="1:25" x14ac:dyDescent="0.25">
      <c r="A1118">
        <v>556</v>
      </c>
      <c r="B1118">
        <v>6492</v>
      </c>
      <c r="C1118" t="s">
        <v>2019</v>
      </c>
      <c r="D1118" t="s">
        <v>509</v>
      </c>
      <c r="E1118" t="s">
        <v>424</v>
      </c>
      <c r="F1118" t="s">
        <v>2020</v>
      </c>
      <c r="G1118" t="str">
        <f>"00118385"</f>
        <v>00118385</v>
      </c>
      <c r="H1118" t="s">
        <v>2021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30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 t="s">
        <v>2022</v>
      </c>
    </row>
    <row r="1119" spans="1:25" x14ac:dyDescent="0.25">
      <c r="H1119" t="s">
        <v>23</v>
      </c>
    </row>
    <row r="1120" spans="1:25" x14ac:dyDescent="0.25">
      <c r="A1120">
        <v>557</v>
      </c>
      <c r="B1120">
        <v>3850</v>
      </c>
      <c r="C1120" t="s">
        <v>2023</v>
      </c>
      <c r="D1120" t="s">
        <v>2024</v>
      </c>
      <c r="E1120" t="s">
        <v>49</v>
      </c>
      <c r="F1120" t="s">
        <v>2025</v>
      </c>
      <c r="G1120" t="str">
        <f>"00090265"</f>
        <v>00090265</v>
      </c>
      <c r="H1120" t="s">
        <v>655</v>
      </c>
      <c r="I1120">
        <v>0</v>
      </c>
      <c r="J1120">
        <v>0</v>
      </c>
      <c r="K1120">
        <v>0</v>
      </c>
      <c r="L1120">
        <v>0</v>
      </c>
      <c r="M1120">
        <v>100</v>
      </c>
      <c r="N1120">
        <v>70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 t="s">
        <v>2022</v>
      </c>
    </row>
    <row r="1121" spans="1:25" x14ac:dyDescent="0.25">
      <c r="H1121" t="s">
        <v>53</v>
      </c>
    </row>
    <row r="1122" spans="1:25" x14ac:dyDescent="0.25">
      <c r="A1122">
        <v>558</v>
      </c>
      <c r="B1122">
        <v>6456</v>
      </c>
      <c r="C1122" t="s">
        <v>2026</v>
      </c>
      <c r="D1122" t="s">
        <v>805</v>
      </c>
      <c r="E1122" t="s">
        <v>2027</v>
      </c>
      <c r="F1122" t="s">
        <v>2028</v>
      </c>
      <c r="G1122" t="str">
        <f>"00209463"</f>
        <v>00209463</v>
      </c>
      <c r="H1122">
        <v>748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>
        <v>1018</v>
      </c>
    </row>
    <row r="1123" spans="1:25" x14ac:dyDescent="0.25">
      <c r="H1123" t="s">
        <v>34</v>
      </c>
    </row>
    <row r="1124" spans="1:25" x14ac:dyDescent="0.25">
      <c r="A1124">
        <v>559</v>
      </c>
      <c r="B1124">
        <v>2266</v>
      </c>
      <c r="C1124" t="s">
        <v>2029</v>
      </c>
      <c r="D1124" t="s">
        <v>98</v>
      </c>
      <c r="E1124" t="s">
        <v>2030</v>
      </c>
      <c r="F1124" t="s">
        <v>2031</v>
      </c>
      <c r="G1124" t="str">
        <f>"00013117"</f>
        <v>00013117</v>
      </c>
      <c r="H1124">
        <v>748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70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>
        <v>1018</v>
      </c>
    </row>
    <row r="1125" spans="1:25" x14ac:dyDescent="0.25">
      <c r="H1125" t="s">
        <v>91</v>
      </c>
    </row>
    <row r="1126" spans="1:25" x14ac:dyDescent="0.25">
      <c r="A1126">
        <v>560</v>
      </c>
      <c r="B1126">
        <v>3944</v>
      </c>
      <c r="C1126" t="s">
        <v>2032</v>
      </c>
      <c r="D1126" t="s">
        <v>200</v>
      </c>
      <c r="E1126" t="s">
        <v>87</v>
      </c>
      <c r="F1126" t="s">
        <v>2033</v>
      </c>
      <c r="G1126" t="str">
        <f>"00104211"</f>
        <v>00104211</v>
      </c>
      <c r="H1126" t="s">
        <v>2034</v>
      </c>
      <c r="I1126">
        <v>0</v>
      </c>
      <c r="J1126">
        <v>0</v>
      </c>
      <c r="K1126">
        <v>0</v>
      </c>
      <c r="L1126">
        <v>200</v>
      </c>
      <c r="M1126">
        <v>0</v>
      </c>
      <c r="N1126">
        <v>30</v>
      </c>
      <c r="O1126">
        <v>0</v>
      </c>
      <c r="P1126">
        <v>30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 t="s">
        <v>2035</v>
      </c>
    </row>
    <row r="1127" spans="1:25" x14ac:dyDescent="0.25">
      <c r="H1127" t="s">
        <v>23</v>
      </c>
    </row>
    <row r="1128" spans="1:25" x14ac:dyDescent="0.25">
      <c r="A1128">
        <v>561</v>
      </c>
      <c r="B1128">
        <v>3426</v>
      </c>
      <c r="C1128" t="s">
        <v>2036</v>
      </c>
      <c r="D1128" t="s">
        <v>99</v>
      </c>
      <c r="E1128" t="s">
        <v>2037</v>
      </c>
      <c r="F1128" t="s">
        <v>2038</v>
      </c>
      <c r="G1128" t="str">
        <f>"201506001752"</f>
        <v>201506001752</v>
      </c>
      <c r="H1128" t="s">
        <v>2039</v>
      </c>
      <c r="I1128">
        <v>150</v>
      </c>
      <c r="J1128">
        <v>0</v>
      </c>
      <c r="K1128">
        <v>0</v>
      </c>
      <c r="L1128">
        <v>200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 t="s">
        <v>2040</v>
      </c>
    </row>
    <row r="1129" spans="1:25" x14ac:dyDescent="0.25">
      <c r="H1129">
        <v>101</v>
      </c>
    </row>
    <row r="1130" spans="1:25" x14ac:dyDescent="0.25">
      <c r="A1130">
        <v>562</v>
      </c>
      <c r="B1130">
        <v>6499</v>
      </c>
      <c r="C1130" t="s">
        <v>2041</v>
      </c>
      <c r="D1130" t="s">
        <v>217</v>
      </c>
      <c r="E1130" t="s">
        <v>114</v>
      </c>
      <c r="F1130" t="s">
        <v>2042</v>
      </c>
      <c r="G1130" t="str">
        <f>"00014467"</f>
        <v>00014467</v>
      </c>
      <c r="H1130">
        <v>847</v>
      </c>
      <c r="I1130">
        <v>0</v>
      </c>
      <c r="J1130">
        <v>0</v>
      </c>
      <c r="K1130">
        <v>0</v>
      </c>
      <c r="L1130">
        <v>0</v>
      </c>
      <c r="M1130">
        <v>100</v>
      </c>
      <c r="N1130">
        <v>70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0</v>
      </c>
      <c r="Y1130">
        <v>1017</v>
      </c>
    </row>
    <row r="1131" spans="1:25" x14ac:dyDescent="0.25">
      <c r="H1131">
        <v>101</v>
      </c>
    </row>
    <row r="1132" spans="1:25" x14ac:dyDescent="0.25">
      <c r="A1132">
        <v>563</v>
      </c>
      <c r="B1132">
        <v>5065</v>
      </c>
      <c r="C1132" t="s">
        <v>2043</v>
      </c>
      <c r="D1132" t="s">
        <v>598</v>
      </c>
      <c r="E1132" t="s">
        <v>43</v>
      </c>
      <c r="F1132" t="s">
        <v>2044</v>
      </c>
      <c r="G1132" t="str">
        <f>"201304006210"</f>
        <v>201304006210</v>
      </c>
      <c r="H1132" t="s">
        <v>127</v>
      </c>
      <c r="I1132">
        <v>150</v>
      </c>
      <c r="J1132">
        <v>0</v>
      </c>
      <c r="K1132">
        <v>0</v>
      </c>
      <c r="L1132">
        <v>0</v>
      </c>
      <c r="M1132">
        <v>0</v>
      </c>
      <c r="N1132">
        <v>70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30</v>
      </c>
      <c r="U1132">
        <v>0</v>
      </c>
      <c r="V1132">
        <v>0</v>
      </c>
      <c r="X1132">
        <v>2</v>
      </c>
      <c r="Y1132" t="s">
        <v>2045</v>
      </c>
    </row>
    <row r="1133" spans="1:25" x14ac:dyDescent="0.25">
      <c r="H1133" t="s">
        <v>23</v>
      </c>
    </row>
    <row r="1134" spans="1:25" x14ac:dyDescent="0.25">
      <c r="A1134">
        <v>564</v>
      </c>
      <c r="B1134">
        <v>5490</v>
      </c>
      <c r="C1134" t="s">
        <v>1699</v>
      </c>
      <c r="D1134" t="s">
        <v>571</v>
      </c>
      <c r="E1134" t="s">
        <v>43</v>
      </c>
      <c r="F1134" t="s">
        <v>2046</v>
      </c>
      <c r="G1134" t="str">
        <f>"201303000760"</f>
        <v>201303000760</v>
      </c>
      <c r="H1134" t="s">
        <v>2047</v>
      </c>
      <c r="I1134">
        <v>0</v>
      </c>
      <c r="J1134">
        <v>0</v>
      </c>
      <c r="K1134">
        <v>0</v>
      </c>
      <c r="L1134">
        <v>200</v>
      </c>
      <c r="M1134">
        <v>0</v>
      </c>
      <c r="N1134">
        <v>70</v>
      </c>
      <c r="O1134">
        <v>0</v>
      </c>
      <c r="P1134">
        <v>50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X1134">
        <v>0</v>
      </c>
      <c r="Y1134" t="s">
        <v>2048</v>
      </c>
    </row>
    <row r="1135" spans="1:25" x14ac:dyDescent="0.25">
      <c r="H1135" t="s">
        <v>118</v>
      </c>
    </row>
    <row r="1136" spans="1:25" x14ac:dyDescent="0.25">
      <c r="A1136">
        <v>565</v>
      </c>
      <c r="B1136">
        <v>5791</v>
      </c>
      <c r="C1136" t="s">
        <v>2049</v>
      </c>
      <c r="D1136" t="s">
        <v>1436</v>
      </c>
      <c r="E1136" t="s">
        <v>15</v>
      </c>
      <c r="F1136" t="s">
        <v>2050</v>
      </c>
      <c r="G1136" t="str">
        <f>"00201237"</f>
        <v>00201237</v>
      </c>
      <c r="H1136" t="s">
        <v>1089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30</v>
      </c>
      <c r="O1136">
        <v>0</v>
      </c>
      <c r="P1136">
        <v>70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 t="s">
        <v>2051</v>
      </c>
    </row>
    <row r="1137" spans="1:25" x14ac:dyDescent="0.25">
      <c r="H1137" t="s">
        <v>118</v>
      </c>
    </row>
    <row r="1138" spans="1:25" x14ac:dyDescent="0.25">
      <c r="A1138">
        <v>566</v>
      </c>
      <c r="B1138">
        <v>1033</v>
      </c>
      <c r="C1138" t="s">
        <v>2052</v>
      </c>
      <c r="D1138" t="s">
        <v>509</v>
      </c>
      <c r="E1138" t="s">
        <v>37</v>
      </c>
      <c r="F1138" t="s">
        <v>2053</v>
      </c>
      <c r="G1138" t="str">
        <f>"201406013541"</f>
        <v>201406013541</v>
      </c>
      <c r="H1138" t="s">
        <v>1089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70</v>
      </c>
      <c r="O1138">
        <v>30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 t="s">
        <v>2051</v>
      </c>
    </row>
    <row r="1139" spans="1:25" x14ac:dyDescent="0.25">
      <c r="H1139" t="s">
        <v>91</v>
      </c>
    </row>
    <row r="1140" spans="1:25" x14ac:dyDescent="0.25">
      <c r="A1140">
        <v>567</v>
      </c>
      <c r="B1140">
        <v>4058</v>
      </c>
      <c r="C1140" t="s">
        <v>2054</v>
      </c>
      <c r="D1140" t="s">
        <v>1392</v>
      </c>
      <c r="E1140" t="s">
        <v>43</v>
      </c>
      <c r="F1140" t="s">
        <v>2055</v>
      </c>
      <c r="G1140" t="str">
        <f>"201406009985"</f>
        <v>201406009985</v>
      </c>
      <c r="H1140" t="s">
        <v>1089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70</v>
      </c>
      <c r="O1140">
        <v>0</v>
      </c>
      <c r="P1140">
        <v>30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 t="s">
        <v>2051</v>
      </c>
    </row>
    <row r="1141" spans="1:25" x14ac:dyDescent="0.25">
      <c r="H1141" t="s">
        <v>23</v>
      </c>
    </row>
    <row r="1142" spans="1:25" x14ac:dyDescent="0.25">
      <c r="A1142">
        <v>568</v>
      </c>
      <c r="B1142">
        <v>1621</v>
      </c>
      <c r="C1142" t="s">
        <v>2056</v>
      </c>
      <c r="D1142" t="s">
        <v>209</v>
      </c>
      <c r="E1142" t="s">
        <v>709</v>
      </c>
      <c r="F1142" t="s">
        <v>2057</v>
      </c>
      <c r="G1142" t="str">
        <f>"00002480"</f>
        <v>00002480</v>
      </c>
      <c r="H1142" t="s">
        <v>1096</v>
      </c>
      <c r="I1142">
        <v>0</v>
      </c>
      <c r="J1142">
        <v>0</v>
      </c>
      <c r="K1142">
        <v>0</v>
      </c>
      <c r="L1142">
        <v>200</v>
      </c>
      <c r="M1142">
        <v>0</v>
      </c>
      <c r="N1142">
        <v>70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0</v>
      </c>
      <c r="Y1142" t="s">
        <v>2058</v>
      </c>
    </row>
    <row r="1143" spans="1:25" x14ac:dyDescent="0.25">
      <c r="H1143" t="s">
        <v>366</v>
      </c>
    </row>
    <row r="1144" spans="1:25" x14ac:dyDescent="0.25">
      <c r="A1144">
        <v>569</v>
      </c>
      <c r="B1144">
        <v>6412</v>
      </c>
      <c r="C1144" t="s">
        <v>2059</v>
      </c>
      <c r="D1144" t="s">
        <v>113</v>
      </c>
      <c r="E1144" t="s">
        <v>43</v>
      </c>
      <c r="F1144" t="s">
        <v>2060</v>
      </c>
      <c r="G1144" t="str">
        <f>"201402004711"</f>
        <v>201402004711</v>
      </c>
      <c r="H1144" t="s">
        <v>1096</v>
      </c>
      <c r="I1144">
        <v>0</v>
      </c>
      <c r="J1144">
        <v>0</v>
      </c>
      <c r="K1144">
        <v>0</v>
      </c>
      <c r="L1144">
        <v>200</v>
      </c>
      <c r="M1144">
        <v>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 t="s">
        <v>2058</v>
      </c>
    </row>
    <row r="1145" spans="1:25" x14ac:dyDescent="0.25">
      <c r="H1145" t="s">
        <v>118</v>
      </c>
    </row>
    <row r="1146" spans="1:25" x14ac:dyDescent="0.25">
      <c r="A1146">
        <v>570</v>
      </c>
      <c r="B1146">
        <v>856</v>
      </c>
      <c r="C1146" t="s">
        <v>2061</v>
      </c>
      <c r="D1146" t="s">
        <v>113</v>
      </c>
      <c r="E1146" t="s">
        <v>147</v>
      </c>
      <c r="F1146" t="s">
        <v>2062</v>
      </c>
      <c r="G1146" t="str">
        <f>"201506002010"</f>
        <v>201506002010</v>
      </c>
      <c r="H1146" t="s">
        <v>2063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70</v>
      </c>
      <c r="O1146">
        <v>0</v>
      </c>
      <c r="P1146">
        <v>70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2</v>
      </c>
      <c r="Y1146" t="s">
        <v>2064</v>
      </c>
    </row>
    <row r="1147" spans="1:25" x14ac:dyDescent="0.25">
      <c r="H1147" t="s">
        <v>34</v>
      </c>
    </row>
    <row r="1148" spans="1:25" x14ac:dyDescent="0.25">
      <c r="A1148">
        <v>571</v>
      </c>
      <c r="B1148">
        <v>2151</v>
      </c>
      <c r="C1148" t="s">
        <v>2065</v>
      </c>
      <c r="D1148" t="s">
        <v>36</v>
      </c>
      <c r="E1148" t="s">
        <v>147</v>
      </c>
      <c r="F1148" t="s">
        <v>2066</v>
      </c>
      <c r="G1148" t="str">
        <f>"201506003411"</f>
        <v>201506003411</v>
      </c>
      <c r="H1148" t="s">
        <v>1466</v>
      </c>
      <c r="I1148">
        <v>0</v>
      </c>
      <c r="J1148">
        <v>0</v>
      </c>
      <c r="K1148">
        <v>0</v>
      </c>
      <c r="L1148">
        <v>200</v>
      </c>
      <c r="M1148">
        <v>0</v>
      </c>
      <c r="N1148">
        <v>70</v>
      </c>
      <c r="O1148">
        <v>50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 t="s">
        <v>2067</v>
      </c>
    </row>
    <row r="1149" spans="1:25" x14ac:dyDescent="0.25">
      <c r="H1149" t="s">
        <v>213</v>
      </c>
    </row>
    <row r="1150" spans="1:25" x14ac:dyDescent="0.25">
      <c r="A1150">
        <v>572</v>
      </c>
      <c r="B1150">
        <v>3023</v>
      </c>
      <c r="C1150" t="s">
        <v>2068</v>
      </c>
      <c r="D1150" t="s">
        <v>2069</v>
      </c>
      <c r="E1150" t="s">
        <v>87</v>
      </c>
      <c r="F1150" t="s">
        <v>2070</v>
      </c>
      <c r="G1150" t="str">
        <f>"00128742"</f>
        <v>00128742</v>
      </c>
      <c r="H1150" t="s">
        <v>747</v>
      </c>
      <c r="I1150">
        <v>0</v>
      </c>
      <c r="J1150">
        <v>0</v>
      </c>
      <c r="K1150">
        <v>0</v>
      </c>
      <c r="L1150">
        <v>200</v>
      </c>
      <c r="M1150">
        <v>0</v>
      </c>
      <c r="N1150">
        <v>70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X1150">
        <v>0</v>
      </c>
      <c r="Y1150" t="s">
        <v>2071</v>
      </c>
    </row>
    <row r="1151" spans="1:25" x14ac:dyDescent="0.25">
      <c r="H1151">
        <v>101</v>
      </c>
    </row>
    <row r="1152" spans="1:25" x14ac:dyDescent="0.25">
      <c r="A1152">
        <v>573</v>
      </c>
      <c r="B1152">
        <v>4736</v>
      </c>
      <c r="C1152" t="s">
        <v>2072</v>
      </c>
      <c r="D1152" t="s">
        <v>2073</v>
      </c>
      <c r="E1152" t="s">
        <v>15</v>
      </c>
      <c r="F1152" t="s">
        <v>2074</v>
      </c>
      <c r="G1152" t="str">
        <f>"00124355"</f>
        <v>00124355</v>
      </c>
      <c r="H1152" t="s">
        <v>219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30</v>
      </c>
      <c r="O1152">
        <v>30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 t="s">
        <v>2075</v>
      </c>
    </row>
    <row r="1153" spans="1:25" x14ac:dyDescent="0.25">
      <c r="H1153">
        <v>103</v>
      </c>
    </row>
    <row r="1154" spans="1:25" x14ac:dyDescent="0.25">
      <c r="A1154">
        <v>574</v>
      </c>
      <c r="B1154">
        <v>4274</v>
      </c>
      <c r="C1154" t="s">
        <v>1086</v>
      </c>
      <c r="D1154" t="s">
        <v>245</v>
      </c>
      <c r="E1154" t="s">
        <v>2076</v>
      </c>
      <c r="F1154" t="s">
        <v>2077</v>
      </c>
      <c r="G1154" t="str">
        <f>"00126282"</f>
        <v>00126282</v>
      </c>
      <c r="H1154" t="s">
        <v>938</v>
      </c>
      <c r="I1154">
        <v>0</v>
      </c>
      <c r="J1154">
        <v>0</v>
      </c>
      <c r="K1154">
        <v>0</v>
      </c>
      <c r="L1154">
        <v>200</v>
      </c>
      <c r="M1154">
        <v>0</v>
      </c>
      <c r="N1154">
        <v>70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X1154">
        <v>0</v>
      </c>
      <c r="Y1154" t="s">
        <v>2078</v>
      </c>
    </row>
    <row r="1155" spans="1:25" x14ac:dyDescent="0.25">
      <c r="H1155" t="s">
        <v>23</v>
      </c>
    </row>
    <row r="1156" spans="1:25" x14ac:dyDescent="0.25">
      <c r="A1156">
        <v>575</v>
      </c>
      <c r="B1156">
        <v>35</v>
      </c>
      <c r="C1156" t="s">
        <v>2079</v>
      </c>
      <c r="D1156" t="s">
        <v>87</v>
      </c>
      <c r="E1156" t="s">
        <v>43</v>
      </c>
      <c r="F1156" t="s">
        <v>2080</v>
      </c>
      <c r="G1156" t="str">
        <f>"201506003743"</f>
        <v>201506003743</v>
      </c>
      <c r="H1156" t="s">
        <v>2081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70</v>
      </c>
      <c r="O1156">
        <v>0</v>
      </c>
      <c r="P1156">
        <v>0</v>
      </c>
      <c r="Q1156">
        <v>70</v>
      </c>
      <c r="R1156">
        <v>30</v>
      </c>
      <c r="S1156">
        <v>0</v>
      </c>
      <c r="T1156">
        <v>0</v>
      </c>
      <c r="U1156">
        <v>0</v>
      </c>
      <c r="V1156">
        <v>0</v>
      </c>
      <c r="X1156">
        <v>0</v>
      </c>
      <c r="Y1156" t="s">
        <v>2082</v>
      </c>
    </row>
    <row r="1157" spans="1:25" x14ac:dyDescent="0.25">
      <c r="H1157" t="s">
        <v>23</v>
      </c>
    </row>
    <row r="1158" spans="1:25" x14ac:dyDescent="0.25">
      <c r="A1158">
        <v>576</v>
      </c>
      <c r="B1158">
        <v>4953</v>
      </c>
      <c r="C1158" t="s">
        <v>2083</v>
      </c>
      <c r="D1158" t="s">
        <v>25</v>
      </c>
      <c r="E1158" t="s">
        <v>21</v>
      </c>
      <c r="F1158" t="s">
        <v>2084</v>
      </c>
      <c r="G1158" t="str">
        <f>"00205322"</f>
        <v>00205322</v>
      </c>
      <c r="H1158" t="s">
        <v>505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70</v>
      </c>
      <c r="O1158">
        <v>0</v>
      </c>
      <c r="P1158">
        <v>50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0</v>
      </c>
      <c r="Y1158" t="s">
        <v>2085</v>
      </c>
    </row>
    <row r="1159" spans="1:25" x14ac:dyDescent="0.25">
      <c r="H1159" t="s">
        <v>2086</v>
      </c>
    </row>
    <row r="1160" spans="1:25" x14ac:dyDescent="0.25">
      <c r="A1160">
        <v>577</v>
      </c>
      <c r="B1160">
        <v>5497</v>
      </c>
      <c r="C1160" t="s">
        <v>2087</v>
      </c>
      <c r="D1160" t="s">
        <v>1042</v>
      </c>
      <c r="E1160" t="s">
        <v>21</v>
      </c>
      <c r="F1160" t="s">
        <v>2088</v>
      </c>
      <c r="G1160" t="str">
        <f>"201406013843"</f>
        <v>201406013843</v>
      </c>
      <c r="H1160" t="s">
        <v>608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70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 t="s">
        <v>2089</v>
      </c>
    </row>
    <row r="1161" spans="1:25" x14ac:dyDescent="0.25">
      <c r="H1161" t="s">
        <v>53</v>
      </c>
    </row>
    <row r="1162" spans="1:25" x14ac:dyDescent="0.25">
      <c r="A1162">
        <v>578</v>
      </c>
      <c r="B1162">
        <v>1910</v>
      </c>
      <c r="C1162" t="s">
        <v>2090</v>
      </c>
      <c r="D1162" t="s">
        <v>509</v>
      </c>
      <c r="E1162" t="s">
        <v>81</v>
      </c>
      <c r="F1162" t="s">
        <v>2091</v>
      </c>
      <c r="G1162" t="str">
        <f>"201506002044"</f>
        <v>201506002044</v>
      </c>
      <c r="H1162" t="s">
        <v>608</v>
      </c>
      <c r="I1162">
        <v>0</v>
      </c>
      <c r="J1162">
        <v>0</v>
      </c>
      <c r="K1162">
        <v>0</v>
      </c>
      <c r="L1162">
        <v>200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0</v>
      </c>
      <c r="Y1162" t="s">
        <v>2089</v>
      </c>
    </row>
    <row r="1163" spans="1:25" x14ac:dyDescent="0.25">
      <c r="H1163" t="s">
        <v>23</v>
      </c>
    </row>
    <row r="1164" spans="1:25" x14ac:dyDescent="0.25">
      <c r="A1164">
        <v>579</v>
      </c>
      <c r="B1164">
        <v>2170</v>
      </c>
      <c r="C1164" t="s">
        <v>2092</v>
      </c>
      <c r="D1164" t="s">
        <v>20</v>
      </c>
      <c r="E1164" t="s">
        <v>55</v>
      </c>
      <c r="F1164" t="s">
        <v>2093</v>
      </c>
      <c r="G1164" t="str">
        <f>"201406012453"</f>
        <v>201406012453</v>
      </c>
      <c r="H1164" t="s">
        <v>2094</v>
      </c>
      <c r="I1164">
        <v>0</v>
      </c>
      <c r="J1164">
        <v>0</v>
      </c>
      <c r="K1164">
        <v>0</v>
      </c>
      <c r="L1164">
        <v>260</v>
      </c>
      <c r="M1164">
        <v>0</v>
      </c>
      <c r="N1164">
        <v>30</v>
      </c>
      <c r="O1164">
        <v>0</v>
      </c>
      <c r="P1164">
        <v>30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 t="s">
        <v>2095</v>
      </c>
    </row>
    <row r="1165" spans="1:25" x14ac:dyDescent="0.25">
      <c r="H1165">
        <v>101</v>
      </c>
    </row>
    <row r="1166" spans="1:25" x14ac:dyDescent="0.25">
      <c r="A1166">
        <v>580</v>
      </c>
      <c r="B1166">
        <v>1646</v>
      </c>
      <c r="C1166" t="s">
        <v>2096</v>
      </c>
      <c r="D1166" t="s">
        <v>2097</v>
      </c>
      <c r="E1166" t="s">
        <v>200</v>
      </c>
      <c r="F1166" t="s">
        <v>2098</v>
      </c>
      <c r="G1166" t="str">
        <f>"00131168"</f>
        <v>00131168</v>
      </c>
      <c r="H1166" t="s">
        <v>1218</v>
      </c>
      <c r="I1166">
        <v>150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0</v>
      </c>
      <c r="Y1166" t="s">
        <v>2099</v>
      </c>
    </row>
    <row r="1167" spans="1:25" x14ac:dyDescent="0.25">
      <c r="H1167" t="s">
        <v>34</v>
      </c>
    </row>
    <row r="1168" spans="1:25" x14ac:dyDescent="0.25">
      <c r="A1168">
        <v>581</v>
      </c>
      <c r="B1168">
        <v>4914</v>
      </c>
      <c r="C1168" t="s">
        <v>2100</v>
      </c>
      <c r="D1168" t="s">
        <v>2101</v>
      </c>
      <c r="E1168" t="s">
        <v>184</v>
      </c>
      <c r="F1168" t="s">
        <v>2102</v>
      </c>
      <c r="G1168" t="str">
        <f>"201406000112"</f>
        <v>201406000112</v>
      </c>
      <c r="H1168" t="s">
        <v>618</v>
      </c>
      <c r="I1168">
        <v>0</v>
      </c>
      <c r="J1168">
        <v>0</v>
      </c>
      <c r="K1168">
        <v>0</v>
      </c>
      <c r="L1168">
        <v>200</v>
      </c>
      <c r="M1168">
        <v>0</v>
      </c>
      <c r="N1168">
        <v>30</v>
      </c>
      <c r="O1168">
        <v>30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2</v>
      </c>
      <c r="Y1168" t="s">
        <v>2103</v>
      </c>
    </row>
    <row r="1169" spans="1:25" x14ac:dyDescent="0.25">
      <c r="H1169" t="s">
        <v>23</v>
      </c>
    </row>
    <row r="1170" spans="1:25" x14ac:dyDescent="0.25">
      <c r="A1170">
        <v>582</v>
      </c>
      <c r="B1170">
        <v>319</v>
      </c>
      <c r="C1170" t="s">
        <v>2104</v>
      </c>
      <c r="D1170" t="s">
        <v>382</v>
      </c>
      <c r="E1170" t="s">
        <v>61</v>
      </c>
      <c r="F1170" t="s">
        <v>2105</v>
      </c>
      <c r="G1170" t="str">
        <f>"00042321"</f>
        <v>00042321</v>
      </c>
      <c r="H1170">
        <v>891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70</v>
      </c>
      <c r="O1170">
        <v>0</v>
      </c>
      <c r="P1170">
        <v>50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1011</v>
      </c>
    </row>
    <row r="1171" spans="1:25" x14ac:dyDescent="0.25">
      <c r="H1171" t="s">
        <v>23</v>
      </c>
    </row>
    <row r="1172" spans="1:25" x14ac:dyDescent="0.25">
      <c r="A1172">
        <v>583</v>
      </c>
      <c r="B1172">
        <v>5610</v>
      </c>
      <c r="C1172" t="s">
        <v>2106</v>
      </c>
      <c r="D1172" t="s">
        <v>393</v>
      </c>
      <c r="E1172" t="s">
        <v>2107</v>
      </c>
      <c r="F1172" t="s">
        <v>2108</v>
      </c>
      <c r="G1172" t="str">
        <f>"00015099"</f>
        <v>00015099</v>
      </c>
      <c r="H1172" t="s">
        <v>2109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70</v>
      </c>
      <c r="O1172">
        <v>30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0</v>
      </c>
      <c r="Y1172" t="s">
        <v>2110</v>
      </c>
    </row>
    <row r="1173" spans="1:25" x14ac:dyDescent="0.25">
      <c r="H1173" t="s">
        <v>91</v>
      </c>
    </row>
    <row r="1174" spans="1:25" x14ac:dyDescent="0.25">
      <c r="A1174">
        <v>584</v>
      </c>
      <c r="B1174">
        <v>5477</v>
      </c>
      <c r="C1174" t="s">
        <v>2111</v>
      </c>
      <c r="D1174" t="s">
        <v>2112</v>
      </c>
      <c r="E1174" t="s">
        <v>55</v>
      </c>
      <c r="F1174" t="s">
        <v>2113</v>
      </c>
      <c r="G1174" t="str">
        <f>"00012726"</f>
        <v>00012726</v>
      </c>
      <c r="H1174" t="s">
        <v>1904</v>
      </c>
      <c r="I1174">
        <v>0</v>
      </c>
      <c r="J1174">
        <v>0</v>
      </c>
      <c r="K1174">
        <v>0</v>
      </c>
      <c r="L1174">
        <v>200</v>
      </c>
      <c r="M1174">
        <v>0</v>
      </c>
      <c r="N1174">
        <v>30</v>
      </c>
      <c r="O1174">
        <v>0</v>
      </c>
      <c r="P1174">
        <v>50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0</v>
      </c>
      <c r="Y1174" t="s">
        <v>2114</v>
      </c>
    </row>
    <row r="1175" spans="1:25" x14ac:dyDescent="0.25">
      <c r="H1175" t="s">
        <v>23</v>
      </c>
    </row>
    <row r="1176" spans="1:25" x14ac:dyDescent="0.25">
      <c r="A1176">
        <v>585</v>
      </c>
      <c r="B1176">
        <v>994</v>
      </c>
      <c r="C1176" t="s">
        <v>2115</v>
      </c>
      <c r="D1176" t="s">
        <v>2116</v>
      </c>
      <c r="E1176" t="s">
        <v>1035</v>
      </c>
      <c r="F1176" t="s">
        <v>2117</v>
      </c>
      <c r="G1176" t="str">
        <f>"00199172"</f>
        <v>00199172</v>
      </c>
      <c r="H1176" t="s">
        <v>1055</v>
      </c>
      <c r="I1176">
        <v>0</v>
      </c>
      <c r="J1176">
        <v>0</v>
      </c>
      <c r="K1176">
        <v>0</v>
      </c>
      <c r="L1176">
        <v>200</v>
      </c>
      <c r="M1176">
        <v>0</v>
      </c>
      <c r="N1176">
        <v>70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 t="s">
        <v>2118</v>
      </c>
    </row>
    <row r="1177" spans="1:25" x14ac:dyDescent="0.25">
      <c r="H1177" t="s">
        <v>23</v>
      </c>
    </row>
    <row r="1178" spans="1:25" x14ac:dyDescent="0.25">
      <c r="A1178">
        <v>586</v>
      </c>
      <c r="B1178">
        <v>6474</v>
      </c>
      <c r="C1178" t="s">
        <v>2119</v>
      </c>
      <c r="D1178" t="s">
        <v>2120</v>
      </c>
      <c r="E1178" t="s">
        <v>2121</v>
      </c>
      <c r="F1178" t="s">
        <v>2122</v>
      </c>
      <c r="G1178" t="str">
        <f>"201406011609"</f>
        <v>201406011609</v>
      </c>
      <c r="H1178" t="s">
        <v>711</v>
      </c>
      <c r="I1178">
        <v>0</v>
      </c>
      <c r="J1178">
        <v>0</v>
      </c>
      <c r="K1178">
        <v>0</v>
      </c>
      <c r="L1178">
        <v>0</v>
      </c>
      <c r="M1178">
        <v>100</v>
      </c>
      <c r="N1178">
        <v>70</v>
      </c>
      <c r="O1178">
        <v>0</v>
      </c>
      <c r="P1178">
        <v>0</v>
      </c>
      <c r="Q1178">
        <v>50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 t="s">
        <v>2123</v>
      </c>
    </row>
    <row r="1179" spans="1:25" x14ac:dyDescent="0.25">
      <c r="H1179" t="s">
        <v>53</v>
      </c>
    </row>
    <row r="1180" spans="1:25" x14ac:dyDescent="0.25">
      <c r="A1180">
        <v>587</v>
      </c>
      <c r="B1180">
        <v>904</v>
      </c>
      <c r="C1180" t="s">
        <v>2124</v>
      </c>
      <c r="D1180" t="s">
        <v>193</v>
      </c>
      <c r="E1180" t="s">
        <v>424</v>
      </c>
      <c r="F1180" t="s">
        <v>2125</v>
      </c>
      <c r="G1180" t="str">
        <f>"201406018359"</f>
        <v>201406018359</v>
      </c>
      <c r="H1180" t="s">
        <v>202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0</v>
      </c>
      <c r="Y1180" t="s">
        <v>2126</v>
      </c>
    </row>
    <row r="1181" spans="1:25" x14ac:dyDescent="0.25">
      <c r="H1181" t="s">
        <v>23</v>
      </c>
    </row>
    <row r="1182" spans="1:25" x14ac:dyDescent="0.25">
      <c r="A1182">
        <v>588</v>
      </c>
      <c r="B1182">
        <v>5032</v>
      </c>
      <c r="C1182" t="s">
        <v>2127</v>
      </c>
      <c r="D1182" t="s">
        <v>1965</v>
      </c>
      <c r="E1182" t="s">
        <v>61</v>
      </c>
      <c r="F1182" t="s">
        <v>2128</v>
      </c>
      <c r="G1182" t="str">
        <f>"200810000937"</f>
        <v>200810000937</v>
      </c>
      <c r="H1182" t="s">
        <v>1734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30</v>
      </c>
      <c r="O1182">
        <v>70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 t="s">
        <v>2129</v>
      </c>
    </row>
    <row r="1183" spans="1:25" x14ac:dyDescent="0.25">
      <c r="H1183">
        <v>101</v>
      </c>
    </row>
    <row r="1184" spans="1:25" x14ac:dyDescent="0.25">
      <c r="A1184">
        <v>589</v>
      </c>
      <c r="B1184">
        <v>5780</v>
      </c>
      <c r="C1184" t="s">
        <v>2130</v>
      </c>
      <c r="D1184" t="s">
        <v>685</v>
      </c>
      <c r="E1184" t="s">
        <v>55</v>
      </c>
      <c r="F1184" t="s">
        <v>2131</v>
      </c>
      <c r="G1184" t="str">
        <f>"201506003450"</f>
        <v>201506003450</v>
      </c>
      <c r="H1184" t="s">
        <v>1734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30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 t="s">
        <v>2129</v>
      </c>
    </row>
    <row r="1185" spans="1:25" x14ac:dyDescent="0.25">
      <c r="H1185" t="s">
        <v>23</v>
      </c>
    </row>
    <row r="1186" spans="1:25" x14ac:dyDescent="0.25">
      <c r="A1186">
        <v>590</v>
      </c>
      <c r="B1186">
        <v>370</v>
      </c>
      <c r="C1186" t="s">
        <v>830</v>
      </c>
      <c r="D1186" t="s">
        <v>43</v>
      </c>
      <c r="E1186" t="s">
        <v>61</v>
      </c>
      <c r="F1186" t="s">
        <v>2132</v>
      </c>
      <c r="G1186" t="str">
        <f>"00086299"</f>
        <v>00086299</v>
      </c>
      <c r="H1186" t="s">
        <v>984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 t="s">
        <v>2133</v>
      </c>
    </row>
    <row r="1187" spans="1:25" x14ac:dyDescent="0.25">
      <c r="H1187" t="s">
        <v>91</v>
      </c>
    </row>
    <row r="1188" spans="1:25" x14ac:dyDescent="0.25">
      <c r="A1188">
        <v>591</v>
      </c>
      <c r="B1188">
        <v>5961</v>
      </c>
      <c r="C1188" t="s">
        <v>2134</v>
      </c>
      <c r="D1188" t="s">
        <v>217</v>
      </c>
      <c r="E1188" t="s">
        <v>87</v>
      </c>
      <c r="F1188" t="s">
        <v>2135</v>
      </c>
      <c r="G1188" t="str">
        <f>"00013323"</f>
        <v>00013323</v>
      </c>
      <c r="H1188" t="s">
        <v>1937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70</v>
      </c>
      <c r="O1188">
        <v>0</v>
      </c>
      <c r="P1188">
        <v>50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 t="s">
        <v>2136</v>
      </c>
    </row>
    <row r="1189" spans="1:25" x14ac:dyDescent="0.25">
      <c r="H1189">
        <v>101</v>
      </c>
    </row>
    <row r="1190" spans="1:25" x14ac:dyDescent="0.25">
      <c r="A1190">
        <v>592</v>
      </c>
      <c r="B1190">
        <v>1507</v>
      </c>
      <c r="C1190" t="s">
        <v>2137</v>
      </c>
      <c r="D1190" t="s">
        <v>76</v>
      </c>
      <c r="E1190" t="s">
        <v>283</v>
      </c>
      <c r="F1190" t="s">
        <v>2138</v>
      </c>
      <c r="G1190" t="str">
        <f>"00124835"</f>
        <v>00124835</v>
      </c>
      <c r="H1190" t="s">
        <v>374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70</v>
      </c>
      <c r="O1190">
        <v>50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0</v>
      </c>
      <c r="Y1190" t="s">
        <v>2139</v>
      </c>
    </row>
    <row r="1191" spans="1:25" x14ac:dyDescent="0.25">
      <c r="H1191" t="s">
        <v>34</v>
      </c>
    </row>
    <row r="1192" spans="1:25" x14ac:dyDescent="0.25">
      <c r="A1192">
        <v>593</v>
      </c>
      <c r="B1192">
        <v>4017</v>
      </c>
      <c r="C1192" t="s">
        <v>2140</v>
      </c>
      <c r="D1192" t="s">
        <v>2141</v>
      </c>
      <c r="E1192" t="s">
        <v>87</v>
      </c>
      <c r="F1192" t="s">
        <v>2142</v>
      </c>
      <c r="G1192" t="str">
        <f>"201506001979"</f>
        <v>201506001979</v>
      </c>
      <c r="H1192" t="s">
        <v>2143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70</v>
      </c>
      <c r="O1192">
        <v>50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 t="s">
        <v>2144</v>
      </c>
    </row>
    <row r="1193" spans="1:25" x14ac:dyDescent="0.25">
      <c r="H1193" t="s">
        <v>23</v>
      </c>
    </row>
    <row r="1194" spans="1:25" x14ac:dyDescent="0.25">
      <c r="A1194">
        <v>594</v>
      </c>
      <c r="B1194">
        <v>5505</v>
      </c>
      <c r="C1194" t="s">
        <v>2145</v>
      </c>
      <c r="D1194" t="s">
        <v>48</v>
      </c>
      <c r="E1194" t="s">
        <v>61</v>
      </c>
      <c r="F1194" t="s">
        <v>2146</v>
      </c>
      <c r="G1194" t="str">
        <f>"00107982"</f>
        <v>00107982</v>
      </c>
      <c r="H1194" t="s">
        <v>2147</v>
      </c>
      <c r="I1194">
        <v>0</v>
      </c>
      <c r="J1194">
        <v>0</v>
      </c>
      <c r="K1194">
        <v>0</v>
      </c>
      <c r="L1194">
        <v>200</v>
      </c>
      <c r="M1194">
        <v>0</v>
      </c>
      <c r="N1194">
        <v>70</v>
      </c>
      <c r="O1194">
        <v>30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 t="s">
        <v>2148</v>
      </c>
    </row>
    <row r="1195" spans="1:25" x14ac:dyDescent="0.25">
      <c r="H1195" t="s">
        <v>34</v>
      </c>
    </row>
    <row r="1196" spans="1:25" x14ac:dyDescent="0.25">
      <c r="A1196">
        <v>595</v>
      </c>
      <c r="B1196">
        <v>5552</v>
      </c>
      <c r="C1196" t="s">
        <v>1306</v>
      </c>
      <c r="D1196" t="s">
        <v>2149</v>
      </c>
      <c r="E1196" t="s">
        <v>1257</v>
      </c>
      <c r="F1196" t="s">
        <v>2150</v>
      </c>
      <c r="G1196" t="str">
        <f>"201406013383"</f>
        <v>201406013383</v>
      </c>
      <c r="H1196" t="s">
        <v>1578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30</v>
      </c>
      <c r="O1196">
        <v>50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 t="s">
        <v>2151</v>
      </c>
    </row>
    <row r="1197" spans="1:25" x14ac:dyDescent="0.25">
      <c r="H1197" t="s">
        <v>91</v>
      </c>
    </row>
    <row r="1198" spans="1:25" x14ac:dyDescent="0.25">
      <c r="A1198">
        <v>596</v>
      </c>
      <c r="B1198">
        <v>6233</v>
      </c>
      <c r="C1198" t="s">
        <v>2152</v>
      </c>
      <c r="D1198" t="s">
        <v>15</v>
      </c>
      <c r="E1198" t="s">
        <v>184</v>
      </c>
      <c r="F1198" t="s">
        <v>2153</v>
      </c>
      <c r="G1198" t="str">
        <f>"00121412"</f>
        <v>00121412</v>
      </c>
      <c r="H1198" t="s">
        <v>83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 t="s">
        <v>2154</v>
      </c>
    </row>
    <row r="1199" spans="1:25" x14ac:dyDescent="0.25">
      <c r="H1199" t="s">
        <v>53</v>
      </c>
    </row>
    <row r="1200" spans="1:25" x14ac:dyDescent="0.25">
      <c r="A1200">
        <v>597</v>
      </c>
      <c r="B1200">
        <v>520</v>
      </c>
      <c r="C1200" t="s">
        <v>2155</v>
      </c>
      <c r="D1200" t="s">
        <v>2156</v>
      </c>
      <c r="E1200" t="s">
        <v>383</v>
      </c>
      <c r="F1200" t="s">
        <v>2157</v>
      </c>
      <c r="G1200" t="str">
        <f>"201412004299"</f>
        <v>201412004299</v>
      </c>
      <c r="H1200" t="s">
        <v>595</v>
      </c>
      <c r="I1200">
        <v>0</v>
      </c>
      <c r="J1200">
        <v>0</v>
      </c>
      <c r="K1200">
        <v>0</v>
      </c>
      <c r="L1200">
        <v>0</v>
      </c>
      <c r="M1200">
        <v>100</v>
      </c>
      <c r="N1200">
        <v>70</v>
      </c>
      <c r="O1200">
        <v>30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 t="s">
        <v>2158</v>
      </c>
    </row>
    <row r="1201" spans="1:25" x14ac:dyDescent="0.25">
      <c r="H1201" t="s">
        <v>213</v>
      </c>
    </row>
    <row r="1202" spans="1:25" x14ac:dyDescent="0.25">
      <c r="A1202">
        <v>598</v>
      </c>
      <c r="B1202">
        <v>5596</v>
      </c>
      <c r="C1202" t="s">
        <v>2159</v>
      </c>
      <c r="D1202" t="s">
        <v>159</v>
      </c>
      <c r="E1202" t="s">
        <v>61</v>
      </c>
      <c r="F1202" t="s">
        <v>2160</v>
      </c>
      <c r="G1202" t="str">
        <f>"00209514"</f>
        <v>00209514</v>
      </c>
      <c r="H1202">
        <v>704</v>
      </c>
      <c r="I1202">
        <v>0</v>
      </c>
      <c r="J1202">
        <v>0</v>
      </c>
      <c r="K1202">
        <v>0</v>
      </c>
      <c r="L1202">
        <v>200</v>
      </c>
      <c r="M1202">
        <v>0</v>
      </c>
      <c r="N1202">
        <v>70</v>
      </c>
      <c r="O1202">
        <v>0</v>
      </c>
      <c r="P1202">
        <v>0</v>
      </c>
      <c r="Q1202">
        <v>30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>
        <v>1004</v>
      </c>
    </row>
    <row r="1203" spans="1:25" x14ac:dyDescent="0.25">
      <c r="H1203" t="s">
        <v>23</v>
      </c>
    </row>
    <row r="1204" spans="1:25" x14ac:dyDescent="0.25">
      <c r="A1204">
        <v>599</v>
      </c>
      <c r="B1204">
        <v>3205</v>
      </c>
      <c r="C1204" t="s">
        <v>2161</v>
      </c>
      <c r="D1204" t="s">
        <v>199</v>
      </c>
      <c r="E1204" t="s">
        <v>49</v>
      </c>
      <c r="F1204" t="s">
        <v>2162</v>
      </c>
      <c r="G1204" t="str">
        <f>"00187201"</f>
        <v>00187201</v>
      </c>
      <c r="H1204" t="s">
        <v>390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70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2</v>
      </c>
      <c r="Y1204" t="s">
        <v>2163</v>
      </c>
    </row>
    <row r="1205" spans="1:25" x14ac:dyDescent="0.25">
      <c r="H1205">
        <v>101</v>
      </c>
    </row>
    <row r="1206" spans="1:25" x14ac:dyDescent="0.25">
      <c r="A1206">
        <v>600</v>
      </c>
      <c r="B1206">
        <v>4561</v>
      </c>
      <c r="C1206" t="s">
        <v>2164</v>
      </c>
      <c r="D1206" t="s">
        <v>87</v>
      </c>
      <c r="E1206" t="s">
        <v>43</v>
      </c>
      <c r="F1206" t="s">
        <v>2165</v>
      </c>
      <c r="G1206" t="str">
        <f>"00013848"</f>
        <v>00013848</v>
      </c>
      <c r="H1206" t="s">
        <v>2081</v>
      </c>
      <c r="I1206">
        <v>0</v>
      </c>
      <c r="J1206">
        <v>0</v>
      </c>
      <c r="K1206">
        <v>0</v>
      </c>
      <c r="L1206">
        <v>260</v>
      </c>
      <c r="M1206">
        <v>0</v>
      </c>
      <c r="N1206">
        <v>70</v>
      </c>
      <c r="O1206">
        <v>0</v>
      </c>
      <c r="P1206">
        <v>30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X1206">
        <v>0</v>
      </c>
      <c r="Y1206" t="s">
        <v>2166</v>
      </c>
    </row>
    <row r="1207" spans="1:25" x14ac:dyDescent="0.25">
      <c r="H1207" t="s">
        <v>23</v>
      </c>
    </row>
    <row r="1208" spans="1:25" x14ac:dyDescent="0.25">
      <c r="A1208">
        <v>601</v>
      </c>
      <c r="B1208">
        <v>5247</v>
      </c>
      <c r="C1208" t="s">
        <v>2167</v>
      </c>
      <c r="D1208" t="s">
        <v>87</v>
      </c>
      <c r="E1208" t="s">
        <v>130</v>
      </c>
      <c r="F1208" t="s">
        <v>2168</v>
      </c>
      <c r="G1208" t="str">
        <f>"00191428"</f>
        <v>00191428</v>
      </c>
      <c r="H1208" t="s">
        <v>271</v>
      </c>
      <c r="I1208">
        <v>0</v>
      </c>
      <c r="J1208">
        <v>0</v>
      </c>
      <c r="K1208">
        <v>0</v>
      </c>
      <c r="L1208">
        <v>0</v>
      </c>
      <c r="M1208">
        <v>100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 t="s">
        <v>2169</v>
      </c>
    </row>
    <row r="1209" spans="1:25" x14ac:dyDescent="0.25">
      <c r="H1209">
        <v>101</v>
      </c>
    </row>
    <row r="1210" spans="1:25" x14ac:dyDescent="0.25">
      <c r="A1210">
        <v>602</v>
      </c>
      <c r="B1210">
        <v>3216</v>
      </c>
      <c r="C1210" t="s">
        <v>2170</v>
      </c>
      <c r="D1210" t="s">
        <v>159</v>
      </c>
      <c r="E1210" t="s">
        <v>49</v>
      </c>
      <c r="F1210" t="s">
        <v>2171</v>
      </c>
      <c r="G1210" t="str">
        <f>"00013253"</f>
        <v>00013253</v>
      </c>
      <c r="H1210" t="s">
        <v>1204</v>
      </c>
      <c r="I1210">
        <v>0</v>
      </c>
      <c r="J1210">
        <v>0</v>
      </c>
      <c r="K1210">
        <v>0</v>
      </c>
      <c r="L1210">
        <v>200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 t="s">
        <v>2172</v>
      </c>
    </row>
    <row r="1211" spans="1:25" x14ac:dyDescent="0.25">
      <c r="H1211" t="s">
        <v>2173</v>
      </c>
    </row>
    <row r="1212" spans="1:25" x14ac:dyDescent="0.25">
      <c r="A1212">
        <v>603</v>
      </c>
      <c r="B1212">
        <v>304</v>
      </c>
      <c r="C1212" t="s">
        <v>2174</v>
      </c>
      <c r="D1212" t="s">
        <v>2175</v>
      </c>
      <c r="E1212" t="s">
        <v>30</v>
      </c>
      <c r="F1212" t="s">
        <v>2176</v>
      </c>
      <c r="G1212" t="str">
        <f>"201406009253"</f>
        <v>201406009253</v>
      </c>
      <c r="H1212" t="s">
        <v>1204</v>
      </c>
      <c r="I1212">
        <v>0</v>
      </c>
      <c r="J1212">
        <v>0</v>
      </c>
      <c r="K1212">
        <v>0</v>
      </c>
      <c r="L1212">
        <v>0</v>
      </c>
      <c r="M1212">
        <v>100</v>
      </c>
      <c r="N1212">
        <v>70</v>
      </c>
      <c r="O1212">
        <v>0</v>
      </c>
      <c r="P1212">
        <v>30</v>
      </c>
      <c r="Q1212">
        <v>0</v>
      </c>
      <c r="R1212">
        <v>70</v>
      </c>
      <c r="S1212">
        <v>0</v>
      </c>
      <c r="T1212">
        <v>0</v>
      </c>
      <c r="U1212">
        <v>0</v>
      </c>
      <c r="V1212">
        <v>0</v>
      </c>
      <c r="X1212">
        <v>0</v>
      </c>
      <c r="Y1212" t="s">
        <v>2172</v>
      </c>
    </row>
    <row r="1213" spans="1:25" x14ac:dyDescent="0.25">
      <c r="H1213" t="s">
        <v>53</v>
      </c>
    </row>
    <row r="1214" spans="1:25" x14ac:dyDescent="0.25">
      <c r="A1214">
        <v>604</v>
      </c>
      <c r="B1214">
        <v>1479</v>
      </c>
      <c r="C1214" t="s">
        <v>2177</v>
      </c>
      <c r="D1214" t="s">
        <v>2178</v>
      </c>
      <c r="E1214" t="s">
        <v>1106</v>
      </c>
      <c r="F1214" t="s">
        <v>2179</v>
      </c>
      <c r="G1214" t="str">
        <f>"00208560"</f>
        <v>00208560</v>
      </c>
      <c r="H1214" t="s">
        <v>1297</v>
      </c>
      <c r="I1214">
        <v>0</v>
      </c>
      <c r="J1214">
        <v>0</v>
      </c>
      <c r="K1214">
        <v>0</v>
      </c>
      <c r="L1214">
        <v>200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X1214">
        <v>0</v>
      </c>
      <c r="Y1214" t="s">
        <v>2180</v>
      </c>
    </row>
    <row r="1215" spans="1:25" x14ac:dyDescent="0.25">
      <c r="H1215" t="s">
        <v>53</v>
      </c>
    </row>
    <row r="1216" spans="1:25" x14ac:dyDescent="0.25">
      <c r="A1216">
        <v>605</v>
      </c>
      <c r="B1216">
        <v>2458</v>
      </c>
      <c r="C1216" t="s">
        <v>2181</v>
      </c>
      <c r="D1216" t="s">
        <v>2182</v>
      </c>
      <c r="E1216" t="s">
        <v>424</v>
      </c>
      <c r="F1216" t="s">
        <v>2183</v>
      </c>
      <c r="G1216" t="str">
        <f>"00197041"</f>
        <v>00197041</v>
      </c>
      <c r="H1216" t="s">
        <v>1506</v>
      </c>
      <c r="I1216">
        <v>0</v>
      </c>
      <c r="J1216">
        <v>0</v>
      </c>
      <c r="K1216">
        <v>0</v>
      </c>
      <c r="L1216">
        <v>0</v>
      </c>
      <c r="M1216">
        <v>100</v>
      </c>
      <c r="N1216">
        <v>70</v>
      </c>
      <c r="O1216">
        <v>30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 t="s">
        <v>2184</v>
      </c>
    </row>
    <row r="1217" spans="1:25" x14ac:dyDescent="0.25">
      <c r="H1217" t="s">
        <v>1541</v>
      </c>
    </row>
    <row r="1218" spans="1:25" x14ac:dyDescent="0.25">
      <c r="A1218">
        <v>606</v>
      </c>
      <c r="B1218">
        <v>5226</v>
      </c>
      <c r="C1218" t="s">
        <v>522</v>
      </c>
      <c r="D1218" t="s">
        <v>440</v>
      </c>
      <c r="E1218" t="s">
        <v>681</v>
      </c>
      <c r="F1218" t="s">
        <v>2185</v>
      </c>
      <c r="G1218" t="str">
        <f>"201506002368"</f>
        <v>201506002368</v>
      </c>
      <c r="H1218" t="s">
        <v>954</v>
      </c>
      <c r="I1218">
        <v>0</v>
      </c>
      <c r="J1218">
        <v>0</v>
      </c>
      <c r="K1218">
        <v>0</v>
      </c>
      <c r="L1218">
        <v>200</v>
      </c>
      <c r="M1218">
        <v>0</v>
      </c>
      <c r="N1218">
        <v>70</v>
      </c>
      <c r="O1218">
        <v>30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 t="s">
        <v>2186</v>
      </c>
    </row>
    <row r="1219" spans="1:25" x14ac:dyDescent="0.25">
      <c r="H1219">
        <v>101</v>
      </c>
    </row>
    <row r="1220" spans="1:25" x14ac:dyDescent="0.25">
      <c r="A1220">
        <v>607</v>
      </c>
      <c r="B1220">
        <v>5565</v>
      </c>
      <c r="C1220" t="s">
        <v>1494</v>
      </c>
      <c r="D1220" t="s">
        <v>20</v>
      </c>
      <c r="E1220" t="s">
        <v>55</v>
      </c>
      <c r="F1220" t="s">
        <v>2187</v>
      </c>
      <c r="G1220" t="str">
        <f>"00012529"</f>
        <v>00012529</v>
      </c>
      <c r="H1220" t="s">
        <v>1893</v>
      </c>
      <c r="I1220">
        <v>150</v>
      </c>
      <c r="J1220">
        <v>0</v>
      </c>
      <c r="K1220">
        <v>0</v>
      </c>
      <c r="L1220">
        <v>0</v>
      </c>
      <c r="M1220">
        <v>0</v>
      </c>
      <c r="N1220">
        <v>70</v>
      </c>
      <c r="O1220">
        <v>0</v>
      </c>
      <c r="P1220">
        <v>50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1</v>
      </c>
      <c r="Y1220" t="s">
        <v>2188</v>
      </c>
    </row>
    <row r="1221" spans="1:25" x14ac:dyDescent="0.25">
      <c r="H1221" t="s">
        <v>2189</v>
      </c>
    </row>
    <row r="1222" spans="1:25" x14ac:dyDescent="0.25">
      <c r="A1222">
        <v>608</v>
      </c>
      <c r="B1222">
        <v>1886</v>
      </c>
      <c r="C1222" t="s">
        <v>2190</v>
      </c>
      <c r="D1222" t="s">
        <v>805</v>
      </c>
      <c r="E1222" t="s">
        <v>93</v>
      </c>
      <c r="F1222" t="s">
        <v>2191</v>
      </c>
      <c r="G1222" t="str">
        <f>"00117408"</f>
        <v>00117408</v>
      </c>
      <c r="H1222" t="s">
        <v>2192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50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 t="s">
        <v>2193</v>
      </c>
    </row>
    <row r="1223" spans="1:25" x14ac:dyDescent="0.25">
      <c r="H1223" t="s">
        <v>23</v>
      </c>
    </row>
    <row r="1224" spans="1:25" x14ac:dyDescent="0.25">
      <c r="A1224">
        <v>609</v>
      </c>
      <c r="B1224">
        <v>1012</v>
      </c>
      <c r="C1224" t="s">
        <v>2194</v>
      </c>
      <c r="D1224" t="s">
        <v>147</v>
      </c>
      <c r="E1224" t="s">
        <v>947</v>
      </c>
      <c r="F1224" t="s">
        <v>2195</v>
      </c>
      <c r="G1224" t="str">
        <f>"200802005369"</f>
        <v>200802005369</v>
      </c>
      <c r="H1224" t="s">
        <v>1994</v>
      </c>
      <c r="I1224">
        <v>0</v>
      </c>
      <c r="J1224">
        <v>0</v>
      </c>
      <c r="K1224">
        <v>0</v>
      </c>
      <c r="L1224">
        <v>200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30</v>
      </c>
      <c r="S1224">
        <v>0</v>
      </c>
      <c r="T1224">
        <v>0</v>
      </c>
      <c r="U1224">
        <v>0</v>
      </c>
      <c r="V1224">
        <v>0</v>
      </c>
      <c r="X1224">
        <v>0</v>
      </c>
      <c r="Y1224" t="s">
        <v>2196</v>
      </c>
    </row>
    <row r="1225" spans="1:25" x14ac:dyDescent="0.25">
      <c r="H1225" t="s">
        <v>91</v>
      </c>
    </row>
    <row r="1226" spans="1:25" x14ac:dyDescent="0.25">
      <c r="A1226">
        <v>610</v>
      </c>
      <c r="B1226">
        <v>5212</v>
      </c>
      <c r="C1226" t="s">
        <v>2197</v>
      </c>
      <c r="D1226" t="s">
        <v>2198</v>
      </c>
      <c r="E1226" t="s">
        <v>2199</v>
      </c>
      <c r="F1226" t="s">
        <v>2200</v>
      </c>
      <c r="G1226" t="str">
        <f>"201505000131"</f>
        <v>201505000131</v>
      </c>
      <c r="H1226" t="s">
        <v>1994</v>
      </c>
      <c r="I1226">
        <v>0</v>
      </c>
      <c r="J1226">
        <v>0</v>
      </c>
      <c r="K1226">
        <v>0</v>
      </c>
      <c r="L1226">
        <v>200</v>
      </c>
      <c r="M1226">
        <v>0</v>
      </c>
      <c r="N1226">
        <v>70</v>
      </c>
      <c r="O1226">
        <v>30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 t="s">
        <v>2196</v>
      </c>
    </row>
    <row r="1227" spans="1:25" x14ac:dyDescent="0.25">
      <c r="H1227" t="s">
        <v>53</v>
      </c>
    </row>
    <row r="1228" spans="1:25" x14ac:dyDescent="0.25">
      <c r="A1228">
        <v>611</v>
      </c>
      <c r="B1228">
        <v>6380</v>
      </c>
      <c r="C1228" t="s">
        <v>2201</v>
      </c>
      <c r="D1228" t="s">
        <v>2202</v>
      </c>
      <c r="E1228" t="s">
        <v>21</v>
      </c>
      <c r="F1228" t="s">
        <v>2203</v>
      </c>
      <c r="G1228" t="str">
        <f>"00122565"</f>
        <v>00122565</v>
      </c>
      <c r="H1228" t="s">
        <v>1904</v>
      </c>
      <c r="I1228">
        <v>0</v>
      </c>
      <c r="J1228">
        <v>0</v>
      </c>
      <c r="K1228">
        <v>0</v>
      </c>
      <c r="L1228">
        <v>200</v>
      </c>
      <c r="M1228">
        <v>0</v>
      </c>
      <c r="N1228">
        <v>70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X1228">
        <v>2</v>
      </c>
      <c r="Y1228" t="s">
        <v>2204</v>
      </c>
    </row>
    <row r="1229" spans="1:25" x14ac:dyDescent="0.25">
      <c r="H1229" t="s">
        <v>23</v>
      </c>
    </row>
    <row r="1230" spans="1:25" x14ac:dyDescent="0.25">
      <c r="A1230">
        <v>612</v>
      </c>
      <c r="B1230">
        <v>5120</v>
      </c>
      <c r="C1230" t="s">
        <v>349</v>
      </c>
      <c r="D1230" t="s">
        <v>209</v>
      </c>
      <c r="E1230" t="s">
        <v>709</v>
      </c>
      <c r="F1230" t="s">
        <v>2205</v>
      </c>
      <c r="G1230" t="str">
        <f>"00113484"</f>
        <v>00113484</v>
      </c>
      <c r="H1230" t="s">
        <v>1904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70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X1230">
        <v>0</v>
      </c>
      <c r="Y1230" t="s">
        <v>2204</v>
      </c>
    </row>
    <row r="1231" spans="1:25" x14ac:dyDescent="0.25">
      <c r="H1231" t="s">
        <v>34</v>
      </c>
    </row>
    <row r="1232" spans="1:25" x14ac:dyDescent="0.25">
      <c r="A1232">
        <v>613</v>
      </c>
      <c r="B1232">
        <v>4571</v>
      </c>
      <c r="C1232" t="s">
        <v>2206</v>
      </c>
      <c r="D1232" t="s">
        <v>266</v>
      </c>
      <c r="E1232" t="s">
        <v>99</v>
      </c>
      <c r="F1232" t="s">
        <v>2207</v>
      </c>
      <c r="G1232" t="str">
        <f>"00014513"</f>
        <v>00014513</v>
      </c>
      <c r="H1232" t="s">
        <v>1904</v>
      </c>
      <c r="I1232">
        <v>0</v>
      </c>
      <c r="J1232">
        <v>0</v>
      </c>
      <c r="K1232">
        <v>0</v>
      </c>
      <c r="L1232">
        <v>200</v>
      </c>
      <c r="M1232">
        <v>0</v>
      </c>
      <c r="N1232">
        <v>70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0</v>
      </c>
      <c r="Y1232" t="s">
        <v>2204</v>
      </c>
    </row>
    <row r="1233" spans="1:25" x14ac:dyDescent="0.25">
      <c r="H1233" t="s">
        <v>34</v>
      </c>
    </row>
    <row r="1234" spans="1:25" x14ac:dyDescent="0.25">
      <c r="A1234">
        <v>614</v>
      </c>
      <c r="B1234">
        <v>4107</v>
      </c>
      <c r="C1234" t="s">
        <v>2208</v>
      </c>
      <c r="D1234" t="s">
        <v>194</v>
      </c>
      <c r="E1234" t="s">
        <v>55</v>
      </c>
      <c r="F1234" t="s">
        <v>2209</v>
      </c>
      <c r="G1234" t="str">
        <f>"00040155"</f>
        <v>00040155</v>
      </c>
      <c r="H1234">
        <v>550</v>
      </c>
      <c r="I1234">
        <v>150</v>
      </c>
      <c r="J1234">
        <v>0</v>
      </c>
      <c r="K1234">
        <v>0</v>
      </c>
      <c r="L1234">
        <v>200</v>
      </c>
      <c r="M1234">
        <v>0</v>
      </c>
      <c r="N1234">
        <v>70</v>
      </c>
      <c r="O1234">
        <v>0</v>
      </c>
      <c r="P1234">
        <v>0</v>
      </c>
      <c r="Q1234">
        <v>0</v>
      </c>
      <c r="R1234">
        <v>30</v>
      </c>
      <c r="S1234">
        <v>0</v>
      </c>
      <c r="T1234">
        <v>0</v>
      </c>
      <c r="U1234">
        <v>0</v>
      </c>
      <c r="V1234">
        <v>0</v>
      </c>
      <c r="X1234">
        <v>0</v>
      </c>
      <c r="Y1234">
        <v>1000</v>
      </c>
    </row>
    <row r="1235" spans="1:25" x14ac:dyDescent="0.25">
      <c r="H1235" t="s">
        <v>118</v>
      </c>
    </row>
    <row r="1236" spans="1:25" x14ac:dyDescent="0.25">
      <c r="A1236">
        <v>615</v>
      </c>
      <c r="B1236">
        <v>3450</v>
      </c>
      <c r="C1236" t="s">
        <v>2210</v>
      </c>
      <c r="D1236" t="s">
        <v>629</v>
      </c>
      <c r="E1236" t="s">
        <v>2107</v>
      </c>
      <c r="F1236" t="s">
        <v>2211</v>
      </c>
      <c r="G1236" t="str">
        <f>"00123057"</f>
        <v>00123057</v>
      </c>
      <c r="H1236" t="s">
        <v>2212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70</v>
      </c>
      <c r="O1236">
        <v>50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 t="s">
        <v>2213</v>
      </c>
    </row>
    <row r="1237" spans="1:25" x14ac:dyDescent="0.25">
      <c r="H1237" t="s">
        <v>34</v>
      </c>
    </row>
    <row r="1238" spans="1:25" x14ac:dyDescent="0.25">
      <c r="A1238">
        <v>616</v>
      </c>
      <c r="B1238">
        <v>5085</v>
      </c>
      <c r="C1238" t="s">
        <v>968</v>
      </c>
      <c r="D1238" t="s">
        <v>217</v>
      </c>
      <c r="E1238" t="s">
        <v>895</v>
      </c>
      <c r="F1238" t="s">
        <v>2214</v>
      </c>
      <c r="G1238" t="str">
        <f>"00114864"</f>
        <v>00114864</v>
      </c>
      <c r="H1238" t="s">
        <v>2212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70</v>
      </c>
      <c r="O1238">
        <v>50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 t="s">
        <v>2213</v>
      </c>
    </row>
    <row r="1239" spans="1:25" x14ac:dyDescent="0.25">
      <c r="H1239" t="s">
        <v>118</v>
      </c>
    </row>
    <row r="1240" spans="1:25" x14ac:dyDescent="0.25">
      <c r="A1240">
        <v>617</v>
      </c>
      <c r="B1240">
        <v>1360</v>
      </c>
      <c r="C1240" t="s">
        <v>2215</v>
      </c>
      <c r="D1240" t="s">
        <v>48</v>
      </c>
      <c r="E1240" t="s">
        <v>43</v>
      </c>
      <c r="F1240" t="s">
        <v>2216</v>
      </c>
      <c r="G1240" t="str">
        <f>"200801003963"</f>
        <v>200801003963</v>
      </c>
      <c r="H1240" t="s">
        <v>1558</v>
      </c>
      <c r="I1240">
        <v>0</v>
      </c>
      <c r="J1240">
        <v>0</v>
      </c>
      <c r="K1240">
        <v>0</v>
      </c>
      <c r="L1240">
        <v>200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0</v>
      </c>
      <c r="Y1240" t="s">
        <v>2217</v>
      </c>
    </row>
    <row r="1241" spans="1:25" x14ac:dyDescent="0.25">
      <c r="H1241" t="s">
        <v>23</v>
      </c>
    </row>
    <row r="1242" spans="1:25" x14ac:dyDescent="0.25">
      <c r="A1242">
        <v>618</v>
      </c>
      <c r="B1242">
        <v>6030</v>
      </c>
      <c r="C1242" t="s">
        <v>2218</v>
      </c>
      <c r="D1242" t="s">
        <v>2219</v>
      </c>
      <c r="E1242" t="s">
        <v>21</v>
      </c>
      <c r="F1242" t="s">
        <v>2220</v>
      </c>
      <c r="G1242" t="str">
        <f>"00015299"</f>
        <v>00015299</v>
      </c>
      <c r="H1242" t="s">
        <v>1250</v>
      </c>
      <c r="I1242">
        <v>0</v>
      </c>
      <c r="J1242">
        <v>0</v>
      </c>
      <c r="K1242">
        <v>0</v>
      </c>
      <c r="L1242">
        <v>0</v>
      </c>
      <c r="M1242">
        <v>100</v>
      </c>
      <c r="N1242">
        <v>70</v>
      </c>
      <c r="O1242">
        <v>70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0</v>
      </c>
      <c r="Y1242" t="s">
        <v>2221</v>
      </c>
    </row>
    <row r="1243" spans="1:25" x14ac:dyDescent="0.25">
      <c r="H1243" t="s">
        <v>366</v>
      </c>
    </row>
    <row r="1244" spans="1:25" x14ac:dyDescent="0.25">
      <c r="A1244">
        <v>619</v>
      </c>
      <c r="B1244">
        <v>4367</v>
      </c>
      <c r="C1244" t="s">
        <v>2222</v>
      </c>
      <c r="D1244" t="s">
        <v>25</v>
      </c>
      <c r="E1244" t="s">
        <v>1340</v>
      </c>
      <c r="F1244" t="s">
        <v>2223</v>
      </c>
      <c r="G1244" t="str">
        <f>"201512002281"</f>
        <v>201512002281</v>
      </c>
      <c r="H1244" t="s">
        <v>2063</v>
      </c>
      <c r="I1244">
        <v>0</v>
      </c>
      <c r="J1244">
        <v>0</v>
      </c>
      <c r="K1244">
        <v>0</v>
      </c>
      <c r="L1244">
        <v>200</v>
      </c>
      <c r="M1244">
        <v>0</v>
      </c>
      <c r="N1244">
        <v>70</v>
      </c>
      <c r="O1244">
        <v>50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 t="s">
        <v>2224</v>
      </c>
    </row>
    <row r="1245" spans="1:25" x14ac:dyDescent="0.25">
      <c r="H1245" t="s">
        <v>118</v>
      </c>
    </row>
    <row r="1246" spans="1:25" x14ac:dyDescent="0.25">
      <c r="A1246">
        <v>620</v>
      </c>
      <c r="B1246">
        <v>5060</v>
      </c>
      <c r="C1246" t="s">
        <v>2225</v>
      </c>
      <c r="D1246" t="s">
        <v>76</v>
      </c>
      <c r="E1246" t="s">
        <v>1631</v>
      </c>
      <c r="F1246" t="s">
        <v>2226</v>
      </c>
      <c r="G1246" t="str">
        <f>"201406000372"</f>
        <v>201406000372</v>
      </c>
      <c r="H1246" t="s">
        <v>1953</v>
      </c>
      <c r="I1246">
        <v>0</v>
      </c>
      <c r="J1246">
        <v>0</v>
      </c>
      <c r="K1246">
        <v>0</v>
      </c>
      <c r="L1246">
        <v>260</v>
      </c>
      <c r="M1246">
        <v>0</v>
      </c>
      <c r="N1246">
        <v>50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 t="s">
        <v>2227</v>
      </c>
    </row>
    <row r="1247" spans="1:25" x14ac:dyDescent="0.25">
      <c r="H1247" t="s">
        <v>23</v>
      </c>
    </row>
    <row r="1248" spans="1:25" x14ac:dyDescent="0.25">
      <c r="A1248">
        <v>621</v>
      </c>
      <c r="B1248">
        <v>3766</v>
      </c>
      <c r="C1248" t="s">
        <v>2228</v>
      </c>
      <c r="D1248" t="s">
        <v>468</v>
      </c>
      <c r="E1248" t="s">
        <v>2229</v>
      </c>
      <c r="F1248" t="s">
        <v>2230</v>
      </c>
      <c r="G1248" t="str">
        <f>"201406007432"</f>
        <v>201406007432</v>
      </c>
      <c r="H1248" t="s">
        <v>2147</v>
      </c>
      <c r="I1248">
        <v>150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70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X1248">
        <v>0</v>
      </c>
      <c r="Y1248" t="s">
        <v>2231</v>
      </c>
    </row>
    <row r="1249" spans="1:25" x14ac:dyDescent="0.25">
      <c r="H1249" t="s">
        <v>53</v>
      </c>
    </row>
    <row r="1250" spans="1:25" x14ac:dyDescent="0.25">
      <c r="A1250">
        <v>622</v>
      </c>
      <c r="B1250">
        <v>2651</v>
      </c>
      <c r="C1250" t="s">
        <v>2232</v>
      </c>
      <c r="D1250" t="s">
        <v>43</v>
      </c>
      <c r="E1250" t="s">
        <v>49</v>
      </c>
      <c r="F1250" t="s">
        <v>2233</v>
      </c>
      <c r="G1250" t="str">
        <f>"201506000486"</f>
        <v>201506000486</v>
      </c>
      <c r="H1250" t="s">
        <v>1578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70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0</v>
      </c>
      <c r="Y1250" t="s">
        <v>2234</v>
      </c>
    </row>
    <row r="1251" spans="1:25" x14ac:dyDescent="0.25">
      <c r="H1251" t="s">
        <v>23</v>
      </c>
    </row>
    <row r="1252" spans="1:25" x14ac:dyDescent="0.25">
      <c r="A1252">
        <v>623</v>
      </c>
      <c r="B1252">
        <v>5063</v>
      </c>
      <c r="C1252" t="s">
        <v>2235</v>
      </c>
      <c r="D1252" t="s">
        <v>575</v>
      </c>
      <c r="E1252" t="s">
        <v>567</v>
      </c>
      <c r="F1252" t="s">
        <v>2236</v>
      </c>
      <c r="G1252" t="str">
        <f>"00185626"</f>
        <v>00185626</v>
      </c>
      <c r="H1252" t="s">
        <v>828</v>
      </c>
      <c r="I1252">
        <v>0</v>
      </c>
      <c r="J1252">
        <v>0</v>
      </c>
      <c r="K1252">
        <v>0</v>
      </c>
      <c r="L1252">
        <v>200</v>
      </c>
      <c r="M1252">
        <v>0</v>
      </c>
      <c r="N1252">
        <v>70</v>
      </c>
      <c r="O1252">
        <v>0</v>
      </c>
      <c r="P1252">
        <v>50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0</v>
      </c>
      <c r="Y1252" t="s">
        <v>2237</v>
      </c>
    </row>
    <row r="1253" spans="1:25" x14ac:dyDescent="0.25">
      <c r="H1253" t="s">
        <v>34</v>
      </c>
    </row>
    <row r="1254" spans="1:25" x14ac:dyDescent="0.25">
      <c r="A1254">
        <v>624</v>
      </c>
      <c r="B1254">
        <v>5587</v>
      </c>
      <c r="C1254" t="s">
        <v>1191</v>
      </c>
      <c r="D1254" t="s">
        <v>25</v>
      </c>
      <c r="E1254" t="s">
        <v>87</v>
      </c>
      <c r="F1254" t="s">
        <v>2238</v>
      </c>
      <c r="G1254" t="str">
        <f>"201304005060"</f>
        <v>201304005060</v>
      </c>
      <c r="H1254" t="s">
        <v>511</v>
      </c>
      <c r="I1254">
        <v>0</v>
      </c>
      <c r="J1254">
        <v>0</v>
      </c>
      <c r="K1254">
        <v>0</v>
      </c>
      <c r="L1254">
        <v>200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 t="s">
        <v>2239</v>
      </c>
    </row>
    <row r="1255" spans="1:25" x14ac:dyDescent="0.25">
      <c r="H1255" t="s">
        <v>23</v>
      </c>
    </row>
    <row r="1256" spans="1:25" x14ac:dyDescent="0.25">
      <c r="A1256">
        <v>625</v>
      </c>
      <c r="B1256">
        <v>2147</v>
      </c>
      <c r="C1256" t="s">
        <v>2240</v>
      </c>
      <c r="D1256" t="s">
        <v>48</v>
      </c>
      <c r="E1256" t="s">
        <v>87</v>
      </c>
      <c r="F1256" t="s">
        <v>2241</v>
      </c>
      <c r="G1256" t="str">
        <f>"200801000324"</f>
        <v>200801000324</v>
      </c>
      <c r="H1256" t="s">
        <v>511</v>
      </c>
      <c r="I1256">
        <v>0</v>
      </c>
      <c r="J1256">
        <v>0</v>
      </c>
      <c r="K1256">
        <v>0</v>
      </c>
      <c r="L1256">
        <v>200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 t="s">
        <v>2239</v>
      </c>
    </row>
    <row r="1257" spans="1:25" x14ac:dyDescent="0.25">
      <c r="H1257" t="s">
        <v>23</v>
      </c>
    </row>
    <row r="1258" spans="1:25" x14ac:dyDescent="0.25">
      <c r="A1258">
        <v>626</v>
      </c>
      <c r="B1258">
        <v>1111</v>
      </c>
      <c r="C1258" t="s">
        <v>2242</v>
      </c>
      <c r="D1258" t="s">
        <v>891</v>
      </c>
      <c r="E1258" t="s">
        <v>49</v>
      </c>
      <c r="F1258" t="s">
        <v>2243</v>
      </c>
      <c r="G1258" t="str">
        <f>"201506002694"</f>
        <v>201506002694</v>
      </c>
      <c r="H1258" t="s">
        <v>1204</v>
      </c>
      <c r="I1258">
        <v>0</v>
      </c>
      <c r="J1258">
        <v>0</v>
      </c>
      <c r="K1258">
        <v>0</v>
      </c>
      <c r="L1258">
        <v>200</v>
      </c>
      <c r="M1258">
        <v>0</v>
      </c>
      <c r="N1258">
        <v>30</v>
      </c>
      <c r="O1258">
        <v>0</v>
      </c>
      <c r="P1258">
        <v>30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 t="s">
        <v>2244</v>
      </c>
    </row>
    <row r="1259" spans="1:25" x14ac:dyDescent="0.25">
      <c r="H1259" t="s">
        <v>53</v>
      </c>
    </row>
    <row r="1260" spans="1:25" x14ac:dyDescent="0.25">
      <c r="A1260">
        <v>627</v>
      </c>
      <c r="B1260">
        <v>1398</v>
      </c>
      <c r="C1260" t="s">
        <v>2245</v>
      </c>
      <c r="D1260" t="s">
        <v>55</v>
      </c>
      <c r="E1260" t="s">
        <v>61</v>
      </c>
      <c r="F1260" t="s">
        <v>2246</v>
      </c>
      <c r="G1260" t="str">
        <f>"00134744"</f>
        <v>00134744</v>
      </c>
      <c r="H1260" t="s">
        <v>1610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X1260">
        <v>0</v>
      </c>
      <c r="Y1260" t="s">
        <v>2247</v>
      </c>
    </row>
    <row r="1261" spans="1:25" x14ac:dyDescent="0.25">
      <c r="H1261" t="s">
        <v>23</v>
      </c>
    </row>
    <row r="1262" spans="1:25" x14ac:dyDescent="0.25">
      <c r="A1262">
        <v>628</v>
      </c>
      <c r="B1262">
        <v>838</v>
      </c>
      <c r="C1262" t="s">
        <v>2248</v>
      </c>
      <c r="D1262" t="s">
        <v>217</v>
      </c>
      <c r="E1262" t="s">
        <v>781</v>
      </c>
      <c r="F1262" t="s">
        <v>2249</v>
      </c>
      <c r="G1262" t="str">
        <f>"00130230"</f>
        <v>00130230</v>
      </c>
      <c r="H1262" t="s">
        <v>2250</v>
      </c>
      <c r="I1262">
        <v>0</v>
      </c>
      <c r="J1262">
        <v>0</v>
      </c>
      <c r="K1262">
        <v>0</v>
      </c>
      <c r="L1262">
        <v>200</v>
      </c>
      <c r="M1262">
        <v>0</v>
      </c>
      <c r="N1262">
        <v>70</v>
      </c>
      <c r="O1262">
        <v>0</v>
      </c>
      <c r="P1262">
        <v>50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0</v>
      </c>
      <c r="Y1262" t="s">
        <v>2251</v>
      </c>
    </row>
    <row r="1263" spans="1:25" x14ac:dyDescent="0.25">
      <c r="H1263" t="s">
        <v>34</v>
      </c>
    </row>
    <row r="1264" spans="1:25" x14ac:dyDescent="0.25">
      <c r="A1264">
        <v>629</v>
      </c>
      <c r="B1264">
        <v>2351</v>
      </c>
      <c r="C1264" t="s">
        <v>2252</v>
      </c>
      <c r="D1264" t="s">
        <v>2202</v>
      </c>
      <c r="E1264" t="s">
        <v>99</v>
      </c>
      <c r="F1264" t="s">
        <v>2253</v>
      </c>
      <c r="G1264" t="str">
        <f>"201406010263"</f>
        <v>201406010263</v>
      </c>
      <c r="H1264" t="s">
        <v>776</v>
      </c>
      <c r="I1264">
        <v>0</v>
      </c>
      <c r="J1264">
        <v>0</v>
      </c>
      <c r="K1264">
        <v>0</v>
      </c>
      <c r="L1264">
        <v>200</v>
      </c>
      <c r="M1264">
        <v>0</v>
      </c>
      <c r="N1264">
        <v>70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X1264">
        <v>0</v>
      </c>
      <c r="Y1264" t="s">
        <v>2254</v>
      </c>
    </row>
    <row r="1265" spans="1:25" x14ac:dyDescent="0.25">
      <c r="H1265" t="s">
        <v>23</v>
      </c>
    </row>
    <row r="1266" spans="1:25" x14ac:dyDescent="0.25">
      <c r="A1266">
        <v>630</v>
      </c>
      <c r="B1266">
        <v>5595</v>
      </c>
      <c r="C1266" t="s">
        <v>2255</v>
      </c>
      <c r="D1266" t="s">
        <v>2175</v>
      </c>
      <c r="E1266" t="s">
        <v>2256</v>
      </c>
      <c r="F1266" t="s">
        <v>2257</v>
      </c>
      <c r="G1266" t="str">
        <f>"00004235"</f>
        <v>00004235</v>
      </c>
      <c r="H1266" t="s">
        <v>618</v>
      </c>
      <c r="I1266">
        <v>0</v>
      </c>
      <c r="J1266">
        <v>0</v>
      </c>
      <c r="K1266">
        <v>0</v>
      </c>
      <c r="L1266">
        <v>0</v>
      </c>
      <c r="M1266">
        <v>100</v>
      </c>
      <c r="N1266">
        <v>70</v>
      </c>
      <c r="O1266">
        <v>0</v>
      </c>
      <c r="P1266">
        <v>70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 t="s">
        <v>2258</v>
      </c>
    </row>
    <row r="1267" spans="1:25" x14ac:dyDescent="0.25">
      <c r="H1267" t="s">
        <v>34</v>
      </c>
    </row>
    <row r="1268" spans="1:25" x14ac:dyDescent="0.25">
      <c r="A1268">
        <v>631</v>
      </c>
      <c r="B1268">
        <v>4649</v>
      </c>
      <c r="C1268" t="s">
        <v>2259</v>
      </c>
      <c r="D1268" t="s">
        <v>891</v>
      </c>
      <c r="E1268" t="s">
        <v>49</v>
      </c>
      <c r="F1268" t="s">
        <v>2260</v>
      </c>
      <c r="G1268" t="str">
        <f>"00199598"</f>
        <v>00199598</v>
      </c>
      <c r="H1268">
        <v>671</v>
      </c>
      <c r="I1268">
        <v>0</v>
      </c>
      <c r="J1268">
        <v>0</v>
      </c>
      <c r="K1268">
        <v>0</v>
      </c>
      <c r="L1268">
        <v>200</v>
      </c>
      <c r="M1268">
        <v>0</v>
      </c>
      <c r="N1268">
        <v>70</v>
      </c>
      <c r="O1268">
        <v>50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991</v>
      </c>
    </row>
    <row r="1269" spans="1:25" x14ac:dyDescent="0.25">
      <c r="H1269" t="s">
        <v>34</v>
      </c>
    </row>
    <row r="1270" spans="1:25" x14ac:dyDescent="0.25">
      <c r="A1270">
        <v>632</v>
      </c>
      <c r="B1270">
        <v>628</v>
      </c>
      <c r="C1270" t="s">
        <v>2261</v>
      </c>
      <c r="D1270" t="s">
        <v>2262</v>
      </c>
      <c r="E1270" t="s">
        <v>2263</v>
      </c>
      <c r="F1270" t="s">
        <v>2264</v>
      </c>
      <c r="G1270" t="str">
        <f>"00012833"</f>
        <v>00012833</v>
      </c>
      <c r="H1270" t="s">
        <v>1994</v>
      </c>
      <c r="I1270">
        <v>0</v>
      </c>
      <c r="J1270">
        <v>0</v>
      </c>
      <c r="K1270">
        <v>0</v>
      </c>
      <c r="L1270">
        <v>0</v>
      </c>
      <c r="M1270">
        <v>100</v>
      </c>
      <c r="N1270">
        <v>70</v>
      </c>
      <c r="O1270">
        <v>70</v>
      </c>
      <c r="P1270">
        <v>0</v>
      </c>
      <c r="Q1270">
        <v>0</v>
      </c>
      <c r="R1270">
        <v>50</v>
      </c>
      <c r="S1270">
        <v>0</v>
      </c>
      <c r="T1270">
        <v>0</v>
      </c>
      <c r="U1270">
        <v>0</v>
      </c>
      <c r="V1270">
        <v>0</v>
      </c>
      <c r="X1270">
        <v>0</v>
      </c>
      <c r="Y1270" t="s">
        <v>2265</v>
      </c>
    </row>
    <row r="1271" spans="1:25" x14ac:dyDescent="0.25">
      <c r="H1271" t="s">
        <v>34</v>
      </c>
    </row>
    <row r="1272" spans="1:25" x14ac:dyDescent="0.25">
      <c r="A1272">
        <v>633</v>
      </c>
      <c r="B1272">
        <v>416</v>
      </c>
      <c r="C1272" t="s">
        <v>2266</v>
      </c>
      <c r="D1272" t="s">
        <v>25</v>
      </c>
      <c r="E1272" t="s">
        <v>21</v>
      </c>
      <c r="F1272" t="s">
        <v>2267</v>
      </c>
      <c r="G1272" t="str">
        <f>"00120973"</f>
        <v>00120973</v>
      </c>
      <c r="H1272" t="s">
        <v>636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 t="s">
        <v>2268</v>
      </c>
    </row>
    <row r="1273" spans="1:25" x14ac:dyDescent="0.25">
      <c r="H1273" t="s">
        <v>118</v>
      </c>
    </row>
    <row r="1274" spans="1:25" x14ac:dyDescent="0.25">
      <c r="A1274">
        <v>634</v>
      </c>
      <c r="B1274">
        <v>5622</v>
      </c>
      <c r="C1274" t="s">
        <v>2269</v>
      </c>
      <c r="D1274" t="s">
        <v>49</v>
      </c>
      <c r="E1274" t="s">
        <v>2270</v>
      </c>
      <c r="F1274" t="s">
        <v>2271</v>
      </c>
      <c r="G1274" t="str">
        <f>"201506002928"</f>
        <v>201506002928</v>
      </c>
      <c r="H1274" t="s">
        <v>2272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70</v>
      </c>
      <c r="O1274">
        <v>50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 t="s">
        <v>2273</v>
      </c>
    </row>
    <row r="1275" spans="1:25" x14ac:dyDescent="0.25">
      <c r="H1275" t="s">
        <v>53</v>
      </c>
    </row>
    <row r="1276" spans="1:25" x14ac:dyDescent="0.25">
      <c r="A1276">
        <v>635</v>
      </c>
      <c r="B1276">
        <v>3162</v>
      </c>
      <c r="C1276" t="s">
        <v>2274</v>
      </c>
      <c r="D1276" t="s">
        <v>266</v>
      </c>
      <c r="E1276" t="s">
        <v>37</v>
      </c>
      <c r="F1276" t="s">
        <v>2275</v>
      </c>
      <c r="G1276" t="str">
        <f>"201406013601"</f>
        <v>201406013601</v>
      </c>
      <c r="H1276" t="s">
        <v>1636</v>
      </c>
      <c r="I1276">
        <v>0</v>
      </c>
      <c r="J1276">
        <v>0</v>
      </c>
      <c r="K1276">
        <v>0</v>
      </c>
      <c r="L1276">
        <v>200</v>
      </c>
      <c r="M1276">
        <v>0</v>
      </c>
      <c r="N1276">
        <v>70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 t="s">
        <v>2276</v>
      </c>
    </row>
    <row r="1277" spans="1:25" x14ac:dyDescent="0.25">
      <c r="H1277" t="s">
        <v>91</v>
      </c>
    </row>
    <row r="1278" spans="1:25" x14ac:dyDescent="0.25">
      <c r="A1278">
        <v>636</v>
      </c>
      <c r="B1278">
        <v>1503</v>
      </c>
      <c r="C1278" t="s">
        <v>2277</v>
      </c>
      <c r="D1278" t="s">
        <v>76</v>
      </c>
      <c r="E1278" t="s">
        <v>377</v>
      </c>
      <c r="F1278" t="s">
        <v>2278</v>
      </c>
      <c r="G1278" t="str">
        <f>"00134766"</f>
        <v>00134766</v>
      </c>
      <c r="H1278" t="s">
        <v>1636</v>
      </c>
      <c r="I1278">
        <v>0</v>
      </c>
      <c r="J1278">
        <v>0</v>
      </c>
      <c r="K1278">
        <v>0</v>
      </c>
      <c r="L1278">
        <v>200</v>
      </c>
      <c r="M1278">
        <v>0</v>
      </c>
      <c r="N1278">
        <v>70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 t="s">
        <v>2276</v>
      </c>
    </row>
    <row r="1279" spans="1:25" x14ac:dyDescent="0.25">
      <c r="H1279" t="s">
        <v>118</v>
      </c>
    </row>
    <row r="1280" spans="1:25" x14ac:dyDescent="0.25">
      <c r="A1280">
        <v>637</v>
      </c>
      <c r="B1280">
        <v>6511</v>
      </c>
      <c r="C1280" t="s">
        <v>2279</v>
      </c>
      <c r="D1280" t="s">
        <v>362</v>
      </c>
      <c r="E1280" t="s">
        <v>87</v>
      </c>
      <c r="F1280" t="s">
        <v>2280</v>
      </c>
      <c r="G1280" t="str">
        <f>"201506001369"</f>
        <v>201506001369</v>
      </c>
      <c r="H1280" t="s">
        <v>442</v>
      </c>
      <c r="I1280">
        <v>0</v>
      </c>
      <c r="J1280">
        <v>0</v>
      </c>
      <c r="K1280">
        <v>0</v>
      </c>
      <c r="L1280">
        <v>200</v>
      </c>
      <c r="M1280">
        <v>0</v>
      </c>
      <c r="N1280">
        <v>30</v>
      </c>
      <c r="O1280">
        <v>0</v>
      </c>
      <c r="P1280">
        <v>0</v>
      </c>
      <c r="Q1280">
        <v>30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0</v>
      </c>
      <c r="Y1280" t="s">
        <v>2281</v>
      </c>
    </row>
    <row r="1281" spans="1:25" x14ac:dyDescent="0.25">
      <c r="H1281" t="s">
        <v>23</v>
      </c>
    </row>
    <row r="1282" spans="1:25" x14ac:dyDescent="0.25">
      <c r="A1282">
        <v>638</v>
      </c>
      <c r="B1282">
        <v>1974</v>
      </c>
      <c r="C1282" t="s">
        <v>1473</v>
      </c>
      <c r="D1282" t="s">
        <v>36</v>
      </c>
      <c r="E1282" t="s">
        <v>2282</v>
      </c>
      <c r="F1282" t="s">
        <v>2283</v>
      </c>
      <c r="G1282" t="str">
        <f>"201304004974"</f>
        <v>201304004974</v>
      </c>
      <c r="H1282" t="s">
        <v>798</v>
      </c>
      <c r="I1282">
        <v>0</v>
      </c>
      <c r="J1282">
        <v>0</v>
      </c>
      <c r="K1282">
        <v>0</v>
      </c>
      <c r="L1282">
        <v>200</v>
      </c>
      <c r="M1282">
        <v>0</v>
      </c>
      <c r="N1282">
        <v>70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0</v>
      </c>
      <c r="Y1282" t="s">
        <v>2284</v>
      </c>
    </row>
    <row r="1283" spans="1:25" x14ac:dyDescent="0.25">
      <c r="H1283" t="s">
        <v>118</v>
      </c>
    </row>
    <row r="1284" spans="1:25" x14ac:dyDescent="0.25">
      <c r="A1284">
        <v>639</v>
      </c>
      <c r="B1284">
        <v>1551</v>
      </c>
      <c r="C1284" t="s">
        <v>1490</v>
      </c>
      <c r="D1284" t="s">
        <v>2285</v>
      </c>
      <c r="E1284" t="s">
        <v>184</v>
      </c>
      <c r="F1284" t="s">
        <v>2286</v>
      </c>
      <c r="G1284" t="str">
        <f>"201304005698"</f>
        <v>201304005698</v>
      </c>
      <c r="H1284" t="s">
        <v>798</v>
      </c>
      <c r="I1284">
        <v>0</v>
      </c>
      <c r="J1284">
        <v>0</v>
      </c>
      <c r="K1284">
        <v>0</v>
      </c>
      <c r="L1284">
        <v>200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 t="s">
        <v>2284</v>
      </c>
    </row>
    <row r="1285" spans="1:25" x14ac:dyDescent="0.25">
      <c r="H1285" t="s">
        <v>34</v>
      </c>
    </row>
    <row r="1286" spans="1:25" x14ac:dyDescent="0.25">
      <c r="A1286">
        <v>640</v>
      </c>
      <c r="B1286">
        <v>238</v>
      </c>
      <c r="C1286" t="s">
        <v>2287</v>
      </c>
      <c r="D1286" t="s">
        <v>796</v>
      </c>
      <c r="E1286" t="s">
        <v>147</v>
      </c>
      <c r="F1286" t="s">
        <v>2288</v>
      </c>
      <c r="G1286" t="str">
        <f>"00014463"</f>
        <v>00014463</v>
      </c>
      <c r="H1286" t="s">
        <v>980</v>
      </c>
      <c r="I1286">
        <v>0</v>
      </c>
      <c r="J1286">
        <v>0</v>
      </c>
      <c r="K1286">
        <v>0</v>
      </c>
      <c r="L1286">
        <v>200</v>
      </c>
      <c r="M1286">
        <v>0</v>
      </c>
      <c r="N1286">
        <v>50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 t="s">
        <v>2289</v>
      </c>
    </row>
    <row r="1287" spans="1:25" x14ac:dyDescent="0.25">
      <c r="H1287" t="s">
        <v>118</v>
      </c>
    </row>
    <row r="1288" spans="1:25" x14ac:dyDescent="0.25">
      <c r="A1288">
        <v>641</v>
      </c>
      <c r="B1288">
        <v>1547</v>
      </c>
      <c r="C1288" t="s">
        <v>2290</v>
      </c>
      <c r="D1288" t="s">
        <v>25</v>
      </c>
      <c r="E1288" t="s">
        <v>61</v>
      </c>
      <c r="F1288" t="s">
        <v>2291</v>
      </c>
      <c r="G1288" t="str">
        <f>"00199313"</f>
        <v>00199313</v>
      </c>
      <c r="H1288" t="s">
        <v>2292</v>
      </c>
      <c r="I1288">
        <v>0</v>
      </c>
      <c r="J1288">
        <v>0</v>
      </c>
      <c r="K1288">
        <v>0</v>
      </c>
      <c r="L1288">
        <v>200</v>
      </c>
      <c r="M1288">
        <v>0</v>
      </c>
      <c r="N1288">
        <v>70</v>
      </c>
      <c r="O1288">
        <v>0</v>
      </c>
      <c r="P1288">
        <v>50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0</v>
      </c>
      <c r="Y1288" t="s">
        <v>2293</v>
      </c>
    </row>
    <row r="1289" spans="1:25" x14ac:dyDescent="0.25">
      <c r="H1289" t="s">
        <v>118</v>
      </c>
    </row>
    <row r="1290" spans="1:25" x14ac:dyDescent="0.25">
      <c r="A1290">
        <v>642</v>
      </c>
      <c r="B1290">
        <v>3866</v>
      </c>
      <c r="C1290" t="s">
        <v>2294</v>
      </c>
      <c r="D1290" t="s">
        <v>70</v>
      </c>
      <c r="E1290" t="s">
        <v>21</v>
      </c>
      <c r="F1290" t="s">
        <v>2295</v>
      </c>
      <c r="G1290" t="str">
        <f>"201406001894"</f>
        <v>201406001894</v>
      </c>
      <c r="H1290" t="s">
        <v>452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30</v>
      </c>
      <c r="P1290">
        <v>0</v>
      </c>
      <c r="Q1290">
        <v>0</v>
      </c>
      <c r="R1290">
        <v>70</v>
      </c>
      <c r="S1290">
        <v>0</v>
      </c>
      <c r="T1290">
        <v>30</v>
      </c>
      <c r="U1290">
        <v>0</v>
      </c>
      <c r="V1290">
        <v>0</v>
      </c>
      <c r="X1290">
        <v>0</v>
      </c>
      <c r="Y1290" t="s">
        <v>2296</v>
      </c>
    </row>
    <row r="1291" spans="1:25" x14ac:dyDescent="0.25">
      <c r="H1291" t="s">
        <v>23</v>
      </c>
    </row>
    <row r="1292" spans="1:25" x14ac:dyDescent="0.25">
      <c r="A1292">
        <v>643</v>
      </c>
      <c r="B1292">
        <v>6176</v>
      </c>
      <c r="C1292" t="s">
        <v>2297</v>
      </c>
      <c r="D1292" t="s">
        <v>43</v>
      </c>
      <c r="E1292" t="s">
        <v>2298</v>
      </c>
      <c r="F1292">
        <v>5534</v>
      </c>
      <c r="G1292" t="str">
        <f>"201304002794"</f>
        <v>201304002794</v>
      </c>
      <c r="H1292" t="s">
        <v>1937</v>
      </c>
      <c r="I1292">
        <v>0</v>
      </c>
      <c r="J1292">
        <v>0</v>
      </c>
      <c r="K1292">
        <v>0</v>
      </c>
      <c r="L1292">
        <v>200</v>
      </c>
      <c r="M1292">
        <v>30</v>
      </c>
      <c r="N1292">
        <v>70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 t="s">
        <v>2299</v>
      </c>
    </row>
    <row r="1293" spans="1:25" x14ac:dyDescent="0.25">
      <c r="H1293">
        <v>101</v>
      </c>
    </row>
    <row r="1294" spans="1:25" x14ac:dyDescent="0.25">
      <c r="A1294">
        <v>644</v>
      </c>
      <c r="B1294">
        <v>1697</v>
      </c>
      <c r="C1294" t="s">
        <v>2300</v>
      </c>
      <c r="D1294" t="s">
        <v>509</v>
      </c>
      <c r="E1294" t="s">
        <v>71</v>
      </c>
      <c r="F1294" t="s">
        <v>2301</v>
      </c>
      <c r="G1294" t="str">
        <f>"201406012532"</f>
        <v>201406012532</v>
      </c>
      <c r="H1294">
        <v>737</v>
      </c>
      <c r="I1294">
        <v>150</v>
      </c>
      <c r="J1294">
        <v>0</v>
      </c>
      <c r="K1294">
        <v>0</v>
      </c>
      <c r="L1294">
        <v>0</v>
      </c>
      <c r="M1294">
        <v>0</v>
      </c>
      <c r="N1294">
        <v>70</v>
      </c>
      <c r="O1294">
        <v>30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>
        <v>987</v>
      </c>
    </row>
    <row r="1295" spans="1:25" x14ac:dyDescent="0.25">
      <c r="H1295" t="s">
        <v>23</v>
      </c>
    </row>
    <row r="1296" spans="1:25" x14ac:dyDescent="0.25">
      <c r="A1296">
        <v>645</v>
      </c>
      <c r="B1296">
        <v>6305</v>
      </c>
      <c r="C1296" t="s">
        <v>2302</v>
      </c>
      <c r="D1296" t="s">
        <v>25</v>
      </c>
      <c r="E1296" t="s">
        <v>43</v>
      </c>
      <c r="F1296" t="s">
        <v>2303</v>
      </c>
      <c r="G1296" t="str">
        <f>"00130059"</f>
        <v>00130059</v>
      </c>
      <c r="H1296" t="s">
        <v>2143</v>
      </c>
      <c r="I1296">
        <v>0</v>
      </c>
      <c r="J1296">
        <v>0</v>
      </c>
      <c r="K1296">
        <v>0</v>
      </c>
      <c r="L1296">
        <v>200</v>
      </c>
      <c r="M1296">
        <v>0</v>
      </c>
      <c r="N1296">
        <v>70</v>
      </c>
      <c r="O1296">
        <v>0</v>
      </c>
      <c r="P1296">
        <v>0</v>
      </c>
      <c r="Q1296">
        <v>30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 t="s">
        <v>2304</v>
      </c>
    </row>
    <row r="1297" spans="1:25" x14ac:dyDescent="0.25">
      <c r="H1297" t="s">
        <v>118</v>
      </c>
    </row>
    <row r="1298" spans="1:25" x14ac:dyDescent="0.25">
      <c r="A1298">
        <v>646</v>
      </c>
      <c r="B1298">
        <v>4568</v>
      </c>
      <c r="C1298" t="s">
        <v>2305</v>
      </c>
      <c r="D1298" t="s">
        <v>501</v>
      </c>
      <c r="E1298" t="s">
        <v>895</v>
      </c>
      <c r="F1298" t="s">
        <v>2306</v>
      </c>
      <c r="G1298" t="str">
        <f>"00014454"</f>
        <v>00014454</v>
      </c>
      <c r="H1298" t="s">
        <v>2143</v>
      </c>
      <c r="I1298">
        <v>0</v>
      </c>
      <c r="J1298">
        <v>0</v>
      </c>
      <c r="K1298">
        <v>0</v>
      </c>
      <c r="L1298">
        <v>200</v>
      </c>
      <c r="M1298">
        <v>0</v>
      </c>
      <c r="N1298">
        <v>70</v>
      </c>
      <c r="O1298">
        <v>30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 t="s">
        <v>2304</v>
      </c>
    </row>
    <row r="1299" spans="1:25" x14ac:dyDescent="0.25">
      <c r="H1299" t="s">
        <v>34</v>
      </c>
    </row>
    <row r="1300" spans="1:25" x14ac:dyDescent="0.25">
      <c r="A1300">
        <v>647</v>
      </c>
      <c r="B1300">
        <v>6429</v>
      </c>
      <c r="C1300" t="s">
        <v>1200</v>
      </c>
      <c r="D1300" t="s">
        <v>70</v>
      </c>
      <c r="E1300" t="s">
        <v>2307</v>
      </c>
      <c r="F1300" t="s">
        <v>2308</v>
      </c>
      <c r="G1300" t="str">
        <f>"00011221"</f>
        <v>00011221</v>
      </c>
      <c r="H1300" t="s">
        <v>1089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 t="s">
        <v>2309</v>
      </c>
    </row>
    <row r="1301" spans="1:25" x14ac:dyDescent="0.25">
      <c r="H1301" t="s">
        <v>53</v>
      </c>
    </row>
    <row r="1302" spans="1:25" x14ac:dyDescent="0.25">
      <c r="A1302">
        <v>648</v>
      </c>
      <c r="B1302">
        <v>5867</v>
      </c>
      <c r="C1302" t="s">
        <v>381</v>
      </c>
      <c r="D1302" t="s">
        <v>237</v>
      </c>
      <c r="E1302" t="s">
        <v>49</v>
      </c>
      <c r="F1302" t="s">
        <v>2310</v>
      </c>
      <c r="G1302" t="str">
        <f>"00107418"</f>
        <v>00107418</v>
      </c>
      <c r="H1302">
        <v>726</v>
      </c>
      <c r="I1302">
        <v>0</v>
      </c>
      <c r="J1302">
        <v>0</v>
      </c>
      <c r="K1302">
        <v>0</v>
      </c>
      <c r="L1302">
        <v>200</v>
      </c>
      <c r="M1302">
        <v>0</v>
      </c>
      <c r="N1302">
        <v>30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986</v>
      </c>
    </row>
    <row r="1303" spans="1:25" x14ac:dyDescent="0.25">
      <c r="H1303" t="s">
        <v>118</v>
      </c>
    </row>
    <row r="1304" spans="1:25" x14ac:dyDescent="0.25">
      <c r="A1304">
        <v>649</v>
      </c>
      <c r="B1304">
        <v>2307</v>
      </c>
      <c r="C1304" t="s">
        <v>2311</v>
      </c>
      <c r="D1304" t="s">
        <v>194</v>
      </c>
      <c r="E1304" t="s">
        <v>43</v>
      </c>
      <c r="F1304" t="s">
        <v>2312</v>
      </c>
      <c r="G1304" t="str">
        <f>"201405000706"</f>
        <v>201405000706</v>
      </c>
      <c r="H1304" t="s">
        <v>910</v>
      </c>
      <c r="I1304">
        <v>0</v>
      </c>
      <c r="J1304">
        <v>0</v>
      </c>
      <c r="K1304">
        <v>0</v>
      </c>
      <c r="L1304">
        <v>200</v>
      </c>
      <c r="M1304">
        <v>0</v>
      </c>
      <c r="N1304">
        <v>50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 t="s">
        <v>2313</v>
      </c>
    </row>
    <row r="1305" spans="1:25" x14ac:dyDescent="0.25">
      <c r="H1305" t="s">
        <v>366</v>
      </c>
    </row>
    <row r="1306" spans="1:25" x14ac:dyDescent="0.25">
      <c r="A1306">
        <v>650</v>
      </c>
      <c r="B1306">
        <v>1654</v>
      </c>
      <c r="C1306" t="s">
        <v>2314</v>
      </c>
      <c r="D1306" t="s">
        <v>509</v>
      </c>
      <c r="E1306" t="s">
        <v>283</v>
      </c>
      <c r="F1306" t="s">
        <v>2315</v>
      </c>
      <c r="G1306" t="str">
        <f>"201406011827"</f>
        <v>201406011827</v>
      </c>
      <c r="H1306" t="s">
        <v>1250</v>
      </c>
      <c r="I1306">
        <v>0</v>
      </c>
      <c r="J1306">
        <v>0</v>
      </c>
      <c r="K1306">
        <v>0</v>
      </c>
      <c r="L1306">
        <v>200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 t="s">
        <v>2316</v>
      </c>
    </row>
    <row r="1307" spans="1:25" x14ac:dyDescent="0.25">
      <c r="H1307" t="s">
        <v>118</v>
      </c>
    </row>
    <row r="1308" spans="1:25" x14ac:dyDescent="0.25">
      <c r="A1308">
        <v>651</v>
      </c>
      <c r="B1308">
        <v>2723</v>
      </c>
      <c r="C1308" t="s">
        <v>2317</v>
      </c>
      <c r="D1308" t="s">
        <v>43</v>
      </c>
      <c r="E1308" t="s">
        <v>303</v>
      </c>
      <c r="F1308">
        <v>259659030</v>
      </c>
      <c r="G1308" t="str">
        <f>"00200386"</f>
        <v>00200386</v>
      </c>
      <c r="H1308" t="s">
        <v>1004</v>
      </c>
      <c r="I1308">
        <v>150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 t="s">
        <v>2318</v>
      </c>
    </row>
    <row r="1309" spans="1:25" x14ac:dyDescent="0.25">
      <c r="H1309">
        <v>101</v>
      </c>
    </row>
    <row r="1310" spans="1:25" x14ac:dyDescent="0.25">
      <c r="A1310">
        <v>652</v>
      </c>
      <c r="B1310">
        <v>3461</v>
      </c>
      <c r="C1310" t="s">
        <v>2319</v>
      </c>
      <c r="D1310" t="s">
        <v>25</v>
      </c>
      <c r="E1310" t="s">
        <v>709</v>
      </c>
      <c r="F1310" t="s">
        <v>2320</v>
      </c>
      <c r="G1310" t="str">
        <f>"00109292"</f>
        <v>00109292</v>
      </c>
      <c r="H1310" t="s">
        <v>1004</v>
      </c>
      <c r="I1310">
        <v>0</v>
      </c>
      <c r="J1310">
        <v>0</v>
      </c>
      <c r="K1310">
        <v>0</v>
      </c>
      <c r="L1310">
        <v>0</v>
      </c>
      <c r="M1310">
        <v>100</v>
      </c>
      <c r="N1310">
        <v>70</v>
      </c>
      <c r="O1310">
        <v>50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 t="s">
        <v>2318</v>
      </c>
    </row>
    <row r="1311" spans="1:25" x14ac:dyDescent="0.25">
      <c r="H1311" t="s">
        <v>91</v>
      </c>
    </row>
    <row r="1312" spans="1:25" x14ac:dyDescent="0.25">
      <c r="A1312">
        <v>653</v>
      </c>
      <c r="B1312">
        <v>5082</v>
      </c>
      <c r="C1312" t="s">
        <v>2321</v>
      </c>
      <c r="D1312" t="s">
        <v>663</v>
      </c>
      <c r="E1312" t="s">
        <v>2322</v>
      </c>
      <c r="F1312" t="s">
        <v>2323</v>
      </c>
      <c r="G1312" t="str">
        <f>"201406015201"</f>
        <v>201406015201</v>
      </c>
      <c r="H1312" t="s">
        <v>1953</v>
      </c>
      <c r="I1312">
        <v>0</v>
      </c>
      <c r="J1312">
        <v>0</v>
      </c>
      <c r="K1312">
        <v>0</v>
      </c>
      <c r="L1312">
        <v>200</v>
      </c>
      <c r="M1312">
        <v>0</v>
      </c>
      <c r="N1312">
        <v>70</v>
      </c>
      <c r="O1312">
        <v>0</v>
      </c>
      <c r="P1312">
        <v>30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X1312">
        <v>0</v>
      </c>
      <c r="Y1312" t="s">
        <v>2324</v>
      </c>
    </row>
    <row r="1313" spans="1:25" x14ac:dyDescent="0.25">
      <c r="H1313" t="s">
        <v>366</v>
      </c>
    </row>
    <row r="1314" spans="1:25" x14ac:dyDescent="0.25">
      <c r="A1314">
        <v>654</v>
      </c>
      <c r="B1314">
        <v>694</v>
      </c>
      <c r="C1314" t="s">
        <v>2325</v>
      </c>
      <c r="D1314" t="s">
        <v>2326</v>
      </c>
      <c r="E1314" t="s">
        <v>291</v>
      </c>
      <c r="F1314" t="s">
        <v>2327</v>
      </c>
      <c r="G1314" t="str">
        <f>"00199742"</f>
        <v>00199742</v>
      </c>
      <c r="H1314" t="s">
        <v>2147</v>
      </c>
      <c r="I1314">
        <v>0</v>
      </c>
      <c r="J1314">
        <v>0</v>
      </c>
      <c r="K1314">
        <v>0</v>
      </c>
      <c r="L1314">
        <v>200</v>
      </c>
      <c r="M1314">
        <v>0</v>
      </c>
      <c r="N1314">
        <v>30</v>
      </c>
      <c r="O1314">
        <v>50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0</v>
      </c>
      <c r="Y1314" t="s">
        <v>2328</v>
      </c>
    </row>
    <row r="1315" spans="1:25" x14ac:dyDescent="0.25">
      <c r="H1315" t="s">
        <v>53</v>
      </c>
    </row>
    <row r="1316" spans="1:25" x14ac:dyDescent="0.25">
      <c r="A1316">
        <v>655</v>
      </c>
      <c r="B1316">
        <v>4012</v>
      </c>
      <c r="C1316" t="s">
        <v>2329</v>
      </c>
      <c r="D1316" t="s">
        <v>193</v>
      </c>
      <c r="E1316" t="s">
        <v>130</v>
      </c>
      <c r="F1316" t="s">
        <v>2330</v>
      </c>
      <c r="G1316" t="str">
        <f>"00184818"</f>
        <v>00184818</v>
      </c>
      <c r="H1316">
        <v>715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70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0</v>
      </c>
      <c r="Y1316">
        <v>985</v>
      </c>
    </row>
    <row r="1317" spans="1:25" x14ac:dyDescent="0.25">
      <c r="H1317" t="s">
        <v>118</v>
      </c>
    </row>
    <row r="1318" spans="1:25" x14ac:dyDescent="0.25">
      <c r="A1318">
        <v>656</v>
      </c>
      <c r="B1318">
        <v>5053</v>
      </c>
      <c r="C1318" t="s">
        <v>2331</v>
      </c>
      <c r="D1318" t="s">
        <v>209</v>
      </c>
      <c r="E1318" t="s">
        <v>147</v>
      </c>
      <c r="F1318" t="s">
        <v>2332</v>
      </c>
      <c r="G1318" t="str">
        <f>"00045888"</f>
        <v>00045888</v>
      </c>
      <c r="H1318" t="s">
        <v>1269</v>
      </c>
      <c r="I1318">
        <v>0</v>
      </c>
      <c r="J1318">
        <v>0</v>
      </c>
      <c r="K1318">
        <v>0</v>
      </c>
      <c r="L1318">
        <v>0</v>
      </c>
      <c r="M1318">
        <v>100</v>
      </c>
      <c r="N1318">
        <v>70</v>
      </c>
      <c r="O1318">
        <v>50</v>
      </c>
      <c r="P1318">
        <v>0</v>
      </c>
      <c r="Q1318">
        <v>30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 t="s">
        <v>2333</v>
      </c>
    </row>
    <row r="1319" spans="1:25" x14ac:dyDescent="0.25">
      <c r="H1319" t="s">
        <v>23</v>
      </c>
    </row>
    <row r="1320" spans="1:25" x14ac:dyDescent="0.25">
      <c r="A1320">
        <v>657</v>
      </c>
      <c r="B1320">
        <v>1374</v>
      </c>
      <c r="C1320" t="s">
        <v>2334</v>
      </c>
      <c r="D1320" t="s">
        <v>685</v>
      </c>
      <c r="E1320" t="s">
        <v>21</v>
      </c>
      <c r="F1320" t="s">
        <v>2335</v>
      </c>
      <c r="G1320" t="str">
        <f>"201304006298"</f>
        <v>201304006298</v>
      </c>
      <c r="H1320" t="s">
        <v>2336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70</v>
      </c>
      <c r="O1320">
        <v>70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X1320">
        <v>0</v>
      </c>
      <c r="Y1320" t="s">
        <v>2337</v>
      </c>
    </row>
    <row r="1321" spans="1:25" x14ac:dyDescent="0.25">
      <c r="H1321">
        <v>103</v>
      </c>
    </row>
    <row r="1322" spans="1:25" x14ac:dyDescent="0.25">
      <c r="A1322">
        <v>658</v>
      </c>
      <c r="B1322">
        <v>2465</v>
      </c>
      <c r="C1322" t="s">
        <v>2338</v>
      </c>
      <c r="D1322" t="s">
        <v>20</v>
      </c>
      <c r="E1322" t="s">
        <v>87</v>
      </c>
      <c r="F1322" t="s">
        <v>2339</v>
      </c>
      <c r="G1322" t="str">
        <f>"201410010418"</f>
        <v>201410010418</v>
      </c>
      <c r="H1322" t="s">
        <v>2340</v>
      </c>
      <c r="I1322">
        <v>150</v>
      </c>
      <c r="J1322">
        <v>0</v>
      </c>
      <c r="K1322">
        <v>0</v>
      </c>
      <c r="L1322">
        <v>0</v>
      </c>
      <c r="M1322">
        <v>100</v>
      </c>
      <c r="N1322">
        <v>70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 t="s">
        <v>2341</v>
      </c>
    </row>
    <row r="1323" spans="1:25" x14ac:dyDescent="0.25">
      <c r="H1323" t="s">
        <v>2342</v>
      </c>
    </row>
    <row r="1324" spans="1:25" x14ac:dyDescent="0.25">
      <c r="A1324">
        <v>659</v>
      </c>
      <c r="B1324">
        <v>1782</v>
      </c>
      <c r="C1324" t="s">
        <v>2343</v>
      </c>
      <c r="D1324" t="s">
        <v>266</v>
      </c>
      <c r="E1324" t="s">
        <v>55</v>
      </c>
      <c r="F1324" t="s">
        <v>2344</v>
      </c>
      <c r="G1324" t="str">
        <f>"201406016192"</f>
        <v>201406016192</v>
      </c>
      <c r="H1324" t="s">
        <v>1959</v>
      </c>
      <c r="I1324">
        <v>0</v>
      </c>
      <c r="J1324">
        <v>0</v>
      </c>
      <c r="K1324">
        <v>0</v>
      </c>
      <c r="L1324">
        <v>200</v>
      </c>
      <c r="M1324">
        <v>0</v>
      </c>
      <c r="N1324">
        <v>70</v>
      </c>
      <c r="O1324">
        <v>0</v>
      </c>
      <c r="P1324">
        <v>30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0</v>
      </c>
      <c r="Y1324" t="s">
        <v>2345</v>
      </c>
    </row>
    <row r="1325" spans="1:25" x14ac:dyDescent="0.25">
      <c r="H1325" t="s">
        <v>34</v>
      </c>
    </row>
    <row r="1326" spans="1:25" x14ac:dyDescent="0.25">
      <c r="A1326">
        <v>660</v>
      </c>
      <c r="B1326">
        <v>5959</v>
      </c>
      <c r="C1326" t="s">
        <v>2346</v>
      </c>
      <c r="D1326" t="s">
        <v>900</v>
      </c>
      <c r="E1326" t="s">
        <v>398</v>
      </c>
      <c r="F1326" t="s">
        <v>2347</v>
      </c>
      <c r="G1326" t="str">
        <f>"00011356"</f>
        <v>00011356</v>
      </c>
      <c r="H1326" t="s">
        <v>595</v>
      </c>
      <c r="I1326">
        <v>150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 t="s">
        <v>2348</v>
      </c>
    </row>
    <row r="1327" spans="1:25" x14ac:dyDescent="0.25">
      <c r="H1327" t="s">
        <v>53</v>
      </c>
    </row>
    <row r="1328" spans="1:25" x14ac:dyDescent="0.25">
      <c r="A1328">
        <v>661</v>
      </c>
      <c r="B1328">
        <v>2984</v>
      </c>
      <c r="C1328" t="s">
        <v>2349</v>
      </c>
      <c r="D1328" t="s">
        <v>113</v>
      </c>
      <c r="E1328" t="s">
        <v>1257</v>
      </c>
      <c r="F1328" t="s">
        <v>2350</v>
      </c>
      <c r="G1328" t="str">
        <f>"201405002195"</f>
        <v>201405002195</v>
      </c>
      <c r="H1328" t="s">
        <v>938</v>
      </c>
      <c r="I1328">
        <v>0</v>
      </c>
      <c r="J1328">
        <v>0</v>
      </c>
      <c r="K1328">
        <v>0</v>
      </c>
      <c r="L1328">
        <v>0</v>
      </c>
      <c r="M1328">
        <v>100</v>
      </c>
      <c r="N1328">
        <v>70</v>
      </c>
      <c r="O1328">
        <v>70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 t="s">
        <v>2351</v>
      </c>
    </row>
    <row r="1329" spans="1:25" x14ac:dyDescent="0.25">
      <c r="H1329" t="s">
        <v>53</v>
      </c>
    </row>
    <row r="1330" spans="1:25" x14ac:dyDescent="0.25">
      <c r="A1330">
        <v>662</v>
      </c>
      <c r="B1330">
        <v>2148</v>
      </c>
      <c r="C1330" t="s">
        <v>2041</v>
      </c>
      <c r="D1330" t="s">
        <v>25</v>
      </c>
      <c r="E1330" t="s">
        <v>30</v>
      </c>
      <c r="F1330" t="s">
        <v>2352</v>
      </c>
      <c r="G1330" t="str">
        <f>"00206145"</f>
        <v>00206145</v>
      </c>
      <c r="H1330" t="s">
        <v>2353</v>
      </c>
      <c r="I1330">
        <v>0</v>
      </c>
      <c r="J1330">
        <v>0</v>
      </c>
      <c r="K1330">
        <v>0</v>
      </c>
      <c r="L1330">
        <v>0</v>
      </c>
      <c r="M1330">
        <v>100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0</v>
      </c>
      <c r="Y1330" t="s">
        <v>2354</v>
      </c>
    </row>
    <row r="1331" spans="1:25" x14ac:dyDescent="0.25">
      <c r="H1331" t="s">
        <v>53</v>
      </c>
    </row>
    <row r="1332" spans="1:25" x14ac:dyDescent="0.25">
      <c r="A1332">
        <v>663</v>
      </c>
      <c r="B1332">
        <v>3745</v>
      </c>
      <c r="C1332" t="s">
        <v>2355</v>
      </c>
      <c r="D1332" t="s">
        <v>217</v>
      </c>
      <c r="E1332" t="s">
        <v>61</v>
      </c>
      <c r="F1332" t="s">
        <v>2356</v>
      </c>
      <c r="G1332" t="str">
        <f>"201304004647"</f>
        <v>201304004647</v>
      </c>
      <c r="H1332" t="s">
        <v>2357</v>
      </c>
      <c r="I1332">
        <v>0</v>
      </c>
      <c r="J1332">
        <v>0</v>
      </c>
      <c r="K1332">
        <v>0</v>
      </c>
      <c r="L1332">
        <v>200</v>
      </c>
      <c r="M1332">
        <v>0</v>
      </c>
      <c r="N1332">
        <v>50</v>
      </c>
      <c r="O1332">
        <v>30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0</v>
      </c>
      <c r="Y1332" t="s">
        <v>2354</v>
      </c>
    </row>
    <row r="1333" spans="1:25" x14ac:dyDescent="0.25">
      <c r="H1333" t="s">
        <v>23</v>
      </c>
    </row>
    <row r="1334" spans="1:25" x14ac:dyDescent="0.25">
      <c r="A1334">
        <v>664</v>
      </c>
      <c r="B1334">
        <v>269</v>
      </c>
      <c r="C1334" t="s">
        <v>2358</v>
      </c>
      <c r="D1334" t="s">
        <v>21</v>
      </c>
      <c r="E1334" t="s">
        <v>49</v>
      </c>
      <c r="F1334" t="s">
        <v>2359</v>
      </c>
      <c r="G1334" t="str">
        <f>"00123796"</f>
        <v>00123796</v>
      </c>
      <c r="H1334" t="s">
        <v>511</v>
      </c>
      <c r="I1334">
        <v>0</v>
      </c>
      <c r="J1334">
        <v>0</v>
      </c>
      <c r="K1334">
        <v>0</v>
      </c>
      <c r="L1334">
        <v>200</v>
      </c>
      <c r="M1334">
        <v>0</v>
      </c>
      <c r="N1334">
        <v>30</v>
      </c>
      <c r="O1334">
        <v>30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X1334">
        <v>0</v>
      </c>
      <c r="Y1334" t="s">
        <v>2360</v>
      </c>
    </row>
    <row r="1335" spans="1:25" x14ac:dyDescent="0.25">
      <c r="H1335" t="s">
        <v>23</v>
      </c>
    </row>
    <row r="1336" spans="1:25" x14ac:dyDescent="0.25">
      <c r="A1336">
        <v>665</v>
      </c>
      <c r="B1336">
        <v>3449</v>
      </c>
      <c r="C1336" t="s">
        <v>2361</v>
      </c>
      <c r="D1336" t="s">
        <v>2362</v>
      </c>
      <c r="E1336" t="s">
        <v>87</v>
      </c>
      <c r="F1336" t="s">
        <v>2363</v>
      </c>
      <c r="G1336" t="str">
        <f>"00084027"</f>
        <v>00084027</v>
      </c>
      <c r="H1336" t="s">
        <v>511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30</v>
      </c>
      <c r="O1336">
        <v>0</v>
      </c>
      <c r="P1336">
        <v>30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 t="s">
        <v>2360</v>
      </c>
    </row>
    <row r="1337" spans="1:25" x14ac:dyDescent="0.25">
      <c r="H1337" t="s">
        <v>23</v>
      </c>
    </row>
    <row r="1338" spans="1:25" x14ac:dyDescent="0.25">
      <c r="A1338">
        <v>666</v>
      </c>
      <c r="B1338">
        <v>5347</v>
      </c>
      <c r="C1338" t="s">
        <v>2364</v>
      </c>
      <c r="D1338" t="s">
        <v>20</v>
      </c>
      <c r="E1338" t="s">
        <v>334</v>
      </c>
      <c r="F1338" t="s">
        <v>2365</v>
      </c>
      <c r="G1338" t="str">
        <f>"201406009988"</f>
        <v>201406009988</v>
      </c>
      <c r="H1338" t="s">
        <v>608</v>
      </c>
      <c r="I1338">
        <v>0</v>
      </c>
      <c r="J1338">
        <v>0</v>
      </c>
      <c r="K1338">
        <v>0</v>
      </c>
      <c r="L1338">
        <v>0</v>
      </c>
      <c r="M1338">
        <v>100</v>
      </c>
      <c r="N1338">
        <v>70</v>
      </c>
      <c r="O1338">
        <v>0</v>
      </c>
      <c r="P1338">
        <v>0</v>
      </c>
      <c r="Q1338">
        <v>70</v>
      </c>
      <c r="R1338">
        <v>0</v>
      </c>
      <c r="S1338">
        <v>0</v>
      </c>
      <c r="T1338">
        <v>0</v>
      </c>
      <c r="U1338">
        <v>0</v>
      </c>
      <c r="V1338">
        <v>0</v>
      </c>
      <c r="X1338">
        <v>0</v>
      </c>
      <c r="Y1338" t="s">
        <v>2366</v>
      </c>
    </row>
    <row r="1339" spans="1:25" x14ac:dyDescent="0.25">
      <c r="H1339" t="s">
        <v>23</v>
      </c>
    </row>
    <row r="1340" spans="1:25" x14ac:dyDescent="0.25">
      <c r="A1340">
        <v>667</v>
      </c>
      <c r="B1340">
        <v>1744</v>
      </c>
      <c r="C1340" t="s">
        <v>439</v>
      </c>
      <c r="D1340" t="s">
        <v>1030</v>
      </c>
      <c r="E1340" t="s">
        <v>706</v>
      </c>
      <c r="F1340" t="s">
        <v>2367</v>
      </c>
      <c r="G1340" t="str">
        <f>"201406015980"</f>
        <v>201406015980</v>
      </c>
      <c r="H1340" t="s">
        <v>2368</v>
      </c>
      <c r="I1340">
        <v>0</v>
      </c>
      <c r="J1340">
        <v>0</v>
      </c>
      <c r="K1340">
        <v>0</v>
      </c>
      <c r="L1340">
        <v>200</v>
      </c>
      <c r="M1340">
        <v>0</v>
      </c>
      <c r="N1340">
        <v>70</v>
      </c>
      <c r="O1340">
        <v>50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 t="s">
        <v>2369</v>
      </c>
    </row>
    <row r="1341" spans="1:25" x14ac:dyDescent="0.25">
      <c r="H1341" t="s">
        <v>213</v>
      </c>
    </row>
    <row r="1342" spans="1:25" x14ac:dyDescent="0.25">
      <c r="A1342">
        <v>668</v>
      </c>
      <c r="B1342">
        <v>4159</v>
      </c>
      <c r="C1342" t="s">
        <v>2370</v>
      </c>
      <c r="D1342" t="s">
        <v>571</v>
      </c>
      <c r="E1342" t="s">
        <v>61</v>
      </c>
      <c r="F1342" t="s">
        <v>2371</v>
      </c>
      <c r="G1342" t="str">
        <f>"00117128"</f>
        <v>00117128</v>
      </c>
      <c r="H1342">
        <v>682</v>
      </c>
      <c r="I1342">
        <v>0</v>
      </c>
      <c r="J1342">
        <v>0</v>
      </c>
      <c r="K1342">
        <v>0</v>
      </c>
      <c r="L1342">
        <v>200</v>
      </c>
      <c r="M1342">
        <v>0</v>
      </c>
      <c r="N1342">
        <v>70</v>
      </c>
      <c r="O1342">
        <v>0</v>
      </c>
      <c r="P1342">
        <v>0</v>
      </c>
      <c r="Q1342">
        <v>30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982</v>
      </c>
    </row>
    <row r="1343" spans="1:25" x14ac:dyDescent="0.25">
      <c r="H1343" t="s">
        <v>118</v>
      </c>
    </row>
    <row r="1344" spans="1:25" x14ac:dyDescent="0.25">
      <c r="A1344">
        <v>669</v>
      </c>
      <c r="B1344">
        <v>4170</v>
      </c>
      <c r="C1344" t="s">
        <v>2372</v>
      </c>
      <c r="D1344" t="s">
        <v>760</v>
      </c>
      <c r="E1344" t="s">
        <v>283</v>
      </c>
      <c r="F1344" t="s">
        <v>2373</v>
      </c>
      <c r="G1344" t="str">
        <f>"00100161"</f>
        <v>00100161</v>
      </c>
      <c r="H1344" t="s">
        <v>1218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70</v>
      </c>
      <c r="O1344">
        <v>0</v>
      </c>
      <c r="P1344">
        <v>50</v>
      </c>
      <c r="Q1344">
        <v>0</v>
      </c>
      <c r="R1344">
        <v>30</v>
      </c>
      <c r="S1344">
        <v>0</v>
      </c>
      <c r="T1344">
        <v>0</v>
      </c>
      <c r="U1344">
        <v>0</v>
      </c>
      <c r="V1344">
        <v>0</v>
      </c>
      <c r="X1344">
        <v>0</v>
      </c>
      <c r="Y1344" t="s">
        <v>2374</v>
      </c>
    </row>
    <row r="1345" spans="1:25" x14ac:dyDescent="0.25">
      <c r="H1345" t="s">
        <v>23</v>
      </c>
    </row>
    <row r="1346" spans="1:25" x14ac:dyDescent="0.25">
      <c r="A1346">
        <v>670</v>
      </c>
      <c r="B1346">
        <v>2360</v>
      </c>
      <c r="C1346" t="s">
        <v>2375</v>
      </c>
      <c r="D1346" t="s">
        <v>245</v>
      </c>
      <c r="E1346" t="s">
        <v>49</v>
      </c>
      <c r="F1346" t="s">
        <v>2376</v>
      </c>
      <c r="G1346" t="str">
        <f>"201304004860"</f>
        <v>201304004860</v>
      </c>
      <c r="H1346" t="s">
        <v>1397</v>
      </c>
      <c r="I1346">
        <v>0</v>
      </c>
      <c r="J1346">
        <v>0</v>
      </c>
      <c r="K1346">
        <v>0</v>
      </c>
      <c r="L1346">
        <v>200</v>
      </c>
      <c r="M1346">
        <v>0</v>
      </c>
      <c r="N1346">
        <v>70</v>
      </c>
      <c r="O1346">
        <v>30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 t="s">
        <v>2377</v>
      </c>
    </row>
    <row r="1347" spans="1:25" x14ac:dyDescent="0.25">
      <c r="H1347" t="s">
        <v>53</v>
      </c>
    </row>
    <row r="1348" spans="1:25" x14ac:dyDescent="0.25">
      <c r="A1348">
        <v>671</v>
      </c>
      <c r="B1348">
        <v>59</v>
      </c>
      <c r="C1348" t="s">
        <v>2378</v>
      </c>
      <c r="D1348" t="s">
        <v>322</v>
      </c>
      <c r="E1348" t="s">
        <v>55</v>
      </c>
      <c r="F1348" t="s">
        <v>2379</v>
      </c>
      <c r="G1348" t="str">
        <f>"00124506"</f>
        <v>00124506</v>
      </c>
      <c r="H1348" t="s">
        <v>181</v>
      </c>
      <c r="I1348">
        <v>150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 t="s">
        <v>2380</v>
      </c>
    </row>
    <row r="1349" spans="1:25" x14ac:dyDescent="0.25">
      <c r="H1349" t="s">
        <v>118</v>
      </c>
    </row>
    <row r="1350" spans="1:25" x14ac:dyDescent="0.25">
      <c r="A1350">
        <v>672</v>
      </c>
      <c r="B1350">
        <v>6231</v>
      </c>
      <c r="C1350" t="s">
        <v>2381</v>
      </c>
      <c r="D1350" t="s">
        <v>2382</v>
      </c>
      <c r="E1350" t="s">
        <v>2383</v>
      </c>
      <c r="F1350" t="s">
        <v>2384</v>
      </c>
      <c r="G1350" t="str">
        <f>"00113555"</f>
        <v>00113555</v>
      </c>
      <c r="H1350">
        <v>880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70</v>
      </c>
      <c r="T1350">
        <v>0</v>
      </c>
      <c r="U1350">
        <v>0</v>
      </c>
      <c r="V1350">
        <v>0</v>
      </c>
      <c r="X1350">
        <v>0</v>
      </c>
      <c r="Y1350">
        <v>980</v>
      </c>
    </row>
    <row r="1351" spans="1:25" x14ac:dyDescent="0.25">
      <c r="H1351" t="s">
        <v>23</v>
      </c>
    </row>
    <row r="1352" spans="1:25" x14ac:dyDescent="0.25">
      <c r="A1352">
        <v>673</v>
      </c>
      <c r="B1352">
        <v>3254</v>
      </c>
      <c r="C1352" t="s">
        <v>2015</v>
      </c>
      <c r="D1352" t="s">
        <v>2385</v>
      </c>
      <c r="E1352" t="s">
        <v>283</v>
      </c>
      <c r="F1352" t="s">
        <v>2386</v>
      </c>
      <c r="G1352" t="str">
        <f>"00014010"</f>
        <v>00014010</v>
      </c>
      <c r="H1352" t="s">
        <v>51</v>
      </c>
      <c r="I1352">
        <v>0</v>
      </c>
      <c r="J1352">
        <v>0</v>
      </c>
      <c r="K1352">
        <v>0</v>
      </c>
      <c r="L1352">
        <v>0</v>
      </c>
      <c r="M1352">
        <v>100</v>
      </c>
      <c r="N1352">
        <v>70</v>
      </c>
      <c r="O1352">
        <v>30</v>
      </c>
      <c r="P1352">
        <v>0</v>
      </c>
      <c r="Q1352">
        <v>0</v>
      </c>
      <c r="R1352">
        <v>30</v>
      </c>
      <c r="S1352">
        <v>0</v>
      </c>
      <c r="T1352">
        <v>0</v>
      </c>
      <c r="U1352">
        <v>0</v>
      </c>
      <c r="V1352">
        <v>0</v>
      </c>
      <c r="X1352">
        <v>0</v>
      </c>
      <c r="Y1352" t="s">
        <v>2387</v>
      </c>
    </row>
    <row r="1353" spans="1:25" x14ac:dyDescent="0.25">
      <c r="H1353" t="s">
        <v>23</v>
      </c>
    </row>
    <row r="1354" spans="1:25" x14ac:dyDescent="0.25">
      <c r="A1354">
        <v>674</v>
      </c>
      <c r="B1354">
        <v>6142</v>
      </c>
      <c r="C1354" t="s">
        <v>2388</v>
      </c>
      <c r="D1354" t="s">
        <v>2182</v>
      </c>
      <c r="E1354" t="s">
        <v>291</v>
      </c>
      <c r="F1354" t="s">
        <v>2389</v>
      </c>
      <c r="G1354" t="str">
        <f>"201406008508"</f>
        <v>201406008508</v>
      </c>
      <c r="H1354" t="s">
        <v>1066</v>
      </c>
      <c r="I1354">
        <v>150</v>
      </c>
      <c r="J1354">
        <v>0</v>
      </c>
      <c r="K1354">
        <v>0</v>
      </c>
      <c r="L1354">
        <v>0</v>
      </c>
      <c r="M1354">
        <v>0</v>
      </c>
      <c r="N1354">
        <v>70</v>
      </c>
      <c r="O1354">
        <v>70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 t="s">
        <v>2390</v>
      </c>
    </row>
    <row r="1355" spans="1:25" x14ac:dyDescent="0.25">
      <c r="H1355" t="s">
        <v>118</v>
      </c>
    </row>
    <row r="1356" spans="1:25" x14ac:dyDescent="0.25">
      <c r="A1356">
        <v>675</v>
      </c>
      <c r="B1356">
        <v>5964</v>
      </c>
      <c r="C1356" t="s">
        <v>2391</v>
      </c>
      <c r="D1356" t="s">
        <v>25</v>
      </c>
      <c r="E1356" t="s">
        <v>87</v>
      </c>
      <c r="F1356" t="s">
        <v>2392</v>
      </c>
      <c r="G1356" t="str">
        <f>"201405001989"</f>
        <v>201405001989</v>
      </c>
      <c r="H1356" t="s">
        <v>980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0</v>
      </c>
      <c r="P1356">
        <v>70</v>
      </c>
      <c r="Q1356">
        <v>0</v>
      </c>
      <c r="R1356">
        <v>0</v>
      </c>
      <c r="S1356">
        <v>0</v>
      </c>
      <c r="T1356">
        <v>50</v>
      </c>
      <c r="U1356">
        <v>50</v>
      </c>
      <c r="V1356">
        <v>0</v>
      </c>
      <c r="X1356">
        <v>0</v>
      </c>
      <c r="Y1356" t="s">
        <v>2393</v>
      </c>
    </row>
    <row r="1357" spans="1:25" x14ac:dyDescent="0.25">
      <c r="H1357" t="s">
        <v>91</v>
      </c>
    </row>
    <row r="1358" spans="1:25" x14ac:dyDescent="0.25">
      <c r="A1358">
        <v>676</v>
      </c>
      <c r="B1358">
        <v>5492</v>
      </c>
      <c r="C1358" t="s">
        <v>2394</v>
      </c>
      <c r="D1358" t="s">
        <v>2395</v>
      </c>
      <c r="E1358" t="s">
        <v>93</v>
      </c>
      <c r="F1358" t="s">
        <v>2396</v>
      </c>
      <c r="G1358" t="str">
        <f>"201506000023"</f>
        <v>201506000023</v>
      </c>
      <c r="H1358" t="s">
        <v>984</v>
      </c>
      <c r="I1358">
        <v>0</v>
      </c>
      <c r="J1358">
        <v>0</v>
      </c>
      <c r="K1358">
        <v>0</v>
      </c>
      <c r="L1358">
        <v>0</v>
      </c>
      <c r="M1358">
        <v>100</v>
      </c>
      <c r="N1358">
        <v>70</v>
      </c>
      <c r="O1358">
        <v>30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0</v>
      </c>
      <c r="Y1358" t="s">
        <v>2397</v>
      </c>
    </row>
    <row r="1359" spans="1:25" x14ac:dyDescent="0.25">
      <c r="H1359" t="s">
        <v>213</v>
      </c>
    </row>
    <row r="1360" spans="1:25" x14ac:dyDescent="0.25">
      <c r="A1360">
        <v>677</v>
      </c>
      <c r="B1360">
        <v>1449</v>
      </c>
      <c r="C1360" t="s">
        <v>2398</v>
      </c>
      <c r="D1360" t="s">
        <v>2399</v>
      </c>
      <c r="E1360" t="s">
        <v>2400</v>
      </c>
      <c r="F1360" t="s">
        <v>2401</v>
      </c>
      <c r="G1360" t="str">
        <f>"00127680"</f>
        <v>00127680</v>
      </c>
      <c r="H1360" t="s">
        <v>1337</v>
      </c>
      <c r="I1360">
        <v>0</v>
      </c>
      <c r="J1360">
        <v>0</v>
      </c>
      <c r="K1360">
        <v>0</v>
      </c>
      <c r="L1360">
        <v>200</v>
      </c>
      <c r="M1360">
        <v>30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X1360">
        <v>0</v>
      </c>
      <c r="Y1360" t="s">
        <v>2402</v>
      </c>
    </row>
    <row r="1361" spans="1:25" x14ac:dyDescent="0.25">
      <c r="H1361" t="s">
        <v>34</v>
      </c>
    </row>
    <row r="1362" spans="1:25" x14ac:dyDescent="0.25">
      <c r="A1362">
        <v>678</v>
      </c>
      <c r="B1362">
        <v>2346</v>
      </c>
      <c r="C1362" t="s">
        <v>2403</v>
      </c>
      <c r="D1362" t="s">
        <v>2404</v>
      </c>
      <c r="E1362" t="s">
        <v>1035</v>
      </c>
      <c r="F1362" t="s">
        <v>2405</v>
      </c>
      <c r="G1362" t="str">
        <f>"00114117"</f>
        <v>00114117</v>
      </c>
      <c r="H1362" t="s">
        <v>175</v>
      </c>
      <c r="I1362">
        <v>0</v>
      </c>
      <c r="J1362">
        <v>0</v>
      </c>
      <c r="K1362">
        <v>0</v>
      </c>
      <c r="L1362">
        <v>0</v>
      </c>
      <c r="M1362">
        <v>100</v>
      </c>
      <c r="N1362">
        <v>70</v>
      </c>
      <c r="O1362">
        <v>0</v>
      </c>
      <c r="P1362">
        <v>50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X1362">
        <v>0</v>
      </c>
      <c r="Y1362" t="s">
        <v>2406</v>
      </c>
    </row>
    <row r="1363" spans="1:25" x14ac:dyDescent="0.25">
      <c r="H1363" t="s">
        <v>118</v>
      </c>
    </row>
    <row r="1364" spans="1:25" x14ac:dyDescent="0.25">
      <c r="A1364">
        <v>679</v>
      </c>
      <c r="B1364">
        <v>5353</v>
      </c>
      <c r="C1364" t="s">
        <v>2407</v>
      </c>
      <c r="D1364" t="s">
        <v>1207</v>
      </c>
      <c r="E1364" t="s">
        <v>1183</v>
      </c>
      <c r="F1364" t="s">
        <v>2408</v>
      </c>
      <c r="G1364" t="str">
        <f>"00128623"</f>
        <v>00128623</v>
      </c>
      <c r="H1364" t="s">
        <v>2409</v>
      </c>
      <c r="I1364">
        <v>0</v>
      </c>
      <c r="J1364">
        <v>0</v>
      </c>
      <c r="K1364">
        <v>0</v>
      </c>
      <c r="L1364">
        <v>200</v>
      </c>
      <c r="M1364">
        <v>0</v>
      </c>
      <c r="N1364">
        <v>30</v>
      </c>
      <c r="O1364">
        <v>70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0</v>
      </c>
      <c r="Y1364" t="s">
        <v>2410</v>
      </c>
    </row>
    <row r="1365" spans="1:25" x14ac:dyDescent="0.25">
      <c r="H1365" t="s">
        <v>91</v>
      </c>
    </row>
    <row r="1366" spans="1:25" x14ac:dyDescent="0.25">
      <c r="A1366">
        <v>680</v>
      </c>
      <c r="B1366">
        <v>5889</v>
      </c>
      <c r="C1366" t="s">
        <v>2411</v>
      </c>
      <c r="D1366" t="s">
        <v>509</v>
      </c>
      <c r="E1366" t="s">
        <v>114</v>
      </c>
      <c r="F1366" t="s">
        <v>2412</v>
      </c>
      <c r="G1366" t="str">
        <f>"201511035521"</f>
        <v>201511035521</v>
      </c>
      <c r="H1366" t="s">
        <v>2409</v>
      </c>
      <c r="I1366">
        <v>0</v>
      </c>
      <c r="J1366">
        <v>0</v>
      </c>
      <c r="K1366">
        <v>0</v>
      </c>
      <c r="L1366">
        <v>200</v>
      </c>
      <c r="M1366">
        <v>0</v>
      </c>
      <c r="N1366">
        <v>70</v>
      </c>
      <c r="O1366">
        <v>30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0</v>
      </c>
      <c r="Y1366" t="s">
        <v>2410</v>
      </c>
    </row>
    <row r="1367" spans="1:25" x14ac:dyDescent="0.25">
      <c r="H1367" t="s">
        <v>23</v>
      </c>
    </row>
    <row r="1368" spans="1:25" x14ac:dyDescent="0.25">
      <c r="A1368">
        <v>681</v>
      </c>
      <c r="B1368">
        <v>2902</v>
      </c>
      <c r="C1368" t="s">
        <v>2413</v>
      </c>
      <c r="D1368" t="s">
        <v>2414</v>
      </c>
      <c r="E1368" t="s">
        <v>49</v>
      </c>
      <c r="F1368" t="s">
        <v>2415</v>
      </c>
      <c r="G1368" t="str">
        <f>"201304002865"</f>
        <v>201304002865</v>
      </c>
      <c r="H1368" t="s">
        <v>39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70</v>
      </c>
      <c r="O1368">
        <v>50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X1368">
        <v>0</v>
      </c>
      <c r="Y1368" t="s">
        <v>2416</v>
      </c>
    </row>
    <row r="1369" spans="1:25" x14ac:dyDescent="0.25">
      <c r="H1369">
        <v>101</v>
      </c>
    </row>
    <row r="1370" spans="1:25" x14ac:dyDescent="0.25">
      <c r="A1370">
        <v>682</v>
      </c>
      <c r="B1370">
        <v>2215</v>
      </c>
      <c r="C1370" t="s">
        <v>2417</v>
      </c>
      <c r="D1370" t="s">
        <v>43</v>
      </c>
      <c r="E1370" t="s">
        <v>21</v>
      </c>
      <c r="F1370" t="s">
        <v>2418</v>
      </c>
      <c r="G1370" t="str">
        <f>"00012914"</f>
        <v>00012914</v>
      </c>
      <c r="H1370" t="s">
        <v>2419</v>
      </c>
      <c r="I1370">
        <v>0</v>
      </c>
      <c r="J1370">
        <v>0</v>
      </c>
      <c r="K1370">
        <v>0</v>
      </c>
      <c r="L1370">
        <v>200</v>
      </c>
      <c r="M1370">
        <v>0</v>
      </c>
      <c r="N1370">
        <v>70</v>
      </c>
      <c r="O1370">
        <v>0</v>
      </c>
      <c r="P1370">
        <v>50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X1370">
        <v>1</v>
      </c>
      <c r="Y1370" t="s">
        <v>2420</v>
      </c>
    </row>
    <row r="1371" spans="1:25" x14ac:dyDescent="0.25">
      <c r="H1371" t="s">
        <v>23</v>
      </c>
    </row>
    <row r="1372" spans="1:25" x14ac:dyDescent="0.25">
      <c r="A1372">
        <v>683</v>
      </c>
      <c r="B1372">
        <v>1229</v>
      </c>
      <c r="C1372" t="s">
        <v>1200</v>
      </c>
      <c r="D1372" t="s">
        <v>2421</v>
      </c>
      <c r="E1372" t="s">
        <v>200</v>
      </c>
      <c r="F1372" t="s">
        <v>2422</v>
      </c>
      <c r="G1372" t="str">
        <f>"201506003036"</f>
        <v>201506003036</v>
      </c>
      <c r="H1372" t="s">
        <v>1276</v>
      </c>
      <c r="I1372">
        <v>0</v>
      </c>
      <c r="J1372">
        <v>0</v>
      </c>
      <c r="K1372">
        <v>0</v>
      </c>
      <c r="L1372">
        <v>200</v>
      </c>
      <c r="M1372">
        <v>0</v>
      </c>
      <c r="N1372">
        <v>70</v>
      </c>
      <c r="O1372">
        <v>0</v>
      </c>
      <c r="P1372">
        <v>0</v>
      </c>
      <c r="Q1372">
        <v>30</v>
      </c>
      <c r="R1372">
        <v>0</v>
      </c>
      <c r="S1372">
        <v>0</v>
      </c>
      <c r="T1372">
        <v>0</v>
      </c>
      <c r="U1372">
        <v>0</v>
      </c>
      <c r="V1372">
        <v>0</v>
      </c>
      <c r="X1372">
        <v>2</v>
      </c>
      <c r="Y1372" t="s">
        <v>2423</v>
      </c>
    </row>
    <row r="1373" spans="1:25" x14ac:dyDescent="0.25">
      <c r="H1373" t="s">
        <v>34</v>
      </c>
    </row>
    <row r="1374" spans="1:25" x14ac:dyDescent="0.25">
      <c r="A1374">
        <v>684</v>
      </c>
      <c r="B1374">
        <v>3654</v>
      </c>
      <c r="C1374" t="s">
        <v>2424</v>
      </c>
      <c r="D1374" t="s">
        <v>25</v>
      </c>
      <c r="E1374" t="s">
        <v>49</v>
      </c>
      <c r="F1374" t="s">
        <v>2425</v>
      </c>
      <c r="G1374" t="str">
        <f>"201406005768"</f>
        <v>201406005768</v>
      </c>
      <c r="H1374" t="s">
        <v>1276</v>
      </c>
      <c r="I1374">
        <v>0</v>
      </c>
      <c r="J1374">
        <v>0</v>
      </c>
      <c r="K1374">
        <v>0</v>
      </c>
      <c r="L1374">
        <v>200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30</v>
      </c>
      <c r="S1374">
        <v>0</v>
      </c>
      <c r="T1374">
        <v>0</v>
      </c>
      <c r="U1374">
        <v>0</v>
      </c>
      <c r="V1374">
        <v>0</v>
      </c>
      <c r="X1374">
        <v>0</v>
      </c>
      <c r="Y1374" t="s">
        <v>2423</v>
      </c>
    </row>
    <row r="1375" spans="1:25" x14ac:dyDescent="0.25">
      <c r="H1375" t="s">
        <v>23</v>
      </c>
    </row>
    <row r="1376" spans="1:25" x14ac:dyDescent="0.25">
      <c r="A1376">
        <v>685</v>
      </c>
      <c r="B1376">
        <v>5014</v>
      </c>
      <c r="C1376" t="s">
        <v>2426</v>
      </c>
      <c r="D1376" t="s">
        <v>209</v>
      </c>
      <c r="E1376" t="s">
        <v>43</v>
      </c>
      <c r="F1376" t="s">
        <v>2427</v>
      </c>
      <c r="G1376" t="str">
        <f>"201304004924"</f>
        <v>201304004924</v>
      </c>
      <c r="H1376">
        <v>704</v>
      </c>
      <c r="I1376">
        <v>0</v>
      </c>
      <c r="J1376">
        <v>0</v>
      </c>
      <c r="K1376">
        <v>0</v>
      </c>
      <c r="L1376">
        <v>200</v>
      </c>
      <c r="M1376">
        <v>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X1376">
        <v>1</v>
      </c>
      <c r="Y1376">
        <v>974</v>
      </c>
    </row>
    <row r="1377" spans="1:25" x14ac:dyDescent="0.25">
      <c r="H1377" t="s">
        <v>34</v>
      </c>
    </row>
    <row r="1378" spans="1:25" x14ac:dyDescent="0.25">
      <c r="A1378">
        <v>686</v>
      </c>
      <c r="B1378">
        <v>3025</v>
      </c>
      <c r="C1378" t="s">
        <v>2428</v>
      </c>
      <c r="D1378" t="s">
        <v>2429</v>
      </c>
      <c r="E1378" t="s">
        <v>49</v>
      </c>
      <c r="F1378" t="s">
        <v>2430</v>
      </c>
      <c r="G1378" t="str">
        <f>"00126570"</f>
        <v>00126570</v>
      </c>
      <c r="H1378">
        <v>704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X1378">
        <v>0</v>
      </c>
      <c r="Y1378">
        <v>974</v>
      </c>
    </row>
    <row r="1379" spans="1:25" x14ac:dyDescent="0.25">
      <c r="H1379" t="s">
        <v>23</v>
      </c>
    </row>
    <row r="1380" spans="1:25" x14ac:dyDescent="0.25">
      <c r="A1380">
        <v>687</v>
      </c>
      <c r="B1380">
        <v>3012</v>
      </c>
      <c r="C1380" t="s">
        <v>2431</v>
      </c>
      <c r="D1380" t="s">
        <v>1087</v>
      </c>
      <c r="E1380" t="s">
        <v>61</v>
      </c>
      <c r="F1380" t="s">
        <v>2432</v>
      </c>
      <c r="G1380" t="str">
        <f>"00208406"</f>
        <v>00208406</v>
      </c>
      <c r="H1380" t="s">
        <v>1286</v>
      </c>
      <c r="I1380">
        <v>0</v>
      </c>
      <c r="J1380">
        <v>0</v>
      </c>
      <c r="K1380">
        <v>0</v>
      </c>
      <c r="L1380">
        <v>0</v>
      </c>
      <c r="M1380">
        <v>100</v>
      </c>
      <c r="N1380">
        <v>70</v>
      </c>
      <c r="O1380">
        <v>30</v>
      </c>
      <c r="P1380">
        <v>0</v>
      </c>
      <c r="Q1380">
        <v>0</v>
      </c>
      <c r="R1380">
        <v>50</v>
      </c>
      <c r="S1380">
        <v>0</v>
      </c>
      <c r="T1380">
        <v>0</v>
      </c>
      <c r="U1380">
        <v>0</v>
      </c>
      <c r="V1380">
        <v>0</v>
      </c>
      <c r="X1380">
        <v>0</v>
      </c>
      <c r="Y1380" t="s">
        <v>2433</v>
      </c>
    </row>
    <row r="1381" spans="1:25" x14ac:dyDescent="0.25">
      <c r="H1381" t="s">
        <v>34</v>
      </c>
    </row>
    <row r="1382" spans="1:25" x14ac:dyDescent="0.25">
      <c r="A1382">
        <v>688</v>
      </c>
      <c r="B1382">
        <v>2303</v>
      </c>
      <c r="C1382" t="s">
        <v>2434</v>
      </c>
      <c r="D1382" t="s">
        <v>113</v>
      </c>
      <c r="E1382" t="s">
        <v>55</v>
      </c>
      <c r="F1382" t="s">
        <v>2435</v>
      </c>
      <c r="G1382" t="str">
        <f>"00183484"</f>
        <v>00183484</v>
      </c>
      <c r="H1382" t="s">
        <v>2436</v>
      </c>
      <c r="I1382">
        <v>0</v>
      </c>
      <c r="J1382">
        <v>0</v>
      </c>
      <c r="K1382">
        <v>0</v>
      </c>
      <c r="L1382">
        <v>0</v>
      </c>
      <c r="M1382">
        <v>100</v>
      </c>
      <c r="N1382">
        <v>70</v>
      </c>
      <c r="O1382">
        <v>70</v>
      </c>
      <c r="P1382">
        <v>50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X1382">
        <v>0</v>
      </c>
      <c r="Y1382" t="s">
        <v>2437</v>
      </c>
    </row>
    <row r="1383" spans="1:25" x14ac:dyDescent="0.25">
      <c r="H1383">
        <v>103</v>
      </c>
    </row>
    <row r="1384" spans="1:25" x14ac:dyDescent="0.25">
      <c r="A1384">
        <v>689</v>
      </c>
      <c r="B1384">
        <v>6406</v>
      </c>
      <c r="C1384" t="s">
        <v>2438</v>
      </c>
      <c r="D1384" t="s">
        <v>509</v>
      </c>
      <c r="E1384" t="s">
        <v>200</v>
      </c>
      <c r="F1384" t="s">
        <v>2439</v>
      </c>
      <c r="G1384" t="str">
        <f>"00130063"</f>
        <v>00130063</v>
      </c>
      <c r="H1384" t="s">
        <v>2440</v>
      </c>
      <c r="I1384">
        <v>0</v>
      </c>
      <c r="J1384">
        <v>0</v>
      </c>
      <c r="K1384">
        <v>0</v>
      </c>
      <c r="L1384">
        <v>200</v>
      </c>
      <c r="M1384">
        <v>0</v>
      </c>
      <c r="N1384">
        <v>70</v>
      </c>
      <c r="O1384">
        <v>0</v>
      </c>
      <c r="P1384">
        <v>50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X1384">
        <v>0</v>
      </c>
      <c r="Y1384" t="s">
        <v>2441</v>
      </c>
    </row>
    <row r="1385" spans="1:25" x14ac:dyDescent="0.25">
      <c r="H1385">
        <v>101</v>
      </c>
    </row>
    <row r="1386" spans="1:25" x14ac:dyDescent="0.25">
      <c r="A1386">
        <v>690</v>
      </c>
      <c r="B1386">
        <v>3206</v>
      </c>
      <c r="C1386" t="s">
        <v>2225</v>
      </c>
      <c r="D1386" t="s">
        <v>25</v>
      </c>
      <c r="E1386" t="s">
        <v>87</v>
      </c>
      <c r="F1386" t="s">
        <v>2442</v>
      </c>
      <c r="G1386" t="str">
        <f>"00015141"</f>
        <v>00015141</v>
      </c>
      <c r="H1386" t="s">
        <v>2368</v>
      </c>
      <c r="I1386">
        <v>150</v>
      </c>
      <c r="J1386">
        <v>0</v>
      </c>
      <c r="K1386">
        <v>0</v>
      </c>
      <c r="L1386">
        <v>0</v>
      </c>
      <c r="M1386">
        <v>100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30</v>
      </c>
      <c r="T1386">
        <v>0</v>
      </c>
      <c r="U1386">
        <v>0</v>
      </c>
      <c r="V1386">
        <v>0</v>
      </c>
      <c r="X1386">
        <v>2</v>
      </c>
      <c r="Y1386" t="s">
        <v>2443</v>
      </c>
    </row>
    <row r="1387" spans="1:25" x14ac:dyDescent="0.25">
      <c r="H1387" t="s">
        <v>23</v>
      </c>
    </row>
    <row r="1388" spans="1:25" x14ac:dyDescent="0.25">
      <c r="A1388">
        <v>691</v>
      </c>
      <c r="B1388">
        <v>6097</v>
      </c>
      <c r="C1388" t="s">
        <v>2444</v>
      </c>
      <c r="D1388" t="s">
        <v>1030</v>
      </c>
      <c r="E1388" t="s">
        <v>252</v>
      </c>
      <c r="F1388" t="s">
        <v>2445</v>
      </c>
      <c r="G1388" t="str">
        <f>"00014135"</f>
        <v>00014135</v>
      </c>
      <c r="H1388" t="s">
        <v>1994</v>
      </c>
      <c r="I1388">
        <v>0</v>
      </c>
      <c r="J1388">
        <v>0</v>
      </c>
      <c r="K1388">
        <v>0</v>
      </c>
      <c r="L1388">
        <v>200</v>
      </c>
      <c r="M1388">
        <v>0</v>
      </c>
      <c r="N1388">
        <v>70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X1388">
        <v>0</v>
      </c>
      <c r="Y1388" t="s">
        <v>2446</v>
      </c>
    </row>
    <row r="1389" spans="1:25" x14ac:dyDescent="0.25">
      <c r="H1389" t="s">
        <v>23</v>
      </c>
    </row>
    <row r="1390" spans="1:25" x14ac:dyDescent="0.25">
      <c r="A1390">
        <v>692</v>
      </c>
      <c r="B1390">
        <v>3939</v>
      </c>
      <c r="C1390" t="s">
        <v>2447</v>
      </c>
      <c r="D1390" t="s">
        <v>598</v>
      </c>
      <c r="E1390" t="s">
        <v>61</v>
      </c>
      <c r="F1390" t="s">
        <v>2448</v>
      </c>
      <c r="G1390" t="str">
        <f>"00124559"</f>
        <v>00124559</v>
      </c>
      <c r="H1390">
        <v>660</v>
      </c>
      <c r="I1390">
        <v>0</v>
      </c>
      <c r="J1390">
        <v>0</v>
      </c>
      <c r="K1390">
        <v>0</v>
      </c>
      <c r="L1390">
        <v>200</v>
      </c>
      <c r="M1390">
        <v>0</v>
      </c>
      <c r="N1390">
        <v>30</v>
      </c>
      <c r="O1390">
        <v>0</v>
      </c>
      <c r="P1390">
        <v>0</v>
      </c>
      <c r="Q1390">
        <v>50</v>
      </c>
      <c r="R1390">
        <v>30</v>
      </c>
      <c r="S1390">
        <v>0</v>
      </c>
      <c r="T1390">
        <v>0</v>
      </c>
      <c r="U1390">
        <v>0</v>
      </c>
      <c r="V1390">
        <v>0</v>
      </c>
      <c r="X1390">
        <v>0</v>
      </c>
      <c r="Y1390">
        <v>970</v>
      </c>
    </row>
    <row r="1391" spans="1:25" x14ac:dyDescent="0.25">
      <c r="H1391" t="s">
        <v>34</v>
      </c>
    </row>
    <row r="1392" spans="1:25" x14ac:dyDescent="0.25">
      <c r="A1392">
        <v>693</v>
      </c>
      <c r="B1392">
        <v>2782</v>
      </c>
      <c r="C1392" t="s">
        <v>2449</v>
      </c>
      <c r="D1392" t="s">
        <v>2450</v>
      </c>
      <c r="E1392" t="s">
        <v>43</v>
      </c>
      <c r="F1392" t="s">
        <v>2451</v>
      </c>
      <c r="G1392" t="str">
        <f>"00195706"</f>
        <v>00195706</v>
      </c>
      <c r="H1392" t="s">
        <v>1230</v>
      </c>
      <c r="I1392">
        <v>0</v>
      </c>
      <c r="J1392">
        <v>0</v>
      </c>
      <c r="K1392">
        <v>0</v>
      </c>
      <c r="L1392">
        <v>0</v>
      </c>
      <c r="M1392">
        <v>100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X1392">
        <v>0</v>
      </c>
      <c r="Y1392" t="s">
        <v>2452</v>
      </c>
    </row>
    <row r="1393" spans="1:25" x14ac:dyDescent="0.25">
      <c r="H1393" t="s">
        <v>53</v>
      </c>
    </row>
    <row r="1394" spans="1:25" x14ac:dyDescent="0.25">
      <c r="A1394">
        <v>694</v>
      </c>
      <c r="B1394">
        <v>5602</v>
      </c>
      <c r="C1394" t="s">
        <v>2453</v>
      </c>
      <c r="D1394" t="s">
        <v>598</v>
      </c>
      <c r="E1394" t="s">
        <v>49</v>
      </c>
      <c r="F1394" t="s">
        <v>2454</v>
      </c>
      <c r="G1394" t="str">
        <f>"201304000578"</f>
        <v>201304000578</v>
      </c>
      <c r="H1394" t="s">
        <v>2007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30</v>
      </c>
      <c r="O1394">
        <v>0</v>
      </c>
      <c r="P1394">
        <v>50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X1394">
        <v>0</v>
      </c>
      <c r="Y1394" t="s">
        <v>2452</v>
      </c>
    </row>
    <row r="1395" spans="1:25" x14ac:dyDescent="0.25">
      <c r="H1395" t="s">
        <v>53</v>
      </c>
    </row>
    <row r="1396" spans="1:25" x14ac:dyDescent="0.25">
      <c r="A1396">
        <v>695</v>
      </c>
      <c r="B1396">
        <v>586</v>
      </c>
      <c r="C1396" t="s">
        <v>2455</v>
      </c>
      <c r="D1396" t="s">
        <v>2456</v>
      </c>
      <c r="E1396" t="s">
        <v>2298</v>
      </c>
      <c r="F1396" t="s">
        <v>2457</v>
      </c>
      <c r="G1396" t="str">
        <f>"201506003074"</f>
        <v>201506003074</v>
      </c>
      <c r="H1396" t="s">
        <v>2458</v>
      </c>
      <c r="I1396">
        <v>0</v>
      </c>
      <c r="J1396">
        <v>0</v>
      </c>
      <c r="K1396">
        <v>0</v>
      </c>
      <c r="L1396">
        <v>200</v>
      </c>
      <c r="M1396">
        <v>0</v>
      </c>
      <c r="N1396">
        <v>70</v>
      </c>
      <c r="O1396">
        <v>0</v>
      </c>
      <c r="P1396">
        <v>30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X1396">
        <v>0</v>
      </c>
      <c r="Y1396" t="s">
        <v>2459</v>
      </c>
    </row>
    <row r="1397" spans="1:25" x14ac:dyDescent="0.25">
      <c r="H1397" t="s">
        <v>23</v>
      </c>
    </row>
    <row r="1398" spans="1:25" x14ac:dyDescent="0.25">
      <c r="A1398">
        <v>696</v>
      </c>
      <c r="B1398">
        <v>6241</v>
      </c>
      <c r="C1398" t="s">
        <v>2460</v>
      </c>
      <c r="D1398" t="s">
        <v>2461</v>
      </c>
      <c r="E1398" t="s">
        <v>130</v>
      </c>
      <c r="F1398" t="s">
        <v>2462</v>
      </c>
      <c r="G1398" t="str">
        <f>"201304003448"</f>
        <v>201304003448</v>
      </c>
      <c r="H1398" t="s">
        <v>798</v>
      </c>
      <c r="I1398">
        <v>0</v>
      </c>
      <c r="J1398">
        <v>0</v>
      </c>
      <c r="K1398">
        <v>0</v>
      </c>
      <c r="L1398">
        <v>200</v>
      </c>
      <c r="M1398">
        <v>0</v>
      </c>
      <c r="N1398">
        <v>50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X1398">
        <v>0</v>
      </c>
      <c r="Y1398" t="s">
        <v>2463</v>
      </c>
    </row>
    <row r="1399" spans="1:25" x14ac:dyDescent="0.25">
      <c r="H1399" t="s">
        <v>34</v>
      </c>
    </row>
    <row r="1400" spans="1:25" x14ac:dyDescent="0.25">
      <c r="A1400">
        <v>697</v>
      </c>
      <c r="B1400">
        <v>1246</v>
      </c>
      <c r="C1400" t="s">
        <v>2464</v>
      </c>
      <c r="D1400" t="s">
        <v>645</v>
      </c>
      <c r="E1400" t="s">
        <v>709</v>
      </c>
      <c r="F1400" t="s">
        <v>2465</v>
      </c>
      <c r="G1400" t="str">
        <f>"201505000447"</f>
        <v>201505000447</v>
      </c>
      <c r="H1400" t="s">
        <v>723</v>
      </c>
      <c r="I1400">
        <v>0</v>
      </c>
      <c r="J1400">
        <v>0</v>
      </c>
      <c r="K1400">
        <v>0</v>
      </c>
      <c r="L1400">
        <v>0</v>
      </c>
      <c r="M1400">
        <v>100</v>
      </c>
      <c r="N1400">
        <v>70</v>
      </c>
      <c r="O1400">
        <v>0</v>
      </c>
      <c r="P1400">
        <v>0</v>
      </c>
      <c r="Q1400">
        <v>0</v>
      </c>
      <c r="R1400">
        <v>70</v>
      </c>
      <c r="S1400">
        <v>0</v>
      </c>
      <c r="T1400">
        <v>0</v>
      </c>
      <c r="U1400">
        <v>0</v>
      </c>
      <c r="V1400">
        <v>0</v>
      </c>
      <c r="X1400">
        <v>0</v>
      </c>
      <c r="Y1400" t="s">
        <v>2466</v>
      </c>
    </row>
    <row r="1401" spans="1:25" x14ac:dyDescent="0.25">
      <c r="H1401" t="s">
        <v>34</v>
      </c>
    </row>
    <row r="1402" spans="1:25" x14ac:dyDescent="0.25">
      <c r="A1402">
        <v>698</v>
      </c>
      <c r="B1402">
        <v>3373</v>
      </c>
      <c r="C1402" t="s">
        <v>2467</v>
      </c>
      <c r="D1402" t="s">
        <v>1340</v>
      </c>
      <c r="E1402" t="s">
        <v>49</v>
      </c>
      <c r="F1402" t="s">
        <v>2468</v>
      </c>
      <c r="G1402" t="str">
        <f>"200803000640"</f>
        <v>200803000640</v>
      </c>
      <c r="H1402" t="s">
        <v>1747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50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70</v>
      </c>
      <c r="U1402">
        <v>0</v>
      </c>
      <c r="V1402">
        <v>0</v>
      </c>
      <c r="X1402">
        <v>0</v>
      </c>
      <c r="Y1402" t="s">
        <v>2469</v>
      </c>
    </row>
    <row r="1403" spans="1:25" x14ac:dyDescent="0.25">
      <c r="H1403" t="s">
        <v>91</v>
      </c>
    </row>
    <row r="1404" spans="1:25" x14ac:dyDescent="0.25">
      <c r="A1404">
        <v>699</v>
      </c>
      <c r="B1404">
        <v>5088</v>
      </c>
      <c r="C1404" t="s">
        <v>2470</v>
      </c>
      <c r="D1404" t="s">
        <v>159</v>
      </c>
      <c r="E1404" t="s">
        <v>43</v>
      </c>
      <c r="F1404" t="s">
        <v>2471</v>
      </c>
      <c r="G1404" t="str">
        <f>"00197192"</f>
        <v>00197192</v>
      </c>
      <c r="H1404" t="s">
        <v>2047</v>
      </c>
      <c r="I1404">
        <v>0</v>
      </c>
      <c r="J1404">
        <v>0</v>
      </c>
      <c r="K1404">
        <v>0</v>
      </c>
      <c r="L1404">
        <v>200</v>
      </c>
      <c r="M1404">
        <v>0</v>
      </c>
      <c r="N1404">
        <v>70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X1404">
        <v>0</v>
      </c>
      <c r="Y1404" t="s">
        <v>2472</v>
      </c>
    </row>
    <row r="1405" spans="1:25" x14ac:dyDescent="0.25">
      <c r="H1405" t="s">
        <v>34</v>
      </c>
    </row>
    <row r="1406" spans="1:25" x14ac:dyDescent="0.25">
      <c r="A1406">
        <v>700</v>
      </c>
      <c r="B1406">
        <v>1500</v>
      </c>
      <c r="C1406" t="s">
        <v>2473</v>
      </c>
      <c r="D1406" t="s">
        <v>283</v>
      </c>
      <c r="E1406" t="s">
        <v>2474</v>
      </c>
      <c r="F1406" t="s">
        <v>2475</v>
      </c>
      <c r="G1406" t="str">
        <f>"00208444"</f>
        <v>00208444</v>
      </c>
      <c r="H1406" t="s">
        <v>910</v>
      </c>
      <c r="I1406">
        <v>0</v>
      </c>
      <c r="J1406">
        <v>0</v>
      </c>
      <c r="K1406">
        <v>0</v>
      </c>
      <c r="L1406">
        <v>200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X1406">
        <v>0</v>
      </c>
      <c r="Y1406" t="s">
        <v>2476</v>
      </c>
    </row>
    <row r="1407" spans="1:25" x14ac:dyDescent="0.25">
      <c r="H1407" t="s">
        <v>366</v>
      </c>
    </row>
    <row r="1408" spans="1:25" x14ac:dyDescent="0.25">
      <c r="A1408">
        <v>701</v>
      </c>
      <c r="B1408">
        <v>5170</v>
      </c>
      <c r="C1408" t="s">
        <v>2477</v>
      </c>
      <c r="D1408" t="s">
        <v>15</v>
      </c>
      <c r="E1408" t="s">
        <v>200</v>
      </c>
      <c r="F1408" t="s">
        <v>2478</v>
      </c>
      <c r="G1408" t="str">
        <f>"00209333"</f>
        <v>00209333</v>
      </c>
      <c r="H1408" t="s">
        <v>1466</v>
      </c>
      <c r="I1408">
        <v>0</v>
      </c>
      <c r="J1408">
        <v>0</v>
      </c>
      <c r="K1408">
        <v>0</v>
      </c>
      <c r="L1408">
        <v>200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X1408">
        <v>0</v>
      </c>
      <c r="Y1408" t="s">
        <v>2479</v>
      </c>
    </row>
    <row r="1409" spans="1:25" x14ac:dyDescent="0.25">
      <c r="H1409" t="s">
        <v>34</v>
      </c>
    </row>
    <row r="1410" spans="1:25" x14ac:dyDescent="0.25">
      <c r="A1410">
        <v>702</v>
      </c>
      <c r="B1410">
        <v>5240</v>
      </c>
      <c r="C1410" t="s">
        <v>570</v>
      </c>
      <c r="D1410" t="s">
        <v>217</v>
      </c>
      <c r="E1410" t="s">
        <v>87</v>
      </c>
      <c r="F1410" t="s">
        <v>2480</v>
      </c>
      <c r="G1410" t="str">
        <f>"00122961"</f>
        <v>00122961</v>
      </c>
      <c r="H1410" t="s">
        <v>2147</v>
      </c>
      <c r="I1410">
        <v>0</v>
      </c>
      <c r="J1410">
        <v>0</v>
      </c>
      <c r="K1410">
        <v>0</v>
      </c>
      <c r="L1410">
        <v>200</v>
      </c>
      <c r="M1410">
        <v>0</v>
      </c>
      <c r="N1410">
        <v>30</v>
      </c>
      <c r="O1410">
        <v>30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X1410">
        <v>0</v>
      </c>
      <c r="Y1410" t="s">
        <v>2481</v>
      </c>
    </row>
    <row r="1411" spans="1:25" x14ac:dyDescent="0.25">
      <c r="H1411" t="s">
        <v>23</v>
      </c>
    </row>
    <row r="1412" spans="1:25" x14ac:dyDescent="0.25">
      <c r="A1412">
        <v>703</v>
      </c>
      <c r="B1412">
        <v>1326</v>
      </c>
      <c r="C1412" t="s">
        <v>2482</v>
      </c>
      <c r="D1412" t="s">
        <v>1789</v>
      </c>
      <c r="E1412" t="s">
        <v>43</v>
      </c>
      <c r="F1412" t="s">
        <v>2483</v>
      </c>
      <c r="G1412" t="str">
        <f>"00123437"</f>
        <v>00123437</v>
      </c>
      <c r="H1412" t="s">
        <v>109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70</v>
      </c>
      <c r="O1412">
        <v>0</v>
      </c>
      <c r="P1412">
        <v>30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X1412">
        <v>0</v>
      </c>
      <c r="Y1412" t="s">
        <v>2484</v>
      </c>
    </row>
    <row r="1413" spans="1:25" x14ac:dyDescent="0.25">
      <c r="H1413" t="s">
        <v>23</v>
      </c>
    </row>
    <row r="1414" spans="1:25" x14ac:dyDescent="0.25">
      <c r="A1414">
        <v>704</v>
      </c>
      <c r="B1414">
        <v>5554</v>
      </c>
      <c r="C1414" t="s">
        <v>2485</v>
      </c>
      <c r="D1414" t="s">
        <v>1224</v>
      </c>
      <c r="E1414" t="s">
        <v>15</v>
      </c>
      <c r="F1414" t="s">
        <v>2486</v>
      </c>
      <c r="G1414" t="str">
        <f>"00004333"</f>
        <v>00004333</v>
      </c>
      <c r="H1414" t="s">
        <v>219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70</v>
      </c>
      <c r="P1414">
        <v>70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X1414">
        <v>0</v>
      </c>
      <c r="Y1414" t="s">
        <v>2484</v>
      </c>
    </row>
    <row r="1415" spans="1:25" x14ac:dyDescent="0.25">
      <c r="H1415" t="s">
        <v>91</v>
      </c>
    </row>
    <row r="1416" spans="1:25" x14ac:dyDescent="0.25">
      <c r="A1416">
        <v>705</v>
      </c>
      <c r="B1416">
        <v>6044</v>
      </c>
      <c r="C1416" t="s">
        <v>2487</v>
      </c>
      <c r="D1416" t="s">
        <v>159</v>
      </c>
      <c r="E1416" t="s">
        <v>43</v>
      </c>
      <c r="F1416" t="s">
        <v>2488</v>
      </c>
      <c r="G1416" t="str">
        <f>"201406011933"</f>
        <v>201406011933</v>
      </c>
      <c r="H1416" t="s">
        <v>83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70</v>
      </c>
      <c r="O1416">
        <v>70</v>
      </c>
      <c r="P1416">
        <v>0</v>
      </c>
      <c r="Q1416">
        <v>0</v>
      </c>
      <c r="R1416">
        <v>50</v>
      </c>
      <c r="S1416">
        <v>0</v>
      </c>
      <c r="T1416">
        <v>0</v>
      </c>
      <c r="U1416">
        <v>0</v>
      </c>
      <c r="V1416">
        <v>0</v>
      </c>
      <c r="X1416">
        <v>0</v>
      </c>
      <c r="Y1416" t="s">
        <v>2489</v>
      </c>
    </row>
    <row r="1417" spans="1:25" x14ac:dyDescent="0.25">
      <c r="H1417" t="s">
        <v>366</v>
      </c>
    </row>
    <row r="1418" spans="1:25" x14ac:dyDescent="0.25">
      <c r="A1418">
        <v>706</v>
      </c>
      <c r="B1418">
        <v>5367</v>
      </c>
      <c r="C1418" t="s">
        <v>2490</v>
      </c>
      <c r="D1418" t="s">
        <v>598</v>
      </c>
      <c r="E1418" t="s">
        <v>43</v>
      </c>
      <c r="F1418" t="s">
        <v>2491</v>
      </c>
      <c r="G1418" t="str">
        <f>"00014535"</f>
        <v>00014535</v>
      </c>
      <c r="H1418" t="s">
        <v>331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70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X1418">
        <v>1</v>
      </c>
      <c r="Y1418" t="s">
        <v>2492</v>
      </c>
    </row>
    <row r="1419" spans="1:25" x14ac:dyDescent="0.25">
      <c r="H1419" t="s">
        <v>53</v>
      </c>
    </row>
    <row r="1420" spans="1:25" x14ac:dyDescent="0.25">
      <c r="A1420">
        <v>707</v>
      </c>
      <c r="B1420">
        <v>64</v>
      </c>
      <c r="C1420" t="s">
        <v>2493</v>
      </c>
      <c r="D1420" t="s">
        <v>61</v>
      </c>
      <c r="E1420" t="s">
        <v>2494</v>
      </c>
      <c r="F1420" t="s">
        <v>2495</v>
      </c>
      <c r="G1420" t="str">
        <f>"201406012352"</f>
        <v>201406012352</v>
      </c>
      <c r="H1420">
        <v>704</v>
      </c>
      <c r="I1420">
        <v>0</v>
      </c>
      <c r="J1420">
        <v>0</v>
      </c>
      <c r="K1420">
        <v>0</v>
      </c>
      <c r="L1420">
        <v>200</v>
      </c>
      <c r="M1420">
        <v>0</v>
      </c>
      <c r="N1420">
        <v>30</v>
      </c>
      <c r="O1420">
        <v>30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X1420">
        <v>0</v>
      </c>
      <c r="Y1420">
        <v>964</v>
      </c>
    </row>
    <row r="1421" spans="1:25" x14ac:dyDescent="0.25">
      <c r="H1421" t="s">
        <v>23</v>
      </c>
    </row>
    <row r="1422" spans="1:25" x14ac:dyDescent="0.25">
      <c r="A1422">
        <v>708</v>
      </c>
      <c r="B1422">
        <v>4952</v>
      </c>
      <c r="C1422" t="s">
        <v>2496</v>
      </c>
      <c r="D1422" t="s">
        <v>820</v>
      </c>
      <c r="E1422" t="s">
        <v>87</v>
      </c>
      <c r="F1422" t="s">
        <v>2497</v>
      </c>
      <c r="G1422" t="str">
        <f>"00136993"</f>
        <v>00136993</v>
      </c>
      <c r="H1422">
        <v>693</v>
      </c>
      <c r="I1422">
        <v>0</v>
      </c>
      <c r="J1422">
        <v>0</v>
      </c>
      <c r="K1422">
        <v>0</v>
      </c>
      <c r="L1422">
        <v>200</v>
      </c>
      <c r="M1422">
        <v>0</v>
      </c>
      <c r="N1422">
        <v>70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X1422">
        <v>0</v>
      </c>
      <c r="Y1422">
        <v>963</v>
      </c>
    </row>
    <row r="1423" spans="1:25" x14ac:dyDescent="0.25">
      <c r="H1423" t="s">
        <v>23</v>
      </c>
    </row>
    <row r="1424" spans="1:25" x14ac:dyDescent="0.25">
      <c r="A1424">
        <v>709</v>
      </c>
      <c r="B1424">
        <v>766</v>
      </c>
      <c r="C1424" t="s">
        <v>2498</v>
      </c>
      <c r="D1424" t="s">
        <v>194</v>
      </c>
      <c r="E1424" t="s">
        <v>37</v>
      </c>
      <c r="F1424" t="s">
        <v>2499</v>
      </c>
      <c r="G1424" t="str">
        <f>"201406000777"</f>
        <v>201406000777</v>
      </c>
      <c r="H1424" t="s">
        <v>2368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30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X1424">
        <v>0</v>
      </c>
      <c r="Y1424" t="s">
        <v>2500</v>
      </c>
    </row>
    <row r="1425" spans="1:25" x14ac:dyDescent="0.25">
      <c r="H1425" t="s">
        <v>91</v>
      </c>
    </row>
    <row r="1426" spans="1:25" x14ac:dyDescent="0.25">
      <c r="A1426">
        <v>710</v>
      </c>
      <c r="B1426">
        <v>6263</v>
      </c>
      <c r="C1426" t="s">
        <v>2501</v>
      </c>
      <c r="D1426" t="s">
        <v>2182</v>
      </c>
      <c r="E1426" t="s">
        <v>43</v>
      </c>
      <c r="F1426" t="s">
        <v>2502</v>
      </c>
      <c r="G1426" t="str">
        <f>"00019626"</f>
        <v>00019626</v>
      </c>
      <c r="H1426" t="s">
        <v>954</v>
      </c>
      <c r="I1426">
        <v>0</v>
      </c>
      <c r="J1426">
        <v>0</v>
      </c>
      <c r="K1426">
        <v>0</v>
      </c>
      <c r="L1426">
        <v>200</v>
      </c>
      <c r="M1426">
        <v>0</v>
      </c>
      <c r="N1426">
        <v>30</v>
      </c>
      <c r="O1426">
        <v>0</v>
      </c>
      <c r="P1426">
        <v>0</v>
      </c>
      <c r="Q1426">
        <v>30</v>
      </c>
      <c r="R1426">
        <v>0</v>
      </c>
      <c r="S1426">
        <v>0</v>
      </c>
      <c r="T1426">
        <v>0</v>
      </c>
      <c r="U1426">
        <v>0</v>
      </c>
      <c r="V1426">
        <v>0</v>
      </c>
      <c r="X1426">
        <v>0</v>
      </c>
      <c r="Y1426" t="s">
        <v>2503</v>
      </c>
    </row>
    <row r="1427" spans="1:25" x14ac:dyDescent="0.25">
      <c r="H1427" t="s">
        <v>91</v>
      </c>
    </row>
    <row r="1428" spans="1:25" x14ac:dyDescent="0.25">
      <c r="A1428">
        <v>711</v>
      </c>
      <c r="B1428">
        <v>4406</v>
      </c>
      <c r="C1428" t="s">
        <v>2504</v>
      </c>
      <c r="D1428" t="s">
        <v>70</v>
      </c>
      <c r="E1428" t="s">
        <v>65</v>
      </c>
      <c r="F1428" t="s">
        <v>2505</v>
      </c>
      <c r="G1428" t="str">
        <f>"00168881"</f>
        <v>00168881</v>
      </c>
      <c r="H1428" t="s">
        <v>1304</v>
      </c>
      <c r="I1428">
        <v>0</v>
      </c>
      <c r="J1428">
        <v>0</v>
      </c>
      <c r="K1428">
        <v>0</v>
      </c>
      <c r="L1428">
        <v>0</v>
      </c>
      <c r="M1428">
        <v>100</v>
      </c>
      <c r="N1428">
        <v>70</v>
      </c>
      <c r="O1428">
        <v>50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X1428">
        <v>0</v>
      </c>
      <c r="Y1428" t="s">
        <v>2506</v>
      </c>
    </row>
    <row r="1429" spans="1:25" x14ac:dyDescent="0.25">
      <c r="H1429" t="s">
        <v>53</v>
      </c>
    </row>
    <row r="1430" spans="1:25" x14ac:dyDescent="0.25">
      <c r="A1430">
        <v>712</v>
      </c>
      <c r="B1430">
        <v>5389</v>
      </c>
      <c r="C1430" t="s">
        <v>2507</v>
      </c>
      <c r="D1430" t="s">
        <v>20</v>
      </c>
      <c r="E1430" t="s">
        <v>947</v>
      </c>
      <c r="F1430" t="s">
        <v>2508</v>
      </c>
      <c r="G1430" t="str">
        <f>"201406011151"</f>
        <v>201406011151</v>
      </c>
      <c r="H1430" t="s">
        <v>1904</v>
      </c>
      <c r="I1430">
        <v>0</v>
      </c>
      <c r="J1430">
        <v>0</v>
      </c>
      <c r="K1430">
        <v>0</v>
      </c>
      <c r="L1430">
        <v>0</v>
      </c>
      <c r="M1430">
        <v>100</v>
      </c>
      <c r="N1430">
        <v>70</v>
      </c>
      <c r="O1430">
        <v>0</v>
      </c>
      <c r="P1430">
        <v>0</v>
      </c>
      <c r="Q1430">
        <v>30</v>
      </c>
      <c r="R1430">
        <v>30</v>
      </c>
      <c r="S1430">
        <v>0</v>
      </c>
      <c r="T1430">
        <v>0</v>
      </c>
      <c r="U1430">
        <v>0</v>
      </c>
      <c r="V1430">
        <v>0</v>
      </c>
      <c r="X1430">
        <v>0</v>
      </c>
      <c r="Y1430" t="s">
        <v>2509</v>
      </c>
    </row>
    <row r="1431" spans="1:25" x14ac:dyDescent="0.25">
      <c r="H1431" t="s">
        <v>23</v>
      </c>
    </row>
    <row r="1432" spans="1:25" x14ac:dyDescent="0.25">
      <c r="A1432">
        <v>713</v>
      </c>
      <c r="B1432">
        <v>4048</v>
      </c>
      <c r="C1432" t="s">
        <v>2510</v>
      </c>
      <c r="D1432" t="s">
        <v>2511</v>
      </c>
      <c r="E1432" t="s">
        <v>49</v>
      </c>
      <c r="F1432" t="s">
        <v>2512</v>
      </c>
      <c r="G1432" t="str">
        <f>"00013441"</f>
        <v>00013441</v>
      </c>
      <c r="H1432" t="s">
        <v>1055</v>
      </c>
      <c r="I1432">
        <v>0</v>
      </c>
      <c r="J1432">
        <v>0</v>
      </c>
      <c r="K1432">
        <v>0</v>
      </c>
      <c r="L1432">
        <v>0</v>
      </c>
      <c r="M1432">
        <v>100</v>
      </c>
      <c r="N1432">
        <v>70</v>
      </c>
      <c r="O1432">
        <v>50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X1432">
        <v>0</v>
      </c>
      <c r="Y1432" t="s">
        <v>259</v>
      </c>
    </row>
    <row r="1433" spans="1:25" x14ac:dyDescent="0.25">
      <c r="H1433" t="s">
        <v>91</v>
      </c>
    </row>
    <row r="1434" spans="1:25" x14ac:dyDescent="0.25">
      <c r="A1434">
        <v>714</v>
      </c>
      <c r="B1434">
        <v>5789</v>
      </c>
      <c r="C1434" t="s">
        <v>2513</v>
      </c>
      <c r="D1434" t="s">
        <v>531</v>
      </c>
      <c r="E1434" t="s">
        <v>147</v>
      </c>
      <c r="F1434" t="s">
        <v>2514</v>
      </c>
      <c r="G1434" t="str">
        <f>"201506001490"</f>
        <v>201506001490</v>
      </c>
      <c r="H1434" t="s">
        <v>2515</v>
      </c>
      <c r="I1434">
        <v>0</v>
      </c>
      <c r="J1434">
        <v>0</v>
      </c>
      <c r="K1434">
        <v>0</v>
      </c>
      <c r="L1434">
        <v>200</v>
      </c>
      <c r="M1434">
        <v>0</v>
      </c>
      <c r="N1434">
        <v>70</v>
      </c>
      <c r="O1434">
        <v>50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X1434">
        <v>0</v>
      </c>
      <c r="Y1434" t="s">
        <v>2516</v>
      </c>
    </row>
    <row r="1435" spans="1:25" x14ac:dyDescent="0.25">
      <c r="H1435" t="s">
        <v>23</v>
      </c>
    </row>
    <row r="1436" spans="1:25" x14ac:dyDescent="0.25">
      <c r="A1436">
        <v>715</v>
      </c>
      <c r="B1436">
        <v>2287</v>
      </c>
      <c r="C1436" t="s">
        <v>2517</v>
      </c>
      <c r="D1436" t="s">
        <v>2518</v>
      </c>
      <c r="E1436" t="s">
        <v>15</v>
      </c>
      <c r="F1436" t="s">
        <v>2519</v>
      </c>
      <c r="G1436" t="str">
        <f>"00012108"</f>
        <v>00012108</v>
      </c>
      <c r="H1436" t="s">
        <v>2007</v>
      </c>
      <c r="I1436">
        <v>0</v>
      </c>
      <c r="J1436">
        <v>0</v>
      </c>
      <c r="K1436">
        <v>0</v>
      </c>
      <c r="L1436">
        <v>200</v>
      </c>
      <c r="M1436">
        <v>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X1436">
        <v>0</v>
      </c>
      <c r="Y1436" t="s">
        <v>2520</v>
      </c>
    </row>
    <row r="1437" spans="1:25" x14ac:dyDescent="0.25">
      <c r="H1437" t="s">
        <v>53</v>
      </c>
    </row>
    <row r="1438" spans="1:25" x14ac:dyDescent="0.25">
      <c r="A1438">
        <v>716</v>
      </c>
      <c r="B1438">
        <v>3804</v>
      </c>
      <c r="C1438" t="s">
        <v>2521</v>
      </c>
      <c r="D1438" t="s">
        <v>25</v>
      </c>
      <c r="E1438" t="s">
        <v>49</v>
      </c>
      <c r="F1438" t="s">
        <v>2522</v>
      </c>
      <c r="G1438" t="str">
        <f>"00013570"</f>
        <v>00013570</v>
      </c>
      <c r="H1438" t="s">
        <v>1546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30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X1438">
        <v>0</v>
      </c>
      <c r="Y1438" t="s">
        <v>2523</v>
      </c>
    </row>
    <row r="1439" spans="1:25" x14ac:dyDescent="0.25">
      <c r="H1439" t="s">
        <v>91</v>
      </c>
    </row>
    <row r="1440" spans="1:25" x14ac:dyDescent="0.25">
      <c r="A1440">
        <v>717</v>
      </c>
      <c r="B1440">
        <v>5267</v>
      </c>
      <c r="C1440" t="s">
        <v>2524</v>
      </c>
      <c r="D1440" t="s">
        <v>2199</v>
      </c>
      <c r="E1440" t="s">
        <v>283</v>
      </c>
      <c r="F1440" t="s">
        <v>2525</v>
      </c>
      <c r="G1440" t="str">
        <f>"201304004208"</f>
        <v>201304004208</v>
      </c>
      <c r="H1440" t="s">
        <v>1734</v>
      </c>
      <c r="I1440">
        <v>150</v>
      </c>
      <c r="J1440">
        <v>0</v>
      </c>
      <c r="K1440">
        <v>0</v>
      </c>
      <c r="L1440">
        <v>0</v>
      </c>
      <c r="M1440">
        <v>0</v>
      </c>
      <c r="N1440">
        <v>70</v>
      </c>
      <c r="O1440">
        <v>0</v>
      </c>
      <c r="P1440">
        <v>30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X1440">
        <v>0</v>
      </c>
      <c r="Y1440" t="s">
        <v>2526</v>
      </c>
    </row>
    <row r="1441" spans="1:25" x14ac:dyDescent="0.25">
      <c r="H1441" t="s">
        <v>34</v>
      </c>
    </row>
    <row r="1442" spans="1:25" x14ac:dyDescent="0.25">
      <c r="A1442">
        <v>718</v>
      </c>
      <c r="B1442">
        <v>3066</v>
      </c>
      <c r="C1442" t="s">
        <v>2527</v>
      </c>
      <c r="D1442" t="s">
        <v>193</v>
      </c>
      <c r="E1442" t="s">
        <v>99</v>
      </c>
      <c r="F1442" t="s">
        <v>2528</v>
      </c>
      <c r="G1442" t="str">
        <f>"201406010359"</f>
        <v>201406010359</v>
      </c>
      <c r="H1442" t="s">
        <v>2529</v>
      </c>
      <c r="I1442">
        <v>150</v>
      </c>
      <c r="J1442">
        <v>0</v>
      </c>
      <c r="K1442">
        <v>0</v>
      </c>
      <c r="L1442">
        <v>0</v>
      </c>
      <c r="M1442">
        <v>0</v>
      </c>
      <c r="N1442">
        <v>70</v>
      </c>
      <c r="O1442">
        <v>30</v>
      </c>
      <c r="P1442">
        <v>50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X1442">
        <v>0</v>
      </c>
      <c r="Y1442" t="s">
        <v>2530</v>
      </c>
    </row>
    <row r="1443" spans="1:25" x14ac:dyDescent="0.25">
      <c r="H1443" t="s">
        <v>2531</v>
      </c>
    </row>
    <row r="1444" spans="1:25" x14ac:dyDescent="0.25">
      <c r="A1444">
        <v>719</v>
      </c>
      <c r="B1444">
        <v>1781</v>
      </c>
      <c r="C1444" t="s">
        <v>2532</v>
      </c>
      <c r="D1444" t="s">
        <v>854</v>
      </c>
      <c r="E1444" t="s">
        <v>99</v>
      </c>
      <c r="F1444" t="s">
        <v>2533</v>
      </c>
      <c r="G1444" t="str">
        <f>"00113700"</f>
        <v>00113700</v>
      </c>
      <c r="H1444" t="s">
        <v>2534</v>
      </c>
      <c r="I1444">
        <v>0</v>
      </c>
      <c r="J1444">
        <v>0</v>
      </c>
      <c r="K1444">
        <v>0</v>
      </c>
      <c r="L1444">
        <v>200</v>
      </c>
      <c r="M1444">
        <v>0</v>
      </c>
      <c r="N1444">
        <v>30</v>
      </c>
      <c r="O1444">
        <v>30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X1444">
        <v>0</v>
      </c>
      <c r="Y1444" t="s">
        <v>2535</v>
      </c>
    </row>
    <row r="1445" spans="1:25" x14ac:dyDescent="0.25">
      <c r="H1445" t="s">
        <v>118</v>
      </c>
    </row>
    <row r="1446" spans="1:25" x14ac:dyDescent="0.25">
      <c r="A1446">
        <v>720</v>
      </c>
      <c r="B1446">
        <v>951</v>
      </c>
      <c r="C1446" t="s">
        <v>2536</v>
      </c>
      <c r="D1446" t="s">
        <v>1436</v>
      </c>
      <c r="E1446" t="s">
        <v>130</v>
      </c>
      <c r="F1446" t="s">
        <v>2537</v>
      </c>
      <c r="G1446" t="str">
        <f>"201405002235"</f>
        <v>201405002235</v>
      </c>
      <c r="H1446" t="s">
        <v>2143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70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X1446">
        <v>2</v>
      </c>
      <c r="Y1446" t="s">
        <v>2538</v>
      </c>
    </row>
    <row r="1447" spans="1:25" x14ac:dyDescent="0.25">
      <c r="H1447" t="s">
        <v>2539</v>
      </c>
    </row>
    <row r="1448" spans="1:25" x14ac:dyDescent="0.25">
      <c r="A1448">
        <v>721</v>
      </c>
      <c r="B1448">
        <v>5147</v>
      </c>
      <c r="C1448" t="s">
        <v>2540</v>
      </c>
      <c r="D1448" t="s">
        <v>193</v>
      </c>
      <c r="E1448" t="s">
        <v>1862</v>
      </c>
      <c r="F1448" t="s">
        <v>2541</v>
      </c>
      <c r="G1448" t="str">
        <f>"201304002113"</f>
        <v>201304002113</v>
      </c>
      <c r="H1448" t="s">
        <v>1089</v>
      </c>
      <c r="I1448">
        <v>0</v>
      </c>
      <c r="J1448">
        <v>0</v>
      </c>
      <c r="K1448">
        <v>0</v>
      </c>
      <c r="L1448">
        <v>0</v>
      </c>
      <c r="M1448">
        <v>100</v>
      </c>
      <c r="N1448">
        <v>70</v>
      </c>
      <c r="O1448">
        <v>0</v>
      </c>
      <c r="P1448">
        <v>70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X1448">
        <v>2</v>
      </c>
      <c r="Y1448" t="s">
        <v>2542</v>
      </c>
    </row>
    <row r="1449" spans="1:25" x14ac:dyDescent="0.25">
      <c r="H1449" t="s">
        <v>213</v>
      </c>
    </row>
    <row r="1450" spans="1:25" x14ac:dyDescent="0.25">
      <c r="A1450">
        <v>722</v>
      </c>
      <c r="B1450">
        <v>6109</v>
      </c>
      <c r="C1450" t="s">
        <v>2543</v>
      </c>
      <c r="D1450" t="s">
        <v>36</v>
      </c>
      <c r="E1450" t="s">
        <v>1340</v>
      </c>
      <c r="F1450" t="s">
        <v>2544</v>
      </c>
      <c r="G1450" t="str">
        <f>"00086432"</f>
        <v>00086432</v>
      </c>
      <c r="H1450" t="s">
        <v>1250</v>
      </c>
      <c r="I1450">
        <v>0</v>
      </c>
      <c r="J1450">
        <v>0</v>
      </c>
      <c r="K1450">
        <v>0</v>
      </c>
      <c r="L1450">
        <v>0</v>
      </c>
      <c r="M1450">
        <v>100</v>
      </c>
      <c r="N1450">
        <v>70</v>
      </c>
      <c r="O1450">
        <v>30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X1450">
        <v>0</v>
      </c>
      <c r="Y1450" t="s">
        <v>2545</v>
      </c>
    </row>
    <row r="1451" spans="1:25" x14ac:dyDescent="0.25">
      <c r="H1451">
        <v>101</v>
      </c>
    </row>
    <row r="1452" spans="1:25" x14ac:dyDescent="0.25">
      <c r="A1452">
        <v>723</v>
      </c>
      <c r="B1452">
        <v>46</v>
      </c>
      <c r="C1452" t="s">
        <v>2546</v>
      </c>
      <c r="D1452" t="s">
        <v>209</v>
      </c>
      <c r="E1452" t="s">
        <v>55</v>
      </c>
      <c r="F1452" t="s">
        <v>2547</v>
      </c>
      <c r="G1452" t="str">
        <f>"00164080"</f>
        <v>00164080</v>
      </c>
      <c r="H1452" t="s">
        <v>1176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50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X1452">
        <v>0</v>
      </c>
      <c r="Y1452" t="s">
        <v>2548</v>
      </c>
    </row>
    <row r="1453" spans="1:25" x14ac:dyDescent="0.25">
      <c r="H1453" t="s">
        <v>23</v>
      </c>
    </row>
    <row r="1454" spans="1:25" x14ac:dyDescent="0.25">
      <c r="A1454">
        <v>724</v>
      </c>
      <c r="B1454">
        <v>1212</v>
      </c>
      <c r="C1454" t="s">
        <v>2549</v>
      </c>
      <c r="D1454" t="s">
        <v>598</v>
      </c>
      <c r="E1454" t="s">
        <v>1031</v>
      </c>
      <c r="F1454" t="s">
        <v>2550</v>
      </c>
      <c r="G1454" t="str">
        <f>"00120303"</f>
        <v>00120303</v>
      </c>
      <c r="H1454" t="s">
        <v>1578</v>
      </c>
      <c r="I1454">
        <v>0</v>
      </c>
      <c r="J1454">
        <v>0</v>
      </c>
      <c r="K1454">
        <v>0</v>
      </c>
      <c r="L1454">
        <v>200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X1454">
        <v>0</v>
      </c>
      <c r="Y1454" t="s">
        <v>2548</v>
      </c>
    </row>
    <row r="1455" spans="1:25" x14ac:dyDescent="0.25">
      <c r="H1455" t="s">
        <v>23</v>
      </c>
    </row>
    <row r="1456" spans="1:25" x14ac:dyDescent="0.25">
      <c r="A1456">
        <v>725</v>
      </c>
      <c r="B1456">
        <v>5735</v>
      </c>
      <c r="C1456" t="s">
        <v>2551</v>
      </c>
      <c r="D1456" t="s">
        <v>362</v>
      </c>
      <c r="E1456" t="s">
        <v>55</v>
      </c>
      <c r="F1456" t="s">
        <v>2552</v>
      </c>
      <c r="G1456" t="str">
        <f>"201406012669"</f>
        <v>201406012669</v>
      </c>
      <c r="H1456" t="s">
        <v>1269</v>
      </c>
      <c r="I1456">
        <v>0</v>
      </c>
      <c r="J1456">
        <v>0</v>
      </c>
      <c r="K1456">
        <v>0</v>
      </c>
      <c r="L1456">
        <v>0</v>
      </c>
      <c r="M1456">
        <v>100</v>
      </c>
      <c r="N1456">
        <v>70</v>
      </c>
      <c r="O1456">
        <v>0</v>
      </c>
      <c r="P1456">
        <v>50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X1456">
        <v>0</v>
      </c>
      <c r="Y1456" t="s">
        <v>143</v>
      </c>
    </row>
    <row r="1457" spans="1:25" x14ac:dyDescent="0.25">
      <c r="H1457" t="s">
        <v>23</v>
      </c>
    </row>
    <row r="1458" spans="1:25" x14ac:dyDescent="0.25">
      <c r="A1458">
        <v>726</v>
      </c>
      <c r="B1458">
        <v>6437</v>
      </c>
      <c r="C1458" t="s">
        <v>2553</v>
      </c>
      <c r="D1458" t="s">
        <v>113</v>
      </c>
      <c r="E1458" t="s">
        <v>114</v>
      </c>
      <c r="F1458" t="s">
        <v>2554</v>
      </c>
      <c r="G1458" t="str">
        <f>"201406013330"</f>
        <v>201406013330</v>
      </c>
      <c r="H1458" t="s">
        <v>1269</v>
      </c>
      <c r="I1458">
        <v>0</v>
      </c>
      <c r="J1458">
        <v>0</v>
      </c>
      <c r="K1458">
        <v>0</v>
      </c>
      <c r="L1458">
        <v>0</v>
      </c>
      <c r="M1458">
        <v>100</v>
      </c>
      <c r="N1458">
        <v>50</v>
      </c>
      <c r="O1458">
        <v>70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X1458">
        <v>0</v>
      </c>
      <c r="Y1458" t="s">
        <v>143</v>
      </c>
    </row>
    <row r="1459" spans="1:25" x14ac:dyDescent="0.25">
      <c r="H1459" t="s">
        <v>23</v>
      </c>
    </row>
    <row r="1460" spans="1:25" x14ac:dyDescent="0.25">
      <c r="A1460">
        <v>727</v>
      </c>
      <c r="B1460">
        <v>3782</v>
      </c>
      <c r="C1460" t="s">
        <v>2555</v>
      </c>
      <c r="D1460" t="s">
        <v>25</v>
      </c>
      <c r="E1460" t="s">
        <v>130</v>
      </c>
      <c r="F1460" t="s">
        <v>2556</v>
      </c>
      <c r="G1460" t="str">
        <f>"00125696"</f>
        <v>00125696</v>
      </c>
      <c r="H1460" t="s">
        <v>2419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70</v>
      </c>
      <c r="O1460">
        <v>0</v>
      </c>
      <c r="P1460">
        <v>0</v>
      </c>
      <c r="Q1460">
        <v>0</v>
      </c>
      <c r="R1460">
        <v>30</v>
      </c>
      <c r="S1460">
        <v>0</v>
      </c>
      <c r="T1460">
        <v>0</v>
      </c>
      <c r="U1460">
        <v>0</v>
      </c>
      <c r="V1460">
        <v>0</v>
      </c>
      <c r="X1460">
        <v>0</v>
      </c>
      <c r="Y1460" t="s">
        <v>2557</v>
      </c>
    </row>
    <row r="1461" spans="1:25" x14ac:dyDescent="0.25">
      <c r="H1461">
        <v>101</v>
      </c>
    </row>
    <row r="1462" spans="1:25" x14ac:dyDescent="0.25">
      <c r="A1462">
        <v>728</v>
      </c>
      <c r="B1462">
        <v>5298</v>
      </c>
      <c r="C1462" t="s">
        <v>2558</v>
      </c>
      <c r="D1462" t="s">
        <v>200</v>
      </c>
      <c r="E1462" t="s">
        <v>184</v>
      </c>
      <c r="F1462" t="s">
        <v>2559</v>
      </c>
      <c r="G1462" t="str">
        <f>"201406011772"</f>
        <v>201406011772</v>
      </c>
      <c r="H1462" t="s">
        <v>2436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70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X1462">
        <v>0</v>
      </c>
      <c r="Y1462" t="s">
        <v>2560</v>
      </c>
    </row>
    <row r="1463" spans="1:25" x14ac:dyDescent="0.25">
      <c r="H1463" t="s">
        <v>118</v>
      </c>
    </row>
    <row r="1464" spans="1:25" x14ac:dyDescent="0.25">
      <c r="A1464">
        <v>729</v>
      </c>
      <c r="B1464">
        <v>3132</v>
      </c>
      <c r="C1464" t="s">
        <v>2561</v>
      </c>
      <c r="D1464" t="s">
        <v>904</v>
      </c>
      <c r="E1464" t="s">
        <v>1340</v>
      </c>
      <c r="F1464" t="s">
        <v>2562</v>
      </c>
      <c r="G1464" t="str">
        <f>"200803000394"</f>
        <v>200803000394</v>
      </c>
      <c r="H1464" t="s">
        <v>511</v>
      </c>
      <c r="I1464">
        <v>0</v>
      </c>
      <c r="J1464">
        <v>0</v>
      </c>
      <c r="K1464">
        <v>0</v>
      </c>
      <c r="L1464">
        <v>200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X1464">
        <v>0</v>
      </c>
      <c r="Y1464" t="s">
        <v>2563</v>
      </c>
    </row>
    <row r="1465" spans="1:25" x14ac:dyDescent="0.25">
      <c r="H1465">
        <v>101</v>
      </c>
    </row>
    <row r="1466" spans="1:25" x14ac:dyDescent="0.25">
      <c r="A1466">
        <v>730</v>
      </c>
      <c r="B1466">
        <v>1066</v>
      </c>
      <c r="C1466" t="s">
        <v>2564</v>
      </c>
      <c r="D1466" t="s">
        <v>575</v>
      </c>
      <c r="E1466" t="s">
        <v>43</v>
      </c>
      <c r="F1466" t="s">
        <v>2565</v>
      </c>
      <c r="G1466" t="str">
        <f>"00077539"</f>
        <v>00077539</v>
      </c>
      <c r="H1466" t="s">
        <v>1297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70</v>
      </c>
      <c r="O1466">
        <v>50</v>
      </c>
      <c r="P1466">
        <v>0</v>
      </c>
      <c r="Q1466">
        <v>30</v>
      </c>
      <c r="R1466">
        <v>30</v>
      </c>
      <c r="S1466">
        <v>0</v>
      </c>
      <c r="T1466">
        <v>0</v>
      </c>
      <c r="U1466">
        <v>0</v>
      </c>
      <c r="V1466">
        <v>0</v>
      </c>
      <c r="X1466">
        <v>0</v>
      </c>
      <c r="Y1466" t="s">
        <v>2566</v>
      </c>
    </row>
    <row r="1467" spans="1:25" x14ac:dyDescent="0.25">
      <c r="H1467" t="s">
        <v>23</v>
      </c>
    </row>
    <row r="1468" spans="1:25" x14ac:dyDescent="0.25">
      <c r="A1468">
        <v>731</v>
      </c>
      <c r="B1468">
        <v>4245</v>
      </c>
      <c r="C1468" t="s">
        <v>2567</v>
      </c>
      <c r="D1468" t="s">
        <v>904</v>
      </c>
      <c r="E1468" t="s">
        <v>87</v>
      </c>
      <c r="F1468" t="s">
        <v>2568</v>
      </c>
      <c r="G1468" t="str">
        <f>"00200677"</f>
        <v>00200677</v>
      </c>
      <c r="H1468">
        <v>682</v>
      </c>
      <c r="I1468">
        <v>0</v>
      </c>
      <c r="J1468">
        <v>0</v>
      </c>
      <c r="K1468">
        <v>0</v>
      </c>
      <c r="L1468">
        <v>0</v>
      </c>
      <c r="M1468">
        <v>100</v>
      </c>
      <c r="N1468">
        <v>70</v>
      </c>
      <c r="O1468">
        <v>70</v>
      </c>
      <c r="P1468">
        <v>0</v>
      </c>
      <c r="Q1468">
        <v>0</v>
      </c>
      <c r="R1468">
        <v>30</v>
      </c>
      <c r="S1468">
        <v>0</v>
      </c>
      <c r="T1468">
        <v>0</v>
      </c>
      <c r="U1468">
        <v>0</v>
      </c>
      <c r="V1468">
        <v>0</v>
      </c>
      <c r="X1468">
        <v>0</v>
      </c>
      <c r="Y1468">
        <v>952</v>
      </c>
    </row>
    <row r="1469" spans="1:25" x14ac:dyDescent="0.25">
      <c r="H1469" t="s">
        <v>844</v>
      </c>
    </row>
    <row r="1470" spans="1:25" x14ac:dyDescent="0.25">
      <c r="A1470">
        <v>732</v>
      </c>
      <c r="B1470">
        <v>2425</v>
      </c>
      <c r="C1470" t="s">
        <v>2569</v>
      </c>
      <c r="D1470" t="s">
        <v>501</v>
      </c>
      <c r="E1470" t="s">
        <v>424</v>
      </c>
      <c r="F1470" t="s">
        <v>2570</v>
      </c>
      <c r="G1470" t="str">
        <f>"00209266"</f>
        <v>00209266</v>
      </c>
      <c r="H1470" t="s">
        <v>1893</v>
      </c>
      <c r="I1470">
        <v>150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X1470">
        <v>0</v>
      </c>
      <c r="Y1470" t="s">
        <v>1711</v>
      </c>
    </row>
    <row r="1471" spans="1:25" x14ac:dyDescent="0.25">
      <c r="H1471">
        <v>101</v>
      </c>
    </row>
    <row r="1472" spans="1:25" x14ac:dyDescent="0.25">
      <c r="A1472">
        <v>733</v>
      </c>
      <c r="B1472">
        <v>5328</v>
      </c>
      <c r="C1472" t="s">
        <v>2571</v>
      </c>
      <c r="D1472" t="s">
        <v>209</v>
      </c>
      <c r="E1472" t="s">
        <v>2572</v>
      </c>
      <c r="F1472" t="s">
        <v>2573</v>
      </c>
      <c r="G1472" t="str">
        <f>"201406012566"</f>
        <v>201406012566</v>
      </c>
      <c r="H1472" t="s">
        <v>1904</v>
      </c>
      <c r="I1472">
        <v>0</v>
      </c>
      <c r="J1472">
        <v>0</v>
      </c>
      <c r="K1472">
        <v>0</v>
      </c>
      <c r="L1472">
        <v>0</v>
      </c>
      <c r="M1472">
        <v>100</v>
      </c>
      <c r="N1472">
        <v>70</v>
      </c>
      <c r="O1472">
        <v>0</v>
      </c>
      <c r="P1472">
        <v>50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X1472">
        <v>0</v>
      </c>
      <c r="Y1472" t="s">
        <v>2574</v>
      </c>
    </row>
    <row r="1473" spans="1:25" x14ac:dyDescent="0.25">
      <c r="H1473" t="s">
        <v>34</v>
      </c>
    </row>
    <row r="1474" spans="1:25" x14ac:dyDescent="0.25">
      <c r="A1474">
        <v>734</v>
      </c>
      <c r="B1474">
        <v>3881</v>
      </c>
      <c r="C1474" t="s">
        <v>2575</v>
      </c>
      <c r="D1474" t="s">
        <v>2576</v>
      </c>
      <c r="E1474" t="s">
        <v>2577</v>
      </c>
      <c r="F1474" t="s">
        <v>2578</v>
      </c>
      <c r="G1474" t="str">
        <f>"00015090"</f>
        <v>00015090</v>
      </c>
      <c r="H1474" t="s">
        <v>364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70</v>
      </c>
      <c r="O1474">
        <v>0</v>
      </c>
      <c r="P1474">
        <v>0</v>
      </c>
      <c r="Q1474">
        <v>30</v>
      </c>
      <c r="R1474">
        <v>0</v>
      </c>
      <c r="S1474">
        <v>0</v>
      </c>
      <c r="T1474">
        <v>0</v>
      </c>
      <c r="U1474">
        <v>0</v>
      </c>
      <c r="V1474">
        <v>0</v>
      </c>
      <c r="X1474">
        <v>0</v>
      </c>
      <c r="Y1474" t="s">
        <v>2579</v>
      </c>
    </row>
    <row r="1475" spans="1:25" x14ac:dyDescent="0.25">
      <c r="H1475" t="s">
        <v>34</v>
      </c>
    </row>
    <row r="1476" spans="1:25" x14ac:dyDescent="0.25">
      <c r="A1476">
        <v>735</v>
      </c>
      <c r="B1476">
        <v>5685</v>
      </c>
      <c r="C1476" t="s">
        <v>2580</v>
      </c>
      <c r="D1476" t="s">
        <v>2581</v>
      </c>
      <c r="E1476" t="s">
        <v>99</v>
      </c>
      <c r="F1476" t="s">
        <v>2582</v>
      </c>
      <c r="G1476" t="str">
        <f>"201303001073"</f>
        <v>201303001073</v>
      </c>
      <c r="H1476" t="s">
        <v>370</v>
      </c>
      <c r="I1476">
        <v>0</v>
      </c>
      <c r="J1476">
        <v>0</v>
      </c>
      <c r="K1476">
        <v>0</v>
      </c>
      <c r="L1476">
        <v>0</v>
      </c>
      <c r="M1476">
        <v>100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X1476">
        <v>0</v>
      </c>
      <c r="Y1476" t="s">
        <v>2583</v>
      </c>
    </row>
    <row r="1477" spans="1:25" x14ac:dyDescent="0.25">
      <c r="H1477" t="s">
        <v>118</v>
      </c>
    </row>
    <row r="1478" spans="1:25" x14ac:dyDescent="0.25">
      <c r="A1478">
        <v>736</v>
      </c>
      <c r="B1478">
        <v>1110</v>
      </c>
      <c r="C1478" t="s">
        <v>2584</v>
      </c>
      <c r="D1478" t="s">
        <v>346</v>
      </c>
      <c r="E1478" t="s">
        <v>49</v>
      </c>
      <c r="F1478" t="s">
        <v>2585</v>
      </c>
      <c r="G1478" t="str">
        <f>"201303000450"</f>
        <v>201303000450</v>
      </c>
      <c r="H1478" t="s">
        <v>1636</v>
      </c>
      <c r="I1478">
        <v>0</v>
      </c>
      <c r="J1478">
        <v>0</v>
      </c>
      <c r="K1478">
        <v>0</v>
      </c>
      <c r="L1478">
        <v>0</v>
      </c>
      <c r="M1478">
        <v>100</v>
      </c>
      <c r="N1478">
        <v>70</v>
      </c>
      <c r="O1478">
        <v>0</v>
      </c>
      <c r="P1478">
        <v>30</v>
      </c>
      <c r="Q1478">
        <v>30</v>
      </c>
      <c r="R1478">
        <v>0</v>
      </c>
      <c r="S1478">
        <v>0</v>
      </c>
      <c r="T1478">
        <v>0</v>
      </c>
      <c r="U1478">
        <v>0</v>
      </c>
      <c r="V1478">
        <v>0</v>
      </c>
      <c r="X1478">
        <v>0</v>
      </c>
      <c r="Y1478" t="s">
        <v>2586</v>
      </c>
    </row>
    <row r="1479" spans="1:25" x14ac:dyDescent="0.25">
      <c r="H1479" t="s">
        <v>23</v>
      </c>
    </row>
    <row r="1480" spans="1:25" x14ac:dyDescent="0.25">
      <c r="A1480">
        <v>737</v>
      </c>
      <c r="B1480">
        <v>5407</v>
      </c>
      <c r="C1480" t="s">
        <v>2587</v>
      </c>
      <c r="D1480" t="s">
        <v>193</v>
      </c>
      <c r="E1480" t="s">
        <v>99</v>
      </c>
      <c r="F1480" t="s">
        <v>2588</v>
      </c>
      <c r="G1480" t="str">
        <f>"201304003170"</f>
        <v>201304003170</v>
      </c>
      <c r="H1480" t="s">
        <v>1636</v>
      </c>
      <c r="I1480">
        <v>0</v>
      </c>
      <c r="J1480">
        <v>0</v>
      </c>
      <c r="K1480">
        <v>0</v>
      </c>
      <c r="L1480">
        <v>0</v>
      </c>
      <c r="M1480">
        <v>100</v>
      </c>
      <c r="N1480">
        <v>70</v>
      </c>
      <c r="O1480">
        <v>0</v>
      </c>
      <c r="P1480">
        <v>0</v>
      </c>
      <c r="Q1480">
        <v>30</v>
      </c>
      <c r="R1480">
        <v>30</v>
      </c>
      <c r="S1480">
        <v>0</v>
      </c>
      <c r="T1480">
        <v>0</v>
      </c>
      <c r="U1480">
        <v>0</v>
      </c>
      <c r="V1480">
        <v>0</v>
      </c>
      <c r="X1480">
        <v>0</v>
      </c>
      <c r="Y1480" t="s">
        <v>2586</v>
      </c>
    </row>
    <row r="1481" spans="1:25" x14ac:dyDescent="0.25">
      <c r="H1481" t="s">
        <v>34</v>
      </c>
    </row>
    <row r="1482" spans="1:25" x14ac:dyDescent="0.25">
      <c r="A1482">
        <v>738</v>
      </c>
      <c r="B1482">
        <v>480</v>
      </c>
      <c r="C1482" t="s">
        <v>2589</v>
      </c>
      <c r="D1482" t="s">
        <v>2590</v>
      </c>
      <c r="E1482" t="s">
        <v>37</v>
      </c>
      <c r="F1482" t="s">
        <v>2591</v>
      </c>
      <c r="G1482" t="str">
        <f>"201506002569"</f>
        <v>201506002569</v>
      </c>
      <c r="H1482" t="s">
        <v>2212</v>
      </c>
      <c r="I1482">
        <v>0</v>
      </c>
      <c r="J1482">
        <v>0</v>
      </c>
      <c r="K1482">
        <v>0</v>
      </c>
      <c r="L1482">
        <v>200</v>
      </c>
      <c r="M1482">
        <v>0</v>
      </c>
      <c r="N1482">
        <v>70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X1482">
        <v>1</v>
      </c>
      <c r="Y1482" t="s">
        <v>2592</v>
      </c>
    </row>
    <row r="1483" spans="1:25" x14ac:dyDescent="0.25">
      <c r="H1483" t="s">
        <v>91</v>
      </c>
    </row>
    <row r="1484" spans="1:25" x14ac:dyDescent="0.25">
      <c r="A1484">
        <v>739</v>
      </c>
      <c r="B1484">
        <v>4542</v>
      </c>
      <c r="C1484" t="s">
        <v>2593</v>
      </c>
      <c r="D1484" t="s">
        <v>193</v>
      </c>
      <c r="E1484" t="s">
        <v>283</v>
      </c>
      <c r="F1484" t="s">
        <v>2594</v>
      </c>
      <c r="G1484" t="str">
        <f>"00127225"</f>
        <v>00127225</v>
      </c>
      <c r="H1484" t="s">
        <v>234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70</v>
      </c>
      <c r="O1484">
        <v>0</v>
      </c>
      <c r="P1484">
        <v>50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X1484">
        <v>0</v>
      </c>
      <c r="Y1484" t="s">
        <v>2595</v>
      </c>
    </row>
    <row r="1485" spans="1:25" x14ac:dyDescent="0.25">
      <c r="H1485" t="s">
        <v>118</v>
      </c>
    </row>
    <row r="1486" spans="1:25" x14ac:dyDescent="0.25">
      <c r="A1486">
        <v>740</v>
      </c>
      <c r="B1486">
        <v>1880</v>
      </c>
      <c r="C1486" t="s">
        <v>2596</v>
      </c>
      <c r="D1486" t="s">
        <v>307</v>
      </c>
      <c r="E1486" t="s">
        <v>81</v>
      </c>
      <c r="F1486" t="s">
        <v>2597</v>
      </c>
      <c r="G1486" t="str">
        <f>"201406012293"</f>
        <v>201406012293</v>
      </c>
      <c r="H1486" t="s">
        <v>1337</v>
      </c>
      <c r="I1486">
        <v>0</v>
      </c>
      <c r="J1486">
        <v>0</v>
      </c>
      <c r="K1486">
        <v>0</v>
      </c>
      <c r="L1486">
        <v>200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X1486">
        <v>0</v>
      </c>
      <c r="Y1486" t="s">
        <v>2598</v>
      </c>
    </row>
    <row r="1487" spans="1:25" x14ac:dyDescent="0.25">
      <c r="H1487" t="s">
        <v>23</v>
      </c>
    </row>
    <row r="1488" spans="1:25" x14ac:dyDescent="0.25">
      <c r="A1488">
        <v>741</v>
      </c>
      <c r="B1488">
        <v>3370</v>
      </c>
      <c r="C1488" t="s">
        <v>1843</v>
      </c>
      <c r="D1488" t="s">
        <v>147</v>
      </c>
      <c r="E1488" t="s">
        <v>21</v>
      </c>
      <c r="F1488" t="s">
        <v>2599</v>
      </c>
      <c r="G1488" t="str">
        <f>"00121895"</f>
        <v>00121895</v>
      </c>
      <c r="H1488" t="s">
        <v>729</v>
      </c>
      <c r="I1488">
        <v>150</v>
      </c>
      <c r="J1488">
        <v>0</v>
      </c>
      <c r="K1488">
        <v>0</v>
      </c>
      <c r="L1488">
        <v>0</v>
      </c>
      <c r="M1488">
        <v>0</v>
      </c>
      <c r="N1488">
        <v>50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X1488">
        <v>2</v>
      </c>
      <c r="Y1488" t="s">
        <v>2600</v>
      </c>
    </row>
    <row r="1489" spans="1:25" x14ac:dyDescent="0.25">
      <c r="H1489" t="s">
        <v>23</v>
      </c>
    </row>
    <row r="1490" spans="1:25" x14ac:dyDescent="0.25">
      <c r="A1490">
        <v>742</v>
      </c>
      <c r="B1490">
        <v>2183</v>
      </c>
      <c r="C1490" t="s">
        <v>2601</v>
      </c>
      <c r="D1490" t="s">
        <v>2602</v>
      </c>
      <c r="E1490" t="s">
        <v>283</v>
      </c>
      <c r="F1490" t="s">
        <v>2603</v>
      </c>
      <c r="G1490" t="str">
        <f>"201402002114"</f>
        <v>201402002114</v>
      </c>
      <c r="H1490" t="s">
        <v>1747</v>
      </c>
      <c r="I1490">
        <v>0</v>
      </c>
      <c r="J1490">
        <v>0</v>
      </c>
      <c r="K1490">
        <v>0</v>
      </c>
      <c r="L1490">
        <v>200</v>
      </c>
      <c r="M1490">
        <v>0</v>
      </c>
      <c r="N1490">
        <v>70</v>
      </c>
      <c r="O1490">
        <v>30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X1490">
        <v>0</v>
      </c>
      <c r="Y1490" t="s">
        <v>2604</v>
      </c>
    </row>
    <row r="1491" spans="1:25" x14ac:dyDescent="0.25">
      <c r="H1491" t="s">
        <v>53</v>
      </c>
    </row>
    <row r="1492" spans="1:25" x14ac:dyDescent="0.25">
      <c r="A1492">
        <v>743</v>
      </c>
      <c r="B1492">
        <v>4734</v>
      </c>
      <c r="C1492" t="s">
        <v>2605</v>
      </c>
      <c r="D1492" t="s">
        <v>685</v>
      </c>
      <c r="E1492" t="s">
        <v>1225</v>
      </c>
      <c r="F1492" t="s">
        <v>2606</v>
      </c>
      <c r="G1492" t="str">
        <f>"00125328"</f>
        <v>00125328</v>
      </c>
      <c r="H1492" t="s">
        <v>660</v>
      </c>
      <c r="I1492">
        <v>0</v>
      </c>
      <c r="J1492">
        <v>0</v>
      </c>
      <c r="K1492">
        <v>0</v>
      </c>
      <c r="L1492">
        <v>0</v>
      </c>
      <c r="M1492">
        <v>100</v>
      </c>
      <c r="N1492">
        <v>70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X1492">
        <v>0</v>
      </c>
      <c r="Y1492" t="s">
        <v>2607</v>
      </c>
    </row>
    <row r="1493" spans="1:25" x14ac:dyDescent="0.25">
      <c r="H1493">
        <v>101</v>
      </c>
    </row>
    <row r="1494" spans="1:25" x14ac:dyDescent="0.25">
      <c r="A1494">
        <v>744</v>
      </c>
      <c r="B1494">
        <v>5728</v>
      </c>
      <c r="C1494" t="s">
        <v>517</v>
      </c>
      <c r="D1494" t="s">
        <v>509</v>
      </c>
      <c r="E1494" t="s">
        <v>130</v>
      </c>
      <c r="F1494" t="s">
        <v>2608</v>
      </c>
      <c r="G1494" t="str">
        <f>"201304001182"</f>
        <v>201304001182</v>
      </c>
      <c r="H1494" t="s">
        <v>2609</v>
      </c>
      <c r="I1494">
        <v>0</v>
      </c>
      <c r="J1494">
        <v>0</v>
      </c>
      <c r="K1494">
        <v>0</v>
      </c>
      <c r="L1494">
        <v>200</v>
      </c>
      <c r="M1494">
        <v>0</v>
      </c>
      <c r="N1494">
        <v>30</v>
      </c>
      <c r="O1494">
        <v>0</v>
      </c>
      <c r="P1494">
        <v>70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X1494">
        <v>0</v>
      </c>
      <c r="Y1494" t="s">
        <v>2610</v>
      </c>
    </row>
    <row r="1495" spans="1:25" x14ac:dyDescent="0.25">
      <c r="H1495" t="s">
        <v>91</v>
      </c>
    </row>
    <row r="1496" spans="1:25" x14ac:dyDescent="0.25">
      <c r="A1496">
        <v>745</v>
      </c>
      <c r="B1496">
        <v>5210</v>
      </c>
      <c r="C1496" t="s">
        <v>1024</v>
      </c>
      <c r="D1496" t="s">
        <v>561</v>
      </c>
      <c r="E1496" t="s">
        <v>2611</v>
      </c>
      <c r="F1496" t="s">
        <v>2612</v>
      </c>
      <c r="G1496" t="str">
        <f>"201304005839"</f>
        <v>201304005839</v>
      </c>
      <c r="H1496" t="s">
        <v>1466</v>
      </c>
      <c r="I1496">
        <v>150</v>
      </c>
      <c r="J1496">
        <v>0</v>
      </c>
      <c r="K1496">
        <v>0</v>
      </c>
      <c r="L1496">
        <v>0</v>
      </c>
      <c r="M1496">
        <v>0</v>
      </c>
      <c r="N1496">
        <v>70</v>
      </c>
      <c r="O1496">
        <v>30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X1496">
        <v>0</v>
      </c>
      <c r="Y1496" t="s">
        <v>2613</v>
      </c>
    </row>
    <row r="1497" spans="1:25" x14ac:dyDescent="0.25">
      <c r="H1497" t="s">
        <v>118</v>
      </c>
    </row>
    <row r="1498" spans="1:25" x14ac:dyDescent="0.25">
      <c r="A1498">
        <v>746</v>
      </c>
      <c r="B1498">
        <v>2977</v>
      </c>
      <c r="C1498" t="s">
        <v>2614</v>
      </c>
      <c r="D1498" t="s">
        <v>2615</v>
      </c>
      <c r="E1498" t="s">
        <v>65</v>
      </c>
      <c r="F1498" t="s">
        <v>2616</v>
      </c>
      <c r="G1498" t="str">
        <f>"00199317"</f>
        <v>00199317</v>
      </c>
      <c r="H1498" t="s">
        <v>2147</v>
      </c>
      <c r="I1498">
        <v>0</v>
      </c>
      <c r="J1498">
        <v>0</v>
      </c>
      <c r="K1498">
        <v>0</v>
      </c>
      <c r="L1498">
        <v>0</v>
      </c>
      <c r="M1498">
        <v>100</v>
      </c>
      <c r="N1498">
        <v>70</v>
      </c>
      <c r="O1498">
        <v>70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X1498">
        <v>0</v>
      </c>
      <c r="Y1498" t="s">
        <v>2617</v>
      </c>
    </row>
    <row r="1499" spans="1:25" x14ac:dyDescent="0.25">
      <c r="H1499" t="s">
        <v>34</v>
      </c>
    </row>
    <row r="1500" spans="1:25" x14ac:dyDescent="0.25">
      <c r="A1500">
        <v>747</v>
      </c>
      <c r="B1500">
        <v>246</v>
      </c>
      <c r="C1500" t="s">
        <v>2618</v>
      </c>
      <c r="D1500" t="s">
        <v>113</v>
      </c>
      <c r="E1500" t="s">
        <v>61</v>
      </c>
      <c r="F1500" t="s">
        <v>2619</v>
      </c>
      <c r="G1500" t="str">
        <f>"00113016"</f>
        <v>00113016</v>
      </c>
      <c r="H1500" t="s">
        <v>1269</v>
      </c>
      <c r="I1500">
        <v>150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30</v>
      </c>
      <c r="R1500">
        <v>0</v>
      </c>
      <c r="S1500">
        <v>0</v>
      </c>
      <c r="T1500">
        <v>0</v>
      </c>
      <c r="U1500">
        <v>0</v>
      </c>
      <c r="V1500">
        <v>0</v>
      </c>
      <c r="X1500">
        <v>0</v>
      </c>
      <c r="Y1500" t="s">
        <v>2620</v>
      </c>
    </row>
    <row r="1501" spans="1:25" x14ac:dyDescent="0.25">
      <c r="H1501" t="s">
        <v>91</v>
      </c>
    </row>
    <row r="1502" spans="1:25" x14ac:dyDescent="0.25">
      <c r="A1502">
        <v>748</v>
      </c>
      <c r="B1502">
        <v>4407</v>
      </c>
      <c r="C1502" t="s">
        <v>2621</v>
      </c>
      <c r="D1502" t="s">
        <v>2622</v>
      </c>
      <c r="E1502" t="s">
        <v>398</v>
      </c>
      <c r="F1502" t="s">
        <v>2623</v>
      </c>
      <c r="G1502" t="str">
        <f>"00119884"</f>
        <v>00119884</v>
      </c>
      <c r="H1502" t="s">
        <v>1276</v>
      </c>
      <c r="I1502">
        <v>0</v>
      </c>
      <c r="J1502">
        <v>0</v>
      </c>
      <c r="K1502">
        <v>0</v>
      </c>
      <c r="L1502">
        <v>200</v>
      </c>
      <c r="M1502">
        <v>0</v>
      </c>
      <c r="N1502">
        <v>70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X1502">
        <v>0</v>
      </c>
      <c r="Y1502" t="s">
        <v>2624</v>
      </c>
    </row>
    <row r="1503" spans="1:25" x14ac:dyDescent="0.25">
      <c r="H1503" t="s">
        <v>23</v>
      </c>
    </row>
    <row r="1504" spans="1:25" x14ac:dyDescent="0.25">
      <c r="A1504">
        <v>749</v>
      </c>
      <c r="B1504">
        <v>5366</v>
      </c>
      <c r="C1504" t="s">
        <v>2625</v>
      </c>
      <c r="D1504" t="s">
        <v>571</v>
      </c>
      <c r="E1504" t="s">
        <v>65</v>
      </c>
      <c r="F1504" t="s">
        <v>2626</v>
      </c>
      <c r="G1504" t="str">
        <f>"00095653"</f>
        <v>00095653</v>
      </c>
      <c r="H1504" t="s">
        <v>1286</v>
      </c>
      <c r="I1504">
        <v>0</v>
      </c>
      <c r="J1504">
        <v>0</v>
      </c>
      <c r="K1504">
        <v>0</v>
      </c>
      <c r="L1504">
        <v>0</v>
      </c>
      <c r="M1504">
        <v>100</v>
      </c>
      <c r="N1504">
        <v>70</v>
      </c>
      <c r="O1504">
        <v>50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X1504">
        <v>0</v>
      </c>
      <c r="Y1504" t="s">
        <v>2627</v>
      </c>
    </row>
    <row r="1505" spans="1:25" x14ac:dyDescent="0.25">
      <c r="H1505" t="s">
        <v>34</v>
      </c>
    </row>
    <row r="1506" spans="1:25" x14ac:dyDescent="0.25">
      <c r="A1506">
        <v>750</v>
      </c>
      <c r="B1506">
        <v>1706</v>
      </c>
      <c r="C1506" t="s">
        <v>1440</v>
      </c>
      <c r="D1506" t="s">
        <v>25</v>
      </c>
      <c r="E1506" t="s">
        <v>43</v>
      </c>
      <c r="F1506" t="s">
        <v>2628</v>
      </c>
      <c r="G1506" t="str">
        <f>"00197579"</f>
        <v>00197579</v>
      </c>
      <c r="H1506" t="s">
        <v>1027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70</v>
      </c>
      <c r="O1506">
        <v>70</v>
      </c>
      <c r="P1506">
        <v>0</v>
      </c>
      <c r="Q1506">
        <v>0</v>
      </c>
      <c r="R1506">
        <v>50</v>
      </c>
      <c r="S1506">
        <v>0</v>
      </c>
      <c r="T1506">
        <v>0</v>
      </c>
      <c r="U1506">
        <v>0</v>
      </c>
      <c r="V1506">
        <v>0</v>
      </c>
      <c r="X1506">
        <v>0</v>
      </c>
      <c r="Y1506" t="s">
        <v>2629</v>
      </c>
    </row>
    <row r="1507" spans="1:25" x14ac:dyDescent="0.25">
      <c r="H1507" t="s">
        <v>118</v>
      </c>
    </row>
    <row r="1508" spans="1:25" x14ac:dyDescent="0.25">
      <c r="A1508">
        <v>751</v>
      </c>
      <c r="B1508">
        <v>4375</v>
      </c>
      <c r="C1508" t="s">
        <v>2630</v>
      </c>
      <c r="D1508" t="s">
        <v>440</v>
      </c>
      <c r="E1508" t="s">
        <v>1257</v>
      </c>
      <c r="F1508" t="s">
        <v>2631</v>
      </c>
      <c r="G1508" t="str">
        <f>"201303000498"</f>
        <v>201303000498</v>
      </c>
      <c r="H1508" t="s">
        <v>476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70</v>
      </c>
      <c r="O1508">
        <v>0</v>
      </c>
      <c r="P1508">
        <v>0</v>
      </c>
      <c r="Q1508">
        <v>50</v>
      </c>
      <c r="R1508">
        <v>0</v>
      </c>
      <c r="S1508">
        <v>0</v>
      </c>
      <c r="T1508">
        <v>50</v>
      </c>
      <c r="U1508">
        <v>0</v>
      </c>
      <c r="V1508">
        <v>0</v>
      </c>
      <c r="X1508">
        <v>0</v>
      </c>
      <c r="Y1508" t="s">
        <v>2632</v>
      </c>
    </row>
    <row r="1509" spans="1:25" x14ac:dyDescent="0.25">
      <c r="H1509" t="s">
        <v>23</v>
      </c>
    </row>
    <row r="1510" spans="1:25" x14ac:dyDescent="0.25">
      <c r="A1510">
        <v>752</v>
      </c>
      <c r="B1510">
        <v>1098</v>
      </c>
      <c r="C1510" t="s">
        <v>743</v>
      </c>
      <c r="D1510" t="s">
        <v>854</v>
      </c>
      <c r="E1510" t="s">
        <v>294</v>
      </c>
      <c r="F1510" t="s">
        <v>2633</v>
      </c>
      <c r="G1510" t="str">
        <f>"00015089"</f>
        <v>00015089</v>
      </c>
      <c r="H1510">
        <v>671</v>
      </c>
      <c r="I1510">
        <v>0</v>
      </c>
      <c r="J1510">
        <v>0</v>
      </c>
      <c r="K1510">
        <v>0</v>
      </c>
      <c r="L1510">
        <v>200</v>
      </c>
      <c r="M1510">
        <v>0</v>
      </c>
      <c r="N1510">
        <v>70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X1510">
        <v>0</v>
      </c>
      <c r="Y1510">
        <v>941</v>
      </c>
    </row>
    <row r="1511" spans="1:25" x14ac:dyDescent="0.25">
      <c r="H1511" t="s">
        <v>23</v>
      </c>
    </row>
    <row r="1512" spans="1:25" x14ac:dyDescent="0.25">
      <c r="A1512">
        <v>753</v>
      </c>
      <c r="B1512">
        <v>3616</v>
      </c>
      <c r="C1512" t="s">
        <v>1086</v>
      </c>
      <c r="D1512" t="s">
        <v>25</v>
      </c>
      <c r="E1512" t="s">
        <v>147</v>
      </c>
      <c r="F1512" t="s">
        <v>2634</v>
      </c>
      <c r="G1512" t="str">
        <f>"00174052"</f>
        <v>00174052</v>
      </c>
      <c r="H1512" t="s">
        <v>1055</v>
      </c>
      <c r="I1512">
        <v>0</v>
      </c>
      <c r="J1512">
        <v>0</v>
      </c>
      <c r="K1512">
        <v>0</v>
      </c>
      <c r="L1512">
        <v>0</v>
      </c>
      <c r="M1512">
        <v>100</v>
      </c>
      <c r="N1512">
        <v>30</v>
      </c>
      <c r="O1512">
        <v>70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X1512">
        <v>0</v>
      </c>
      <c r="Y1512" t="s">
        <v>2635</v>
      </c>
    </row>
    <row r="1513" spans="1:25" x14ac:dyDescent="0.25">
      <c r="H1513" t="s">
        <v>91</v>
      </c>
    </row>
    <row r="1514" spans="1:25" x14ac:dyDescent="0.25">
      <c r="A1514">
        <v>754</v>
      </c>
      <c r="B1514">
        <v>5444</v>
      </c>
      <c r="C1514" t="s">
        <v>2015</v>
      </c>
      <c r="D1514" t="s">
        <v>2636</v>
      </c>
      <c r="E1514" t="s">
        <v>147</v>
      </c>
      <c r="F1514" t="s">
        <v>2637</v>
      </c>
      <c r="G1514" t="str">
        <f>"00120970"</f>
        <v>00120970</v>
      </c>
      <c r="H1514" t="s">
        <v>711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70</v>
      </c>
      <c r="O1514">
        <v>50</v>
      </c>
      <c r="P1514">
        <v>0</v>
      </c>
      <c r="Q1514">
        <v>0</v>
      </c>
      <c r="R1514">
        <v>30</v>
      </c>
      <c r="S1514">
        <v>0</v>
      </c>
      <c r="T1514">
        <v>0</v>
      </c>
      <c r="U1514">
        <v>0</v>
      </c>
      <c r="V1514">
        <v>0</v>
      </c>
      <c r="X1514">
        <v>0</v>
      </c>
      <c r="Y1514" t="s">
        <v>2638</v>
      </c>
    </row>
    <row r="1515" spans="1:25" x14ac:dyDescent="0.25">
      <c r="H1515" t="s">
        <v>23</v>
      </c>
    </row>
    <row r="1516" spans="1:25" x14ac:dyDescent="0.25">
      <c r="A1516">
        <v>755</v>
      </c>
      <c r="B1516">
        <v>5985</v>
      </c>
      <c r="C1516" t="s">
        <v>2639</v>
      </c>
      <c r="D1516" t="s">
        <v>805</v>
      </c>
      <c r="E1516" t="s">
        <v>2199</v>
      </c>
      <c r="F1516" t="s">
        <v>2640</v>
      </c>
      <c r="G1516" t="str">
        <f>"201506000184"</f>
        <v>201506000184</v>
      </c>
      <c r="H1516" t="s">
        <v>1317</v>
      </c>
      <c r="I1516">
        <v>0</v>
      </c>
      <c r="J1516">
        <v>0</v>
      </c>
      <c r="K1516">
        <v>0</v>
      </c>
      <c r="L1516">
        <v>200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30</v>
      </c>
      <c r="S1516">
        <v>0</v>
      </c>
      <c r="T1516">
        <v>0</v>
      </c>
      <c r="U1516">
        <v>0</v>
      </c>
      <c r="V1516">
        <v>0</v>
      </c>
      <c r="X1516">
        <v>0</v>
      </c>
      <c r="Y1516" t="s">
        <v>2638</v>
      </c>
    </row>
    <row r="1517" spans="1:25" x14ac:dyDescent="0.25">
      <c r="H1517" t="s">
        <v>118</v>
      </c>
    </row>
    <row r="1518" spans="1:25" x14ac:dyDescent="0.25">
      <c r="A1518">
        <v>756</v>
      </c>
      <c r="B1518">
        <v>4552</v>
      </c>
      <c r="C1518" t="s">
        <v>2641</v>
      </c>
      <c r="D1518" t="s">
        <v>2642</v>
      </c>
      <c r="E1518" t="s">
        <v>30</v>
      </c>
      <c r="F1518" t="s">
        <v>2643</v>
      </c>
      <c r="G1518" t="str">
        <f>"00190837"</f>
        <v>00190837</v>
      </c>
      <c r="H1518" t="s">
        <v>783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X1518">
        <v>1</v>
      </c>
      <c r="Y1518" t="s">
        <v>2644</v>
      </c>
    </row>
    <row r="1519" spans="1:25" x14ac:dyDescent="0.25">
      <c r="H1519" t="s">
        <v>118</v>
      </c>
    </row>
    <row r="1520" spans="1:25" x14ac:dyDescent="0.25">
      <c r="A1520">
        <v>757</v>
      </c>
      <c r="B1520">
        <v>6253</v>
      </c>
      <c r="C1520" t="s">
        <v>2645</v>
      </c>
      <c r="D1520" t="s">
        <v>245</v>
      </c>
      <c r="E1520" t="s">
        <v>55</v>
      </c>
      <c r="F1520" t="s">
        <v>2646</v>
      </c>
      <c r="G1520" t="str">
        <f>"00168581"</f>
        <v>00168581</v>
      </c>
      <c r="H1520" t="s">
        <v>888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70</v>
      </c>
      <c r="O1520">
        <v>0</v>
      </c>
      <c r="P1520">
        <v>70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X1520">
        <v>0</v>
      </c>
      <c r="Y1520" t="s">
        <v>2647</v>
      </c>
    </row>
    <row r="1521" spans="1:25" x14ac:dyDescent="0.25">
      <c r="H1521" t="s">
        <v>23</v>
      </c>
    </row>
    <row r="1522" spans="1:25" x14ac:dyDescent="0.25">
      <c r="A1522">
        <v>758</v>
      </c>
      <c r="B1522">
        <v>4251</v>
      </c>
      <c r="C1522" t="s">
        <v>2648</v>
      </c>
      <c r="D1522" t="s">
        <v>217</v>
      </c>
      <c r="E1522" t="s">
        <v>184</v>
      </c>
      <c r="F1522" t="s">
        <v>2649</v>
      </c>
      <c r="G1522" t="str">
        <f>"00014037"</f>
        <v>00014037</v>
      </c>
      <c r="H1522" t="s">
        <v>1937</v>
      </c>
      <c r="I1522">
        <v>150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30</v>
      </c>
      <c r="R1522">
        <v>0</v>
      </c>
      <c r="S1522">
        <v>0</v>
      </c>
      <c r="T1522">
        <v>0</v>
      </c>
      <c r="U1522">
        <v>0</v>
      </c>
      <c r="V1522">
        <v>0</v>
      </c>
      <c r="X1522">
        <v>0</v>
      </c>
      <c r="Y1522" t="s">
        <v>2650</v>
      </c>
    </row>
    <row r="1523" spans="1:25" x14ac:dyDescent="0.25">
      <c r="H1523" t="s">
        <v>23</v>
      </c>
    </row>
    <row r="1524" spans="1:25" x14ac:dyDescent="0.25">
      <c r="A1524">
        <v>759</v>
      </c>
      <c r="B1524">
        <v>2625</v>
      </c>
      <c r="C1524" t="s">
        <v>2651</v>
      </c>
      <c r="D1524" t="s">
        <v>2652</v>
      </c>
      <c r="E1524" t="s">
        <v>21</v>
      </c>
      <c r="F1524" t="s">
        <v>2653</v>
      </c>
      <c r="G1524" t="str">
        <f>"00209582"</f>
        <v>00209582</v>
      </c>
      <c r="H1524" t="s">
        <v>1337</v>
      </c>
      <c r="I1524">
        <v>0</v>
      </c>
      <c r="J1524">
        <v>0</v>
      </c>
      <c r="K1524">
        <v>0</v>
      </c>
      <c r="L1524">
        <v>0</v>
      </c>
      <c r="M1524">
        <v>100</v>
      </c>
      <c r="N1524">
        <v>70</v>
      </c>
      <c r="O1524">
        <v>0</v>
      </c>
      <c r="P1524">
        <v>50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X1524">
        <v>0</v>
      </c>
      <c r="Y1524" t="s">
        <v>2654</v>
      </c>
    </row>
    <row r="1525" spans="1:25" x14ac:dyDescent="0.25">
      <c r="H1525" t="s">
        <v>23</v>
      </c>
    </row>
    <row r="1526" spans="1:25" x14ac:dyDescent="0.25">
      <c r="A1526">
        <v>760</v>
      </c>
      <c r="B1526">
        <v>4983</v>
      </c>
      <c r="C1526" t="s">
        <v>2655</v>
      </c>
      <c r="D1526" t="s">
        <v>21</v>
      </c>
      <c r="E1526" t="s">
        <v>200</v>
      </c>
      <c r="F1526" t="s">
        <v>2656</v>
      </c>
      <c r="G1526" t="str">
        <f>"00105245"</f>
        <v>00105245</v>
      </c>
      <c r="H1526" t="s">
        <v>2657</v>
      </c>
      <c r="I1526">
        <v>0</v>
      </c>
      <c r="J1526">
        <v>0</v>
      </c>
      <c r="K1526">
        <v>0</v>
      </c>
      <c r="L1526">
        <v>200</v>
      </c>
      <c r="M1526">
        <v>0</v>
      </c>
      <c r="N1526">
        <v>30</v>
      </c>
      <c r="O1526">
        <v>0</v>
      </c>
      <c r="P1526">
        <v>30</v>
      </c>
      <c r="Q1526">
        <v>0</v>
      </c>
      <c r="R1526">
        <v>0</v>
      </c>
      <c r="S1526">
        <v>0</v>
      </c>
      <c r="T1526">
        <v>70</v>
      </c>
      <c r="U1526">
        <v>0</v>
      </c>
      <c r="V1526">
        <v>0</v>
      </c>
      <c r="X1526">
        <v>0</v>
      </c>
      <c r="Y1526" t="s">
        <v>2654</v>
      </c>
    </row>
    <row r="1527" spans="1:25" x14ac:dyDescent="0.25">
      <c r="H1527" t="s">
        <v>118</v>
      </c>
    </row>
    <row r="1528" spans="1:25" x14ac:dyDescent="0.25">
      <c r="A1528">
        <v>761</v>
      </c>
      <c r="B1528">
        <v>5455</v>
      </c>
      <c r="C1528" t="s">
        <v>2658</v>
      </c>
      <c r="D1528" t="s">
        <v>113</v>
      </c>
      <c r="E1528" t="s">
        <v>87</v>
      </c>
      <c r="F1528" t="s">
        <v>2659</v>
      </c>
      <c r="G1528" t="str">
        <f>"00121297"</f>
        <v>00121297</v>
      </c>
      <c r="H1528" t="s">
        <v>462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70</v>
      </c>
      <c r="O1528">
        <v>30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X1528">
        <v>0</v>
      </c>
      <c r="Y1528" t="s">
        <v>2660</v>
      </c>
    </row>
    <row r="1529" spans="1:25" x14ac:dyDescent="0.25">
      <c r="H1529" t="s">
        <v>34</v>
      </c>
    </row>
    <row r="1530" spans="1:25" x14ac:dyDescent="0.25">
      <c r="A1530">
        <v>762</v>
      </c>
      <c r="B1530">
        <v>3598</v>
      </c>
      <c r="C1530" t="s">
        <v>2661</v>
      </c>
      <c r="D1530" t="s">
        <v>1524</v>
      </c>
      <c r="E1530" t="s">
        <v>895</v>
      </c>
      <c r="F1530" t="s">
        <v>2662</v>
      </c>
      <c r="G1530" t="str">
        <f>"00087945"</f>
        <v>00087945</v>
      </c>
      <c r="H1530">
        <v>737</v>
      </c>
      <c r="I1530">
        <v>0</v>
      </c>
      <c r="J1530">
        <v>0</v>
      </c>
      <c r="K1530">
        <v>0</v>
      </c>
      <c r="L1530">
        <v>0</v>
      </c>
      <c r="M1530">
        <v>100</v>
      </c>
      <c r="N1530">
        <v>70</v>
      </c>
      <c r="O1530">
        <v>30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X1530">
        <v>0</v>
      </c>
      <c r="Y1530">
        <v>937</v>
      </c>
    </row>
    <row r="1531" spans="1:25" x14ac:dyDescent="0.25">
      <c r="H1531" t="s">
        <v>213</v>
      </c>
    </row>
    <row r="1532" spans="1:25" x14ac:dyDescent="0.25">
      <c r="A1532">
        <v>763</v>
      </c>
      <c r="B1532">
        <v>3719</v>
      </c>
      <c r="C1532" t="s">
        <v>1542</v>
      </c>
      <c r="D1532" t="s">
        <v>209</v>
      </c>
      <c r="E1532" t="s">
        <v>252</v>
      </c>
      <c r="F1532" t="s">
        <v>2663</v>
      </c>
      <c r="G1532" t="str">
        <f>"00135071"</f>
        <v>00135071</v>
      </c>
      <c r="H1532" t="s">
        <v>137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70</v>
      </c>
      <c r="O1532">
        <v>0</v>
      </c>
      <c r="P1532">
        <v>50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X1532">
        <v>0</v>
      </c>
      <c r="Y1532" t="s">
        <v>2664</v>
      </c>
    </row>
    <row r="1533" spans="1:25" x14ac:dyDescent="0.25">
      <c r="H1533" t="s">
        <v>34</v>
      </c>
    </row>
    <row r="1534" spans="1:25" x14ac:dyDescent="0.25">
      <c r="A1534">
        <v>764</v>
      </c>
      <c r="B1534">
        <v>5384</v>
      </c>
      <c r="C1534" t="s">
        <v>2665</v>
      </c>
      <c r="D1534" t="s">
        <v>2666</v>
      </c>
      <c r="E1534" t="s">
        <v>21</v>
      </c>
      <c r="F1534" t="s">
        <v>2667</v>
      </c>
      <c r="G1534" t="str">
        <f>"201506000702"</f>
        <v>201506000702</v>
      </c>
      <c r="H1534">
        <v>715</v>
      </c>
      <c r="I1534">
        <v>0</v>
      </c>
      <c r="J1534">
        <v>0</v>
      </c>
      <c r="K1534">
        <v>0</v>
      </c>
      <c r="L1534">
        <v>0</v>
      </c>
      <c r="M1534">
        <v>100</v>
      </c>
      <c r="N1534">
        <v>70</v>
      </c>
      <c r="O1534">
        <v>0</v>
      </c>
      <c r="P1534">
        <v>50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X1534">
        <v>0</v>
      </c>
      <c r="Y1534">
        <v>935</v>
      </c>
    </row>
    <row r="1535" spans="1:25" x14ac:dyDescent="0.25">
      <c r="H1535" t="s">
        <v>91</v>
      </c>
    </row>
    <row r="1536" spans="1:25" x14ac:dyDescent="0.25">
      <c r="A1536">
        <v>765</v>
      </c>
      <c r="B1536">
        <v>25</v>
      </c>
      <c r="C1536" t="s">
        <v>857</v>
      </c>
      <c r="D1536" t="s">
        <v>20</v>
      </c>
      <c r="E1536" t="s">
        <v>1340</v>
      </c>
      <c r="F1536" t="s">
        <v>2668</v>
      </c>
      <c r="G1536" t="str">
        <f>"00198135"</f>
        <v>00198135</v>
      </c>
      <c r="H1536" t="s">
        <v>2340</v>
      </c>
      <c r="I1536">
        <v>150</v>
      </c>
      <c r="J1536">
        <v>0</v>
      </c>
      <c r="K1536">
        <v>0</v>
      </c>
      <c r="L1536">
        <v>0</v>
      </c>
      <c r="M1536">
        <v>0</v>
      </c>
      <c r="N1536">
        <v>50</v>
      </c>
      <c r="O1536">
        <v>70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X1536">
        <v>0</v>
      </c>
      <c r="Y1536" t="s">
        <v>2669</v>
      </c>
    </row>
    <row r="1537" spans="1:25" x14ac:dyDescent="0.25">
      <c r="H1537" t="s">
        <v>23</v>
      </c>
    </row>
    <row r="1538" spans="1:25" x14ac:dyDescent="0.25">
      <c r="A1538">
        <v>766</v>
      </c>
      <c r="B1538">
        <v>661</v>
      </c>
      <c r="C1538" t="s">
        <v>1200</v>
      </c>
      <c r="D1538" t="s">
        <v>598</v>
      </c>
      <c r="E1538" t="s">
        <v>419</v>
      </c>
      <c r="F1538" t="s">
        <v>2670</v>
      </c>
      <c r="G1538" t="str">
        <f>"00196879"</f>
        <v>00196879</v>
      </c>
      <c r="H1538" t="s">
        <v>1959</v>
      </c>
      <c r="I1538">
        <v>150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70</v>
      </c>
      <c r="R1538">
        <v>0</v>
      </c>
      <c r="S1538">
        <v>0</v>
      </c>
      <c r="T1538">
        <v>0</v>
      </c>
      <c r="U1538">
        <v>0</v>
      </c>
      <c r="V1538">
        <v>0</v>
      </c>
      <c r="X1538">
        <v>0</v>
      </c>
      <c r="Y1538" t="s">
        <v>2671</v>
      </c>
    </row>
    <row r="1539" spans="1:25" x14ac:dyDescent="0.25">
      <c r="H1539">
        <v>101</v>
      </c>
    </row>
    <row r="1540" spans="1:25" x14ac:dyDescent="0.25">
      <c r="A1540">
        <v>767</v>
      </c>
      <c r="B1540">
        <v>941</v>
      </c>
      <c r="C1540" t="s">
        <v>2672</v>
      </c>
      <c r="D1540" t="s">
        <v>245</v>
      </c>
      <c r="E1540" t="s">
        <v>125</v>
      </c>
      <c r="F1540" t="s">
        <v>2673</v>
      </c>
      <c r="G1540" t="str">
        <f>"201406002586"</f>
        <v>201406002586</v>
      </c>
      <c r="H1540" t="s">
        <v>390</v>
      </c>
      <c r="I1540">
        <v>0</v>
      </c>
      <c r="J1540">
        <v>0</v>
      </c>
      <c r="K1540">
        <v>0</v>
      </c>
      <c r="L1540">
        <v>0</v>
      </c>
      <c r="M1540">
        <v>100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70</v>
      </c>
      <c r="U1540">
        <v>0</v>
      </c>
      <c r="V1540">
        <v>0</v>
      </c>
      <c r="X1540">
        <v>0</v>
      </c>
      <c r="Y1540" t="s">
        <v>2674</v>
      </c>
    </row>
    <row r="1541" spans="1:25" x14ac:dyDescent="0.25">
      <c r="H1541" t="s">
        <v>23</v>
      </c>
    </row>
    <row r="1542" spans="1:25" x14ac:dyDescent="0.25">
      <c r="A1542">
        <v>768</v>
      </c>
      <c r="B1542">
        <v>3390</v>
      </c>
      <c r="C1542" t="s">
        <v>2675</v>
      </c>
      <c r="D1542" t="s">
        <v>629</v>
      </c>
      <c r="E1542" t="s">
        <v>81</v>
      </c>
      <c r="F1542" t="s">
        <v>2676</v>
      </c>
      <c r="G1542" t="str">
        <f>"00013657"</f>
        <v>00013657</v>
      </c>
      <c r="H1542" t="s">
        <v>271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30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X1542">
        <v>0</v>
      </c>
      <c r="Y1542" t="s">
        <v>2677</v>
      </c>
    </row>
    <row r="1543" spans="1:25" x14ac:dyDescent="0.25">
      <c r="H1543" t="s">
        <v>118</v>
      </c>
    </row>
    <row r="1544" spans="1:25" x14ac:dyDescent="0.25">
      <c r="A1544">
        <v>769</v>
      </c>
      <c r="B1544">
        <v>6502</v>
      </c>
      <c r="C1544" t="s">
        <v>2678</v>
      </c>
      <c r="D1544" t="s">
        <v>25</v>
      </c>
      <c r="E1544" t="s">
        <v>43</v>
      </c>
      <c r="F1544" t="s">
        <v>2679</v>
      </c>
      <c r="G1544" t="str">
        <f>"00197167"</f>
        <v>00197167</v>
      </c>
      <c r="H1544" t="s">
        <v>67</v>
      </c>
      <c r="I1544">
        <v>0</v>
      </c>
      <c r="J1544">
        <v>0</v>
      </c>
      <c r="K1544">
        <v>0</v>
      </c>
      <c r="L1544">
        <v>0</v>
      </c>
      <c r="M1544">
        <v>100</v>
      </c>
      <c r="N1544">
        <v>0</v>
      </c>
      <c r="O1544">
        <v>70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X1544">
        <v>0</v>
      </c>
      <c r="Y1544" t="s">
        <v>2677</v>
      </c>
    </row>
    <row r="1545" spans="1:25" x14ac:dyDescent="0.25">
      <c r="H1545" t="s">
        <v>118</v>
      </c>
    </row>
    <row r="1546" spans="1:25" x14ac:dyDescent="0.25">
      <c r="A1546">
        <v>770</v>
      </c>
      <c r="B1546">
        <v>5937</v>
      </c>
      <c r="C1546" t="s">
        <v>2680</v>
      </c>
      <c r="D1546" t="s">
        <v>891</v>
      </c>
      <c r="E1546" t="s">
        <v>1667</v>
      </c>
      <c r="F1546" t="s">
        <v>2681</v>
      </c>
      <c r="G1546" t="str">
        <f>"201601001211"</f>
        <v>201601001211</v>
      </c>
      <c r="H1546">
        <v>693</v>
      </c>
      <c r="I1546">
        <v>0</v>
      </c>
      <c r="J1546">
        <v>0</v>
      </c>
      <c r="K1546">
        <v>0</v>
      </c>
      <c r="L1546">
        <v>0</v>
      </c>
      <c r="M1546">
        <v>100</v>
      </c>
      <c r="N1546">
        <v>70</v>
      </c>
      <c r="O1546">
        <v>0</v>
      </c>
      <c r="P1546">
        <v>70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X1546">
        <v>0</v>
      </c>
      <c r="Y1546">
        <v>933</v>
      </c>
    </row>
    <row r="1547" spans="1:25" x14ac:dyDescent="0.25">
      <c r="H1547" t="s">
        <v>118</v>
      </c>
    </row>
    <row r="1548" spans="1:25" x14ac:dyDescent="0.25">
      <c r="A1548">
        <v>771</v>
      </c>
      <c r="B1548">
        <v>5164</v>
      </c>
      <c r="C1548" t="s">
        <v>2682</v>
      </c>
      <c r="D1548" t="s">
        <v>2683</v>
      </c>
      <c r="E1548" t="s">
        <v>55</v>
      </c>
      <c r="F1548" t="s">
        <v>2684</v>
      </c>
      <c r="G1548" t="str">
        <f>"00208342"</f>
        <v>00208342</v>
      </c>
      <c r="H1548" t="s">
        <v>860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0</v>
      </c>
      <c r="P1548">
        <v>70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X1548">
        <v>0</v>
      </c>
      <c r="Y1548" t="s">
        <v>2685</v>
      </c>
    </row>
    <row r="1549" spans="1:25" x14ac:dyDescent="0.25">
      <c r="H1549" t="s">
        <v>53</v>
      </c>
    </row>
    <row r="1550" spans="1:25" x14ac:dyDescent="0.25">
      <c r="A1550">
        <v>772</v>
      </c>
      <c r="B1550">
        <v>5372</v>
      </c>
      <c r="C1550" t="s">
        <v>2686</v>
      </c>
      <c r="D1550" t="s">
        <v>21</v>
      </c>
      <c r="E1550" t="s">
        <v>2687</v>
      </c>
      <c r="F1550" t="s">
        <v>2688</v>
      </c>
      <c r="G1550" t="str">
        <f>"00191876"</f>
        <v>00191876</v>
      </c>
      <c r="H1550" t="s">
        <v>1521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30</v>
      </c>
      <c r="R1550">
        <v>0</v>
      </c>
      <c r="S1550">
        <v>0</v>
      </c>
      <c r="T1550">
        <v>0</v>
      </c>
      <c r="U1550">
        <v>0</v>
      </c>
      <c r="V1550">
        <v>0</v>
      </c>
      <c r="X1550">
        <v>1</v>
      </c>
      <c r="Y1550" t="s">
        <v>2689</v>
      </c>
    </row>
    <row r="1551" spans="1:25" x14ac:dyDescent="0.25">
      <c r="H1551" t="s">
        <v>23</v>
      </c>
    </row>
    <row r="1552" spans="1:25" x14ac:dyDescent="0.25">
      <c r="A1552">
        <v>773</v>
      </c>
      <c r="B1552">
        <v>561</v>
      </c>
      <c r="C1552" t="s">
        <v>2690</v>
      </c>
      <c r="D1552" t="s">
        <v>2691</v>
      </c>
      <c r="E1552" t="s">
        <v>21</v>
      </c>
      <c r="F1552" t="s">
        <v>2692</v>
      </c>
      <c r="G1552" t="str">
        <f>"00208508"</f>
        <v>00208508</v>
      </c>
      <c r="H1552" t="s">
        <v>2693</v>
      </c>
      <c r="I1552">
        <v>0</v>
      </c>
      <c r="J1552">
        <v>0</v>
      </c>
      <c r="K1552">
        <v>0</v>
      </c>
      <c r="L1552">
        <v>200</v>
      </c>
      <c r="M1552">
        <v>0</v>
      </c>
      <c r="N1552">
        <v>70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X1552">
        <v>0</v>
      </c>
      <c r="Y1552" t="s">
        <v>2694</v>
      </c>
    </row>
    <row r="1553" spans="1:25" x14ac:dyDescent="0.25">
      <c r="H1553" t="s">
        <v>2695</v>
      </c>
    </row>
    <row r="1554" spans="1:25" x14ac:dyDescent="0.25">
      <c r="A1554">
        <v>774</v>
      </c>
      <c r="B1554">
        <v>1220</v>
      </c>
      <c r="C1554" t="s">
        <v>2696</v>
      </c>
      <c r="D1554" t="s">
        <v>362</v>
      </c>
      <c r="E1554" t="s">
        <v>87</v>
      </c>
      <c r="F1554" t="s">
        <v>2697</v>
      </c>
      <c r="G1554" t="str">
        <f>"201303000565"</f>
        <v>201303000565</v>
      </c>
      <c r="H1554" t="s">
        <v>202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50</v>
      </c>
      <c r="P1554">
        <v>0</v>
      </c>
      <c r="Q1554">
        <v>30</v>
      </c>
      <c r="R1554">
        <v>0</v>
      </c>
      <c r="S1554">
        <v>0</v>
      </c>
      <c r="T1554">
        <v>0</v>
      </c>
      <c r="U1554">
        <v>0</v>
      </c>
      <c r="V1554">
        <v>0</v>
      </c>
      <c r="X1554">
        <v>0</v>
      </c>
      <c r="Y1554" t="s">
        <v>2698</v>
      </c>
    </row>
    <row r="1555" spans="1:25" x14ac:dyDescent="0.25">
      <c r="H1555" t="s">
        <v>34</v>
      </c>
    </row>
    <row r="1556" spans="1:25" x14ac:dyDescent="0.25">
      <c r="A1556">
        <v>775</v>
      </c>
      <c r="B1556">
        <v>5159</v>
      </c>
      <c r="C1556" t="s">
        <v>795</v>
      </c>
      <c r="D1556" t="s">
        <v>468</v>
      </c>
      <c r="E1556" t="s">
        <v>93</v>
      </c>
      <c r="F1556" t="s">
        <v>2699</v>
      </c>
      <c r="G1556" t="str">
        <f>"201304000459"</f>
        <v>201304000459</v>
      </c>
      <c r="H1556" t="s">
        <v>2458</v>
      </c>
      <c r="I1556">
        <v>0</v>
      </c>
      <c r="J1556">
        <v>0</v>
      </c>
      <c r="K1556">
        <v>0</v>
      </c>
      <c r="L1556">
        <v>200</v>
      </c>
      <c r="M1556">
        <v>0</v>
      </c>
      <c r="N1556">
        <v>30</v>
      </c>
      <c r="O1556">
        <v>30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X1556">
        <v>0</v>
      </c>
      <c r="Y1556" t="s">
        <v>2698</v>
      </c>
    </row>
    <row r="1557" spans="1:25" x14ac:dyDescent="0.25">
      <c r="H1557" t="s">
        <v>23</v>
      </c>
    </row>
    <row r="1558" spans="1:25" x14ac:dyDescent="0.25">
      <c r="A1558">
        <v>776</v>
      </c>
      <c r="B1558">
        <v>3130</v>
      </c>
      <c r="C1558" t="s">
        <v>2700</v>
      </c>
      <c r="D1558" t="s">
        <v>25</v>
      </c>
      <c r="E1558" t="s">
        <v>947</v>
      </c>
      <c r="F1558" t="s">
        <v>2701</v>
      </c>
      <c r="G1558" t="str">
        <f>"201406015642"</f>
        <v>201406015642</v>
      </c>
      <c r="H1558" t="s">
        <v>984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70</v>
      </c>
      <c r="O1558">
        <v>0</v>
      </c>
      <c r="P1558">
        <v>0</v>
      </c>
      <c r="Q1558">
        <v>50</v>
      </c>
      <c r="R1558">
        <v>30</v>
      </c>
      <c r="S1558">
        <v>0</v>
      </c>
      <c r="T1558">
        <v>0</v>
      </c>
      <c r="U1558">
        <v>0</v>
      </c>
      <c r="V1558">
        <v>0</v>
      </c>
      <c r="X1558">
        <v>2</v>
      </c>
      <c r="Y1558" t="s">
        <v>2702</v>
      </c>
    </row>
    <row r="1559" spans="1:25" x14ac:dyDescent="0.25">
      <c r="H1559" t="s">
        <v>91</v>
      </c>
    </row>
    <row r="1560" spans="1:25" x14ac:dyDescent="0.25">
      <c r="A1560">
        <v>777</v>
      </c>
      <c r="B1560">
        <v>2038</v>
      </c>
      <c r="C1560" t="s">
        <v>2703</v>
      </c>
      <c r="D1560" t="s">
        <v>49</v>
      </c>
      <c r="E1560" t="s">
        <v>30</v>
      </c>
      <c r="F1560" t="s">
        <v>2704</v>
      </c>
      <c r="G1560" t="str">
        <f>"201303000303"</f>
        <v>201303000303</v>
      </c>
      <c r="H1560" t="s">
        <v>1350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70</v>
      </c>
      <c r="O1560">
        <v>0</v>
      </c>
      <c r="P1560">
        <v>0</v>
      </c>
      <c r="Q1560">
        <v>0</v>
      </c>
      <c r="R1560">
        <v>70</v>
      </c>
      <c r="S1560">
        <v>0</v>
      </c>
      <c r="T1560">
        <v>0</v>
      </c>
      <c r="U1560">
        <v>0</v>
      </c>
      <c r="V1560">
        <v>0</v>
      </c>
      <c r="X1560">
        <v>0</v>
      </c>
      <c r="Y1560" t="s">
        <v>2705</v>
      </c>
    </row>
    <row r="1561" spans="1:25" x14ac:dyDescent="0.25">
      <c r="H1561" t="s">
        <v>23</v>
      </c>
    </row>
    <row r="1562" spans="1:25" x14ac:dyDescent="0.25">
      <c r="A1562">
        <v>778</v>
      </c>
      <c r="B1562">
        <v>1766</v>
      </c>
      <c r="C1562" t="s">
        <v>2706</v>
      </c>
      <c r="D1562" t="s">
        <v>113</v>
      </c>
      <c r="E1562" t="s">
        <v>2707</v>
      </c>
      <c r="F1562" t="s">
        <v>2708</v>
      </c>
      <c r="G1562" t="str">
        <f>"201406015678"</f>
        <v>201406015678</v>
      </c>
      <c r="H1562" t="s">
        <v>1250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70</v>
      </c>
      <c r="P1562">
        <v>0</v>
      </c>
      <c r="Q1562">
        <v>0</v>
      </c>
      <c r="R1562">
        <v>30</v>
      </c>
      <c r="S1562">
        <v>0</v>
      </c>
      <c r="T1562">
        <v>0</v>
      </c>
      <c r="U1562">
        <v>0</v>
      </c>
      <c r="V1562">
        <v>0</v>
      </c>
      <c r="X1562">
        <v>0</v>
      </c>
      <c r="Y1562" t="s">
        <v>2709</v>
      </c>
    </row>
    <row r="1563" spans="1:25" x14ac:dyDescent="0.25">
      <c r="H1563" t="s">
        <v>34</v>
      </c>
    </row>
    <row r="1564" spans="1:25" x14ac:dyDescent="0.25">
      <c r="A1564">
        <v>779</v>
      </c>
      <c r="B1564">
        <v>6364</v>
      </c>
      <c r="C1564" t="s">
        <v>2710</v>
      </c>
      <c r="D1564" t="s">
        <v>70</v>
      </c>
      <c r="E1564" t="s">
        <v>43</v>
      </c>
      <c r="F1564" t="s">
        <v>2711</v>
      </c>
      <c r="G1564" t="str">
        <f>"00114804"</f>
        <v>00114804</v>
      </c>
      <c r="H1564" t="s">
        <v>132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70</v>
      </c>
      <c r="O1564">
        <v>70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X1564">
        <v>0</v>
      </c>
      <c r="Y1564" t="s">
        <v>2712</v>
      </c>
    </row>
    <row r="1565" spans="1:25" x14ac:dyDescent="0.25">
      <c r="H1565" t="s">
        <v>34</v>
      </c>
    </row>
    <row r="1566" spans="1:25" x14ac:dyDescent="0.25">
      <c r="A1566">
        <v>780</v>
      </c>
      <c r="B1566">
        <v>474</v>
      </c>
      <c r="C1566" t="s">
        <v>2713</v>
      </c>
      <c r="D1566" t="s">
        <v>25</v>
      </c>
      <c r="E1566" t="s">
        <v>55</v>
      </c>
      <c r="F1566" t="s">
        <v>2714</v>
      </c>
      <c r="G1566" t="str">
        <f>"201511043070"</f>
        <v>201511043070</v>
      </c>
      <c r="H1566">
        <v>825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70</v>
      </c>
      <c r="O1566">
        <v>0</v>
      </c>
      <c r="P1566">
        <v>30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X1566">
        <v>0</v>
      </c>
      <c r="Y1566">
        <v>925</v>
      </c>
    </row>
    <row r="1567" spans="1:25" x14ac:dyDescent="0.25">
      <c r="H1567" t="s">
        <v>23</v>
      </c>
    </row>
    <row r="1568" spans="1:25" x14ac:dyDescent="0.25">
      <c r="A1568">
        <v>781</v>
      </c>
      <c r="B1568">
        <v>5385</v>
      </c>
      <c r="C1568" t="s">
        <v>2715</v>
      </c>
      <c r="D1568" t="s">
        <v>1030</v>
      </c>
      <c r="E1568" t="s">
        <v>147</v>
      </c>
      <c r="F1568" t="s">
        <v>2716</v>
      </c>
      <c r="G1568" t="str">
        <f>"201406018285"</f>
        <v>201406018285</v>
      </c>
      <c r="H1568" t="s">
        <v>1578</v>
      </c>
      <c r="I1568">
        <v>0</v>
      </c>
      <c r="J1568">
        <v>0</v>
      </c>
      <c r="K1568">
        <v>0</v>
      </c>
      <c r="L1568">
        <v>0</v>
      </c>
      <c r="M1568">
        <v>100</v>
      </c>
      <c r="N1568">
        <v>70</v>
      </c>
      <c r="O1568">
        <v>30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X1568">
        <v>0</v>
      </c>
      <c r="Y1568" t="s">
        <v>2717</v>
      </c>
    </row>
    <row r="1569" spans="1:25" x14ac:dyDescent="0.25">
      <c r="H1569" t="s">
        <v>34</v>
      </c>
    </row>
    <row r="1570" spans="1:25" x14ac:dyDescent="0.25">
      <c r="A1570">
        <v>782</v>
      </c>
      <c r="B1570">
        <v>4950</v>
      </c>
      <c r="C1570" t="s">
        <v>2718</v>
      </c>
      <c r="D1570" t="s">
        <v>2719</v>
      </c>
      <c r="E1570" t="s">
        <v>61</v>
      </c>
      <c r="F1570" t="s">
        <v>2720</v>
      </c>
      <c r="G1570" t="str">
        <f>"201406011249"</f>
        <v>201406011249</v>
      </c>
      <c r="H1570" t="s">
        <v>2721</v>
      </c>
      <c r="I1570">
        <v>0</v>
      </c>
      <c r="J1570">
        <v>0</v>
      </c>
      <c r="K1570">
        <v>0</v>
      </c>
      <c r="L1570">
        <v>200</v>
      </c>
      <c r="M1570">
        <v>0</v>
      </c>
      <c r="N1570">
        <v>50</v>
      </c>
      <c r="O1570">
        <v>0</v>
      </c>
      <c r="P1570">
        <v>50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X1570">
        <v>0</v>
      </c>
      <c r="Y1570" t="s">
        <v>2722</v>
      </c>
    </row>
    <row r="1571" spans="1:25" x14ac:dyDescent="0.25">
      <c r="H1571" t="s">
        <v>34</v>
      </c>
    </row>
    <row r="1572" spans="1:25" x14ac:dyDescent="0.25">
      <c r="A1572">
        <v>783</v>
      </c>
      <c r="B1572">
        <v>5674</v>
      </c>
      <c r="C1572" t="s">
        <v>2723</v>
      </c>
      <c r="D1572" t="s">
        <v>2724</v>
      </c>
      <c r="E1572" t="s">
        <v>2725</v>
      </c>
      <c r="F1572" t="s">
        <v>2726</v>
      </c>
      <c r="G1572" t="str">
        <f>"00011319"</f>
        <v>00011319</v>
      </c>
      <c r="H1572" t="s">
        <v>2419</v>
      </c>
      <c r="I1572">
        <v>0</v>
      </c>
      <c r="J1572">
        <v>0</v>
      </c>
      <c r="K1572">
        <v>0</v>
      </c>
      <c r="L1572">
        <v>200</v>
      </c>
      <c r="M1572">
        <v>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X1572">
        <v>0</v>
      </c>
      <c r="Y1572" t="s">
        <v>2727</v>
      </c>
    </row>
    <row r="1573" spans="1:25" x14ac:dyDescent="0.25">
      <c r="H1573" t="s">
        <v>118</v>
      </c>
    </row>
    <row r="1574" spans="1:25" x14ac:dyDescent="0.25">
      <c r="A1574">
        <v>784</v>
      </c>
      <c r="B1574">
        <v>5542</v>
      </c>
      <c r="C1574" t="s">
        <v>2728</v>
      </c>
      <c r="D1574" t="s">
        <v>2729</v>
      </c>
      <c r="E1574" t="s">
        <v>184</v>
      </c>
      <c r="F1574" t="s">
        <v>2730</v>
      </c>
      <c r="G1574" t="str">
        <f>"201603000146"</f>
        <v>201603000146</v>
      </c>
      <c r="H1574" t="s">
        <v>152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70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X1574">
        <v>0</v>
      </c>
      <c r="Y1574" t="s">
        <v>2731</v>
      </c>
    </row>
    <row r="1575" spans="1:25" x14ac:dyDescent="0.25">
      <c r="H1575" t="s">
        <v>34</v>
      </c>
    </row>
    <row r="1576" spans="1:25" x14ac:dyDescent="0.25">
      <c r="A1576">
        <v>785</v>
      </c>
      <c r="B1576">
        <v>5518</v>
      </c>
      <c r="C1576" t="s">
        <v>2732</v>
      </c>
      <c r="D1576" t="s">
        <v>25</v>
      </c>
      <c r="E1576" t="s">
        <v>2733</v>
      </c>
      <c r="F1576" t="s">
        <v>2734</v>
      </c>
      <c r="G1576" t="str">
        <f>"201511013187"</f>
        <v>201511013187</v>
      </c>
      <c r="H1576" t="s">
        <v>938</v>
      </c>
      <c r="I1576">
        <v>150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X1576">
        <v>0</v>
      </c>
      <c r="Y1576" t="s">
        <v>2735</v>
      </c>
    </row>
    <row r="1577" spans="1:25" x14ac:dyDescent="0.25">
      <c r="H1577" t="s">
        <v>53</v>
      </c>
    </row>
    <row r="1578" spans="1:25" x14ac:dyDescent="0.25">
      <c r="A1578">
        <v>786</v>
      </c>
      <c r="B1578">
        <v>1448</v>
      </c>
      <c r="C1578" t="s">
        <v>2736</v>
      </c>
      <c r="D1578" t="s">
        <v>25</v>
      </c>
      <c r="E1578" t="s">
        <v>2737</v>
      </c>
      <c r="F1578" t="s">
        <v>2738</v>
      </c>
      <c r="G1578" t="str">
        <f>"00004459"</f>
        <v>00004459</v>
      </c>
      <c r="H1578" t="s">
        <v>608</v>
      </c>
      <c r="I1578">
        <v>150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X1578">
        <v>0</v>
      </c>
      <c r="Y1578" t="s">
        <v>2739</v>
      </c>
    </row>
    <row r="1579" spans="1:25" x14ac:dyDescent="0.25">
      <c r="H1579">
        <v>101</v>
      </c>
    </row>
    <row r="1580" spans="1:25" x14ac:dyDescent="0.25">
      <c r="A1580">
        <v>787</v>
      </c>
      <c r="B1580">
        <v>5312</v>
      </c>
      <c r="C1580" t="s">
        <v>1045</v>
      </c>
      <c r="D1580" t="s">
        <v>1046</v>
      </c>
      <c r="E1580" t="s">
        <v>1047</v>
      </c>
      <c r="F1580" t="s">
        <v>1048</v>
      </c>
      <c r="G1580" t="str">
        <f>"00172452"</f>
        <v>00172452</v>
      </c>
      <c r="H1580" t="s">
        <v>691</v>
      </c>
      <c r="I1580">
        <v>0</v>
      </c>
      <c r="J1580">
        <v>0</v>
      </c>
      <c r="K1580">
        <v>0</v>
      </c>
      <c r="L1580">
        <v>0</v>
      </c>
      <c r="M1580">
        <v>100</v>
      </c>
      <c r="N1580">
        <v>70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X1580">
        <v>0</v>
      </c>
      <c r="Y1580" t="s">
        <v>2740</v>
      </c>
    </row>
    <row r="1581" spans="1:25" x14ac:dyDescent="0.25">
      <c r="H1581" t="s">
        <v>23</v>
      </c>
    </row>
    <row r="1582" spans="1:25" x14ac:dyDescent="0.25">
      <c r="A1582">
        <v>788</v>
      </c>
      <c r="B1582">
        <v>703</v>
      </c>
      <c r="C1582" t="s">
        <v>2741</v>
      </c>
      <c r="D1582" t="s">
        <v>209</v>
      </c>
      <c r="E1582" t="s">
        <v>81</v>
      </c>
      <c r="F1582" t="s">
        <v>2742</v>
      </c>
      <c r="G1582" t="str">
        <f>"00075502"</f>
        <v>00075502</v>
      </c>
      <c r="H1582">
        <v>682</v>
      </c>
      <c r="I1582">
        <v>0</v>
      </c>
      <c r="J1582">
        <v>0</v>
      </c>
      <c r="K1582">
        <v>0</v>
      </c>
      <c r="L1582">
        <v>0</v>
      </c>
      <c r="M1582">
        <v>100</v>
      </c>
      <c r="N1582">
        <v>70</v>
      </c>
      <c r="O1582">
        <v>70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X1582">
        <v>0</v>
      </c>
      <c r="Y1582">
        <v>922</v>
      </c>
    </row>
    <row r="1583" spans="1:25" x14ac:dyDescent="0.25">
      <c r="H1583" t="s">
        <v>34</v>
      </c>
    </row>
    <row r="1584" spans="1:25" x14ac:dyDescent="0.25">
      <c r="A1584">
        <v>789</v>
      </c>
      <c r="B1584">
        <v>4472</v>
      </c>
      <c r="C1584" t="s">
        <v>2743</v>
      </c>
      <c r="D1584" t="s">
        <v>805</v>
      </c>
      <c r="E1584" t="s">
        <v>37</v>
      </c>
      <c r="F1584" t="s">
        <v>2744</v>
      </c>
      <c r="G1584" t="str">
        <f>"201506001934"</f>
        <v>201506001934</v>
      </c>
      <c r="H1584" t="s">
        <v>1636</v>
      </c>
      <c r="I1584">
        <v>0</v>
      </c>
      <c r="J1584">
        <v>0</v>
      </c>
      <c r="K1584">
        <v>0</v>
      </c>
      <c r="L1584">
        <v>0</v>
      </c>
      <c r="M1584">
        <v>100</v>
      </c>
      <c r="N1584">
        <v>70</v>
      </c>
      <c r="O1584">
        <v>30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X1584">
        <v>0</v>
      </c>
      <c r="Y1584" t="s">
        <v>2745</v>
      </c>
    </row>
    <row r="1585" spans="1:25" x14ac:dyDescent="0.25">
      <c r="H1585" t="s">
        <v>788</v>
      </c>
    </row>
    <row r="1586" spans="1:25" x14ac:dyDescent="0.25">
      <c r="A1586">
        <v>790</v>
      </c>
      <c r="B1586">
        <v>120</v>
      </c>
      <c r="C1586" t="s">
        <v>2240</v>
      </c>
      <c r="D1586" t="s">
        <v>2746</v>
      </c>
      <c r="E1586" t="s">
        <v>2747</v>
      </c>
      <c r="F1586" t="s">
        <v>2748</v>
      </c>
      <c r="G1586" t="str">
        <f>"00162065"</f>
        <v>00162065</v>
      </c>
      <c r="H1586" t="s">
        <v>51</v>
      </c>
      <c r="I1586">
        <v>0</v>
      </c>
      <c r="J1586">
        <v>0</v>
      </c>
      <c r="K1586">
        <v>0</v>
      </c>
      <c r="L1586">
        <v>0</v>
      </c>
      <c r="M1586">
        <v>100</v>
      </c>
      <c r="N1586">
        <v>70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X1586">
        <v>0</v>
      </c>
      <c r="Y1586" t="s">
        <v>2749</v>
      </c>
    </row>
    <row r="1587" spans="1:25" x14ac:dyDescent="0.25">
      <c r="H1587" t="s">
        <v>118</v>
      </c>
    </row>
    <row r="1588" spans="1:25" x14ac:dyDescent="0.25">
      <c r="A1588">
        <v>791</v>
      </c>
      <c r="B1588">
        <v>6273</v>
      </c>
      <c r="C1588" t="s">
        <v>2750</v>
      </c>
      <c r="D1588" t="s">
        <v>2751</v>
      </c>
      <c r="E1588" t="s">
        <v>1345</v>
      </c>
      <c r="F1588" t="s">
        <v>2752</v>
      </c>
      <c r="G1588" t="str">
        <f>"201406000071"</f>
        <v>201406000071</v>
      </c>
      <c r="H1588" t="s">
        <v>414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70</v>
      </c>
      <c r="O1588">
        <v>50</v>
      </c>
      <c r="P1588">
        <v>0</v>
      </c>
      <c r="Q1588">
        <v>0</v>
      </c>
      <c r="R1588">
        <v>30</v>
      </c>
      <c r="S1588">
        <v>0</v>
      </c>
      <c r="T1588">
        <v>0</v>
      </c>
      <c r="U1588">
        <v>0</v>
      </c>
      <c r="V1588">
        <v>0</v>
      </c>
      <c r="X1588">
        <v>0</v>
      </c>
      <c r="Y1588" t="s">
        <v>2753</v>
      </c>
    </row>
    <row r="1589" spans="1:25" x14ac:dyDescent="0.25">
      <c r="H1589" t="s">
        <v>118</v>
      </c>
    </row>
    <row r="1590" spans="1:25" x14ac:dyDescent="0.25">
      <c r="A1590">
        <v>792</v>
      </c>
      <c r="B1590">
        <v>4338</v>
      </c>
      <c r="C1590" t="s">
        <v>2754</v>
      </c>
      <c r="D1590" t="s">
        <v>217</v>
      </c>
      <c r="E1590" t="s">
        <v>2755</v>
      </c>
      <c r="F1590" t="s">
        <v>2756</v>
      </c>
      <c r="G1590" t="str">
        <f>"201506000001"</f>
        <v>201506000001</v>
      </c>
      <c r="H1590" t="s">
        <v>2757</v>
      </c>
      <c r="I1590">
        <v>150</v>
      </c>
      <c r="J1590">
        <v>0</v>
      </c>
      <c r="K1590">
        <v>0</v>
      </c>
      <c r="L1590">
        <v>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X1590">
        <v>0</v>
      </c>
      <c r="Y1590" t="s">
        <v>2758</v>
      </c>
    </row>
    <row r="1591" spans="1:25" x14ac:dyDescent="0.25">
      <c r="H1591" t="s">
        <v>34</v>
      </c>
    </row>
    <row r="1592" spans="1:25" x14ac:dyDescent="0.25">
      <c r="A1592">
        <v>793</v>
      </c>
      <c r="B1592">
        <v>5709</v>
      </c>
      <c r="C1592" t="s">
        <v>29</v>
      </c>
      <c r="D1592" t="s">
        <v>217</v>
      </c>
      <c r="E1592" t="s">
        <v>114</v>
      </c>
      <c r="F1592" t="s">
        <v>2759</v>
      </c>
      <c r="G1592" t="str">
        <f>"00207789"</f>
        <v>00207789</v>
      </c>
      <c r="H1592">
        <v>748</v>
      </c>
      <c r="I1592">
        <v>0</v>
      </c>
      <c r="J1592">
        <v>0</v>
      </c>
      <c r="K1592">
        <v>0</v>
      </c>
      <c r="L1592">
        <v>0</v>
      </c>
      <c r="M1592">
        <v>100</v>
      </c>
      <c r="N1592">
        <v>70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X1592">
        <v>0</v>
      </c>
      <c r="Y1592">
        <v>918</v>
      </c>
    </row>
    <row r="1593" spans="1:25" x14ac:dyDescent="0.25">
      <c r="H1593" t="s">
        <v>34</v>
      </c>
    </row>
    <row r="1594" spans="1:25" x14ac:dyDescent="0.25">
      <c r="A1594">
        <v>794</v>
      </c>
      <c r="B1594">
        <v>6259</v>
      </c>
      <c r="C1594" t="s">
        <v>2760</v>
      </c>
      <c r="D1594" t="s">
        <v>25</v>
      </c>
      <c r="E1594" t="s">
        <v>55</v>
      </c>
      <c r="F1594" t="s">
        <v>2761</v>
      </c>
      <c r="G1594" t="str">
        <f>"00114991"</f>
        <v>00114991</v>
      </c>
      <c r="H1594" t="s">
        <v>1937</v>
      </c>
      <c r="I1594">
        <v>0</v>
      </c>
      <c r="J1594">
        <v>0</v>
      </c>
      <c r="K1594">
        <v>0</v>
      </c>
      <c r="L1594">
        <v>0</v>
      </c>
      <c r="M1594">
        <v>100</v>
      </c>
      <c r="N1594">
        <v>70</v>
      </c>
      <c r="O1594">
        <v>30</v>
      </c>
      <c r="P1594">
        <v>0</v>
      </c>
      <c r="Q1594">
        <v>30</v>
      </c>
      <c r="R1594">
        <v>0</v>
      </c>
      <c r="S1594">
        <v>0</v>
      </c>
      <c r="T1594">
        <v>0</v>
      </c>
      <c r="U1594">
        <v>0</v>
      </c>
      <c r="V1594">
        <v>0</v>
      </c>
      <c r="X1594">
        <v>1</v>
      </c>
      <c r="Y1594" t="s">
        <v>2762</v>
      </c>
    </row>
    <row r="1595" spans="1:25" x14ac:dyDescent="0.25">
      <c r="H1595" t="s">
        <v>34</v>
      </c>
    </row>
    <row r="1596" spans="1:25" x14ac:dyDescent="0.25">
      <c r="A1596">
        <v>795</v>
      </c>
      <c r="B1596">
        <v>313</v>
      </c>
      <c r="C1596" t="s">
        <v>2763</v>
      </c>
      <c r="D1596" t="s">
        <v>2764</v>
      </c>
      <c r="E1596" t="s">
        <v>200</v>
      </c>
      <c r="F1596" t="s">
        <v>2765</v>
      </c>
      <c r="G1596" t="str">
        <f>"201304000488"</f>
        <v>201304000488</v>
      </c>
      <c r="H1596" t="s">
        <v>1337</v>
      </c>
      <c r="I1596">
        <v>0</v>
      </c>
      <c r="J1596">
        <v>0</v>
      </c>
      <c r="K1596">
        <v>0</v>
      </c>
      <c r="L1596">
        <v>0</v>
      </c>
      <c r="M1596">
        <v>100</v>
      </c>
      <c r="N1596">
        <v>70</v>
      </c>
      <c r="O1596">
        <v>30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X1596">
        <v>0</v>
      </c>
      <c r="Y1596" t="s">
        <v>2766</v>
      </c>
    </row>
    <row r="1597" spans="1:25" x14ac:dyDescent="0.25">
      <c r="H1597" t="s">
        <v>34</v>
      </c>
    </row>
    <row r="1598" spans="1:25" x14ac:dyDescent="0.25">
      <c r="A1598">
        <v>796</v>
      </c>
      <c r="B1598">
        <v>5157</v>
      </c>
      <c r="C1598" t="s">
        <v>2767</v>
      </c>
      <c r="D1598" t="s">
        <v>113</v>
      </c>
      <c r="E1598" t="s">
        <v>681</v>
      </c>
      <c r="F1598" t="s">
        <v>2768</v>
      </c>
      <c r="G1598" t="str">
        <f>"201506003604"</f>
        <v>201506003604</v>
      </c>
      <c r="H1598" t="s">
        <v>1004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70</v>
      </c>
      <c r="O1598">
        <v>50</v>
      </c>
      <c r="P1598">
        <v>0</v>
      </c>
      <c r="Q1598">
        <v>30</v>
      </c>
      <c r="R1598">
        <v>0</v>
      </c>
      <c r="S1598">
        <v>0</v>
      </c>
      <c r="T1598">
        <v>0</v>
      </c>
      <c r="U1598">
        <v>0</v>
      </c>
      <c r="V1598">
        <v>0</v>
      </c>
      <c r="X1598">
        <v>0</v>
      </c>
      <c r="Y1598" t="s">
        <v>2769</v>
      </c>
    </row>
    <row r="1599" spans="1:25" x14ac:dyDescent="0.25">
      <c r="H1599" t="s">
        <v>23</v>
      </c>
    </row>
    <row r="1600" spans="1:25" x14ac:dyDescent="0.25">
      <c r="A1600">
        <v>797</v>
      </c>
      <c r="B1600">
        <v>122</v>
      </c>
      <c r="C1600" t="s">
        <v>2770</v>
      </c>
      <c r="D1600" t="s">
        <v>48</v>
      </c>
      <c r="E1600" t="s">
        <v>87</v>
      </c>
      <c r="F1600" t="s">
        <v>2771</v>
      </c>
      <c r="G1600" t="str">
        <f>"200911000321"</f>
        <v>200911000321</v>
      </c>
      <c r="H1600" t="s">
        <v>132</v>
      </c>
      <c r="I1600">
        <v>0</v>
      </c>
      <c r="J1600">
        <v>0</v>
      </c>
      <c r="K1600">
        <v>0</v>
      </c>
      <c r="L1600">
        <v>0</v>
      </c>
      <c r="M1600">
        <v>100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X1600">
        <v>0</v>
      </c>
      <c r="Y1600" t="s">
        <v>2772</v>
      </c>
    </row>
    <row r="1601" spans="1:25" x14ac:dyDescent="0.25">
      <c r="H1601" t="s">
        <v>34</v>
      </c>
    </row>
    <row r="1602" spans="1:25" x14ac:dyDescent="0.25">
      <c r="A1602">
        <v>798</v>
      </c>
      <c r="B1602">
        <v>5119</v>
      </c>
      <c r="C1602" t="s">
        <v>2773</v>
      </c>
      <c r="D1602" t="s">
        <v>1030</v>
      </c>
      <c r="E1602" t="s">
        <v>200</v>
      </c>
      <c r="F1602" t="s">
        <v>2774</v>
      </c>
      <c r="G1602" t="str">
        <f>"201402007551"</f>
        <v>201402007551</v>
      </c>
      <c r="H1602" t="s">
        <v>1466</v>
      </c>
      <c r="I1602">
        <v>0</v>
      </c>
      <c r="J1602">
        <v>0</v>
      </c>
      <c r="K1602">
        <v>0</v>
      </c>
      <c r="L1602">
        <v>0</v>
      </c>
      <c r="M1602">
        <v>100</v>
      </c>
      <c r="N1602">
        <v>70</v>
      </c>
      <c r="O1602">
        <v>50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X1602">
        <v>0</v>
      </c>
      <c r="Y1602" t="s">
        <v>545</v>
      </c>
    </row>
    <row r="1603" spans="1:25" x14ac:dyDescent="0.25">
      <c r="H1603">
        <v>103</v>
      </c>
    </row>
    <row r="1604" spans="1:25" x14ac:dyDescent="0.25">
      <c r="A1604">
        <v>799</v>
      </c>
      <c r="B1604">
        <v>568</v>
      </c>
      <c r="C1604" t="s">
        <v>1508</v>
      </c>
      <c r="D1604" t="s">
        <v>159</v>
      </c>
      <c r="E1604" t="s">
        <v>1035</v>
      </c>
      <c r="F1604" t="s">
        <v>2775</v>
      </c>
      <c r="G1604" t="str">
        <f>"00208521"</f>
        <v>00208521</v>
      </c>
      <c r="H1604" t="s">
        <v>83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70</v>
      </c>
      <c r="O1604">
        <v>70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X1604">
        <v>0</v>
      </c>
      <c r="Y1604" t="s">
        <v>2776</v>
      </c>
    </row>
    <row r="1605" spans="1:25" x14ac:dyDescent="0.25">
      <c r="H1605" t="s">
        <v>213</v>
      </c>
    </row>
    <row r="1606" spans="1:25" x14ac:dyDescent="0.25">
      <c r="A1606">
        <v>800</v>
      </c>
      <c r="B1606">
        <v>173</v>
      </c>
      <c r="C1606" t="s">
        <v>2777</v>
      </c>
      <c r="D1606" t="s">
        <v>159</v>
      </c>
      <c r="E1606" t="s">
        <v>43</v>
      </c>
      <c r="F1606" t="s">
        <v>2778</v>
      </c>
      <c r="G1606" t="str">
        <f>"00012282"</f>
        <v>00012282</v>
      </c>
      <c r="H1606" t="s">
        <v>1959</v>
      </c>
      <c r="I1606">
        <v>0</v>
      </c>
      <c r="J1606">
        <v>0</v>
      </c>
      <c r="K1606">
        <v>0</v>
      </c>
      <c r="L1606">
        <v>200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X1606">
        <v>0</v>
      </c>
      <c r="Y1606" t="s">
        <v>2779</v>
      </c>
    </row>
    <row r="1607" spans="1:25" x14ac:dyDescent="0.25">
      <c r="H1607">
        <v>101</v>
      </c>
    </row>
    <row r="1608" spans="1:25" x14ac:dyDescent="0.25">
      <c r="A1608">
        <v>801</v>
      </c>
      <c r="B1608">
        <v>3006</v>
      </c>
      <c r="C1608" t="s">
        <v>2780</v>
      </c>
      <c r="D1608" t="s">
        <v>650</v>
      </c>
      <c r="E1608" t="s">
        <v>55</v>
      </c>
      <c r="F1608" t="s">
        <v>2781</v>
      </c>
      <c r="G1608" t="str">
        <f>"00131329"</f>
        <v>00131329</v>
      </c>
      <c r="H1608" t="s">
        <v>57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30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X1608">
        <v>0</v>
      </c>
      <c r="Y1608" t="s">
        <v>2782</v>
      </c>
    </row>
    <row r="1609" spans="1:25" x14ac:dyDescent="0.25">
      <c r="H1609" t="s">
        <v>23</v>
      </c>
    </row>
    <row r="1610" spans="1:25" x14ac:dyDescent="0.25">
      <c r="A1610">
        <v>802</v>
      </c>
      <c r="B1610">
        <v>2878</v>
      </c>
      <c r="C1610" t="s">
        <v>2783</v>
      </c>
      <c r="D1610" t="s">
        <v>571</v>
      </c>
      <c r="E1610" t="s">
        <v>147</v>
      </c>
      <c r="F1610" t="s">
        <v>2784</v>
      </c>
      <c r="G1610" t="str">
        <f>"00206894"</f>
        <v>00206894</v>
      </c>
      <c r="H1610">
        <v>792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50</v>
      </c>
      <c r="R1610">
        <v>0</v>
      </c>
      <c r="S1610">
        <v>0</v>
      </c>
      <c r="T1610">
        <v>0</v>
      </c>
      <c r="U1610">
        <v>0</v>
      </c>
      <c r="V1610">
        <v>0</v>
      </c>
      <c r="X1610">
        <v>0</v>
      </c>
      <c r="Y1610">
        <v>912</v>
      </c>
    </row>
    <row r="1611" spans="1:25" x14ac:dyDescent="0.25">
      <c r="H1611" t="s">
        <v>23</v>
      </c>
    </row>
    <row r="1612" spans="1:25" x14ac:dyDescent="0.25">
      <c r="A1612">
        <v>803</v>
      </c>
      <c r="B1612">
        <v>5480</v>
      </c>
      <c r="C1612" t="s">
        <v>2785</v>
      </c>
      <c r="D1612" t="s">
        <v>571</v>
      </c>
      <c r="E1612" t="s">
        <v>71</v>
      </c>
      <c r="F1612" t="s">
        <v>2786</v>
      </c>
      <c r="G1612" t="str">
        <f>"00108331"</f>
        <v>00108331</v>
      </c>
      <c r="H1612" t="s">
        <v>2787</v>
      </c>
      <c r="I1612">
        <v>150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70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X1612">
        <v>0</v>
      </c>
      <c r="Y1612" t="s">
        <v>2788</v>
      </c>
    </row>
    <row r="1613" spans="1:25" x14ac:dyDescent="0.25">
      <c r="H1613" t="s">
        <v>111</v>
      </c>
    </row>
    <row r="1614" spans="1:25" x14ac:dyDescent="0.25">
      <c r="A1614">
        <v>804</v>
      </c>
      <c r="B1614">
        <v>2079</v>
      </c>
      <c r="C1614" t="s">
        <v>1344</v>
      </c>
      <c r="D1614" t="s">
        <v>663</v>
      </c>
      <c r="E1614" t="s">
        <v>81</v>
      </c>
      <c r="F1614" t="s">
        <v>2789</v>
      </c>
      <c r="G1614" t="str">
        <f>"00192660"</f>
        <v>00192660</v>
      </c>
      <c r="H1614" t="s">
        <v>1304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70</v>
      </c>
      <c r="P1614">
        <v>0</v>
      </c>
      <c r="Q1614">
        <v>30</v>
      </c>
      <c r="R1614">
        <v>0</v>
      </c>
      <c r="S1614">
        <v>0</v>
      </c>
      <c r="T1614">
        <v>0</v>
      </c>
      <c r="U1614">
        <v>0</v>
      </c>
      <c r="V1614">
        <v>0</v>
      </c>
      <c r="X1614">
        <v>0</v>
      </c>
      <c r="Y1614" t="s">
        <v>2790</v>
      </c>
    </row>
    <row r="1615" spans="1:25" x14ac:dyDescent="0.25">
      <c r="H1615" t="s">
        <v>213</v>
      </c>
    </row>
    <row r="1616" spans="1:25" x14ac:dyDescent="0.25">
      <c r="A1616">
        <v>805</v>
      </c>
      <c r="B1616">
        <v>863</v>
      </c>
      <c r="C1616" t="s">
        <v>2791</v>
      </c>
      <c r="D1616" t="s">
        <v>509</v>
      </c>
      <c r="E1616" t="s">
        <v>147</v>
      </c>
      <c r="F1616" t="s">
        <v>2792</v>
      </c>
      <c r="G1616" t="str">
        <f>"00206294"</f>
        <v>00206294</v>
      </c>
      <c r="H1616" t="s">
        <v>1397</v>
      </c>
      <c r="I1616">
        <v>0</v>
      </c>
      <c r="J1616">
        <v>0</v>
      </c>
      <c r="K1616">
        <v>0</v>
      </c>
      <c r="L1616">
        <v>200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X1616">
        <v>0</v>
      </c>
      <c r="Y1616" t="s">
        <v>2793</v>
      </c>
    </row>
    <row r="1617" spans="1:25" x14ac:dyDescent="0.25">
      <c r="H1617" t="s">
        <v>53</v>
      </c>
    </row>
    <row r="1618" spans="1:25" x14ac:dyDescent="0.25">
      <c r="A1618">
        <v>806</v>
      </c>
      <c r="B1618">
        <v>1790</v>
      </c>
      <c r="C1618" t="s">
        <v>2794</v>
      </c>
      <c r="D1618" t="s">
        <v>49</v>
      </c>
      <c r="E1618" t="s">
        <v>130</v>
      </c>
      <c r="F1618" t="s">
        <v>2795</v>
      </c>
      <c r="G1618" t="str">
        <f>"00181611"</f>
        <v>00181611</v>
      </c>
      <c r="H1618" t="s">
        <v>431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70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X1618">
        <v>0</v>
      </c>
      <c r="Y1618" t="s">
        <v>2796</v>
      </c>
    </row>
    <row r="1619" spans="1:25" x14ac:dyDescent="0.25">
      <c r="H1619" t="s">
        <v>34</v>
      </c>
    </row>
    <row r="1620" spans="1:25" x14ac:dyDescent="0.25">
      <c r="A1620">
        <v>807</v>
      </c>
      <c r="B1620">
        <v>3650</v>
      </c>
      <c r="C1620" t="s">
        <v>2797</v>
      </c>
      <c r="D1620" t="s">
        <v>25</v>
      </c>
      <c r="E1620" t="s">
        <v>1340</v>
      </c>
      <c r="F1620" t="s">
        <v>2798</v>
      </c>
      <c r="G1620" t="str">
        <f>"201406000860"</f>
        <v>201406000860</v>
      </c>
      <c r="H1620" t="s">
        <v>1904</v>
      </c>
      <c r="I1620">
        <v>0</v>
      </c>
      <c r="J1620">
        <v>0</v>
      </c>
      <c r="K1620">
        <v>0</v>
      </c>
      <c r="L1620">
        <v>0</v>
      </c>
      <c r="M1620">
        <v>100</v>
      </c>
      <c r="N1620">
        <v>50</v>
      </c>
      <c r="O1620">
        <v>30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X1620">
        <v>2</v>
      </c>
      <c r="Y1620" t="s">
        <v>2799</v>
      </c>
    </row>
    <row r="1621" spans="1:25" x14ac:dyDescent="0.25">
      <c r="H1621" t="s">
        <v>23</v>
      </c>
    </row>
    <row r="1622" spans="1:25" x14ac:dyDescent="0.25">
      <c r="A1622">
        <v>808</v>
      </c>
      <c r="B1622">
        <v>322</v>
      </c>
      <c r="C1622" t="s">
        <v>2800</v>
      </c>
      <c r="D1622" t="s">
        <v>194</v>
      </c>
      <c r="E1622" t="s">
        <v>99</v>
      </c>
      <c r="F1622" t="s">
        <v>2801</v>
      </c>
      <c r="G1622" t="str">
        <f>"201602000194"</f>
        <v>201602000194</v>
      </c>
      <c r="H1622" t="s">
        <v>1055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70</v>
      </c>
      <c r="O1622">
        <v>0</v>
      </c>
      <c r="P1622">
        <v>70</v>
      </c>
      <c r="Q1622">
        <v>30</v>
      </c>
      <c r="R1622">
        <v>0</v>
      </c>
      <c r="S1622">
        <v>0</v>
      </c>
      <c r="T1622">
        <v>0</v>
      </c>
      <c r="U1622">
        <v>0</v>
      </c>
      <c r="V1622">
        <v>0</v>
      </c>
      <c r="X1622">
        <v>0</v>
      </c>
      <c r="Y1622" t="s">
        <v>2802</v>
      </c>
    </row>
    <row r="1623" spans="1:25" x14ac:dyDescent="0.25">
      <c r="H1623" t="s">
        <v>23</v>
      </c>
    </row>
    <row r="1624" spans="1:25" x14ac:dyDescent="0.25">
      <c r="A1624">
        <v>809</v>
      </c>
      <c r="B1624">
        <v>3754</v>
      </c>
      <c r="C1624" t="s">
        <v>2803</v>
      </c>
      <c r="D1624" t="s">
        <v>2804</v>
      </c>
      <c r="E1624" t="s">
        <v>2805</v>
      </c>
      <c r="F1624" t="s">
        <v>2806</v>
      </c>
      <c r="G1624" t="str">
        <f>"201506000533"</f>
        <v>201506000533</v>
      </c>
      <c r="H1624" t="s">
        <v>370</v>
      </c>
      <c r="I1624">
        <v>0</v>
      </c>
      <c r="J1624">
        <v>0</v>
      </c>
      <c r="K1624">
        <v>0</v>
      </c>
      <c r="L1624">
        <v>0</v>
      </c>
      <c r="M1624">
        <v>100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X1624">
        <v>0</v>
      </c>
      <c r="Y1624" t="s">
        <v>2807</v>
      </c>
    </row>
    <row r="1625" spans="1:25" x14ac:dyDescent="0.25">
      <c r="H1625" t="s">
        <v>34</v>
      </c>
    </row>
    <row r="1626" spans="1:25" x14ac:dyDescent="0.25">
      <c r="A1626">
        <v>810</v>
      </c>
      <c r="B1626">
        <v>2602</v>
      </c>
      <c r="C1626" t="s">
        <v>2808</v>
      </c>
      <c r="D1626" t="s">
        <v>55</v>
      </c>
      <c r="E1626" t="s">
        <v>21</v>
      </c>
      <c r="F1626" t="s">
        <v>2809</v>
      </c>
      <c r="G1626" t="str">
        <f>"201304006085"</f>
        <v>201304006085</v>
      </c>
      <c r="H1626" t="s">
        <v>370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30</v>
      </c>
      <c r="P1626">
        <v>0</v>
      </c>
      <c r="Q1626">
        <v>70</v>
      </c>
      <c r="R1626">
        <v>0</v>
      </c>
      <c r="S1626">
        <v>0</v>
      </c>
      <c r="T1626">
        <v>0</v>
      </c>
      <c r="U1626">
        <v>0</v>
      </c>
      <c r="V1626">
        <v>0</v>
      </c>
      <c r="X1626">
        <v>0</v>
      </c>
      <c r="Y1626" t="s">
        <v>2807</v>
      </c>
    </row>
    <row r="1627" spans="1:25" x14ac:dyDescent="0.25">
      <c r="H1627" t="s">
        <v>366</v>
      </c>
    </row>
    <row r="1628" spans="1:25" x14ac:dyDescent="0.25">
      <c r="A1628">
        <v>811</v>
      </c>
      <c r="B1628">
        <v>5786</v>
      </c>
      <c r="C1628" t="s">
        <v>2810</v>
      </c>
      <c r="D1628" t="s">
        <v>36</v>
      </c>
      <c r="E1628" t="s">
        <v>49</v>
      </c>
      <c r="F1628" t="s">
        <v>2811</v>
      </c>
      <c r="G1628" t="str">
        <f>"201506001655"</f>
        <v>201506001655</v>
      </c>
      <c r="H1628" t="s">
        <v>2812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0</v>
      </c>
      <c r="P1628">
        <v>30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X1628">
        <v>0</v>
      </c>
      <c r="Y1628" t="s">
        <v>2813</v>
      </c>
    </row>
    <row r="1629" spans="1:25" x14ac:dyDescent="0.25">
      <c r="H1629" t="s">
        <v>34</v>
      </c>
    </row>
    <row r="1630" spans="1:25" x14ac:dyDescent="0.25">
      <c r="A1630">
        <v>812</v>
      </c>
      <c r="B1630">
        <v>5957</v>
      </c>
      <c r="C1630" t="s">
        <v>2814</v>
      </c>
      <c r="D1630" t="s">
        <v>49</v>
      </c>
      <c r="E1630" t="s">
        <v>87</v>
      </c>
      <c r="F1630" t="s">
        <v>2815</v>
      </c>
      <c r="G1630" t="str">
        <f>"00014946"</f>
        <v>00014946</v>
      </c>
      <c r="H1630" t="s">
        <v>2816</v>
      </c>
      <c r="I1630">
        <v>0</v>
      </c>
      <c r="J1630">
        <v>0</v>
      </c>
      <c r="K1630">
        <v>0</v>
      </c>
      <c r="L1630">
        <v>200</v>
      </c>
      <c r="M1630">
        <v>0</v>
      </c>
      <c r="N1630">
        <v>70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X1630">
        <v>0</v>
      </c>
      <c r="Y1630" t="s">
        <v>2817</v>
      </c>
    </row>
    <row r="1631" spans="1:25" x14ac:dyDescent="0.25">
      <c r="H1631">
        <v>101</v>
      </c>
    </row>
    <row r="1632" spans="1:25" x14ac:dyDescent="0.25">
      <c r="A1632">
        <v>813</v>
      </c>
      <c r="B1632">
        <v>6280</v>
      </c>
      <c r="C1632" t="s">
        <v>2818</v>
      </c>
      <c r="D1632" t="s">
        <v>2819</v>
      </c>
      <c r="E1632" t="s">
        <v>2820</v>
      </c>
      <c r="F1632" t="s">
        <v>2821</v>
      </c>
      <c r="G1632" t="str">
        <f>"00089692"</f>
        <v>00089692</v>
      </c>
      <c r="H1632" t="s">
        <v>202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30</v>
      </c>
      <c r="P1632">
        <v>30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X1632">
        <v>0</v>
      </c>
      <c r="Y1632" t="s">
        <v>2822</v>
      </c>
    </row>
    <row r="1633" spans="1:25" x14ac:dyDescent="0.25">
      <c r="H1633" t="s">
        <v>53</v>
      </c>
    </row>
    <row r="1634" spans="1:25" x14ac:dyDescent="0.25">
      <c r="A1634">
        <v>814</v>
      </c>
      <c r="B1634">
        <v>4700</v>
      </c>
      <c r="C1634" t="s">
        <v>522</v>
      </c>
      <c r="D1634" t="s">
        <v>2823</v>
      </c>
      <c r="E1634" t="s">
        <v>429</v>
      </c>
      <c r="F1634" t="s">
        <v>2824</v>
      </c>
      <c r="G1634" t="str">
        <f>"201304005707"</f>
        <v>201304005707</v>
      </c>
      <c r="H1634" t="s">
        <v>976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0</v>
      </c>
      <c r="P1634">
        <v>0</v>
      </c>
      <c r="Q1634">
        <v>30</v>
      </c>
      <c r="R1634">
        <v>0</v>
      </c>
      <c r="S1634">
        <v>0</v>
      </c>
      <c r="T1634">
        <v>0</v>
      </c>
      <c r="U1634">
        <v>0</v>
      </c>
      <c r="V1634">
        <v>0</v>
      </c>
      <c r="X1634">
        <v>0</v>
      </c>
      <c r="Y1634" t="s">
        <v>2825</v>
      </c>
    </row>
    <row r="1635" spans="1:25" x14ac:dyDescent="0.25">
      <c r="H1635" t="s">
        <v>23</v>
      </c>
    </row>
    <row r="1636" spans="1:25" x14ac:dyDescent="0.25">
      <c r="A1636">
        <v>815</v>
      </c>
      <c r="B1636">
        <v>3667</v>
      </c>
      <c r="C1636" t="s">
        <v>2826</v>
      </c>
      <c r="D1636" t="s">
        <v>20</v>
      </c>
      <c r="E1636" t="s">
        <v>49</v>
      </c>
      <c r="F1636" t="s">
        <v>2827</v>
      </c>
      <c r="G1636" t="str">
        <f>"00003210"</f>
        <v>00003210</v>
      </c>
      <c r="H1636">
        <v>638</v>
      </c>
      <c r="I1636">
        <v>0</v>
      </c>
      <c r="J1636">
        <v>0</v>
      </c>
      <c r="K1636">
        <v>0</v>
      </c>
      <c r="L1636">
        <v>200</v>
      </c>
      <c r="M1636">
        <v>0</v>
      </c>
      <c r="N1636">
        <v>0</v>
      </c>
      <c r="O1636">
        <v>0</v>
      </c>
      <c r="P1636">
        <v>70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X1636">
        <v>0</v>
      </c>
      <c r="Y1636">
        <v>908</v>
      </c>
    </row>
    <row r="1637" spans="1:25" x14ac:dyDescent="0.25">
      <c r="H1637" t="s">
        <v>23</v>
      </c>
    </row>
    <row r="1638" spans="1:25" x14ac:dyDescent="0.25">
      <c r="A1638">
        <v>816</v>
      </c>
      <c r="B1638">
        <v>3788</v>
      </c>
      <c r="C1638" t="s">
        <v>2828</v>
      </c>
      <c r="D1638" t="s">
        <v>217</v>
      </c>
      <c r="E1638" t="s">
        <v>55</v>
      </c>
      <c r="F1638" t="s">
        <v>2829</v>
      </c>
      <c r="G1638" t="str">
        <f>"00206618"</f>
        <v>00206618</v>
      </c>
      <c r="H1638" t="s">
        <v>1337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70</v>
      </c>
      <c r="P1638">
        <v>0</v>
      </c>
      <c r="Q1638">
        <v>50</v>
      </c>
      <c r="R1638">
        <v>0</v>
      </c>
      <c r="S1638">
        <v>0</v>
      </c>
      <c r="T1638">
        <v>0</v>
      </c>
      <c r="U1638">
        <v>0</v>
      </c>
      <c r="V1638">
        <v>0</v>
      </c>
      <c r="X1638">
        <v>0</v>
      </c>
      <c r="Y1638" t="s">
        <v>2830</v>
      </c>
    </row>
    <row r="1639" spans="1:25" x14ac:dyDescent="0.25">
      <c r="H1639" t="s">
        <v>213</v>
      </c>
    </row>
    <row r="1640" spans="1:25" x14ac:dyDescent="0.25">
      <c r="A1640">
        <v>817</v>
      </c>
      <c r="B1640">
        <v>785</v>
      </c>
      <c r="C1640" t="s">
        <v>2831</v>
      </c>
      <c r="D1640" t="s">
        <v>130</v>
      </c>
      <c r="E1640" t="s">
        <v>55</v>
      </c>
      <c r="F1640" t="s">
        <v>2832</v>
      </c>
      <c r="G1640" t="str">
        <f>"00134715"</f>
        <v>00134715</v>
      </c>
      <c r="H1640" t="s">
        <v>1350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70</v>
      </c>
      <c r="O1640">
        <v>50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X1640">
        <v>0</v>
      </c>
      <c r="Y1640" t="s">
        <v>2833</v>
      </c>
    </row>
    <row r="1641" spans="1:25" x14ac:dyDescent="0.25">
      <c r="H1641" t="s">
        <v>23</v>
      </c>
    </row>
    <row r="1642" spans="1:25" x14ac:dyDescent="0.25">
      <c r="A1642">
        <v>818</v>
      </c>
      <c r="B1642">
        <v>1355</v>
      </c>
      <c r="C1642" t="s">
        <v>2834</v>
      </c>
      <c r="D1642" t="s">
        <v>70</v>
      </c>
      <c r="E1642" t="s">
        <v>49</v>
      </c>
      <c r="F1642" t="s">
        <v>2835</v>
      </c>
      <c r="G1642" t="str">
        <f>"00129601"</f>
        <v>00129601</v>
      </c>
      <c r="H1642" t="s">
        <v>1350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0</v>
      </c>
      <c r="P1642">
        <v>50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X1642">
        <v>0</v>
      </c>
      <c r="Y1642" t="s">
        <v>2833</v>
      </c>
    </row>
    <row r="1643" spans="1:25" x14ac:dyDescent="0.25">
      <c r="H1643" t="s">
        <v>53</v>
      </c>
    </row>
    <row r="1644" spans="1:25" x14ac:dyDescent="0.25">
      <c r="A1644">
        <v>819</v>
      </c>
      <c r="B1644">
        <v>157</v>
      </c>
      <c r="C1644" t="s">
        <v>2836</v>
      </c>
      <c r="D1644" t="s">
        <v>663</v>
      </c>
      <c r="E1644" t="s">
        <v>2837</v>
      </c>
      <c r="F1644" t="s">
        <v>2838</v>
      </c>
      <c r="G1644" t="str">
        <f>"201506003870"</f>
        <v>201506003870</v>
      </c>
      <c r="H1644" t="s">
        <v>2839</v>
      </c>
      <c r="I1644">
        <v>0</v>
      </c>
      <c r="J1644">
        <v>0</v>
      </c>
      <c r="K1644">
        <v>0</v>
      </c>
      <c r="L1644">
        <v>200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X1644">
        <v>0</v>
      </c>
      <c r="Y1644" t="s">
        <v>2840</v>
      </c>
    </row>
    <row r="1645" spans="1:25" x14ac:dyDescent="0.25">
      <c r="H1645" t="s">
        <v>34</v>
      </c>
    </row>
    <row r="1646" spans="1:25" x14ac:dyDescent="0.25">
      <c r="A1646">
        <v>820</v>
      </c>
      <c r="B1646">
        <v>6467</v>
      </c>
      <c r="C1646" t="s">
        <v>2841</v>
      </c>
      <c r="D1646" t="s">
        <v>2842</v>
      </c>
      <c r="E1646" t="s">
        <v>43</v>
      </c>
      <c r="F1646" t="s">
        <v>2843</v>
      </c>
      <c r="G1646" t="str">
        <f>"201406003772"</f>
        <v>201406003772</v>
      </c>
      <c r="H1646" t="s">
        <v>2063</v>
      </c>
      <c r="I1646">
        <v>0</v>
      </c>
      <c r="J1646">
        <v>0</v>
      </c>
      <c r="K1646">
        <v>0</v>
      </c>
      <c r="L1646">
        <v>200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X1646">
        <v>0</v>
      </c>
      <c r="Y1646" t="s">
        <v>2844</v>
      </c>
    </row>
    <row r="1647" spans="1:25" x14ac:dyDescent="0.25">
      <c r="H1647" t="s">
        <v>23</v>
      </c>
    </row>
    <row r="1648" spans="1:25" x14ac:dyDescent="0.25">
      <c r="A1648">
        <v>821</v>
      </c>
      <c r="B1648">
        <v>2233</v>
      </c>
      <c r="C1648" t="s">
        <v>2845</v>
      </c>
      <c r="D1648" t="s">
        <v>2846</v>
      </c>
      <c r="E1648" t="s">
        <v>21</v>
      </c>
      <c r="F1648" t="s">
        <v>2847</v>
      </c>
      <c r="G1648" t="str">
        <f>"201405001036"</f>
        <v>201405001036</v>
      </c>
      <c r="H1648" t="s">
        <v>1953</v>
      </c>
      <c r="I1648">
        <v>0</v>
      </c>
      <c r="J1648">
        <v>0</v>
      </c>
      <c r="K1648">
        <v>0</v>
      </c>
      <c r="L1648">
        <v>0</v>
      </c>
      <c r="M1648">
        <v>100</v>
      </c>
      <c r="N1648">
        <v>70</v>
      </c>
      <c r="O1648">
        <v>50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X1648">
        <v>0</v>
      </c>
      <c r="Y1648" t="s">
        <v>671</v>
      </c>
    </row>
    <row r="1649" spans="1:25" x14ac:dyDescent="0.25">
      <c r="H1649" t="s">
        <v>118</v>
      </c>
    </row>
    <row r="1650" spans="1:25" x14ac:dyDescent="0.25">
      <c r="A1650">
        <v>822</v>
      </c>
      <c r="B1650">
        <v>3581</v>
      </c>
      <c r="C1650" t="s">
        <v>2848</v>
      </c>
      <c r="D1650" t="s">
        <v>209</v>
      </c>
      <c r="E1650" t="s">
        <v>130</v>
      </c>
      <c r="F1650" t="s">
        <v>2849</v>
      </c>
      <c r="G1650" t="str">
        <f>"00179915"</f>
        <v>00179915</v>
      </c>
      <c r="H1650" t="s">
        <v>549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70</v>
      </c>
      <c r="O1650">
        <v>30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X1650">
        <v>2</v>
      </c>
      <c r="Y1650" t="s">
        <v>2850</v>
      </c>
    </row>
    <row r="1651" spans="1:25" x14ac:dyDescent="0.25">
      <c r="H1651" t="s">
        <v>23</v>
      </c>
    </row>
    <row r="1652" spans="1:25" x14ac:dyDescent="0.25">
      <c r="A1652">
        <v>823</v>
      </c>
      <c r="B1652">
        <v>2691</v>
      </c>
      <c r="C1652" t="s">
        <v>2851</v>
      </c>
      <c r="D1652" t="s">
        <v>2852</v>
      </c>
      <c r="E1652" t="s">
        <v>706</v>
      </c>
      <c r="F1652" t="s">
        <v>2853</v>
      </c>
      <c r="G1652" t="str">
        <f>"00189627"</f>
        <v>00189627</v>
      </c>
      <c r="H1652" t="s">
        <v>2147</v>
      </c>
      <c r="I1652">
        <v>0</v>
      </c>
      <c r="J1652">
        <v>0</v>
      </c>
      <c r="K1652">
        <v>0</v>
      </c>
      <c r="L1652">
        <v>0</v>
      </c>
      <c r="M1652">
        <v>100</v>
      </c>
      <c r="N1652">
        <v>70</v>
      </c>
      <c r="O1652">
        <v>0</v>
      </c>
      <c r="P1652">
        <v>0</v>
      </c>
      <c r="Q1652">
        <v>0</v>
      </c>
      <c r="R1652">
        <v>30</v>
      </c>
      <c r="S1652">
        <v>0</v>
      </c>
      <c r="T1652">
        <v>0</v>
      </c>
      <c r="U1652">
        <v>0</v>
      </c>
      <c r="V1652">
        <v>0</v>
      </c>
      <c r="X1652">
        <v>0</v>
      </c>
      <c r="Y1652" t="s">
        <v>2854</v>
      </c>
    </row>
    <row r="1653" spans="1:25" x14ac:dyDescent="0.25">
      <c r="H1653" t="s">
        <v>23</v>
      </c>
    </row>
    <row r="1654" spans="1:25" x14ac:dyDescent="0.25">
      <c r="A1654">
        <v>824</v>
      </c>
      <c r="B1654">
        <v>5163</v>
      </c>
      <c r="C1654" t="s">
        <v>2855</v>
      </c>
      <c r="D1654" t="s">
        <v>805</v>
      </c>
      <c r="E1654" t="s">
        <v>2856</v>
      </c>
      <c r="F1654" t="s">
        <v>2857</v>
      </c>
      <c r="G1654" t="str">
        <f>"00013807"</f>
        <v>00013807</v>
      </c>
      <c r="H1654" t="s">
        <v>1176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70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X1654">
        <v>0</v>
      </c>
      <c r="Y1654" t="s">
        <v>2858</v>
      </c>
    </row>
    <row r="1655" spans="1:25" x14ac:dyDescent="0.25">
      <c r="H1655">
        <v>101</v>
      </c>
    </row>
    <row r="1656" spans="1:25" x14ac:dyDescent="0.25">
      <c r="A1656">
        <v>825</v>
      </c>
      <c r="B1656">
        <v>3496</v>
      </c>
      <c r="C1656" t="s">
        <v>2859</v>
      </c>
      <c r="D1656" t="s">
        <v>36</v>
      </c>
      <c r="E1656" t="s">
        <v>87</v>
      </c>
      <c r="F1656" t="s">
        <v>2860</v>
      </c>
      <c r="G1656" t="str">
        <f>"00112710"</f>
        <v>00112710</v>
      </c>
      <c r="H1656" t="s">
        <v>600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50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X1656">
        <v>0</v>
      </c>
      <c r="Y1656" t="s">
        <v>2861</v>
      </c>
    </row>
    <row r="1657" spans="1:25" x14ac:dyDescent="0.25">
      <c r="H1657" t="s">
        <v>34</v>
      </c>
    </row>
    <row r="1658" spans="1:25" x14ac:dyDescent="0.25">
      <c r="A1658">
        <v>826</v>
      </c>
      <c r="B1658">
        <v>2866</v>
      </c>
      <c r="C1658" t="s">
        <v>2862</v>
      </c>
      <c r="D1658" t="s">
        <v>25</v>
      </c>
      <c r="E1658" t="s">
        <v>55</v>
      </c>
      <c r="F1658" t="s">
        <v>2863</v>
      </c>
      <c r="G1658" t="str">
        <f>"00174957"</f>
        <v>00174957</v>
      </c>
      <c r="H1658" t="s">
        <v>600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50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X1658">
        <v>0</v>
      </c>
      <c r="Y1658" t="s">
        <v>2861</v>
      </c>
    </row>
    <row r="1659" spans="1:25" x14ac:dyDescent="0.25">
      <c r="H1659" t="s">
        <v>34</v>
      </c>
    </row>
    <row r="1660" spans="1:25" x14ac:dyDescent="0.25">
      <c r="A1660">
        <v>827</v>
      </c>
      <c r="B1660">
        <v>5102</v>
      </c>
      <c r="C1660" t="s">
        <v>2864</v>
      </c>
      <c r="D1660" t="s">
        <v>307</v>
      </c>
      <c r="E1660" t="s">
        <v>87</v>
      </c>
      <c r="F1660" t="s">
        <v>2865</v>
      </c>
      <c r="G1660" t="str">
        <f>"201304003010"</f>
        <v>201304003010</v>
      </c>
      <c r="H1660" t="s">
        <v>2866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50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X1660">
        <v>0</v>
      </c>
      <c r="Y1660" t="s">
        <v>2867</v>
      </c>
    </row>
    <row r="1661" spans="1:25" x14ac:dyDescent="0.25">
      <c r="H1661" t="s">
        <v>23</v>
      </c>
    </row>
    <row r="1662" spans="1:25" x14ac:dyDescent="0.25">
      <c r="A1662">
        <v>828</v>
      </c>
      <c r="B1662">
        <v>2652</v>
      </c>
      <c r="C1662" t="s">
        <v>2868</v>
      </c>
      <c r="D1662" t="s">
        <v>440</v>
      </c>
      <c r="E1662" t="s">
        <v>147</v>
      </c>
      <c r="F1662" t="s">
        <v>2869</v>
      </c>
      <c r="G1662" t="str">
        <f>"201406000236"</f>
        <v>201406000236</v>
      </c>
      <c r="H1662" t="s">
        <v>1204</v>
      </c>
      <c r="I1662">
        <v>0</v>
      </c>
      <c r="J1662">
        <v>0</v>
      </c>
      <c r="K1662">
        <v>0</v>
      </c>
      <c r="L1662">
        <v>0</v>
      </c>
      <c r="M1662">
        <v>100</v>
      </c>
      <c r="N1662">
        <v>70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X1662">
        <v>0</v>
      </c>
      <c r="Y1662" t="s">
        <v>2870</v>
      </c>
    </row>
    <row r="1663" spans="1:25" x14ac:dyDescent="0.25">
      <c r="H1663" t="s">
        <v>23</v>
      </c>
    </row>
    <row r="1664" spans="1:25" x14ac:dyDescent="0.25">
      <c r="A1664">
        <v>829</v>
      </c>
      <c r="B1664">
        <v>1334</v>
      </c>
      <c r="C1664" t="s">
        <v>1187</v>
      </c>
      <c r="D1664" t="s">
        <v>194</v>
      </c>
      <c r="E1664" t="s">
        <v>49</v>
      </c>
      <c r="F1664" t="s">
        <v>2871</v>
      </c>
      <c r="G1664" t="str">
        <f>"00015154"</f>
        <v>00015154</v>
      </c>
      <c r="H1664" t="s">
        <v>357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70</v>
      </c>
      <c r="O1664">
        <v>50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X1664">
        <v>0</v>
      </c>
      <c r="Y1664" t="s">
        <v>2872</v>
      </c>
    </row>
    <row r="1665" spans="1:25" x14ac:dyDescent="0.25">
      <c r="H1665" t="s">
        <v>91</v>
      </c>
    </row>
    <row r="1666" spans="1:25" x14ac:dyDescent="0.25">
      <c r="A1666">
        <v>830</v>
      </c>
      <c r="B1666">
        <v>1820</v>
      </c>
      <c r="C1666" t="s">
        <v>2873</v>
      </c>
      <c r="D1666" t="s">
        <v>501</v>
      </c>
      <c r="E1666" t="s">
        <v>1345</v>
      </c>
      <c r="F1666" t="s">
        <v>2874</v>
      </c>
      <c r="G1666" t="str">
        <f>"200801007147"</f>
        <v>200801007147</v>
      </c>
      <c r="H1666" t="s">
        <v>954</v>
      </c>
      <c r="I1666">
        <v>0</v>
      </c>
      <c r="J1666">
        <v>0</v>
      </c>
      <c r="K1666">
        <v>0</v>
      </c>
      <c r="L1666">
        <v>0</v>
      </c>
      <c r="M1666">
        <v>100</v>
      </c>
      <c r="N1666">
        <v>70</v>
      </c>
      <c r="O1666">
        <v>0</v>
      </c>
      <c r="P1666">
        <v>30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X1666">
        <v>0</v>
      </c>
      <c r="Y1666" t="s">
        <v>2875</v>
      </c>
    </row>
    <row r="1667" spans="1:25" x14ac:dyDescent="0.25">
      <c r="H1667" t="s">
        <v>34</v>
      </c>
    </row>
    <row r="1668" spans="1:25" x14ac:dyDescent="0.25">
      <c r="A1668">
        <v>831</v>
      </c>
      <c r="B1668">
        <v>5544</v>
      </c>
      <c r="C1668" t="s">
        <v>583</v>
      </c>
      <c r="D1668" t="s">
        <v>113</v>
      </c>
      <c r="E1668" t="s">
        <v>49</v>
      </c>
      <c r="F1668" t="s">
        <v>2876</v>
      </c>
      <c r="G1668" t="str">
        <f>"00165773"</f>
        <v>00165773</v>
      </c>
      <c r="H1668" t="s">
        <v>2877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70</v>
      </c>
      <c r="O1668">
        <v>70</v>
      </c>
      <c r="P1668">
        <v>50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X1668">
        <v>1</v>
      </c>
      <c r="Y1668" t="s">
        <v>2878</v>
      </c>
    </row>
    <row r="1669" spans="1:25" x14ac:dyDescent="0.25">
      <c r="H1669" t="s">
        <v>34</v>
      </c>
    </row>
    <row r="1670" spans="1:25" x14ac:dyDescent="0.25">
      <c r="A1670">
        <v>832</v>
      </c>
      <c r="B1670">
        <v>2145</v>
      </c>
      <c r="C1670" t="s">
        <v>2879</v>
      </c>
      <c r="D1670" t="s">
        <v>87</v>
      </c>
      <c r="E1670" t="s">
        <v>291</v>
      </c>
      <c r="F1670" t="s">
        <v>2880</v>
      </c>
      <c r="G1670" t="str">
        <f>"00208304"</f>
        <v>00208304</v>
      </c>
      <c r="H1670" t="s">
        <v>1904</v>
      </c>
      <c r="I1670">
        <v>0</v>
      </c>
      <c r="J1670">
        <v>0</v>
      </c>
      <c r="K1670">
        <v>0</v>
      </c>
      <c r="L1670">
        <v>0</v>
      </c>
      <c r="M1670">
        <v>100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X1670">
        <v>0</v>
      </c>
      <c r="Y1670" t="s">
        <v>2881</v>
      </c>
    </row>
    <row r="1671" spans="1:25" x14ac:dyDescent="0.25">
      <c r="H1671" t="s">
        <v>23</v>
      </c>
    </row>
    <row r="1672" spans="1:25" x14ac:dyDescent="0.25">
      <c r="A1672">
        <v>833</v>
      </c>
      <c r="B1672">
        <v>5795</v>
      </c>
      <c r="C1672" t="s">
        <v>2882</v>
      </c>
      <c r="D1672" t="s">
        <v>25</v>
      </c>
      <c r="E1672" t="s">
        <v>21</v>
      </c>
      <c r="F1672" t="s">
        <v>2883</v>
      </c>
      <c r="G1672" t="str">
        <f>"201304003184"</f>
        <v>201304003184</v>
      </c>
      <c r="H1672" t="s">
        <v>1317</v>
      </c>
      <c r="I1672">
        <v>0</v>
      </c>
      <c r="J1672">
        <v>0</v>
      </c>
      <c r="K1672">
        <v>0</v>
      </c>
      <c r="L1672">
        <v>0</v>
      </c>
      <c r="M1672">
        <v>100</v>
      </c>
      <c r="N1672">
        <v>70</v>
      </c>
      <c r="O1672">
        <v>50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X1672">
        <v>0</v>
      </c>
      <c r="Y1672" t="s">
        <v>407</v>
      </c>
    </row>
    <row r="1673" spans="1:25" x14ac:dyDescent="0.25">
      <c r="H1673" t="s">
        <v>53</v>
      </c>
    </row>
    <row r="1674" spans="1:25" x14ac:dyDescent="0.25">
      <c r="A1674">
        <v>834</v>
      </c>
      <c r="B1674">
        <v>3477</v>
      </c>
      <c r="C1674" t="s">
        <v>2859</v>
      </c>
      <c r="D1674" t="s">
        <v>1030</v>
      </c>
      <c r="E1674" t="s">
        <v>87</v>
      </c>
      <c r="F1674" t="s">
        <v>2884</v>
      </c>
      <c r="G1674" t="str">
        <f>"201506002925"</f>
        <v>201506002925</v>
      </c>
      <c r="H1674" t="s">
        <v>1230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70</v>
      </c>
      <c r="O1674">
        <v>0</v>
      </c>
      <c r="P1674">
        <v>30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X1674">
        <v>0</v>
      </c>
      <c r="Y1674" t="s">
        <v>2885</v>
      </c>
    </row>
    <row r="1675" spans="1:25" x14ac:dyDescent="0.25">
      <c r="H1675" t="s">
        <v>34</v>
      </c>
    </row>
    <row r="1676" spans="1:25" x14ac:dyDescent="0.25">
      <c r="A1676">
        <v>835</v>
      </c>
      <c r="B1676">
        <v>3948</v>
      </c>
      <c r="C1676" t="s">
        <v>2886</v>
      </c>
      <c r="D1676" t="s">
        <v>36</v>
      </c>
      <c r="E1676" t="s">
        <v>65</v>
      </c>
      <c r="F1676" t="s">
        <v>2887</v>
      </c>
      <c r="G1676" t="str">
        <f>"00088359"</f>
        <v>00088359</v>
      </c>
      <c r="H1676" t="s">
        <v>2007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70</v>
      </c>
      <c r="P1676">
        <v>0</v>
      </c>
      <c r="Q1676">
        <v>70</v>
      </c>
      <c r="R1676">
        <v>0</v>
      </c>
      <c r="S1676">
        <v>0</v>
      </c>
      <c r="T1676">
        <v>0</v>
      </c>
      <c r="U1676">
        <v>0</v>
      </c>
      <c r="V1676">
        <v>0</v>
      </c>
      <c r="X1676">
        <v>0</v>
      </c>
      <c r="Y1676" t="s">
        <v>2885</v>
      </c>
    </row>
    <row r="1677" spans="1:25" x14ac:dyDescent="0.25">
      <c r="H1677" t="s">
        <v>53</v>
      </c>
    </row>
    <row r="1678" spans="1:25" x14ac:dyDescent="0.25">
      <c r="A1678">
        <v>836</v>
      </c>
      <c r="B1678">
        <v>1614</v>
      </c>
      <c r="C1678" t="s">
        <v>2888</v>
      </c>
      <c r="D1678" t="s">
        <v>468</v>
      </c>
      <c r="E1678" t="s">
        <v>87</v>
      </c>
      <c r="F1678" t="s">
        <v>2889</v>
      </c>
      <c r="G1678" t="str">
        <f>"00126538"</f>
        <v>00126538</v>
      </c>
      <c r="H1678" t="s">
        <v>1636</v>
      </c>
      <c r="I1678">
        <v>150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X1678">
        <v>0</v>
      </c>
      <c r="Y1678" t="s">
        <v>2890</v>
      </c>
    </row>
    <row r="1679" spans="1:25" x14ac:dyDescent="0.25">
      <c r="H1679" t="s">
        <v>23</v>
      </c>
    </row>
    <row r="1680" spans="1:25" x14ac:dyDescent="0.25">
      <c r="A1680">
        <v>837</v>
      </c>
      <c r="B1680">
        <v>4416</v>
      </c>
      <c r="C1680" t="s">
        <v>1763</v>
      </c>
      <c r="D1680" t="s">
        <v>1241</v>
      </c>
      <c r="E1680" t="s">
        <v>21</v>
      </c>
      <c r="F1680" t="s">
        <v>2891</v>
      </c>
      <c r="G1680" t="str">
        <f>"00102301"</f>
        <v>00102301</v>
      </c>
      <c r="H1680" t="s">
        <v>2892</v>
      </c>
      <c r="I1680">
        <v>0</v>
      </c>
      <c r="J1680">
        <v>0</v>
      </c>
      <c r="K1680">
        <v>0</v>
      </c>
      <c r="L1680">
        <v>200</v>
      </c>
      <c r="M1680">
        <v>0</v>
      </c>
      <c r="N1680">
        <v>30</v>
      </c>
      <c r="O1680">
        <v>0</v>
      </c>
      <c r="P1680">
        <v>50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X1680">
        <v>2</v>
      </c>
      <c r="Y1680" t="s">
        <v>2893</v>
      </c>
    </row>
    <row r="1681" spans="1:25" x14ac:dyDescent="0.25">
      <c r="H1681" t="s">
        <v>53</v>
      </c>
    </row>
    <row r="1682" spans="1:25" x14ac:dyDescent="0.25">
      <c r="A1682">
        <v>838</v>
      </c>
      <c r="B1682">
        <v>763</v>
      </c>
      <c r="C1682" t="s">
        <v>2894</v>
      </c>
      <c r="D1682" t="s">
        <v>25</v>
      </c>
      <c r="E1682" t="s">
        <v>55</v>
      </c>
      <c r="F1682" t="s">
        <v>2895</v>
      </c>
      <c r="G1682" t="str">
        <f>"00205742"</f>
        <v>00205742</v>
      </c>
      <c r="H1682">
        <v>759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70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X1682">
        <v>0</v>
      </c>
      <c r="Y1682">
        <v>899</v>
      </c>
    </row>
    <row r="1683" spans="1:25" x14ac:dyDescent="0.25">
      <c r="H1683" t="s">
        <v>91</v>
      </c>
    </row>
    <row r="1684" spans="1:25" x14ac:dyDescent="0.25">
      <c r="A1684">
        <v>839</v>
      </c>
      <c r="B1684">
        <v>4836</v>
      </c>
      <c r="C1684" t="s">
        <v>1435</v>
      </c>
      <c r="D1684" t="s">
        <v>598</v>
      </c>
      <c r="E1684" t="s">
        <v>419</v>
      </c>
      <c r="F1684" t="s">
        <v>2896</v>
      </c>
      <c r="G1684" t="str">
        <f>"00175069"</f>
        <v>00175069</v>
      </c>
      <c r="H1684" t="s">
        <v>202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50</v>
      </c>
      <c r="O1684">
        <v>70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X1684">
        <v>0</v>
      </c>
      <c r="Y1684" t="s">
        <v>2897</v>
      </c>
    </row>
    <row r="1685" spans="1:25" x14ac:dyDescent="0.25">
      <c r="H1685" t="s">
        <v>2695</v>
      </c>
    </row>
    <row r="1686" spans="1:25" x14ac:dyDescent="0.25">
      <c r="A1686">
        <v>840</v>
      </c>
      <c r="B1686">
        <v>3806</v>
      </c>
      <c r="C1686" t="s">
        <v>2898</v>
      </c>
      <c r="D1686" t="s">
        <v>209</v>
      </c>
      <c r="E1686" t="s">
        <v>21</v>
      </c>
      <c r="F1686" t="s">
        <v>2899</v>
      </c>
      <c r="G1686" t="str">
        <f>"00198537"</f>
        <v>00198537</v>
      </c>
      <c r="H1686" t="s">
        <v>888</v>
      </c>
      <c r="I1686">
        <v>0</v>
      </c>
      <c r="J1686">
        <v>0</v>
      </c>
      <c r="K1686">
        <v>0</v>
      </c>
      <c r="L1686">
        <v>0</v>
      </c>
      <c r="M1686">
        <v>100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X1686">
        <v>0</v>
      </c>
      <c r="Y1686" t="s">
        <v>2900</v>
      </c>
    </row>
    <row r="1687" spans="1:25" x14ac:dyDescent="0.25">
      <c r="H1687">
        <v>101</v>
      </c>
    </row>
    <row r="1688" spans="1:25" x14ac:dyDescent="0.25">
      <c r="A1688">
        <v>841</v>
      </c>
      <c r="B1688">
        <v>3858</v>
      </c>
      <c r="C1688" t="s">
        <v>2901</v>
      </c>
      <c r="D1688" t="s">
        <v>113</v>
      </c>
      <c r="E1688" t="s">
        <v>200</v>
      </c>
      <c r="F1688" t="s">
        <v>2902</v>
      </c>
      <c r="G1688" t="str">
        <f>"201405001021"</f>
        <v>201405001021</v>
      </c>
      <c r="H1688" t="s">
        <v>2757</v>
      </c>
      <c r="I1688">
        <v>150</v>
      </c>
      <c r="J1688">
        <v>0</v>
      </c>
      <c r="K1688">
        <v>0</v>
      </c>
      <c r="L1688">
        <v>0</v>
      </c>
      <c r="M1688">
        <v>0</v>
      </c>
      <c r="N1688">
        <v>50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X1688">
        <v>0</v>
      </c>
      <c r="Y1688" t="s">
        <v>2903</v>
      </c>
    </row>
    <row r="1689" spans="1:25" x14ac:dyDescent="0.25">
      <c r="H1689" t="s">
        <v>34</v>
      </c>
    </row>
    <row r="1690" spans="1:25" x14ac:dyDescent="0.25">
      <c r="A1690">
        <v>842</v>
      </c>
      <c r="B1690">
        <v>5139</v>
      </c>
      <c r="C1690" t="s">
        <v>418</v>
      </c>
      <c r="D1690" t="s">
        <v>1030</v>
      </c>
      <c r="E1690" t="s">
        <v>2199</v>
      </c>
      <c r="F1690" t="s">
        <v>2904</v>
      </c>
      <c r="G1690" t="str">
        <f>"00004065"</f>
        <v>00004065</v>
      </c>
      <c r="H1690" t="s">
        <v>798</v>
      </c>
      <c r="I1690">
        <v>0</v>
      </c>
      <c r="J1690">
        <v>0</v>
      </c>
      <c r="K1690">
        <v>0</v>
      </c>
      <c r="L1690">
        <v>0</v>
      </c>
      <c r="M1690">
        <v>100</v>
      </c>
      <c r="N1690">
        <v>30</v>
      </c>
      <c r="O1690">
        <v>0</v>
      </c>
      <c r="P1690">
        <v>50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X1690">
        <v>0</v>
      </c>
      <c r="Y1690" t="s">
        <v>2905</v>
      </c>
    </row>
    <row r="1691" spans="1:25" x14ac:dyDescent="0.25">
      <c r="H1691">
        <v>101</v>
      </c>
    </row>
    <row r="1692" spans="1:25" x14ac:dyDescent="0.25">
      <c r="A1692">
        <v>843</v>
      </c>
      <c r="B1692">
        <v>6440</v>
      </c>
      <c r="C1692" t="s">
        <v>2906</v>
      </c>
      <c r="D1692" t="s">
        <v>1436</v>
      </c>
      <c r="E1692" t="s">
        <v>87</v>
      </c>
      <c r="F1692" t="s">
        <v>2907</v>
      </c>
      <c r="G1692" t="str">
        <f>"201406018157"</f>
        <v>201406018157</v>
      </c>
      <c r="H1692" t="s">
        <v>723</v>
      </c>
      <c r="I1692">
        <v>0</v>
      </c>
      <c r="J1692">
        <v>0</v>
      </c>
      <c r="K1692">
        <v>0</v>
      </c>
      <c r="L1692">
        <v>0</v>
      </c>
      <c r="M1692">
        <v>100</v>
      </c>
      <c r="N1692">
        <v>70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X1692">
        <v>0</v>
      </c>
      <c r="Y1692" t="s">
        <v>2908</v>
      </c>
    </row>
    <row r="1693" spans="1:25" x14ac:dyDescent="0.25">
      <c r="H1693" t="s">
        <v>23</v>
      </c>
    </row>
    <row r="1694" spans="1:25" x14ac:dyDescent="0.25">
      <c r="A1694">
        <v>844</v>
      </c>
      <c r="B1694">
        <v>542</v>
      </c>
      <c r="C1694" t="s">
        <v>2909</v>
      </c>
      <c r="D1694" t="s">
        <v>663</v>
      </c>
      <c r="E1694" t="s">
        <v>55</v>
      </c>
      <c r="F1694" t="s">
        <v>2910</v>
      </c>
      <c r="G1694" t="str">
        <f>"201506003696"</f>
        <v>201506003696</v>
      </c>
      <c r="H1694" t="s">
        <v>1089</v>
      </c>
      <c r="I1694">
        <v>0</v>
      </c>
      <c r="J1694">
        <v>0</v>
      </c>
      <c r="K1694">
        <v>0</v>
      </c>
      <c r="L1694">
        <v>0</v>
      </c>
      <c r="M1694">
        <v>130</v>
      </c>
      <c r="N1694">
        <v>50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X1694">
        <v>0</v>
      </c>
      <c r="Y1694" t="s">
        <v>2911</v>
      </c>
    </row>
    <row r="1695" spans="1:25" x14ac:dyDescent="0.25">
      <c r="H1695" t="s">
        <v>23</v>
      </c>
    </row>
    <row r="1696" spans="1:25" x14ac:dyDescent="0.25">
      <c r="A1696">
        <v>845</v>
      </c>
      <c r="B1696">
        <v>6010</v>
      </c>
      <c r="C1696" t="s">
        <v>2912</v>
      </c>
      <c r="D1696" t="s">
        <v>25</v>
      </c>
      <c r="E1696" t="s">
        <v>283</v>
      </c>
      <c r="F1696" t="s">
        <v>2913</v>
      </c>
      <c r="G1696" t="str">
        <f>"00126370"</f>
        <v>00126370</v>
      </c>
      <c r="H1696">
        <v>726</v>
      </c>
      <c r="I1696">
        <v>0</v>
      </c>
      <c r="J1696">
        <v>0</v>
      </c>
      <c r="K1696">
        <v>0</v>
      </c>
      <c r="L1696">
        <v>0</v>
      </c>
      <c r="M1696">
        <v>100</v>
      </c>
      <c r="N1696">
        <v>70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X1696">
        <v>0</v>
      </c>
      <c r="Y1696">
        <v>896</v>
      </c>
    </row>
    <row r="1697" spans="1:25" x14ac:dyDescent="0.25">
      <c r="H1697" t="s">
        <v>213</v>
      </c>
    </row>
    <row r="1698" spans="1:25" x14ac:dyDescent="0.25">
      <c r="A1698">
        <v>846</v>
      </c>
      <c r="B1698">
        <v>348</v>
      </c>
      <c r="C1698" t="s">
        <v>1020</v>
      </c>
      <c r="D1698" t="s">
        <v>2914</v>
      </c>
      <c r="E1698" t="s">
        <v>55</v>
      </c>
      <c r="F1698" t="s">
        <v>2915</v>
      </c>
      <c r="G1698" t="str">
        <f>"00124470"</f>
        <v>00124470</v>
      </c>
      <c r="H1698" t="s">
        <v>1096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70</v>
      </c>
      <c r="O1698">
        <v>50</v>
      </c>
      <c r="P1698">
        <v>0</v>
      </c>
      <c r="Q1698">
        <v>30</v>
      </c>
      <c r="R1698">
        <v>0</v>
      </c>
      <c r="S1698">
        <v>0</v>
      </c>
      <c r="T1698">
        <v>0</v>
      </c>
      <c r="U1698">
        <v>0</v>
      </c>
      <c r="V1698">
        <v>0</v>
      </c>
      <c r="X1698">
        <v>0</v>
      </c>
      <c r="Y1698" t="s">
        <v>2916</v>
      </c>
    </row>
    <row r="1699" spans="1:25" x14ac:dyDescent="0.25">
      <c r="H1699" t="s">
        <v>34</v>
      </c>
    </row>
    <row r="1700" spans="1:25" x14ac:dyDescent="0.25">
      <c r="A1700">
        <v>847</v>
      </c>
      <c r="B1700">
        <v>2752</v>
      </c>
      <c r="C1700" t="s">
        <v>2917</v>
      </c>
      <c r="D1700" t="s">
        <v>48</v>
      </c>
      <c r="E1700" t="s">
        <v>2918</v>
      </c>
      <c r="F1700" t="s">
        <v>2919</v>
      </c>
      <c r="G1700" t="str">
        <f>"00015094"</f>
        <v>00015094</v>
      </c>
      <c r="H1700" t="s">
        <v>1004</v>
      </c>
      <c r="I1700">
        <v>0</v>
      </c>
      <c r="J1700">
        <v>0</v>
      </c>
      <c r="K1700">
        <v>0</v>
      </c>
      <c r="L1700">
        <v>0</v>
      </c>
      <c r="M1700">
        <v>100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X1700">
        <v>0</v>
      </c>
      <c r="Y1700" t="s">
        <v>2920</v>
      </c>
    </row>
    <row r="1701" spans="1:25" x14ac:dyDescent="0.25">
      <c r="H1701" t="s">
        <v>213</v>
      </c>
    </row>
    <row r="1702" spans="1:25" x14ac:dyDescent="0.25">
      <c r="A1702">
        <v>848</v>
      </c>
      <c r="B1702">
        <v>1700</v>
      </c>
      <c r="C1702" t="s">
        <v>2388</v>
      </c>
      <c r="D1702" t="s">
        <v>575</v>
      </c>
      <c r="E1702" t="s">
        <v>895</v>
      </c>
      <c r="F1702" t="s">
        <v>2921</v>
      </c>
      <c r="G1702" t="str">
        <f>"00163054"</f>
        <v>00163054</v>
      </c>
      <c r="H1702" t="s">
        <v>1578</v>
      </c>
      <c r="I1702">
        <v>0</v>
      </c>
      <c r="J1702">
        <v>0</v>
      </c>
      <c r="K1702">
        <v>0</v>
      </c>
      <c r="L1702">
        <v>0</v>
      </c>
      <c r="M1702">
        <v>100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X1702">
        <v>0</v>
      </c>
      <c r="Y1702" t="s">
        <v>2922</v>
      </c>
    </row>
    <row r="1703" spans="1:25" x14ac:dyDescent="0.25">
      <c r="H1703" t="s">
        <v>34</v>
      </c>
    </row>
    <row r="1704" spans="1:25" x14ac:dyDescent="0.25">
      <c r="A1704">
        <v>849</v>
      </c>
      <c r="B1704">
        <v>3336</v>
      </c>
      <c r="C1704" t="s">
        <v>2923</v>
      </c>
      <c r="D1704" t="s">
        <v>2924</v>
      </c>
      <c r="E1704" t="s">
        <v>21</v>
      </c>
      <c r="F1704" t="s">
        <v>2925</v>
      </c>
      <c r="G1704" t="str">
        <f>"201405000439"</f>
        <v>201405000439</v>
      </c>
      <c r="H1704" t="s">
        <v>1578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70</v>
      </c>
      <c r="O1704">
        <v>70</v>
      </c>
      <c r="P1704">
        <v>0</v>
      </c>
      <c r="Q1704">
        <v>0</v>
      </c>
      <c r="R1704">
        <v>30</v>
      </c>
      <c r="S1704">
        <v>0</v>
      </c>
      <c r="T1704">
        <v>0</v>
      </c>
      <c r="U1704">
        <v>0</v>
      </c>
      <c r="V1704">
        <v>0</v>
      </c>
      <c r="X1704">
        <v>0</v>
      </c>
      <c r="Y1704" t="s">
        <v>2922</v>
      </c>
    </row>
    <row r="1705" spans="1:25" x14ac:dyDescent="0.25">
      <c r="H1705" t="s">
        <v>118</v>
      </c>
    </row>
    <row r="1706" spans="1:25" x14ac:dyDescent="0.25">
      <c r="A1706">
        <v>850</v>
      </c>
      <c r="B1706">
        <v>3246</v>
      </c>
      <c r="C1706" t="s">
        <v>2926</v>
      </c>
      <c r="D1706" t="s">
        <v>159</v>
      </c>
      <c r="E1706" t="s">
        <v>55</v>
      </c>
      <c r="F1706" t="s">
        <v>2927</v>
      </c>
      <c r="G1706" t="str">
        <f>"00015026"</f>
        <v>00015026</v>
      </c>
      <c r="H1706" t="s">
        <v>2721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0</v>
      </c>
      <c r="O1706">
        <v>70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X1706">
        <v>0</v>
      </c>
      <c r="Y1706" t="s">
        <v>2928</v>
      </c>
    </row>
    <row r="1707" spans="1:25" x14ac:dyDescent="0.25">
      <c r="H1707" t="s">
        <v>34</v>
      </c>
    </row>
    <row r="1708" spans="1:25" x14ac:dyDescent="0.25">
      <c r="A1708">
        <v>851</v>
      </c>
      <c r="B1708">
        <v>1594</v>
      </c>
      <c r="C1708" t="s">
        <v>2929</v>
      </c>
      <c r="D1708" t="s">
        <v>2930</v>
      </c>
      <c r="E1708" t="s">
        <v>81</v>
      </c>
      <c r="F1708" t="s">
        <v>2931</v>
      </c>
      <c r="G1708" t="str">
        <f>"00114829"</f>
        <v>00114829</v>
      </c>
      <c r="H1708" t="s">
        <v>1280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70</v>
      </c>
      <c r="O1708">
        <v>0</v>
      </c>
      <c r="P1708">
        <v>30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X1708">
        <v>0</v>
      </c>
      <c r="Y1708" t="s">
        <v>2932</v>
      </c>
    </row>
    <row r="1709" spans="1:25" x14ac:dyDescent="0.25">
      <c r="H1709" t="s">
        <v>53</v>
      </c>
    </row>
    <row r="1710" spans="1:25" x14ac:dyDescent="0.25">
      <c r="A1710">
        <v>852</v>
      </c>
      <c r="B1710">
        <v>845</v>
      </c>
      <c r="C1710" t="s">
        <v>2933</v>
      </c>
      <c r="D1710" t="s">
        <v>900</v>
      </c>
      <c r="E1710" t="s">
        <v>200</v>
      </c>
      <c r="F1710" t="s">
        <v>2934</v>
      </c>
      <c r="G1710" t="str">
        <f>"00012641"</f>
        <v>00012641</v>
      </c>
      <c r="H1710" t="s">
        <v>2935</v>
      </c>
      <c r="I1710">
        <v>0</v>
      </c>
      <c r="J1710">
        <v>0</v>
      </c>
      <c r="K1710">
        <v>0</v>
      </c>
      <c r="L1710">
        <v>200</v>
      </c>
      <c r="M1710">
        <v>0</v>
      </c>
      <c r="N1710">
        <v>70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X1710">
        <v>0</v>
      </c>
      <c r="Y1710" t="s">
        <v>2936</v>
      </c>
    </row>
    <row r="1711" spans="1:25" x14ac:dyDescent="0.25">
      <c r="H1711" t="s">
        <v>91</v>
      </c>
    </row>
    <row r="1712" spans="1:25" x14ac:dyDescent="0.25">
      <c r="A1712">
        <v>853</v>
      </c>
      <c r="B1712">
        <v>3873</v>
      </c>
      <c r="C1712" t="s">
        <v>2937</v>
      </c>
      <c r="D1712" t="s">
        <v>159</v>
      </c>
      <c r="E1712" t="s">
        <v>2938</v>
      </c>
      <c r="F1712" t="s">
        <v>2939</v>
      </c>
      <c r="G1712" t="str">
        <f>"00168717"</f>
        <v>00168717</v>
      </c>
      <c r="H1712" t="s">
        <v>1027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70</v>
      </c>
      <c r="O1712">
        <v>70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X1712">
        <v>0</v>
      </c>
      <c r="Y1712" t="s">
        <v>2940</v>
      </c>
    </row>
    <row r="1713" spans="1:25" x14ac:dyDescent="0.25">
      <c r="H1713" t="s">
        <v>23</v>
      </c>
    </row>
    <row r="1714" spans="1:25" x14ac:dyDescent="0.25">
      <c r="A1714">
        <v>854</v>
      </c>
      <c r="B1714">
        <v>5013</v>
      </c>
      <c r="C1714" t="s">
        <v>2941</v>
      </c>
      <c r="D1714" t="s">
        <v>20</v>
      </c>
      <c r="E1714" t="s">
        <v>1886</v>
      </c>
      <c r="F1714" t="s">
        <v>2942</v>
      </c>
      <c r="G1714" t="str">
        <f>"201506001944"</f>
        <v>201506001944</v>
      </c>
      <c r="H1714" t="s">
        <v>691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70</v>
      </c>
      <c r="O1714">
        <v>0</v>
      </c>
      <c r="P1714">
        <v>70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X1714">
        <v>0</v>
      </c>
      <c r="Y1714" t="s">
        <v>2943</v>
      </c>
    </row>
    <row r="1715" spans="1:25" x14ac:dyDescent="0.25">
      <c r="H1715" t="s">
        <v>213</v>
      </c>
    </row>
    <row r="1716" spans="1:25" x14ac:dyDescent="0.25">
      <c r="A1716">
        <v>855</v>
      </c>
      <c r="B1716">
        <v>4277</v>
      </c>
      <c r="C1716" t="s">
        <v>2944</v>
      </c>
      <c r="D1716" t="s">
        <v>87</v>
      </c>
      <c r="E1716" t="s">
        <v>2027</v>
      </c>
      <c r="F1716" t="s">
        <v>2945</v>
      </c>
      <c r="G1716" t="str">
        <f>"201304000720"</f>
        <v>201304000720</v>
      </c>
      <c r="H1716" t="s">
        <v>2368</v>
      </c>
      <c r="I1716">
        <v>0</v>
      </c>
      <c r="J1716">
        <v>0</v>
      </c>
      <c r="K1716">
        <v>0</v>
      </c>
      <c r="L1716">
        <v>200</v>
      </c>
      <c r="M1716">
        <v>30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X1716">
        <v>0</v>
      </c>
      <c r="Y1716" t="s">
        <v>2946</v>
      </c>
    </row>
    <row r="1717" spans="1:25" x14ac:dyDescent="0.25">
      <c r="H1717" t="s">
        <v>23</v>
      </c>
    </row>
    <row r="1718" spans="1:25" x14ac:dyDescent="0.25">
      <c r="A1718">
        <v>856</v>
      </c>
      <c r="B1718">
        <v>2469</v>
      </c>
      <c r="C1718" t="s">
        <v>2947</v>
      </c>
      <c r="D1718" t="s">
        <v>362</v>
      </c>
      <c r="E1718" t="s">
        <v>2199</v>
      </c>
      <c r="F1718" t="s">
        <v>2948</v>
      </c>
      <c r="G1718" t="str">
        <f>"00047900"</f>
        <v>00047900</v>
      </c>
      <c r="H1718">
        <v>792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70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X1718">
        <v>0</v>
      </c>
      <c r="Y1718">
        <v>892</v>
      </c>
    </row>
    <row r="1719" spans="1:25" x14ac:dyDescent="0.25">
      <c r="H1719" t="s">
        <v>53</v>
      </c>
    </row>
    <row r="1720" spans="1:25" x14ac:dyDescent="0.25">
      <c r="A1720">
        <v>857</v>
      </c>
      <c r="B1720">
        <v>1545</v>
      </c>
      <c r="C1720" t="s">
        <v>2949</v>
      </c>
      <c r="D1720" t="s">
        <v>663</v>
      </c>
      <c r="E1720" t="s">
        <v>2950</v>
      </c>
      <c r="F1720" t="s">
        <v>2951</v>
      </c>
      <c r="G1720" t="str">
        <f>"00195854"</f>
        <v>00195854</v>
      </c>
      <c r="H1720">
        <v>792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70</v>
      </c>
      <c r="O1720">
        <v>0</v>
      </c>
      <c r="P1720">
        <v>30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X1720">
        <v>0</v>
      </c>
      <c r="Y1720">
        <v>892</v>
      </c>
    </row>
    <row r="1721" spans="1:25" x14ac:dyDescent="0.25">
      <c r="H1721">
        <v>101</v>
      </c>
    </row>
    <row r="1722" spans="1:25" x14ac:dyDescent="0.25">
      <c r="A1722">
        <v>858</v>
      </c>
      <c r="B1722">
        <v>3063</v>
      </c>
      <c r="C1722" t="s">
        <v>2952</v>
      </c>
      <c r="D1722" t="s">
        <v>1524</v>
      </c>
      <c r="E1722" t="s">
        <v>71</v>
      </c>
      <c r="F1722" t="s">
        <v>2953</v>
      </c>
      <c r="G1722" t="str">
        <f>"00208079"</f>
        <v>00208079</v>
      </c>
      <c r="H1722" t="s">
        <v>2094</v>
      </c>
      <c r="I1722">
        <v>0</v>
      </c>
      <c r="J1722">
        <v>0</v>
      </c>
      <c r="K1722">
        <v>0</v>
      </c>
      <c r="L1722">
        <v>0</v>
      </c>
      <c r="M1722">
        <v>100</v>
      </c>
      <c r="N1722">
        <v>70</v>
      </c>
      <c r="O1722">
        <v>0</v>
      </c>
      <c r="P1722">
        <v>30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X1722">
        <v>0</v>
      </c>
      <c r="Y1722" t="s">
        <v>2954</v>
      </c>
    </row>
    <row r="1723" spans="1:25" x14ac:dyDescent="0.25">
      <c r="H1723">
        <v>101</v>
      </c>
    </row>
    <row r="1724" spans="1:25" x14ac:dyDescent="0.25">
      <c r="A1724">
        <v>859</v>
      </c>
      <c r="B1724">
        <v>2022</v>
      </c>
      <c r="C1724" t="s">
        <v>2553</v>
      </c>
      <c r="D1724" t="s">
        <v>2955</v>
      </c>
      <c r="E1724" t="s">
        <v>147</v>
      </c>
      <c r="F1724" t="s">
        <v>2956</v>
      </c>
      <c r="G1724" t="str">
        <f>"00013912"</f>
        <v>00013912</v>
      </c>
      <c r="H1724" t="s">
        <v>2877</v>
      </c>
      <c r="I1724">
        <v>150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X1724">
        <v>0</v>
      </c>
      <c r="Y1724" t="s">
        <v>2957</v>
      </c>
    </row>
    <row r="1725" spans="1:25" x14ac:dyDescent="0.25">
      <c r="H1725" t="s">
        <v>118</v>
      </c>
    </row>
    <row r="1726" spans="1:25" x14ac:dyDescent="0.25">
      <c r="A1726">
        <v>860</v>
      </c>
      <c r="B1726">
        <v>3194</v>
      </c>
      <c r="C1726" t="s">
        <v>2958</v>
      </c>
      <c r="D1726" t="s">
        <v>2959</v>
      </c>
      <c r="E1726" t="s">
        <v>55</v>
      </c>
      <c r="F1726" t="s">
        <v>2960</v>
      </c>
      <c r="G1726" t="str">
        <f>"00013410"</f>
        <v>00013410</v>
      </c>
      <c r="H1726" t="s">
        <v>1716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X1726">
        <v>0</v>
      </c>
      <c r="Y1726" t="s">
        <v>2961</v>
      </c>
    </row>
    <row r="1727" spans="1:25" x14ac:dyDescent="0.25">
      <c r="H1727" t="s">
        <v>53</v>
      </c>
    </row>
    <row r="1728" spans="1:25" x14ac:dyDescent="0.25">
      <c r="A1728">
        <v>861</v>
      </c>
      <c r="B1728">
        <v>5678</v>
      </c>
      <c r="C1728" t="s">
        <v>2962</v>
      </c>
      <c r="D1728" t="s">
        <v>2846</v>
      </c>
      <c r="E1728" t="s">
        <v>291</v>
      </c>
      <c r="F1728" t="s">
        <v>2963</v>
      </c>
      <c r="G1728" t="str">
        <f>"00187190"</f>
        <v>00187190</v>
      </c>
      <c r="H1728" t="s">
        <v>699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70</v>
      </c>
      <c r="O1728">
        <v>30</v>
      </c>
      <c r="P1728">
        <v>0</v>
      </c>
      <c r="Q1728">
        <v>0</v>
      </c>
      <c r="R1728">
        <v>30</v>
      </c>
      <c r="S1728">
        <v>0</v>
      </c>
      <c r="T1728">
        <v>0</v>
      </c>
      <c r="U1728">
        <v>0</v>
      </c>
      <c r="V1728">
        <v>0</v>
      </c>
      <c r="X1728">
        <v>0</v>
      </c>
      <c r="Y1728" t="s">
        <v>2964</v>
      </c>
    </row>
    <row r="1729" spans="1:25" x14ac:dyDescent="0.25">
      <c r="H1729" t="s">
        <v>23</v>
      </c>
    </row>
    <row r="1730" spans="1:25" x14ac:dyDescent="0.25">
      <c r="A1730">
        <v>862</v>
      </c>
      <c r="B1730">
        <v>4608</v>
      </c>
      <c r="C1730" t="s">
        <v>2965</v>
      </c>
      <c r="D1730" t="s">
        <v>283</v>
      </c>
      <c r="E1730" t="s">
        <v>87</v>
      </c>
      <c r="F1730" t="s">
        <v>2966</v>
      </c>
      <c r="G1730" t="str">
        <f>"00130156"</f>
        <v>00130156</v>
      </c>
      <c r="H1730" t="s">
        <v>868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X1730">
        <v>0</v>
      </c>
      <c r="Y1730" t="s">
        <v>2967</v>
      </c>
    </row>
    <row r="1731" spans="1:25" x14ac:dyDescent="0.25">
      <c r="H1731" t="s">
        <v>366</v>
      </c>
    </row>
    <row r="1732" spans="1:25" x14ac:dyDescent="0.25">
      <c r="A1732">
        <v>863</v>
      </c>
      <c r="B1732">
        <v>4241</v>
      </c>
      <c r="C1732" t="s">
        <v>2968</v>
      </c>
      <c r="D1732" t="s">
        <v>25</v>
      </c>
      <c r="E1732" t="s">
        <v>49</v>
      </c>
      <c r="F1732" t="s">
        <v>2969</v>
      </c>
      <c r="G1732" t="str">
        <f>"00015071"</f>
        <v>00015071</v>
      </c>
      <c r="H1732" t="s">
        <v>1904</v>
      </c>
      <c r="I1732">
        <v>0</v>
      </c>
      <c r="J1732">
        <v>0</v>
      </c>
      <c r="K1732">
        <v>0</v>
      </c>
      <c r="L1732">
        <v>0</v>
      </c>
      <c r="M1732">
        <v>100</v>
      </c>
      <c r="N1732">
        <v>30</v>
      </c>
      <c r="O1732">
        <v>0</v>
      </c>
      <c r="P1732">
        <v>30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X1732">
        <v>0</v>
      </c>
      <c r="Y1732" t="s">
        <v>2970</v>
      </c>
    </row>
    <row r="1733" spans="1:25" x14ac:dyDescent="0.25">
      <c r="H1733" t="s">
        <v>53</v>
      </c>
    </row>
    <row r="1734" spans="1:25" x14ac:dyDescent="0.25">
      <c r="A1734">
        <v>864</v>
      </c>
      <c r="B1734">
        <v>5923</v>
      </c>
      <c r="C1734" t="s">
        <v>2971</v>
      </c>
      <c r="D1734" t="s">
        <v>113</v>
      </c>
      <c r="E1734" t="s">
        <v>130</v>
      </c>
      <c r="F1734" t="s">
        <v>2972</v>
      </c>
      <c r="G1734" t="str">
        <f>"201312000074"</f>
        <v>201312000074</v>
      </c>
      <c r="H1734">
        <v>660</v>
      </c>
      <c r="I1734">
        <v>0</v>
      </c>
      <c r="J1734">
        <v>0</v>
      </c>
      <c r="K1734">
        <v>0</v>
      </c>
      <c r="L1734">
        <v>200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X1734">
        <v>0</v>
      </c>
      <c r="Y1734">
        <v>890</v>
      </c>
    </row>
    <row r="1735" spans="1:25" x14ac:dyDescent="0.25">
      <c r="H1735" t="s">
        <v>53</v>
      </c>
    </row>
    <row r="1736" spans="1:25" x14ac:dyDescent="0.25">
      <c r="A1736">
        <v>865</v>
      </c>
      <c r="B1736">
        <v>6389</v>
      </c>
      <c r="C1736" t="s">
        <v>2973</v>
      </c>
      <c r="D1736" t="s">
        <v>2202</v>
      </c>
      <c r="E1736" t="s">
        <v>55</v>
      </c>
      <c r="F1736" t="s">
        <v>2974</v>
      </c>
      <c r="G1736" t="str">
        <f>"00015293"</f>
        <v>00015293</v>
      </c>
      <c r="H1736" t="s">
        <v>1317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70</v>
      </c>
      <c r="O1736">
        <v>70</v>
      </c>
      <c r="P1736">
        <v>0</v>
      </c>
      <c r="Q1736">
        <v>0</v>
      </c>
      <c r="R1736">
        <v>70</v>
      </c>
      <c r="S1736">
        <v>0</v>
      </c>
      <c r="T1736">
        <v>0</v>
      </c>
      <c r="U1736">
        <v>0</v>
      </c>
      <c r="V1736">
        <v>0</v>
      </c>
      <c r="X1736">
        <v>0</v>
      </c>
      <c r="Y1736" t="s">
        <v>2975</v>
      </c>
    </row>
    <row r="1737" spans="1:25" x14ac:dyDescent="0.25">
      <c r="H1737" t="s">
        <v>23</v>
      </c>
    </row>
    <row r="1738" spans="1:25" x14ac:dyDescent="0.25">
      <c r="A1738">
        <v>866</v>
      </c>
      <c r="B1738">
        <v>4392</v>
      </c>
      <c r="C1738" t="s">
        <v>2976</v>
      </c>
      <c r="D1738" t="s">
        <v>217</v>
      </c>
      <c r="E1738" t="s">
        <v>43</v>
      </c>
      <c r="F1738" t="s">
        <v>2977</v>
      </c>
      <c r="G1738" t="str">
        <f>"00013336"</f>
        <v>00013336</v>
      </c>
      <c r="H1738" t="s">
        <v>442</v>
      </c>
      <c r="I1738">
        <v>0</v>
      </c>
      <c r="J1738">
        <v>0</v>
      </c>
      <c r="K1738">
        <v>0</v>
      </c>
      <c r="L1738">
        <v>0</v>
      </c>
      <c r="M1738">
        <v>100</v>
      </c>
      <c r="N1738">
        <v>30</v>
      </c>
      <c r="O1738">
        <v>30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X1738">
        <v>0</v>
      </c>
      <c r="Y1738" t="s">
        <v>2978</v>
      </c>
    </row>
    <row r="1739" spans="1:25" x14ac:dyDescent="0.25">
      <c r="H1739" t="s">
        <v>34</v>
      </c>
    </row>
    <row r="1740" spans="1:25" x14ac:dyDescent="0.25">
      <c r="A1740">
        <v>867</v>
      </c>
      <c r="B1740">
        <v>2820</v>
      </c>
      <c r="C1740" t="s">
        <v>2979</v>
      </c>
      <c r="D1740" t="s">
        <v>2980</v>
      </c>
      <c r="E1740" t="s">
        <v>61</v>
      </c>
      <c r="F1740" t="s">
        <v>2981</v>
      </c>
      <c r="G1740" t="str">
        <f>"201506003387"</f>
        <v>201506003387</v>
      </c>
      <c r="H1740" t="s">
        <v>161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70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X1740">
        <v>0</v>
      </c>
      <c r="Y1740" t="s">
        <v>2982</v>
      </c>
    </row>
    <row r="1741" spans="1:25" x14ac:dyDescent="0.25">
      <c r="H1741" t="s">
        <v>34</v>
      </c>
    </row>
    <row r="1742" spans="1:25" x14ac:dyDescent="0.25">
      <c r="A1742">
        <v>868</v>
      </c>
      <c r="B1742">
        <v>5693</v>
      </c>
      <c r="C1742" t="s">
        <v>2983</v>
      </c>
      <c r="D1742" t="s">
        <v>20</v>
      </c>
      <c r="E1742" t="s">
        <v>43</v>
      </c>
      <c r="F1742" t="s">
        <v>2984</v>
      </c>
      <c r="G1742" t="str">
        <f>"00195403"</f>
        <v>00195403</v>
      </c>
      <c r="H1742">
        <v>748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70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X1742">
        <v>0</v>
      </c>
      <c r="Y1742">
        <v>888</v>
      </c>
    </row>
    <row r="1743" spans="1:25" x14ac:dyDescent="0.25">
      <c r="H1743" t="s">
        <v>34</v>
      </c>
    </row>
    <row r="1744" spans="1:25" x14ac:dyDescent="0.25">
      <c r="A1744">
        <v>869</v>
      </c>
      <c r="B1744">
        <v>802</v>
      </c>
      <c r="C1744" t="s">
        <v>2985</v>
      </c>
      <c r="D1744" t="s">
        <v>571</v>
      </c>
      <c r="E1744" t="s">
        <v>681</v>
      </c>
      <c r="F1744" t="s">
        <v>2986</v>
      </c>
      <c r="G1744" t="str">
        <f>"00125206"</f>
        <v>00125206</v>
      </c>
      <c r="H1744" t="s">
        <v>1832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50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X1744">
        <v>2</v>
      </c>
      <c r="Y1744" t="s">
        <v>2987</v>
      </c>
    </row>
    <row r="1745" spans="1:25" x14ac:dyDescent="0.25">
      <c r="H1745" t="s">
        <v>23</v>
      </c>
    </row>
    <row r="1746" spans="1:25" x14ac:dyDescent="0.25">
      <c r="A1746">
        <v>870</v>
      </c>
      <c r="B1746">
        <v>3835</v>
      </c>
      <c r="C1746" t="s">
        <v>2988</v>
      </c>
      <c r="D1746" t="s">
        <v>25</v>
      </c>
      <c r="E1746" t="s">
        <v>55</v>
      </c>
      <c r="F1746" t="s">
        <v>2989</v>
      </c>
      <c r="G1746" t="str">
        <f>"00015316"</f>
        <v>00015316</v>
      </c>
      <c r="H1746" t="s">
        <v>452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30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X1746">
        <v>0</v>
      </c>
      <c r="Y1746" t="s">
        <v>2990</v>
      </c>
    </row>
    <row r="1747" spans="1:25" x14ac:dyDescent="0.25">
      <c r="H1747" t="s">
        <v>34</v>
      </c>
    </row>
    <row r="1748" spans="1:25" x14ac:dyDescent="0.25">
      <c r="A1748">
        <v>871</v>
      </c>
      <c r="B1748">
        <v>5150</v>
      </c>
      <c r="C1748" t="s">
        <v>1657</v>
      </c>
      <c r="D1748" t="s">
        <v>561</v>
      </c>
      <c r="E1748" t="s">
        <v>49</v>
      </c>
      <c r="F1748" t="s">
        <v>2991</v>
      </c>
      <c r="G1748" t="str">
        <f>"00094449"</f>
        <v>00094449</v>
      </c>
      <c r="H1748" t="s">
        <v>719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X1748">
        <v>0</v>
      </c>
      <c r="Y1748" t="s">
        <v>2992</v>
      </c>
    </row>
    <row r="1749" spans="1:25" x14ac:dyDescent="0.25">
      <c r="H1749" t="s">
        <v>91</v>
      </c>
    </row>
    <row r="1750" spans="1:25" x14ac:dyDescent="0.25">
      <c r="A1750">
        <v>872</v>
      </c>
      <c r="B1750">
        <v>6306</v>
      </c>
      <c r="C1750" t="s">
        <v>2993</v>
      </c>
      <c r="D1750" t="s">
        <v>2687</v>
      </c>
      <c r="E1750" t="s">
        <v>43</v>
      </c>
      <c r="F1750" t="s">
        <v>2994</v>
      </c>
      <c r="G1750" t="str">
        <f>"00015081"</f>
        <v>00015081</v>
      </c>
      <c r="H1750" t="s">
        <v>729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70</v>
      </c>
      <c r="O1750">
        <v>70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X1750">
        <v>0</v>
      </c>
      <c r="Y1750" t="s">
        <v>2995</v>
      </c>
    </row>
    <row r="1751" spans="1:25" x14ac:dyDescent="0.25">
      <c r="H1751" t="s">
        <v>53</v>
      </c>
    </row>
    <row r="1752" spans="1:25" x14ac:dyDescent="0.25">
      <c r="A1752">
        <v>873</v>
      </c>
      <c r="B1752">
        <v>5799</v>
      </c>
      <c r="C1752" t="s">
        <v>1484</v>
      </c>
      <c r="D1752" t="s">
        <v>2996</v>
      </c>
      <c r="E1752" t="s">
        <v>2027</v>
      </c>
      <c r="F1752" t="s">
        <v>2997</v>
      </c>
      <c r="G1752" t="str">
        <f>"201304001552"</f>
        <v>201304001552</v>
      </c>
      <c r="H1752" t="s">
        <v>1096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70</v>
      </c>
      <c r="O1752">
        <v>70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X1752">
        <v>2</v>
      </c>
      <c r="Y1752" t="s">
        <v>2998</v>
      </c>
    </row>
    <row r="1753" spans="1:25" x14ac:dyDescent="0.25">
      <c r="H1753" t="s">
        <v>34</v>
      </c>
    </row>
    <row r="1754" spans="1:25" x14ac:dyDescent="0.25">
      <c r="A1754">
        <v>874</v>
      </c>
      <c r="B1754">
        <v>4269</v>
      </c>
      <c r="C1754" t="s">
        <v>2999</v>
      </c>
      <c r="D1754" t="s">
        <v>209</v>
      </c>
      <c r="E1754" t="s">
        <v>319</v>
      </c>
      <c r="F1754" t="s">
        <v>3000</v>
      </c>
      <c r="G1754" t="str">
        <f>"201406012739"</f>
        <v>201406012739</v>
      </c>
      <c r="H1754" t="s">
        <v>1269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50</v>
      </c>
      <c r="P1754">
        <v>0</v>
      </c>
      <c r="Q1754">
        <v>0</v>
      </c>
      <c r="R1754">
        <v>30</v>
      </c>
      <c r="S1754">
        <v>0</v>
      </c>
      <c r="T1754">
        <v>0</v>
      </c>
      <c r="U1754">
        <v>0</v>
      </c>
      <c r="V1754">
        <v>0</v>
      </c>
      <c r="X1754">
        <v>0</v>
      </c>
      <c r="Y1754" t="s">
        <v>3001</v>
      </c>
    </row>
    <row r="1755" spans="1:25" x14ac:dyDescent="0.25">
      <c r="H1755" t="s">
        <v>23</v>
      </c>
    </row>
    <row r="1756" spans="1:25" x14ac:dyDescent="0.25">
      <c r="A1756">
        <v>875</v>
      </c>
      <c r="B1756">
        <v>2417</v>
      </c>
      <c r="C1756" t="s">
        <v>3002</v>
      </c>
      <c r="D1756" t="s">
        <v>634</v>
      </c>
      <c r="E1756" t="s">
        <v>49</v>
      </c>
      <c r="F1756" t="s">
        <v>3003</v>
      </c>
      <c r="G1756" t="str">
        <f>"201506000654"</f>
        <v>201506000654</v>
      </c>
      <c r="H1756" t="s">
        <v>39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X1756">
        <v>0</v>
      </c>
      <c r="Y1756" t="s">
        <v>3004</v>
      </c>
    </row>
    <row r="1757" spans="1:25" x14ac:dyDescent="0.25">
      <c r="H1757" t="s">
        <v>23</v>
      </c>
    </row>
    <row r="1758" spans="1:25" x14ac:dyDescent="0.25">
      <c r="A1758">
        <v>876</v>
      </c>
      <c r="B1758">
        <v>1538</v>
      </c>
      <c r="C1758" t="s">
        <v>3005</v>
      </c>
      <c r="D1758" t="s">
        <v>113</v>
      </c>
      <c r="E1758" t="s">
        <v>87</v>
      </c>
      <c r="F1758" t="s">
        <v>3006</v>
      </c>
      <c r="G1758" t="str">
        <f>"00117332"</f>
        <v>00117332</v>
      </c>
      <c r="H1758" t="s">
        <v>747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70</v>
      </c>
      <c r="O1758">
        <v>70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X1758">
        <v>0</v>
      </c>
      <c r="Y1758" t="s">
        <v>3004</v>
      </c>
    </row>
    <row r="1759" spans="1:25" x14ac:dyDescent="0.25">
      <c r="H1759" t="s">
        <v>118</v>
      </c>
    </row>
    <row r="1760" spans="1:25" x14ac:dyDescent="0.25">
      <c r="A1760">
        <v>877</v>
      </c>
      <c r="B1760">
        <v>6534</v>
      </c>
      <c r="C1760" t="s">
        <v>3007</v>
      </c>
      <c r="D1760" t="s">
        <v>70</v>
      </c>
      <c r="E1760" t="s">
        <v>1257</v>
      </c>
      <c r="F1760" t="s">
        <v>3008</v>
      </c>
      <c r="G1760" t="str">
        <f>"00122514"</f>
        <v>00122514</v>
      </c>
      <c r="H1760" t="s">
        <v>1372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70</v>
      </c>
      <c r="O1760">
        <v>50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X1760">
        <v>0</v>
      </c>
      <c r="Y1760" t="s">
        <v>3009</v>
      </c>
    </row>
    <row r="1761" spans="1:25" x14ac:dyDescent="0.25">
      <c r="H1761">
        <v>101</v>
      </c>
    </row>
    <row r="1762" spans="1:25" x14ac:dyDescent="0.25">
      <c r="A1762">
        <v>878</v>
      </c>
      <c r="B1762">
        <v>2656</v>
      </c>
      <c r="C1762" t="s">
        <v>3010</v>
      </c>
      <c r="D1762" t="s">
        <v>20</v>
      </c>
      <c r="E1762" t="s">
        <v>43</v>
      </c>
      <c r="F1762" t="s">
        <v>3011</v>
      </c>
      <c r="G1762" t="str">
        <f>"00123109"</f>
        <v>00123109</v>
      </c>
      <c r="H1762" t="s">
        <v>152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30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X1762">
        <v>1</v>
      </c>
      <c r="Y1762" t="s">
        <v>3012</v>
      </c>
    </row>
    <row r="1763" spans="1:25" x14ac:dyDescent="0.25">
      <c r="H1763" t="s">
        <v>23</v>
      </c>
    </row>
    <row r="1764" spans="1:25" x14ac:dyDescent="0.25">
      <c r="A1764">
        <v>879</v>
      </c>
      <c r="B1764">
        <v>788</v>
      </c>
      <c r="C1764" t="s">
        <v>3013</v>
      </c>
      <c r="D1764" t="s">
        <v>362</v>
      </c>
      <c r="E1764" t="s">
        <v>61</v>
      </c>
      <c r="F1764" t="s">
        <v>3014</v>
      </c>
      <c r="G1764" t="str">
        <f>"201406014527"</f>
        <v>201406014527</v>
      </c>
      <c r="H1764" t="s">
        <v>600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30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X1764">
        <v>0</v>
      </c>
      <c r="Y1764" t="s">
        <v>3015</v>
      </c>
    </row>
    <row r="1765" spans="1:25" x14ac:dyDescent="0.25">
      <c r="H1765" t="s">
        <v>23</v>
      </c>
    </row>
    <row r="1766" spans="1:25" x14ac:dyDescent="0.25">
      <c r="A1766">
        <v>880</v>
      </c>
      <c r="B1766">
        <v>4094</v>
      </c>
      <c r="C1766" t="s">
        <v>3016</v>
      </c>
      <c r="D1766" t="s">
        <v>3017</v>
      </c>
      <c r="E1766" t="s">
        <v>43</v>
      </c>
      <c r="F1766" t="s">
        <v>3018</v>
      </c>
      <c r="G1766" t="str">
        <f>"00201925"</f>
        <v>00201925</v>
      </c>
      <c r="H1766">
        <v>693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0</v>
      </c>
      <c r="P1766">
        <v>50</v>
      </c>
      <c r="Q1766">
        <v>70</v>
      </c>
      <c r="R1766">
        <v>0</v>
      </c>
      <c r="S1766">
        <v>0</v>
      </c>
      <c r="T1766">
        <v>0</v>
      </c>
      <c r="U1766">
        <v>0</v>
      </c>
      <c r="V1766">
        <v>0</v>
      </c>
      <c r="X1766">
        <v>0</v>
      </c>
      <c r="Y1766">
        <v>883</v>
      </c>
    </row>
    <row r="1767" spans="1:25" x14ac:dyDescent="0.25">
      <c r="H1767">
        <v>101</v>
      </c>
    </row>
    <row r="1768" spans="1:25" x14ac:dyDescent="0.25">
      <c r="A1768">
        <v>881</v>
      </c>
      <c r="B1768">
        <v>3257</v>
      </c>
      <c r="C1768" t="s">
        <v>3019</v>
      </c>
      <c r="D1768" t="s">
        <v>113</v>
      </c>
      <c r="E1768" t="s">
        <v>15</v>
      </c>
      <c r="F1768" t="s">
        <v>3020</v>
      </c>
      <c r="G1768" t="str">
        <f>"00103219"</f>
        <v>00103219</v>
      </c>
      <c r="H1768" t="s">
        <v>842</v>
      </c>
      <c r="I1768">
        <v>150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70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X1768">
        <v>0</v>
      </c>
      <c r="Y1768" t="s">
        <v>3021</v>
      </c>
    </row>
    <row r="1769" spans="1:25" x14ac:dyDescent="0.25">
      <c r="H1769" t="s">
        <v>53</v>
      </c>
    </row>
    <row r="1770" spans="1:25" x14ac:dyDescent="0.25">
      <c r="A1770">
        <v>882</v>
      </c>
      <c r="B1770">
        <v>3664</v>
      </c>
      <c r="C1770" t="s">
        <v>3022</v>
      </c>
      <c r="D1770" t="s">
        <v>49</v>
      </c>
      <c r="E1770" t="s">
        <v>781</v>
      </c>
      <c r="F1770" t="s">
        <v>3023</v>
      </c>
      <c r="G1770" t="str">
        <f>"00014839"</f>
        <v>00014839</v>
      </c>
      <c r="H1770">
        <v>781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70</v>
      </c>
      <c r="O1770">
        <v>30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X1770">
        <v>0</v>
      </c>
      <c r="Y1770">
        <v>881</v>
      </c>
    </row>
    <row r="1771" spans="1:25" x14ac:dyDescent="0.25">
      <c r="H1771" t="s">
        <v>53</v>
      </c>
    </row>
    <row r="1772" spans="1:25" x14ac:dyDescent="0.25">
      <c r="A1772">
        <v>883</v>
      </c>
      <c r="B1772">
        <v>1135</v>
      </c>
      <c r="C1772" t="s">
        <v>3024</v>
      </c>
      <c r="D1772" t="s">
        <v>322</v>
      </c>
      <c r="E1772" t="s">
        <v>65</v>
      </c>
      <c r="F1772" t="s">
        <v>3025</v>
      </c>
      <c r="G1772" t="str">
        <f>"00079632"</f>
        <v>00079632</v>
      </c>
      <c r="H1772" t="s">
        <v>1904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70</v>
      </c>
      <c r="O1772">
        <v>50</v>
      </c>
      <c r="P1772">
        <v>0</v>
      </c>
      <c r="Q1772">
        <v>30</v>
      </c>
      <c r="R1772">
        <v>0</v>
      </c>
      <c r="S1772">
        <v>0</v>
      </c>
      <c r="T1772">
        <v>0</v>
      </c>
      <c r="U1772">
        <v>0</v>
      </c>
      <c r="V1772">
        <v>0</v>
      </c>
      <c r="X1772">
        <v>0</v>
      </c>
      <c r="Y1772" t="s">
        <v>3026</v>
      </c>
    </row>
    <row r="1773" spans="1:25" x14ac:dyDescent="0.25">
      <c r="H1773" t="s">
        <v>118</v>
      </c>
    </row>
    <row r="1774" spans="1:25" x14ac:dyDescent="0.25">
      <c r="A1774">
        <v>884</v>
      </c>
      <c r="B1774">
        <v>6208</v>
      </c>
      <c r="C1774" t="s">
        <v>3027</v>
      </c>
      <c r="D1774" t="s">
        <v>15</v>
      </c>
      <c r="E1774" t="s">
        <v>49</v>
      </c>
      <c r="F1774" t="s">
        <v>3028</v>
      </c>
      <c r="G1774" t="str">
        <f>"201506002765"</f>
        <v>201506002765</v>
      </c>
      <c r="H1774" t="s">
        <v>3029</v>
      </c>
      <c r="I1774">
        <v>0</v>
      </c>
      <c r="J1774">
        <v>0</v>
      </c>
      <c r="K1774">
        <v>0</v>
      </c>
      <c r="L1774">
        <v>200</v>
      </c>
      <c r="M1774">
        <v>0</v>
      </c>
      <c r="N1774">
        <v>50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X1774">
        <v>0</v>
      </c>
      <c r="Y1774" t="s">
        <v>3030</v>
      </c>
    </row>
    <row r="1775" spans="1:25" x14ac:dyDescent="0.25">
      <c r="H1775" t="s">
        <v>34</v>
      </c>
    </row>
    <row r="1776" spans="1:25" x14ac:dyDescent="0.25">
      <c r="A1776">
        <v>885</v>
      </c>
      <c r="B1776">
        <v>4969</v>
      </c>
      <c r="C1776" t="s">
        <v>3031</v>
      </c>
      <c r="D1776" t="s">
        <v>3032</v>
      </c>
      <c r="E1776" t="s">
        <v>114</v>
      </c>
      <c r="F1776" t="s">
        <v>3033</v>
      </c>
      <c r="G1776" t="str">
        <f>"00124662"</f>
        <v>00124662</v>
      </c>
      <c r="H1776" t="s">
        <v>202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30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X1776">
        <v>0</v>
      </c>
      <c r="Y1776" t="s">
        <v>3034</v>
      </c>
    </row>
    <row r="1777" spans="1:25" x14ac:dyDescent="0.25">
      <c r="H1777" t="s">
        <v>53</v>
      </c>
    </row>
    <row r="1778" spans="1:25" x14ac:dyDescent="0.25">
      <c r="A1778">
        <v>886</v>
      </c>
      <c r="B1778">
        <v>124</v>
      </c>
      <c r="C1778" t="s">
        <v>3035</v>
      </c>
      <c r="D1778" t="s">
        <v>2199</v>
      </c>
      <c r="E1778" t="s">
        <v>55</v>
      </c>
      <c r="F1778" t="s">
        <v>3036</v>
      </c>
      <c r="G1778" t="str">
        <f>"201304004245"</f>
        <v>201304004245</v>
      </c>
      <c r="H1778" t="s">
        <v>980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70</v>
      </c>
      <c r="S1778">
        <v>0</v>
      </c>
      <c r="T1778">
        <v>0</v>
      </c>
      <c r="U1778">
        <v>0</v>
      </c>
      <c r="V1778">
        <v>0</v>
      </c>
      <c r="X1778">
        <v>0</v>
      </c>
      <c r="Y1778" t="s">
        <v>3037</v>
      </c>
    </row>
    <row r="1779" spans="1:25" x14ac:dyDescent="0.25">
      <c r="H1779" t="s">
        <v>213</v>
      </c>
    </row>
    <row r="1780" spans="1:25" x14ac:dyDescent="0.25">
      <c r="A1780">
        <v>887</v>
      </c>
      <c r="B1780">
        <v>1005</v>
      </c>
      <c r="C1780" t="s">
        <v>3038</v>
      </c>
      <c r="D1780" t="s">
        <v>663</v>
      </c>
      <c r="E1780" t="s">
        <v>55</v>
      </c>
      <c r="F1780" t="s">
        <v>3039</v>
      </c>
      <c r="G1780" t="str">
        <f>"00014525"</f>
        <v>00014525</v>
      </c>
      <c r="H1780">
        <v>847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X1780">
        <v>0</v>
      </c>
      <c r="Y1780">
        <v>877</v>
      </c>
    </row>
    <row r="1781" spans="1:25" x14ac:dyDescent="0.25">
      <c r="H1781" t="s">
        <v>23</v>
      </c>
    </row>
    <row r="1782" spans="1:25" x14ac:dyDescent="0.25">
      <c r="A1782">
        <v>888</v>
      </c>
      <c r="B1782">
        <v>3256</v>
      </c>
      <c r="C1782" t="s">
        <v>3040</v>
      </c>
      <c r="D1782" t="s">
        <v>337</v>
      </c>
      <c r="E1782" t="s">
        <v>1035</v>
      </c>
      <c r="F1782" t="s">
        <v>3041</v>
      </c>
      <c r="G1782" t="str">
        <f>"00013980"</f>
        <v>00013980</v>
      </c>
      <c r="H1782" t="s">
        <v>813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70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X1782">
        <v>0</v>
      </c>
      <c r="Y1782" t="s">
        <v>3042</v>
      </c>
    </row>
    <row r="1783" spans="1:25" x14ac:dyDescent="0.25">
      <c r="H1783" t="s">
        <v>53</v>
      </c>
    </row>
    <row r="1784" spans="1:25" x14ac:dyDescent="0.25">
      <c r="A1784">
        <v>889</v>
      </c>
      <c r="B1784">
        <v>1991</v>
      </c>
      <c r="C1784" t="s">
        <v>3043</v>
      </c>
      <c r="D1784" t="s">
        <v>3044</v>
      </c>
      <c r="E1784" t="s">
        <v>49</v>
      </c>
      <c r="F1784" t="s">
        <v>3045</v>
      </c>
      <c r="G1784" t="str">
        <f>"00114193"</f>
        <v>00114193</v>
      </c>
      <c r="H1784" t="s">
        <v>813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X1784">
        <v>0</v>
      </c>
      <c r="Y1784" t="s">
        <v>3042</v>
      </c>
    </row>
    <row r="1785" spans="1:25" x14ac:dyDescent="0.25">
      <c r="H1785" t="s">
        <v>23</v>
      </c>
    </row>
    <row r="1786" spans="1:25" x14ac:dyDescent="0.25">
      <c r="A1786">
        <v>890</v>
      </c>
      <c r="B1786">
        <v>5199</v>
      </c>
      <c r="C1786" t="s">
        <v>3046</v>
      </c>
      <c r="D1786" t="s">
        <v>1087</v>
      </c>
      <c r="E1786" t="s">
        <v>55</v>
      </c>
      <c r="F1786" t="s">
        <v>3047</v>
      </c>
      <c r="G1786" t="str">
        <f>"201405000315"</f>
        <v>201405000315</v>
      </c>
      <c r="H1786" t="s">
        <v>910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0</v>
      </c>
      <c r="P1786">
        <v>70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X1786">
        <v>0</v>
      </c>
      <c r="Y1786" t="s">
        <v>3048</v>
      </c>
    </row>
    <row r="1787" spans="1:25" x14ac:dyDescent="0.25">
      <c r="H1787" t="s">
        <v>366</v>
      </c>
    </row>
    <row r="1788" spans="1:25" x14ac:dyDescent="0.25">
      <c r="A1788">
        <v>891</v>
      </c>
      <c r="B1788">
        <v>1104</v>
      </c>
      <c r="C1788" t="s">
        <v>3049</v>
      </c>
      <c r="D1788" t="s">
        <v>3050</v>
      </c>
      <c r="E1788" t="s">
        <v>49</v>
      </c>
      <c r="F1788" t="s">
        <v>3051</v>
      </c>
      <c r="G1788" t="str">
        <f>"00088215"</f>
        <v>00088215</v>
      </c>
      <c r="H1788" t="s">
        <v>910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70</v>
      </c>
      <c r="O1788">
        <v>70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X1788">
        <v>0</v>
      </c>
      <c r="Y1788" t="s">
        <v>3048</v>
      </c>
    </row>
    <row r="1789" spans="1:25" x14ac:dyDescent="0.25">
      <c r="H1789" t="s">
        <v>2342</v>
      </c>
    </row>
    <row r="1790" spans="1:25" x14ac:dyDescent="0.25">
      <c r="A1790">
        <v>892</v>
      </c>
      <c r="B1790">
        <v>5295</v>
      </c>
      <c r="C1790" t="s">
        <v>3052</v>
      </c>
      <c r="D1790" t="s">
        <v>70</v>
      </c>
      <c r="E1790" t="s">
        <v>3053</v>
      </c>
      <c r="F1790" t="s">
        <v>3054</v>
      </c>
      <c r="G1790" t="str">
        <f>"00111449"</f>
        <v>00111449</v>
      </c>
      <c r="H1790" t="s">
        <v>83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70</v>
      </c>
      <c r="O1790">
        <v>30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X1790">
        <v>0</v>
      </c>
      <c r="Y1790" t="s">
        <v>3055</v>
      </c>
    </row>
    <row r="1791" spans="1:25" x14ac:dyDescent="0.25">
      <c r="H1791">
        <v>101</v>
      </c>
    </row>
    <row r="1792" spans="1:25" x14ac:dyDescent="0.25">
      <c r="A1792">
        <v>893</v>
      </c>
      <c r="B1792">
        <v>2979</v>
      </c>
      <c r="C1792" t="s">
        <v>3056</v>
      </c>
      <c r="D1792" t="s">
        <v>2326</v>
      </c>
      <c r="E1792" t="s">
        <v>71</v>
      </c>
      <c r="F1792" t="s">
        <v>3057</v>
      </c>
      <c r="G1792" t="str">
        <f>"00206067"</f>
        <v>00206067</v>
      </c>
      <c r="H1792" t="s">
        <v>83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30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X1792">
        <v>0</v>
      </c>
      <c r="Y1792" t="s">
        <v>3055</v>
      </c>
    </row>
    <row r="1793" spans="1:25" x14ac:dyDescent="0.25">
      <c r="H1793" t="s">
        <v>34</v>
      </c>
    </row>
    <row r="1794" spans="1:25" x14ac:dyDescent="0.25">
      <c r="A1794">
        <v>894</v>
      </c>
      <c r="B1794">
        <v>3492</v>
      </c>
      <c r="C1794" t="s">
        <v>3058</v>
      </c>
      <c r="D1794" t="s">
        <v>217</v>
      </c>
      <c r="E1794" t="s">
        <v>65</v>
      </c>
      <c r="F1794" t="s">
        <v>3059</v>
      </c>
      <c r="G1794" t="str">
        <f>"00118339"</f>
        <v>00118339</v>
      </c>
      <c r="H1794" t="s">
        <v>938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30</v>
      </c>
      <c r="P1794">
        <v>0</v>
      </c>
      <c r="Q1794">
        <v>30</v>
      </c>
      <c r="R1794">
        <v>0</v>
      </c>
      <c r="S1794">
        <v>0</v>
      </c>
      <c r="T1794">
        <v>0</v>
      </c>
      <c r="U1794">
        <v>0</v>
      </c>
      <c r="V1794">
        <v>0</v>
      </c>
      <c r="X1794">
        <v>0</v>
      </c>
      <c r="Y1794" t="s">
        <v>3060</v>
      </c>
    </row>
    <row r="1795" spans="1:25" x14ac:dyDescent="0.25">
      <c r="H1795" t="s">
        <v>23</v>
      </c>
    </row>
    <row r="1796" spans="1:25" x14ac:dyDescent="0.25">
      <c r="A1796">
        <v>895</v>
      </c>
      <c r="B1796">
        <v>5194</v>
      </c>
      <c r="C1796" t="s">
        <v>3061</v>
      </c>
      <c r="D1796" t="s">
        <v>1030</v>
      </c>
      <c r="E1796" t="s">
        <v>55</v>
      </c>
      <c r="F1796" t="s">
        <v>3062</v>
      </c>
      <c r="G1796" t="str">
        <f>"00191829"</f>
        <v>00191829</v>
      </c>
      <c r="H1796">
        <v>803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X1796">
        <v>0</v>
      </c>
      <c r="Y1796">
        <v>873</v>
      </c>
    </row>
    <row r="1797" spans="1:25" x14ac:dyDescent="0.25">
      <c r="H1797" t="s">
        <v>53</v>
      </c>
    </row>
    <row r="1798" spans="1:25" x14ac:dyDescent="0.25">
      <c r="A1798">
        <v>896</v>
      </c>
      <c r="B1798">
        <v>487</v>
      </c>
      <c r="C1798" t="s">
        <v>3063</v>
      </c>
      <c r="D1798" t="s">
        <v>87</v>
      </c>
      <c r="E1798" t="s">
        <v>43</v>
      </c>
      <c r="F1798" t="s">
        <v>3064</v>
      </c>
      <c r="G1798" t="str">
        <f>"201406002143"</f>
        <v>201406002143</v>
      </c>
      <c r="H1798" t="s">
        <v>2357</v>
      </c>
      <c r="I1798">
        <v>0</v>
      </c>
      <c r="J1798">
        <v>0</v>
      </c>
      <c r="K1798">
        <v>0</v>
      </c>
      <c r="L1798">
        <v>0</v>
      </c>
      <c r="M1798">
        <v>100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X1798">
        <v>0</v>
      </c>
      <c r="Y1798" t="s">
        <v>3065</v>
      </c>
    </row>
    <row r="1799" spans="1:25" x14ac:dyDescent="0.25">
      <c r="H1799">
        <v>101</v>
      </c>
    </row>
    <row r="1800" spans="1:25" x14ac:dyDescent="0.25">
      <c r="A1800">
        <v>897</v>
      </c>
      <c r="B1800">
        <v>1341</v>
      </c>
      <c r="C1800" t="s">
        <v>3066</v>
      </c>
      <c r="D1800" t="s">
        <v>805</v>
      </c>
      <c r="E1800" t="s">
        <v>419</v>
      </c>
      <c r="F1800" t="s">
        <v>3067</v>
      </c>
      <c r="G1800" t="str">
        <f>"201506000446"</f>
        <v>201506000446</v>
      </c>
      <c r="H1800" t="s">
        <v>3068</v>
      </c>
      <c r="I1800">
        <v>0</v>
      </c>
      <c r="J1800">
        <v>0</v>
      </c>
      <c r="K1800">
        <v>0</v>
      </c>
      <c r="L1800">
        <v>200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X1800">
        <v>0</v>
      </c>
      <c r="Y1800" t="s">
        <v>3069</v>
      </c>
    </row>
    <row r="1801" spans="1:25" x14ac:dyDescent="0.25">
      <c r="H1801" t="s">
        <v>91</v>
      </c>
    </row>
    <row r="1802" spans="1:25" x14ac:dyDescent="0.25">
      <c r="A1802">
        <v>898</v>
      </c>
      <c r="B1802">
        <v>3693</v>
      </c>
      <c r="C1802" t="s">
        <v>3070</v>
      </c>
      <c r="D1802" t="s">
        <v>283</v>
      </c>
      <c r="E1802" t="s">
        <v>184</v>
      </c>
      <c r="F1802" t="s">
        <v>3071</v>
      </c>
      <c r="G1802" t="str">
        <f>"00118607"</f>
        <v>00118607</v>
      </c>
      <c r="H1802" t="s">
        <v>395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30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X1802">
        <v>0</v>
      </c>
      <c r="Y1802" t="s">
        <v>3072</v>
      </c>
    </row>
    <row r="1803" spans="1:25" x14ac:dyDescent="0.25">
      <c r="H1803" t="s">
        <v>34</v>
      </c>
    </row>
    <row r="1804" spans="1:25" x14ac:dyDescent="0.25">
      <c r="A1804">
        <v>899</v>
      </c>
      <c r="B1804">
        <v>6342</v>
      </c>
      <c r="C1804" t="s">
        <v>522</v>
      </c>
      <c r="D1804" t="s">
        <v>48</v>
      </c>
      <c r="E1804" t="s">
        <v>1340</v>
      </c>
      <c r="F1804" t="s">
        <v>3073</v>
      </c>
      <c r="G1804" t="str">
        <f>"201304006090"</f>
        <v>201304006090</v>
      </c>
      <c r="H1804" t="s">
        <v>954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70</v>
      </c>
      <c r="P1804">
        <v>0</v>
      </c>
      <c r="Q1804">
        <v>70</v>
      </c>
      <c r="R1804">
        <v>0</v>
      </c>
      <c r="S1804">
        <v>0</v>
      </c>
      <c r="T1804">
        <v>0</v>
      </c>
      <c r="U1804">
        <v>0</v>
      </c>
      <c r="V1804">
        <v>0</v>
      </c>
      <c r="X1804">
        <v>0</v>
      </c>
      <c r="Y1804" t="s">
        <v>3072</v>
      </c>
    </row>
    <row r="1805" spans="1:25" x14ac:dyDescent="0.25">
      <c r="H1805">
        <v>103</v>
      </c>
    </row>
    <row r="1806" spans="1:25" x14ac:dyDescent="0.25">
      <c r="A1806">
        <v>900</v>
      </c>
      <c r="B1806">
        <v>4385</v>
      </c>
      <c r="C1806" t="s">
        <v>3074</v>
      </c>
      <c r="D1806" t="s">
        <v>20</v>
      </c>
      <c r="E1806" t="s">
        <v>87</v>
      </c>
      <c r="F1806" t="s">
        <v>3075</v>
      </c>
      <c r="G1806" t="str">
        <f>"201304004420"</f>
        <v>201304004420</v>
      </c>
      <c r="H1806" t="s">
        <v>622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70</v>
      </c>
      <c r="O1806">
        <v>30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X1806">
        <v>0</v>
      </c>
      <c r="Y1806" t="s">
        <v>3076</v>
      </c>
    </row>
    <row r="1807" spans="1:25" x14ac:dyDescent="0.25">
      <c r="H1807" t="s">
        <v>118</v>
      </c>
    </row>
    <row r="1808" spans="1:25" x14ac:dyDescent="0.25">
      <c r="A1808">
        <v>901</v>
      </c>
      <c r="B1808">
        <v>6257</v>
      </c>
      <c r="C1808" t="s">
        <v>3077</v>
      </c>
      <c r="D1808" t="s">
        <v>266</v>
      </c>
      <c r="E1808" t="s">
        <v>130</v>
      </c>
      <c r="F1808" t="s">
        <v>3078</v>
      </c>
      <c r="G1808" t="str">
        <f>"201402010490"</f>
        <v>201402010490</v>
      </c>
      <c r="H1808" t="s">
        <v>622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30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X1808">
        <v>0</v>
      </c>
      <c r="Y1808" t="s">
        <v>3076</v>
      </c>
    </row>
    <row r="1809" spans="1:25" x14ac:dyDescent="0.25">
      <c r="H1809" t="s">
        <v>91</v>
      </c>
    </row>
    <row r="1810" spans="1:25" x14ac:dyDescent="0.25">
      <c r="A1810">
        <v>902</v>
      </c>
      <c r="B1810">
        <v>4642</v>
      </c>
      <c r="C1810" t="s">
        <v>3079</v>
      </c>
      <c r="D1810" t="s">
        <v>571</v>
      </c>
      <c r="E1810" t="s">
        <v>43</v>
      </c>
      <c r="F1810" t="s">
        <v>3080</v>
      </c>
      <c r="G1810" t="str">
        <f>"00126427"</f>
        <v>00126427</v>
      </c>
      <c r="H1810" t="s">
        <v>1530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50</v>
      </c>
      <c r="O1810">
        <v>70</v>
      </c>
      <c r="P1810">
        <v>0</v>
      </c>
      <c r="Q1810">
        <v>50</v>
      </c>
      <c r="R1810">
        <v>0</v>
      </c>
      <c r="S1810">
        <v>0</v>
      </c>
      <c r="T1810">
        <v>0</v>
      </c>
      <c r="U1810">
        <v>0</v>
      </c>
      <c r="V1810">
        <v>0</v>
      </c>
      <c r="X1810">
        <v>1</v>
      </c>
      <c r="Y1810" t="s">
        <v>3081</v>
      </c>
    </row>
    <row r="1811" spans="1:25" x14ac:dyDescent="0.25">
      <c r="H1811" t="s">
        <v>118</v>
      </c>
    </row>
    <row r="1812" spans="1:25" x14ac:dyDescent="0.25">
      <c r="A1812">
        <v>903</v>
      </c>
      <c r="B1812">
        <v>4926</v>
      </c>
      <c r="C1812" t="s">
        <v>3082</v>
      </c>
      <c r="D1812" t="s">
        <v>1886</v>
      </c>
      <c r="E1812" t="s">
        <v>21</v>
      </c>
      <c r="F1812" t="s">
        <v>3083</v>
      </c>
      <c r="G1812" t="str">
        <f>"201406008612"</f>
        <v>201406008612</v>
      </c>
      <c r="H1812" t="s">
        <v>442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70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X1812">
        <v>0</v>
      </c>
      <c r="Y1812" t="s">
        <v>3084</v>
      </c>
    </row>
    <row r="1813" spans="1:25" x14ac:dyDescent="0.25">
      <c r="H1813">
        <v>103</v>
      </c>
    </row>
    <row r="1814" spans="1:25" x14ac:dyDescent="0.25">
      <c r="A1814">
        <v>904</v>
      </c>
      <c r="B1814">
        <v>2292</v>
      </c>
      <c r="C1814" t="s">
        <v>2161</v>
      </c>
      <c r="D1814" t="s">
        <v>113</v>
      </c>
      <c r="E1814" t="s">
        <v>61</v>
      </c>
      <c r="F1814" t="s">
        <v>3085</v>
      </c>
      <c r="G1814" t="str">
        <f>"201406017342"</f>
        <v>201406017342</v>
      </c>
      <c r="H1814">
        <v>748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50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X1814">
        <v>0</v>
      </c>
      <c r="Y1814">
        <v>868</v>
      </c>
    </row>
    <row r="1815" spans="1:25" x14ac:dyDescent="0.25">
      <c r="H1815" t="s">
        <v>118</v>
      </c>
    </row>
    <row r="1816" spans="1:25" x14ac:dyDescent="0.25">
      <c r="A1816">
        <v>905</v>
      </c>
      <c r="B1816">
        <v>2889</v>
      </c>
      <c r="C1816" t="s">
        <v>1849</v>
      </c>
      <c r="D1816" t="s">
        <v>1224</v>
      </c>
      <c r="E1816" t="s">
        <v>147</v>
      </c>
      <c r="F1816" t="s">
        <v>3086</v>
      </c>
      <c r="G1816" t="str">
        <f>"201406014297"</f>
        <v>201406014297</v>
      </c>
      <c r="H1816" t="s">
        <v>3087</v>
      </c>
      <c r="I1816">
        <v>150</v>
      </c>
      <c r="J1816">
        <v>0</v>
      </c>
      <c r="K1816">
        <v>0</v>
      </c>
      <c r="L1816">
        <v>0</v>
      </c>
      <c r="M1816">
        <v>0</v>
      </c>
      <c r="N1816">
        <v>70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X1816">
        <v>0</v>
      </c>
      <c r="Y1816" t="s">
        <v>495</v>
      </c>
    </row>
    <row r="1817" spans="1:25" x14ac:dyDescent="0.25">
      <c r="H1817" t="s">
        <v>23</v>
      </c>
    </row>
    <row r="1818" spans="1:25" x14ac:dyDescent="0.25">
      <c r="A1818">
        <v>906</v>
      </c>
      <c r="B1818">
        <v>4353</v>
      </c>
      <c r="C1818" t="s">
        <v>3088</v>
      </c>
      <c r="D1818" t="s">
        <v>558</v>
      </c>
      <c r="E1818" t="s">
        <v>3089</v>
      </c>
      <c r="F1818" t="s">
        <v>3090</v>
      </c>
      <c r="G1818" t="str">
        <f>"00012646"</f>
        <v>00012646</v>
      </c>
      <c r="H1818" t="s">
        <v>1832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70</v>
      </c>
      <c r="O1818">
        <v>30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X1818">
        <v>0</v>
      </c>
      <c r="Y1818" t="s">
        <v>3091</v>
      </c>
    </row>
    <row r="1819" spans="1:25" x14ac:dyDescent="0.25">
      <c r="H1819" t="s">
        <v>23</v>
      </c>
    </row>
    <row r="1820" spans="1:25" x14ac:dyDescent="0.25">
      <c r="A1820">
        <v>907</v>
      </c>
      <c r="B1820">
        <v>2897</v>
      </c>
      <c r="C1820" t="s">
        <v>3092</v>
      </c>
      <c r="D1820" t="s">
        <v>55</v>
      </c>
      <c r="E1820" t="s">
        <v>87</v>
      </c>
      <c r="F1820" t="s">
        <v>3093</v>
      </c>
      <c r="G1820" t="str">
        <f>"00196938"</f>
        <v>00196938</v>
      </c>
      <c r="H1820" t="s">
        <v>1832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70</v>
      </c>
      <c r="O1820">
        <v>30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X1820">
        <v>0</v>
      </c>
      <c r="Y1820" t="s">
        <v>3091</v>
      </c>
    </row>
    <row r="1821" spans="1:25" x14ac:dyDescent="0.25">
      <c r="H1821" t="s">
        <v>118</v>
      </c>
    </row>
    <row r="1822" spans="1:25" x14ac:dyDescent="0.25">
      <c r="A1822">
        <v>908</v>
      </c>
      <c r="B1822">
        <v>3204</v>
      </c>
      <c r="C1822" t="s">
        <v>3094</v>
      </c>
      <c r="D1822" t="s">
        <v>3095</v>
      </c>
      <c r="E1822" t="s">
        <v>86</v>
      </c>
      <c r="F1822" t="s">
        <v>3096</v>
      </c>
      <c r="G1822" t="str">
        <f>"00014935"</f>
        <v>00014935</v>
      </c>
      <c r="H1822" t="s">
        <v>2534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70</v>
      </c>
      <c r="P1822">
        <v>0</v>
      </c>
      <c r="Q1822">
        <v>0</v>
      </c>
      <c r="R1822">
        <v>30</v>
      </c>
      <c r="S1822">
        <v>0</v>
      </c>
      <c r="T1822">
        <v>0</v>
      </c>
      <c r="U1822">
        <v>0</v>
      </c>
      <c r="V1822">
        <v>0</v>
      </c>
      <c r="X1822">
        <v>0</v>
      </c>
      <c r="Y1822" t="s">
        <v>3097</v>
      </c>
    </row>
    <row r="1823" spans="1:25" x14ac:dyDescent="0.25">
      <c r="H1823" t="s">
        <v>23</v>
      </c>
    </row>
    <row r="1824" spans="1:25" x14ac:dyDescent="0.25">
      <c r="A1824">
        <v>909</v>
      </c>
      <c r="B1824">
        <v>620</v>
      </c>
      <c r="C1824" t="s">
        <v>3098</v>
      </c>
      <c r="D1824" t="s">
        <v>113</v>
      </c>
      <c r="E1824" t="s">
        <v>147</v>
      </c>
      <c r="F1824" t="s">
        <v>3099</v>
      </c>
      <c r="G1824" t="str">
        <f>"200801010130"</f>
        <v>200801010130</v>
      </c>
      <c r="H1824">
        <v>737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70</v>
      </c>
      <c r="O1824">
        <v>0</v>
      </c>
      <c r="P1824">
        <v>0</v>
      </c>
      <c r="Q1824">
        <v>30</v>
      </c>
      <c r="R1824">
        <v>30</v>
      </c>
      <c r="S1824">
        <v>0</v>
      </c>
      <c r="T1824">
        <v>0</v>
      </c>
      <c r="U1824">
        <v>0</v>
      </c>
      <c r="V1824">
        <v>0</v>
      </c>
      <c r="X1824">
        <v>0</v>
      </c>
      <c r="Y1824">
        <v>867</v>
      </c>
    </row>
    <row r="1825" spans="1:25" x14ac:dyDescent="0.25">
      <c r="H1825" t="s">
        <v>23</v>
      </c>
    </row>
    <row r="1826" spans="1:25" x14ac:dyDescent="0.25">
      <c r="A1826">
        <v>910</v>
      </c>
      <c r="B1826">
        <v>292</v>
      </c>
      <c r="C1826" t="s">
        <v>3100</v>
      </c>
      <c r="D1826" t="s">
        <v>193</v>
      </c>
      <c r="E1826" t="s">
        <v>3101</v>
      </c>
      <c r="F1826" t="s">
        <v>3102</v>
      </c>
      <c r="G1826" t="str">
        <f>"201402005196"</f>
        <v>201402005196</v>
      </c>
      <c r="H1826">
        <v>737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70</v>
      </c>
      <c r="O1826">
        <v>30</v>
      </c>
      <c r="P1826">
        <v>0</v>
      </c>
      <c r="Q1826">
        <v>0</v>
      </c>
      <c r="R1826">
        <v>30</v>
      </c>
      <c r="S1826">
        <v>0</v>
      </c>
      <c r="T1826">
        <v>0</v>
      </c>
      <c r="U1826">
        <v>0</v>
      </c>
      <c r="V1826">
        <v>0</v>
      </c>
      <c r="X1826">
        <v>0</v>
      </c>
      <c r="Y1826">
        <v>867</v>
      </c>
    </row>
    <row r="1827" spans="1:25" x14ac:dyDescent="0.25">
      <c r="H1827" t="s">
        <v>53</v>
      </c>
    </row>
    <row r="1828" spans="1:25" x14ac:dyDescent="0.25">
      <c r="A1828">
        <v>911</v>
      </c>
      <c r="B1828">
        <v>5393</v>
      </c>
      <c r="C1828" t="s">
        <v>3103</v>
      </c>
      <c r="D1828" t="s">
        <v>1152</v>
      </c>
      <c r="E1828" t="s">
        <v>895</v>
      </c>
      <c r="F1828" t="s">
        <v>3104</v>
      </c>
      <c r="G1828" t="str">
        <f>"00116769"</f>
        <v>00116769</v>
      </c>
      <c r="H1828">
        <v>737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70</v>
      </c>
      <c r="O1828">
        <v>30</v>
      </c>
      <c r="P1828">
        <v>0</v>
      </c>
      <c r="Q1828">
        <v>0</v>
      </c>
      <c r="R1828">
        <v>0</v>
      </c>
      <c r="S1828">
        <v>0</v>
      </c>
      <c r="T1828">
        <v>30</v>
      </c>
      <c r="U1828">
        <v>0</v>
      </c>
      <c r="V1828">
        <v>0</v>
      </c>
      <c r="X1828">
        <v>0</v>
      </c>
      <c r="Y1828">
        <v>867</v>
      </c>
    </row>
    <row r="1829" spans="1:25" x14ac:dyDescent="0.25">
      <c r="H1829" t="s">
        <v>23</v>
      </c>
    </row>
    <row r="1830" spans="1:25" x14ac:dyDescent="0.25">
      <c r="A1830">
        <v>912</v>
      </c>
      <c r="B1830">
        <v>407</v>
      </c>
      <c r="C1830" t="s">
        <v>3105</v>
      </c>
      <c r="D1830" t="s">
        <v>55</v>
      </c>
      <c r="E1830" t="s">
        <v>43</v>
      </c>
      <c r="F1830" t="s">
        <v>3106</v>
      </c>
      <c r="G1830" t="str">
        <f>"00107106"</f>
        <v>00107106</v>
      </c>
      <c r="H1830">
        <v>836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X1830">
        <v>0</v>
      </c>
      <c r="Y1830">
        <v>866</v>
      </c>
    </row>
    <row r="1831" spans="1:25" x14ac:dyDescent="0.25">
      <c r="H1831" t="s">
        <v>53</v>
      </c>
    </row>
    <row r="1832" spans="1:25" x14ac:dyDescent="0.25">
      <c r="A1832">
        <v>913</v>
      </c>
      <c r="B1832">
        <v>5266</v>
      </c>
      <c r="C1832" t="s">
        <v>3107</v>
      </c>
      <c r="D1832" t="s">
        <v>3108</v>
      </c>
      <c r="E1832" t="s">
        <v>87</v>
      </c>
      <c r="F1832" t="s">
        <v>3109</v>
      </c>
      <c r="G1832" t="str">
        <f>"00039494"</f>
        <v>00039494</v>
      </c>
      <c r="H1832" t="s">
        <v>747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70</v>
      </c>
      <c r="O1832">
        <v>0</v>
      </c>
      <c r="P1832">
        <v>50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X1832">
        <v>0</v>
      </c>
      <c r="Y1832" t="s">
        <v>3110</v>
      </c>
    </row>
    <row r="1833" spans="1:25" x14ac:dyDescent="0.25">
      <c r="H1833" t="s">
        <v>23</v>
      </c>
    </row>
    <row r="1834" spans="1:25" x14ac:dyDescent="0.25">
      <c r="A1834">
        <v>914</v>
      </c>
      <c r="B1834">
        <v>2973</v>
      </c>
      <c r="C1834" t="s">
        <v>3111</v>
      </c>
      <c r="D1834" t="s">
        <v>99</v>
      </c>
      <c r="E1834" t="s">
        <v>283</v>
      </c>
      <c r="F1834" t="s">
        <v>3112</v>
      </c>
      <c r="G1834" t="str">
        <f>"201506000857"</f>
        <v>201506000857</v>
      </c>
      <c r="H1834" t="s">
        <v>2340</v>
      </c>
      <c r="I1834">
        <v>150</v>
      </c>
      <c r="J1834">
        <v>0</v>
      </c>
      <c r="K1834">
        <v>0</v>
      </c>
      <c r="L1834">
        <v>0</v>
      </c>
      <c r="M1834">
        <v>0</v>
      </c>
      <c r="N1834">
        <v>50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X1834">
        <v>0</v>
      </c>
      <c r="Y1834" t="s">
        <v>3113</v>
      </c>
    </row>
    <row r="1835" spans="1:25" x14ac:dyDescent="0.25">
      <c r="H1835" t="s">
        <v>844</v>
      </c>
    </row>
    <row r="1836" spans="1:25" x14ac:dyDescent="0.25">
      <c r="A1836">
        <v>915</v>
      </c>
      <c r="B1836">
        <v>2511</v>
      </c>
      <c r="C1836" t="s">
        <v>3114</v>
      </c>
      <c r="D1836" t="s">
        <v>76</v>
      </c>
      <c r="E1836" t="s">
        <v>3115</v>
      </c>
      <c r="F1836" t="s">
        <v>3116</v>
      </c>
      <c r="G1836" t="str">
        <f>"00104109"</f>
        <v>00104109</v>
      </c>
      <c r="H1836" t="s">
        <v>2340</v>
      </c>
      <c r="I1836">
        <v>150</v>
      </c>
      <c r="J1836">
        <v>0</v>
      </c>
      <c r="K1836">
        <v>0</v>
      </c>
      <c r="L1836">
        <v>0</v>
      </c>
      <c r="M1836">
        <v>0</v>
      </c>
      <c r="N1836">
        <v>50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X1836">
        <v>0</v>
      </c>
      <c r="Y1836" t="s">
        <v>3113</v>
      </c>
    </row>
    <row r="1837" spans="1:25" x14ac:dyDescent="0.25">
      <c r="H1837" t="s">
        <v>34</v>
      </c>
    </row>
    <row r="1838" spans="1:25" x14ac:dyDescent="0.25">
      <c r="A1838">
        <v>916</v>
      </c>
      <c r="B1838">
        <v>4427</v>
      </c>
      <c r="C1838" t="s">
        <v>3117</v>
      </c>
      <c r="D1838" t="s">
        <v>43</v>
      </c>
      <c r="E1838" t="s">
        <v>71</v>
      </c>
      <c r="F1838" t="s">
        <v>3118</v>
      </c>
      <c r="G1838" t="str">
        <f>"201512005483"</f>
        <v>201512005483</v>
      </c>
      <c r="H1838" t="s">
        <v>3119</v>
      </c>
      <c r="I1838">
        <v>0</v>
      </c>
      <c r="J1838">
        <v>0</v>
      </c>
      <c r="K1838">
        <v>0</v>
      </c>
      <c r="L1838">
        <v>200</v>
      </c>
      <c r="M1838">
        <v>0</v>
      </c>
      <c r="N1838">
        <v>30</v>
      </c>
      <c r="O1838">
        <v>70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X1838">
        <v>0</v>
      </c>
      <c r="Y1838" t="s">
        <v>3120</v>
      </c>
    </row>
    <row r="1839" spans="1:25" x14ac:dyDescent="0.25">
      <c r="H1839" t="s">
        <v>118</v>
      </c>
    </row>
    <row r="1840" spans="1:25" x14ac:dyDescent="0.25">
      <c r="A1840">
        <v>917</v>
      </c>
      <c r="B1840">
        <v>653</v>
      </c>
      <c r="C1840" t="s">
        <v>3121</v>
      </c>
      <c r="D1840" t="s">
        <v>1099</v>
      </c>
      <c r="E1840" t="s">
        <v>3122</v>
      </c>
      <c r="F1840" t="s">
        <v>3123</v>
      </c>
      <c r="G1840" t="str">
        <f>"00024847"</f>
        <v>00024847</v>
      </c>
      <c r="H1840" t="s">
        <v>1280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70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X1840">
        <v>0</v>
      </c>
      <c r="Y1840" t="s">
        <v>3124</v>
      </c>
    </row>
    <row r="1841" spans="1:25" x14ac:dyDescent="0.25">
      <c r="H1841" t="s">
        <v>34</v>
      </c>
    </row>
    <row r="1842" spans="1:25" x14ac:dyDescent="0.25">
      <c r="A1842">
        <v>918</v>
      </c>
      <c r="B1842">
        <v>1524</v>
      </c>
      <c r="C1842" t="s">
        <v>2601</v>
      </c>
      <c r="D1842" t="s">
        <v>48</v>
      </c>
      <c r="E1842" t="s">
        <v>99</v>
      </c>
      <c r="F1842" t="s">
        <v>3125</v>
      </c>
      <c r="G1842" t="str">
        <f>"201304002618"</f>
        <v>201304002618</v>
      </c>
      <c r="H1842">
        <v>814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50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X1842">
        <v>0</v>
      </c>
      <c r="Y1842">
        <v>864</v>
      </c>
    </row>
    <row r="1843" spans="1:25" x14ac:dyDescent="0.25">
      <c r="H1843">
        <v>102</v>
      </c>
    </row>
    <row r="1844" spans="1:25" x14ac:dyDescent="0.25">
      <c r="A1844">
        <v>919</v>
      </c>
      <c r="B1844">
        <v>791</v>
      </c>
      <c r="C1844" t="s">
        <v>3126</v>
      </c>
      <c r="D1844" t="s">
        <v>25</v>
      </c>
      <c r="E1844" t="s">
        <v>147</v>
      </c>
      <c r="F1844" t="s">
        <v>3127</v>
      </c>
      <c r="G1844" t="str">
        <f>"00199207"</f>
        <v>00199207</v>
      </c>
      <c r="H1844" t="s">
        <v>511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70</v>
      </c>
      <c r="O1844">
        <v>70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X1844">
        <v>0</v>
      </c>
      <c r="Y1844" t="s">
        <v>3128</v>
      </c>
    </row>
    <row r="1845" spans="1:25" x14ac:dyDescent="0.25">
      <c r="H1845" t="s">
        <v>34</v>
      </c>
    </row>
    <row r="1846" spans="1:25" x14ac:dyDescent="0.25">
      <c r="A1846">
        <v>920</v>
      </c>
      <c r="B1846">
        <v>3962</v>
      </c>
      <c r="C1846" t="s">
        <v>3129</v>
      </c>
      <c r="D1846" t="s">
        <v>1441</v>
      </c>
      <c r="E1846" t="s">
        <v>283</v>
      </c>
      <c r="F1846" t="s">
        <v>3130</v>
      </c>
      <c r="G1846" t="str">
        <f>"201304004395"</f>
        <v>201304004395</v>
      </c>
      <c r="H1846" t="s">
        <v>1304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70</v>
      </c>
      <c r="O1846">
        <v>0</v>
      </c>
      <c r="P1846">
        <v>50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X1846">
        <v>0</v>
      </c>
      <c r="Y1846" t="s">
        <v>3131</v>
      </c>
    </row>
    <row r="1847" spans="1:25" x14ac:dyDescent="0.25">
      <c r="H1847" t="s">
        <v>53</v>
      </c>
    </row>
    <row r="1848" spans="1:25" x14ac:dyDescent="0.25">
      <c r="A1848">
        <v>921</v>
      </c>
      <c r="B1848">
        <v>5006</v>
      </c>
      <c r="C1848" t="s">
        <v>3132</v>
      </c>
      <c r="D1848" t="s">
        <v>25</v>
      </c>
      <c r="E1848" t="s">
        <v>681</v>
      </c>
      <c r="F1848" t="s">
        <v>3133</v>
      </c>
      <c r="G1848" t="str">
        <f>"201506000592"</f>
        <v>201506000592</v>
      </c>
      <c r="H1848" t="s">
        <v>1304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70</v>
      </c>
      <c r="O1848">
        <v>0</v>
      </c>
      <c r="P1848">
        <v>50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X1848">
        <v>0</v>
      </c>
      <c r="Y1848" t="s">
        <v>3131</v>
      </c>
    </row>
    <row r="1849" spans="1:25" x14ac:dyDescent="0.25">
      <c r="H1849" t="s">
        <v>91</v>
      </c>
    </row>
    <row r="1850" spans="1:25" x14ac:dyDescent="0.25">
      <c r="A1850">
        <v>922</v>
      </c>
      <c r="B1850">
        <v>4487</v>
      </c>
      <c r="C1850" t="s">
        <v>3134</v>
      </c>
      <c r="D1850" t="s">
        <v>25</v>
      </c>
      <c r="E1850" t="s">
        <v>21</v>
      </c>
      <c r="F1850" t="s">
        <v>3135</v>
      </c>
      <c r="G1850" t="str">
        <f>"201406002483"</f>
        <v>201406002483</v>
      </c>
      <c r="H1850" t="s">
        <v>711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X1850">
        <v>0</v>
      </c>
      <c r="Y1850" t="s">
        <v>3136</v>
      </c>
    </row>
    <row r="1851" spans="1:25" x14ac:dyDescent="0.25">
      <c r="H1851" t="s">
        <v>91</v>
      </c>
    </row>
    <row r="1852" spans="1:25" x14ac:dyDescent="0.25">
      <c r="A1852">
        <v>923</v>
      </c>
      <c r="B1852">
        <v>5683</v>
      </c>
      <c r="C1852" t="s">
        <v>3137</v>
      </c>
      <c r="D1852" t="s">
        <v>184</v>
      </c>
      <c r="E1852" t="s">
        <v>49</v>
      </c>
      <c r="F1852" t="s">
        <v>3138</v>
      </c>
      <c r="G1852" t="str">
        <f>"201406012607"</f>
        <v>201406012607</v>
      </c>
      <c r="H1852" t="s">
        <v>51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50</v>
      </c>
      <c r="O1852">
        <v>30</v>
      </c>
      <c r="P1852">
        <v>0</v>
      </c>
      <c r="Q1852">
        <v>30</v>
      </c>
      <c r="R1852">
        <v>0</v>
      </c>
      <c r="S1852">
        <v>0</v>
      </c>
      <c r="T1852">
        <v>0</v>
      </c>
      <c r="U1852">
        <v>0</v>
      </c>
      <c r="V1852">
        <v>0</v>
      </c>
      <c r="X1852">
        <v>0</v>
      </c>
      <c r="Y1852" t="s">
        <v>171</v>
      </c>
    </row>
    <row r="1853" spans="1:25" x14ac:dyDescent="0.25">
      <c r="H1853" t="s">
        <v>118</v>
      </c>
    </row>
    <row r="1854" spans="1:25" x14ac:dyDescent="0.25">
      <c r="A1854">
        <v>924</v>
      </c>
      <c r="B1854">
        <v>3214</v>
      </c>
      <c r="C1854" t="s">
        <v>3139</v>
      </c>
      <c r="D1854" t="s">
        <v>1335</v>
      </c>
      <c r="E1854" t="s">
        <v>21</v>
      </c>
      <c r="F1854" t="s">
        <v>3140</v>
      </c>
      <c r="G1854" t="str">
        <f>"201401000438"</f>
        <v>201401000438</v>
      </c>
      <c r="H1854">
        <v>759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70</v>
      </c>
      <c r="O1854">
        <v>30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X1854">
        <v>1</v>
      </c>
      <c r="Y1854">
        <v>859</v>
      </c>
    </row>
    <row r="1855" spans="1:25" x14ac:dyDescent="0.25">
      <c r="H1855" t="s">
        <v>118</v>
      </c>
    </row>
    <row r="1856" spans="1:25" x14ac:dyDescent="0.25">
      <c r="A1856">
        <v>925</v>
      </c>
      <c r="B1856">
        <v>2501</v>
      </c>
      <c r="C1856" t="s">
        <v>1538</v>
      </c>
      <c r="D1856" t="s">
        <v>48</v>
      </c>
      <c r="E1856" t="s">
        <v>49</v>
      </c>
      <c r="F1856" t="s">
        <v>3141</v>
      </c>
      <c r="G1856" t="str">
        <f>"201406003479"</f>
        <v>201406003479</v>
      </c>
      <c r="H1856" t="s">
        <v>980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70</v>
      </c>
      <c r="O1856">
        <v>0</v>
      </c>
      <c r="P1856">
        <v>50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X1856">
        <v>1</v>
      </c>
      <c r="Y1856" t="s">
        <v>3142</v>
      </c>
    </row>
    <row r="1857" spans="1:25" x14ac:dyDescent="0.25">
      <c r="H1857" t="s">
        <v>23</v>
      </c>
    </row>
    <row r="1858" spans="1:25" x14ac:dyDescent="0.25">
      <c r="A1858">
        <v>926</v>
      </c>
      <c r="B1858">
        <v>4964</v>
      </c>
      <c r="C1858" t="s">
        <v>3143</v>
      </c>
      <c r="D1858" t="s">
        <v>509</v>
      </c>
      <c r="E1858" t="s">
        <v>1257</v>
      </c>
      <c r="F1858" t="s">
        <v>3144</v>
      </c>
      <c r="G1858" t="str">
        <f>"00089312"</f>
        <v>00089312</v>
      </c>
      <c r="H1858" t="s">
        <v>980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70</v>
      </c>
      <c r="O1858">
        <v>0</v>
      </c>
      <c r="P1858">
        <v>50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X1858">
        <v>0</v>
      </c>
      <c r="Y1858" t="s">
        <v>3142</v>
      </c>
    </row>
    <row r="1859" spans="1:25" x14ac:dyDescent="0.25">
      <c r="H1859" t="s">
        <v>53</v>
      </c>
    </row>
    <row r="1860" spans="1:25" x14ac:dyDescent="0.25">
      <c r="A1860">
        <v>927</v>
      </c>
      <c r="B1860">
        <v>5555</v>
      </c>
      <c r="C1860" t="s">
        <v>3145</v>
      </c>
      <c r="D1860" t="s">
        <v>113</v>
      </c>
      <c r="E1860" t="s">
        <v>3122</v>
      </c>
      <c r="F1860" t="s">
        <v>3146</v>
      </c>
      <c r="G1860" t="str">
        <f>"00122745"</f>
        <v>00122745</v>
      </c>
      <c r="H1860" t="s">
        <v>1425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50</v>
      </c>
      <c r="P1860">
        <v>0</v>
      </c>
      <c r="Q1860">
        <v>0</v>
      </c>
      <c r="R1860">
        <v>30</v>
      </c>
      <c r="S1860">
        <v>0</v>
      </c>
      <c r="T1860">
        <v>0</v>
      </c>
      <c r="U1860">
        <v>0</v>
      </c>
      <c r="V1860">
        <v>0</v>
      </c>
      <c r="X1860">
        <v>1</v>
      </c>
      <c r="Y1860" t="s">
        <v>3147</v>
      </c>
    </row>
    <row r="1861" spans="1:25" x14ac:dyDescent="0.25">
      <c r="H1861" t="s">
        <v>34</v>
      </c>
    </row>
    <row r="1862" spans="1:25" x14ac:dyDescent="0.25">
      <c r="A1862">
        <v>928</v>
      </c>
      <c r="B1862">
        <v>5268</v>
      </c>
      <c r="C1862" t="s">
        <v>3148</v>
      </c>
      <c r="D1862" t="s">
        <v>634</v>
      </c>
      <c r="E1862" t="s">
        <v>291</v>
      </c>
      <c r="F1862" t="s">
        <v>3149</v>
      </c>
      <c r="G1862" t="str">
        <f>"00202419"</f>
        <v>00202419</v>
      </c>
      <c r="H1862">
        <v>737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70</v>
      </c>
      <c r="O1862">
        <v>50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X1862">
        <v>0</v>
      </c>
      <c r="Y1862">
        <v>857</v>
      </c>
    </row>
    <row r="1863" spans="1:25" x14ac:dyDescent="0.25">
      <c r="H1863" t="s">
        <v>34</v>
      </c>
    </row>
    <row r="1864" spans="1:25" x14ac:dyDescent="0.25">
      <c r="A1864">
        <v>929</v>
      </c>
      <c r="B1864">
        <v>2008</v>
      </c>
      <c r="C1864" t="s">
        <v>3150</v>
      </c>
      <c r="D1864" t="s">
        <v>3151</v>
      </c>
      <c r="E1864" t="s">
        <v>3152</v>
      </c>
      <c r="F1864" t="s">
        <v>3153</v>
      </c>
      <c r="G1864" t="str">
        <f>"00085700"</f>
        <v>00085700</v>
      </c>
      <c r="H1864" t="s">
        <v>175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70</v>
      </c>
      <c r="U1864">
        <v>0</v>
      </c>
      <c r="V1864">
        <v>0</v>
      </c>
      <c r="X1864">
        <v>0</v>
      </c>
      <c r="Y1864" t="s">
        <v>3154</v>
      </c>
    </row>
    <row r="1865" spans="1:25" x14ac:dyDescent="0.25">
      <c r="H1865" t="s">
        <v>23</v>
      </c>
    </row>
    <row r="1866" spans="1:25" x14ac:dyDescent="0.25">
      <c r="A1866">
        <v>930</v>
      </c>
      <c r="B1866">
        <v>4290</v>
      </c>
      <c r="C1866" t="s">
        <v>3155</v>
      </c>
      <c r="D1866" t="s">
        <v>334</v>
      </c>
      <c r="E1866" t="s">
        <v>55</v>
      </c>
      <c r="F1866" t="s">
        <v>3156</v>
      </c>
      <c r="G1866" t="str">
        <f>"201405000634"</f>
        <v>201405000634</v>
      </c>
      <c r="H1866" t="s">
        <v>3157</v>
      </c>
      <c r="I1866">
        <v>0</v>
      </c>
      <c r="J1866">
        <v>0</v>
      </c>
      <c r="K1866">
        <v>0</v>
      </c>
      <c r="L1866">
        <v>200</v>
      </c>
      <c r="M1866">
        <v>0</v>
      </c>
      <c r="N1866">
        <v>70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X1866">
        <v>0</v>
      </c>
      <c r="Y1866" t="s">
        <v>3158</v>
      </c>
    </row>
    <row r="1867" spans="1:25" x14ac:dyDescent="0.25">
      <c r="H1867" t="s">
        <v>366</v>
      </c>
    </row>
    <row r="1868" spans="1:25" x14ac:dyDescent="0.25">
      <c r="A1868">
        <v>931</v>
      </c>
      <c r="B1868">
        <v>2063</v>
      </c>
      <c r="C1868" t="s">
        <v>1078</v>
      </c>
      <c r="D1868" t="s">
        <v>346</v>
      </c>
      <c r="E1868" t="s">
        <v>49</v>
      </c>
      <c r="F1868" t="s">
        <v>3159</v>
      </c>
      <c r="G1868" t="str">
        <f>"201411002250"</f>
        <v>201411002250</v>
      </c>
      <c r="H1868" t="s">
        <v>910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70</v>
      </c>
      <c r="O1868">
        <v>50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X1868">
        <v>0</v>
      </c>
      <c r="Y1868" t="s">
        <v>3160</v>
      </c>
    </row>
    <row r="1869" spans="1:25" x14ac:dyDescent="0.25">
      <c r="H1869" t="s">
        <v>118</v>
      </c>
    </row>
    <row r="1870" spans="1:25" x14ac:dyDescent="0.25">
      <c r="A1870">
        <v>932</v>
      </c>
      <c r="B1870">
        <v>2232</v>
      </c>
      <c r="C1870" t="s">
        <v>853</v>
      </c>
      <c r="D1870" t="s">
        <v>3161</v>
      </c>
      <c r="E1870" t="s">
        <v>87</v>
      </c>
      <c r="F1870" t="s">
        <v>3162</v>
      </c>
      <c r="G1870" t="str">
        <f>"00114279"</f>
        <v>00114279</v>
      </c>
      <c r="H1870" t="s">
        <v>910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70</v>
      </c>
      <c r="O1870">
        <v>50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X1870">
        <v>0</v>
      </c>
      <c r="Y1870" t="s">
        <v>3160</v>
      </c>
    </row>
    <row r="1871" spans="1:25" x14ac:dyDescent="0.25">
      <c r="H1871" t="s">
        <v>213</v>
      </c>
    </row>
    <row r="1872" spans="1:25" x14ac:dyDescent="0.25">
      <c r="A1872">
        <v>933</v>
      </c>
      <c r="B1872">
        <v>2452</v>
      </c>
      <c r="C1872" t="s">
        <v>534</v>
      </c>
      <c r="D1872" t="s">
        <v>20</v>
      </c>
      <c r="E1872" t="s">
        <v>61</v>
      </c>
      <c r="F1872" t="s">
        <v>3163</v>
      </c>
      <c r="G1872" t="str">
        <f>"201304005457"</f>
        <v>201304005457</v>
      </c>
      <c r="H1872" t="s">
        <v>3164</v>
      </c>
      <c r="I1872">
        <v>150</v>
      </c>
      <c r="J1872">
        <v>0</v>
      </c>
      <c r="K1872">
        <v>0</v>
      </c>
      <c r="L1872">
        <v>0</v>
      </c>
      <c r="M1872">
        <v>0</v>
      </c>
      <c r="N1872">
        <v>50</v>
      </c>
      <c r="O1872">
        <v>30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X1872">
        <v>0</v>
      </c>
      <c r="Y1872" t="s">
        <v>3160</v>
      </c>
    </row>
    <row r="1873" spans="1:25" x14ac:dyDescent="0.25">
      <c r="H1873" t="s">
        <v>53</v>
      </c>
    </row>
    <row r="1874" spans="1:25" x14ac:dyDescent="0.25">
      <c r="A1874">
        <v>934</v>
      </c>
      <c r="B1874">
        <v>2304</v>
      </c>
      <c r="C1874" t="s">
        <v>3165</v>
      </c>
      <c r="D1874" t="s">
        <v>571</v>
      </c>
      <c r="E1874" t="s">
        <v>87</v>
      </c>
      <c r="F1874" t="s">
        <v>3166</v>
      </c>
      <c r="G1874" t="str">
        <f>"201406011959"</f>
        <v>201406011959</v>
      </c>
      <c r="H1874" t="s">
        <v>1953</v>
      </c>
      <c r="I1874">
        <v>0</v>
      </c>
      <c r="J1874">
        <v>0</v>
      </c>
      <c r="K1874">
        <v>0</v>
      </c>
      <c r="L1874">
        <v>0</v>
      </c>
      <c r="M1874">
        <v>100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X1874">
        <v>0</v>
      </c>
      <c r="Y1874" t="s">
        <v>3167</v>
      </c>
    </row>
    <row r="1875" spans="1:25" x14ac:dyDescent="0.25">
      <c r="H1875" t="s">
        <v>118</v>
      </c>
    </row>
    <row r="1876" spans="1:25" x14ac:dyDescent="0.25">
      <c r="A1876">
        <v>935</v>
      </c>
      <c r="B1876">
        <v>2826</v>
      </c>
      <c r="C1876" t="s">
        <v>3168</v>
      </c>
      <c r="D1876" t="s">
        <v>3169</v>
      </c>
      <c r="E1876" t="s">
        <v>781</v>
      </c>
      <c r="F1876" t="s">
        <v>3170</v>
      </c>
      <c r="G1876" t="str">
        <f>"00016587"</f>
        <v>00016587</v>
      </c>
      <c r="H1876" t="s">
        <v>1269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50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X1876">
        <v>2</v>
      </c>
      <c r="Y1876" t="s">
        <v>3171</v>
      </c>
    </row>
    <row r="1877" spans="1:25" x14ac:dyDescent="0.25">
      <c r="H1877" t="s">
        <v>34</v>
      </c>
    </row>
    <row r="1878" spans="1:25" x14ac:dyDescent="0.25">
      <c r="A1878">
        <v>936</v>
      </c>
      <c r="B1878">
        <v>2456</v>
      </c>
      <c r="C1878" t="s">
        <v>3172</v>
      </c>
      <c r="D1878" t="s">
        <v>891</v>
      </c>
      <c r="E1878" t="s">
        <v>147</v>
      </c>
      <c r="F1878" t="s">
        <v>3173</v>
      </c>
      <c r="G1878" t="str">
        <f>"00013103"</f>
        <v>00013103</v>
      </c>
      <c r="H1878" t="s">
        <v>219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30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X1878">
        <v>0</v>
      </c>
      <c r="Y1878" t="s">
        <v>3174</v>
      </c>
    </row>
    <row r="1879" spans="1:25" x14ac:dyDescent="0.25">
      <c r="H1879" t="s">
        <v>53</v>
      </c>
    </row>
    <row r="1880" spans="1:25" x14ac:dyDescent="0.25">
      <c r="A1880">
        <v>937</v>
      </c>
      <c r="B1880">
        <v>622</v>
      </c>
      <c r="C1880" t="s">
        <v>3175</v>
      </c>
      <c r="D1880" t="s">
        <v>3176</v>
      </c>
      <c r="E1880" t="s">
        <v>334</v>
      </c>
      <c r="F1880" t="s">
        <v>3177</v>
      </c>
      <c r="G1880" t="str">
        <f>"00010567"</f>
        <v>00010567</v>
      </c>
      <c r="H1880" t="s">
        <v>2340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70</v>
      </c>
      <c r="O1880">
        <v>70</v>
      </c>
      <c r="P1880">
        <v>50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X1880">
        <v>0</v>
      </c>
      <c r="Y1880" t="s">
        <v>3178</v>
      </c>
    </row>
    <row r="1881" spans="1:25" x14ac:dyDescent="0.25">
      <c r="H1881" t="s">
        <v>34</v>
      </c>
    </row>
    <row r="1882" spans="1:25" x14ac:dyDescent="0.25">
      <c r="A1882">
        <v>938</v>
      </c>
      <c r="B1882">
        <v>3726</v>
      </c>
      <c r="C1882" t="s">
        <v>3179</v>
      </c>
      <c r="D1882" t="s">
        <v>3180</v>
      </c>
      <c r="E1882" t="s">
        <v>895</v>
      </c>
      <c r="F1882" t="s">
        <v>3181</v>
      </c>
      <c r="G1882" t="str">
        <f>"00131650"</f>
        <v>00131650</v>
      </c>
      <c r="H1882" t="s">
        <v>379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70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X1882">
        <v>0</v>
      </c>
      <c r="Y1882" t="s">
        <v>3182</v>
      </c>
    </row>
    <row r="1883" spans="1:25" x14ac:dyDescent="0.25">
      <c r="H1883">
        <v>101</v>
      </c>
    </row>
    <row r="1884" spans="1:25" x14ac:dyDescent="0.25">
      <c r="A1884">
        <v>939</v>
      </c>
      <c r="B1884">
        <v>1801</v>
      </c>
      <c r="C1884" t="s">
        <v>3183</v>
      </c>
      <c r="D1884" t="s">
        <v>3184</v>
      </c>
      <c r="E1884" t="s">
        <v>1035</v>
      </c>
      <c r="F1884" t="s">
        <v>3185</v>
      </c>
      <c r="G1884" t="str">
        <f>"00122643"</f>
        <v>00122643</v>
      </c>
      <c r="H1884" t="s">
        <v>379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X1884">
        <v>0</v>
      </c>
      <c r="Y1884" t="s">
        <v>3182</v>
      </c>
    </row>
    <row r="1885" spans="1:25" x14ac:dyDescent="0.25">
      <c r="H1885" t="s">
        <v>23</v>
      </c>
    </row>
    <row r="1886" spans="1:25" x14ac:dyDescent="0.25">
      <c r="A1886">
        <v>940</v>
      </c>
      <c r="B1886">
        <v>5038</v>
      </c>
      <c r="C1886" t="s">
        <v>3186</v>
      </c>
      <c r="D1886" t="s">
        <v>3187</v>
      </c>
      <c r="E1886" t="s">
        <v>2298</v>
      </c>
      <c r="F1886" t="s">
        <v>3188</v>
      </c>
      <c r="G1886" t="str">
        <f>"00122873"</f>
        <v>00122873</v>
      </c>
      <c r="H1886" t="s">
        <v>1027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0</v>
      </c>
      <c r="P1886">
        <v>30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X1886">
        <v>0</v>
      </c>
      <c r="Y1886" t="s">
        <v>3189</v>
      </c>
    </row>
    <row r="1887" spans="1:25" x14ac:dyDescent="0.25">
      <c r="H1887" t="s">
        <v>23</v>
      </c>
    </row>
    <row r="1888" spans="1:25" x14ac:dyDescent="0.25">
      <c r="A1888">
        <v>941</v>
      </c>
      <c r="B1888">
        <v>6356</v>
      </c>
      <c r="C1888" t="s">
        <v>3190</v>
      </c>
      <c r="D1888" t="s">
        <v>25</v>
      </c>
      <c r="E1888" t="s">
        <v>1035</v>
      </c>
      <c r="F1888" t="s">
        <v>3191</v>
      </c>
      <c r="G1888" t="str">
        <f>"00124807"</f>
        <v>00124807</v>
      </c>
      <c r="H1888" t="s">
        <v>1027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70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X1888">
        <v>0</v>
      </c>
      <c r="Y1888" t="s">
        <v>3189</v>
      </c>
    </row>
    <row r="1889" spans="1:25" x14ac:dyDescent="0.25">
      <c r="H1889" t="s">
        <v>34</v>
      </c>
    </row>
    <row r="1890" spans="1:25" x14ac:dyDescent="0.25">
      <c r="A1890">
        <v>942</v>
      </c>
      <c r="B1890">
        <v>6096</v>
      </c>
      <c r="C1890" t="s">
        <v>3192</v>
      </c>
      <c r="D1890" t="s">
        <v>3193</v>
      </c>
      <c r="E1890" t="s">
        <v>130</v>
      </c>
      <c r="F1890" t="s">
        <v>3194</v>
      </c>
      <c r="G1890" t="str">
        <f>"201506003805"</f>
        <v>201506003805</v>
      </c>
      <c r="H1890" t="s">
        <v>1027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30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X1890">
        <v>2</v>
      </c>
      <c r="Y1890" t="s">
        <v>3189</v>
      </c>
    </row>
    <row r="1891" spans="1:25" x14ac:dyDescent="0.25">
      <c r="H1891" t="s">
        <v>34</v>
      </c>
    </row>
    <row r="1892" spans="1:25" x14ac:dyDescent="0.25">
      <c r="A1892">
        <v>943</v>
      </c>
      <c r="B1892">
        <v>6107</v>
      </c>
      <c r="C1892" t="s">
        <v>3195</v>
      </c>
      <c r="D1892" t="s">
        <v>43</v>
      </c>
      <c r="E1892" t="s">
        <v>3196</v>
      </c>
      <c r="F1892" t="s">
        <v>3197</v>
      </c>
      <c r="G1892" t="str">
        <f>"00199250"</f>
        <v>00199250</v>
      </c>
      <c r="H1892" t="s">
        <v>600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X1892">
        <v>0</v>
      </c>
      <c r="Y1892" t="s">
        <v>3198</v>
      </c>
    </row>
    <row r="1893" spans="1:25" x14ac:dyDescent="0.25">
      <c r="H1893">
        <v>102</v>
      </c>
    </row>
    <row r="1894" spans="1:25" x14ac:dyDescent="0.25">
      <c r="A1894">
        <v>944</v>
      </c>
      <c r="B1894">
        <v>4739</v>
      </c>
      <c r="C1894" t="s">
        <v>3199</v>
      </c>
      <c r="D1894" t="s">
        <v>3200</v>
      </c>
      <c r="E1894" t="s">
        <v>87</v>
      </c>
      <c r="F1894" t="s">
        <v>3201</v>
      </c>
      <c r="G1894" t="str">
        <f>"201506002969"</f>
        <v>201506002969</v>
      </c>
      <c r="H1894" t="s">
        <v>1204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70</v>
      </c>
      <c r="O1894">
        <v>0</v>
      </c>
      <c r="P1894">
        <v>50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X1894">
        <v>0</v>
      </c>
      <c r="Y1894" t="s">
        <v>3202</v>
      </c>
    </row>
    <row r="1895" spans="1:25" x14ac:dyDescent="0.25">
      <c r="H1895" t="s">
        <v>23</v>
      </c>
    </row>
    <row r="1896" spans="1:25" x14ac:dyDescent="0.25">
      <c r="A1896">
        <v>945</v>
      </c>
      <c r="B1896">
        <v>533</v>
      </c>
      <c r="C1896" t="s">
        <v>3203</v>
      </c>
      <c r="D1896" t="s">
        <v>440</v>
      </c>
      <c r="E1896" t="s">
        <v>87</v>
      </c>
      <c r="F1896" t="s">
        <v>3204</v>
      </c>
      <c r="G1896" t="str">
        <f>"00209717"</f>
        <v>00209717</v>
      </c>
      <c r="H1896" t="s">
        <v>1204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70</v>
      </c>
      <c r="O1896">
        <v>0</v>
      </c>
      <c r="P1896">
        <v>50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X1896">
        <v>0</v>
      </c>
      <c r="Y1896" t="s">
        <v>3202</v>
      </c>
    </row>
    <row r="1897" spans="1:25" x14ac:dyDescent="0.25">
      <c r="H1897">
        <v>101</v>
      </c>
    </row>
    <row r="1898" spans="1:25" x14ac:dyDescent="0.25">
      <c r="A1898">
        <v>946</v>
      </c>
      <c r="B1898">
        <v>4195</v>
      </c>
      <c r="C1898" t="s">
        <v>534</v>
      </c>
      <c r="D1898" t="s">
        <v>3205</v>
      </c>
      <c r="E1898" t="s">
        <v>55</v>
      </c>
      <c r="F1898" t="s">
        <v>3206</v>
      </c>
      <c r="G1898" t="str">
        <f>"00173618"</f>
        <v>00173618</v>
      </c>
      <c r="H1898" t="s">
        <v>691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70</v>
      </c>
      <c r="O1898">
        <v>0</v>
      </c>
      <c r="P1898">
        <v>0</v>
      </c>
      <c r="Q1898">
        <v>30</v>
      </c>
      <c r="R1898">
        <v>0</v>
      </c>
      <c r="S1898">
        <v>0</v>
      </c>
      <c r="T1898">
        <v>0</v>
      </c>
      <c r="U1898">
        <v>0</v>
      </c>
      <c r="V1898">
        <v>0</v>
      </c>
      <c r="X1898">
        <v>2</v>
      </c>
      <c r="Y1898" t="s">
        <v>3207</v>
      </c>
    </row>
    <row r="1899" spans="1:25" x14ac:dyDescent="0.25">
      <c r="H1899" t="s">
        <v>34</v>
      </c>
    </row>
    <row r="1900" spans="1:25" x14ac:dyDescent="0.25">
      <c r="A1900">
        <v>947</v>
      </c>
      <c r="B1900">
        <v>5994</v>
      </c>
      <c r="C1900" t="s">
        <v>3208</v>
      </c>
      <c r="D1900" t="s">
        <v>266</v>
      </c>
      <c r="E1900" t="s">
        <v>55</v>
      </c>
      <c r="F1900" t="s">
        <v>3209</v>
      </c>
      <c r="G1900" t="str">
        <f>"00184109"</f>
        <v>00184109</v>
      </c>
      <c r="H1900" t="s">
        <v>1397</v>
      </c>
      <c r="I1900">
        <v>0</v>
      </c>
      <c r="J1900">
        <v>0</v>
      </c>
      <c r="K1900">
        <v>0</v>
      </c>
      <c r="L1900">
        <v>0</v>
      </c>
      <c r="M1900">
        <v>100</v>
      </c>
      <c r="N1900">
        <v>70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X1900">
        <v>0</v>
      </c>
      <c r="Y1900" t="s">
        <v>3210</v>
      </c>
    </row>
    <row r="1901" spans="1:25" x14ac:dyDescent="0.25">
      <c r="H1901" t="s">
        <v>23</v>
      </c>
    </row>
    <row r="1902" spans="1:25" x14ac:dyDescent="0.25">
      <c r="A1902">
        <v>948</v>
      </c>
      <c r="B1902">
        <v>5274</v>
      </c>
      <c r="C1902" t="s">
        <v>3211</v>
      </c>
      <c r="D1902" t="s">
        <v>1789</v>
      </c>
      <c r="E1902" t="s">
        <v>86</v>
      </c>
      <c r="F1902" t="s">
        <v>3212</v>
      </c>
      <c r="G1902" t="str">
        <f>"00012807"</f>
        <v>00012807</v>
      </c>
      <c r="H1902" t="s">
        <v>1397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0</v>
      </c>
      <c r="Q1902">
        <v>30</v>
      </c>
      <c r="R1902">
        <v>0</v>
      </c>
      <c r="S1902">
        <v>0</v>
      </c>
      <c r="T1902">
        <v>70</v>
      </c>
      <c r="U1902">
        <v>0</v>
      </c>
      <c r="V1902">
        <v>0</v>
      </c>
      <c r="X1902">
        <v>0</v>
      </c>
      <c r="Y1902" t="s">
        <v>3210</v>
      </c>
    </row>
    <row r="1903" spans="1:25" x14ac:dyDescent="0.25">
      <c r="H1903" t="s">
        <v>23</v>
      </c>
    </row>
    <row r="1904" spans="1:25" x14ac:dyDescent="0.25">
      <c r="A1904">
        <v>949</v>
      </c>
      <c r="B1904">
        <v>2135</v>
      </c>
      <c r="C1904" t="s">
        <v>3213</v>
      </c>
      <c r="D1904" t="s">
        <v>509</v>
      </c>
      <c r="E1904" t="s">
        <v>55</v>
      </c>
      <c r="F1904" t="s">
        <v>3214</v>
      </c>
      <c r="G1904" t="str">
        <f>"201405000933"</f>
        <v>201405000933</v>
      </c>
      <c r="H1904" t="s">
        <v>1397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70</v>
      </c>
      <c r="O1904">
        <v>50</v>
      </c>
      <c r="P1904">
        <v>0</v>
      </c>
      <c r="Q1904">
        <v>0</v>
      </c>
      <c r="R1904">
        <v>50</v>
      </c>
      <c r="S1904">
        <v>0</v>
      </c>
      <c r="T1904">
        <v>0</v>
      </c>
      <c r="U1904">
        <v>0</v>
      </c>
      <c r="V1904">
        <v>0</v>
      </c>
      <c r="X1904">
        <v>0</v>
      </c>
      <c r="Y1904" t="s">
        <v>3210</v>
      </c>
    </row>
    <row r="1905" spans="1:25" x14ac:dyDescent="0.25">
      <c r="H1905" t="s">
        <v>118</v>
      </c>
    </row>
    <row r="1906" spans="1:25" x14ac:dyDescent="0.25">
      <c r="A1906">
        <v>950</v>
      </c>
      <c r="B1906">
        <v>119</v>
      </c>
      <c r="C1906" t="s">
        <v>708</v>
      </c>
      <c r="D1906" t="s">
        <v>266</v>
      </c>
      <c r="E1906" t="s">
        <v>21</v>
      </c>
      <c r="F1906" t="s">
        <v>3215</v>
      </c>
      <c r="G1906" t="str">
        <f>"201512001476"</f>
        <v>201512001476</v>
      </c>
      <c r="H1906" t="s">
        <v>1397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70</v>
      </c>
      <c r="O1906">
        <v>70</v>
      </c>
      <c r="P1906">
        <v>0</v>
      </c>
      <c r="Q1906">
        <v>0</v>
      </c>
      <c r="R1906">
        <v>30</v>
      </c>
      <c r="S1906">
        <v>0</v>
      </c>
      <c r="T1906">
        <v>0</v>
      </c>
      <c r="U1906">
        <v>0</v>
      </c>
      <c r="V1906">
        <v>0</v>
      </c>
      <c r="X1906">
        <v>0</v>
      </c>
      <c r="Y1906" t="s">
        <v>3210</v>
      </c>
    </row>
    <row r="1907" spans="1:25" x14ac:dyDescent="0.25">
      <c r="H1907" t="s">
        <v>23</v>
      </c>
    </row>
    <row r="1908" spans="1:25" x14ac:dyDescent="0.25">
      <c r="A1908">
        <v>951</v>
      </c>
      <c r="B1908">
        <v>927</v>
      </c>
      <c r="C1908" t="s">
        <v>968</v>
      </c>
      <c r="D1908" t="s">
        <v>159</v>
      </c>
      <c r="E1908" t="s">
        <v>21</v>
      </c>
      <c r="F1908" t="s">
        <v>3216</v>
      </c>
      <c r="G1908" t="str">
        <f>"00131267"</f>
        <v>00131267</v>
      </c>
      <c r="H1908" t="s">
        <v>2109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70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X1908">
        <v>0</v>
      </c>
      <c r="Y1908" t="s">
        <v>3217</v>
      </c>
    </row>
    <row r="1909" spans="1:25" x14ac:dyDescent="0.25">
      <c r="H1909" t="s">
        <v>23</v>
      </c>
    </row>
    <row r="1910" spans="1:25" x14ac:dyDescent="0.25">
      <c r="A1910">
        <v>952</v>
      </c>
      <c r="B1910">
        <v>5535</v>
      </c>
      <c r="C1910" t="s">
        <v>3218</v>
      </c>
      <c r="D1910" t="s">
        <v>159</v>
      </c>
      <c r="E1910" t="s">
        <v>87</v>
      </c>
      <c r="F1910" t="s">
        <v>3219</v>
      </c>
      <c r="G1910" t="str">
        <f>"00090364"</f>
        <v>00090364</v>
      </c>
      <c r="H1910" t="s">
        <v>563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50</v>
      </c>
      <c r="O1910">
        <v>0</v>
      </c>
      <c r="P1910">
        <v>0</v>
      </c>
      <c r="Q1910">
        <v>50</v>
      </c>
      <c r="R1910">
        <v>0</v>
      </c>
      <c r="S1910">
        <v>0</v>
      </c>
      <c r="T1910">
        <v>0</v>
      </c>
      <c r="U1910">
        <v>0</v>
      </c>
      <c r="V1910">
        <v>0</v>
      </c>
      <c r="X1910">
        <v>0</v>
      </c>
      <c r="Y1910" t="s">
        <v>3220</v>
      </c>
    </row>
    <row r="1911" spans="1:25" x14ac:dyDescent="0.25">
      <c r="H1911" t="s">
        <v>23</v>
      </c>
    </row>
    <row r="1912" spans="1:25" x14ac:dyDescent="0.25">
      <c r="A1912">
        <v>953</v>
      </c>
      <c r="B1912">
        <v>2200</v>
      </c>
      <c r="C1912" t="s">
        <v>3221</v>
      </c>
      <c r="D1912" t="s">
        <v>2199</v>
      </c>
      <c r="E1912" t="s">
        <v>21</v>
      </c>
      <c r="F1912" t="s">
        <v>3222</v>
      </c>
      <c r="G1912" t="str">
        <f>"201507001809"</f>
        <v>201507001809</v>
      </c>
      <c r="H1912">
        <v>550</v>
      </c>
      <c r="I1912">
        <v>0</v>
      </c>
      <c r="J1912">
        <v>0</v>
      </c>
      <c r="K1912">
        <v>0</v>
      </c>
      <c r="L1912">
        <v>200</v>
      </c>
      <c r="M1912">
        <v>0</v>
      </c>
      <c r="N1912">
        <v>30</v>
      </c>
      <c r="O1912">
        <v>70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X1912">
        <v>0</v>
      </c>
      <c r="Y1912">
        <v>850</v>
      </c>
    </row>
    <row r="1913" spans="1:25" x14ac:dyDescent="0.25">
      <c r="H1913" t="s">
        <v>91</v>
      </c>
    </row>
    <row r="1914" spans="1:25" x14ac:dyDescent="0.25">
      <c r="A1914">
        <v>954</v>
      </c>
      <c r="B1914">
        <v>6260</v>
      </c>
      <c r="C1914" t="s">
        <v>3223</v>
      </c>
      <c r="D1914" t="s">
        <v>61</v>
      </c>
      <c r="E1914" t="s">
        <v>147</v>
      </c>
      <c r="F1914" t="s">
        <v>3224</v>
      </c>
      <c r="G1914" t="str">
        <f>"201406009389"</f>
        <v>201406009389</v>
      </c>
      <c r="H1914" t="s">
        <v>1734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70</v>
      </c>
      <c r="O1914">
        <v>0</v>
      </c>
      <c r="P1914">
        <v>0</v>
      </c>
      <c r="Q1914">
        <v>0</v>
      </c>
      <c r="R1914">
        <v>70</v>
      </c>
      <c r="S1914">
        <v>0</v>
      </c>
      <c r="T1914">
        <v>0</v>
      </c>
      <c r="U1914">
        <v>0</v>
      </c>
      <c r="V1914">
        <v>0</v>
      </c>
      <c r="X1914">
        <v>0</v>
      </c>
      <c r="Y1914" t="s">
        <v>3225</v>
      </c>
    </row>
    <row r="1915" spans="1:25" x14ac:dyDescent="0.25">
      <c r="H1915">
        <v>101</v>
      </c>
    </row>
    <row r="1916" spans="1:25" x14ac:dyDescent="0.25">
      <c r="A1916">
        <v>955</v>
      </c>
      <c r="B1916">
        <v>1105</v>
      </c>
      <c r="C1916" t="s">
        <v>3226</v>
      </c>
      <c r="D1916" t="s">
        <v>891</v>
      </c>
      <c r="E1916" t="s">
        <v>200</v>
      </c>
      <c r="F1916" t="s">
        <v>3227</v>
      </c>
      <c r="G1916" t="str">
        <f>"00115071"</f>
        <v>00115071</v>
      </c>
      <c r="H1916" t="s">
        <v>1558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70</v>
      </c>
      <c r="O1916">
        <v>50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X1916">
        <v>0</v>
      </c>
      <c r="Y1916" t="s">
        <v>3228</v>
      </c>
    </row>
    <row r="1917" spans="1:25" x14ac:dyDescent="0.25">
      <c r="H1917" t="s">
        <v>23</v>
      </c>
    </row>
    <row r="1918" spans="1:25" x14ac:dyDescent="0.25">
      <c r="A1918">
        <v>956</v>
      </c>
      <c r="B1918">
        <v>3735</v>
      </c>
      <c r="C1918" t="s">
        <v>3229</v>
      </c>
      <c r="D1918" t="s">
        <v>509</v>
      </c>
      <c r="E1918" t="s">
        <v>61</v>
      </c>
      <c r="F1918" t="s">
        <v>3230</v>
      </c>
      <c r="G1918" t="str">
        <f>"201405000877"</f>
        <v>201405000877</v>
      </c>
      <c r="H1918">
        <v>748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70</v>
      </c>
      <c r="O1918">
        <v>30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X1918">
        <v>0</v>
      </c>
      <c r="Y1918">
        <v>848</v>
      </c>
    </row>
    <row r="1919" spans="1:25" x14ac:dyDescent="0.25">
      <c r="H1919">
        <v>101</v>
      </c>
    </row>
    <row r="1920" spans="1:25" x14ac:dyDescent="0.25">
      <c r="A1920">
        <v>957</v>
      </c>
      <c r="B1920">
        <v>2367</v>
      </c>
      <c r="C1920" t="s">
        <v>3231</v>
      </c>
      <c r="D1920" t="s">
        <v>854</v>
      </c>
      <c r="E1920" t="s">
        <v>93</v>
      </c>
      <c r="F1920" t="s">
        <v>3232</v>
      </c>
      <c r="G1920" t="str">
        <f>"00115538"</f>
        <v>00115538</v>
      </c>
      <c r="H1920" t="s">
        <v>984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70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X1920">
        <v>0</v>
      </c>
      <c r="Y1920" t="s">
        <v>3233</v>
      </c>
    </row>
    <row r="1921" spans="1:25" x14ac:dyDescent="0.25">
      <c r="H1921" t="s">
        <v>23</v>
      </c>
    </row>
    <row r="1922" spans="1:25" x14ac:dyDescent="0.25">
      <c r="A1922">
        <v>958</v>
      </c>
      <c r="B1922">
        <v>403</v>
      </c>
      <c r="C1922" t="s">
        <v>3234</v>
      </c>
      <c r="D1922" t="s">
        <v>509</v>
      </c>
      <c r="E1922" t="s">
        <v>43</v>
      </c>
      <c r="F1922" t="s">
        <v>3235</v>
      </c>
      <c r="G1922" t="str">
        <f>"00130443"</f>
        <v>00130443</v>
      </c>
      <c r="H1922" t="s">
        <v>723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70</v>
      </c>
      <c r="O1922">
        <v>50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X1922">
        <v>0</v>
      </c>
      <c r="Y1922" t="s">
        <v>3236</v>
      </c>
    </row>
    <row r="1923" spans="1:25" x14ac:dyDescent="0.25">
      <c r="H1923" t="s">
        <v>53</v>
      </c>
    </row>
    <row r="1924" spans="1:25" x14ac:dyDescent="0.25">
      <c r="A1924">
        <v>959</v>
      </c>
      <c r="B1924">
        <v>6422</v>
      </c>
      <c r="C1924" t="s">
        <v>3237</v>
      </c>
      <c r="D1924" t="s">
        <v>3238</v>
      </c>
      <c r="E1924" t="s">
        <v>781</v>
      </c>
      <c r="F1924">
        <v>239727</v>
      </c>
      <c r="G1924" t="str">
        <f>"00208960"</f>
        <v>00208960</v>
      </c>
      <c r="H1924" t="s">
        <v>723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70</v>
      </c>
      <c r="O1924">
        <v>0</v>
      </c>
      <c r="P1924">
        <v>50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X1924">
        <v>0</v>
      </c>
      <c r="Y1924" t="s">
        <v>3236</v>
      </c>
    </row>
    <row r="1925" spans="1:25" x14ac:dyDescent="0.25">
      <c r="H1925" t="s">
        <v>34</v>
      </c>
    </row>
    <row r="1926" spans="1:25" x14ac:dyDescent="0.25">
      <c r="A1926">
        <v>960</v>
      </c>
      <c r="B1926">
        <v>3882</v>
      </c>
      <c r="C1926" t="s">
        <v>2229</v>
      </c>
      <c r="D1926" t="s">
        <v>3239</v>
      </c>
      <c r="E1926" t="s">
        <v>49</v>
      </c>
      <c r="F1926" t="s">
        <v>3240</v>
      </c>
      <c r="G1926" t="str">
        <f>"00013151"</f>
        <v>00013151</v>
      </c>
      <c r="H1926" t="s">
        <v>1747</v>
      </c>
      <c r="I1926">
        <v>0</v>
      </c>
      <c r="J1926">
        <v>0</v>
      </c>
      <c r="K1926">
        <v>0</v>
      </c>
      <c r="L1926">
        <v>0</v>
      </c>
      <c r="M1926">
        <v>100</v>
      </c>
      <c r="N1926">
        <v>70</v>
      </c>
      <c r="O1926">
        <v>30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X1926">
        <v>0</v>
      </c>
      <c r="Y1926" t="s">
        <v>3241</v>
      </c>
    </row>
    <row r="1927" spans="1:25" x14ac:dyDescent="0.25">
      <c r="H1927" t="s">
        <v>34</v>
      </c>
    </row>
    <row r="1928" spans="1:25" x14ac:dyDescent="0.25">
      <c r="A1928">
        <v>961</v>
      </c>
      <c r="B1928">
        <v>5450</v>
      </c>
      <c r="C1928" t="s">
        <v>3242</v>
      </c>
      <c r="D1928" t="s">
        <v>25</v>
      </c>
      <c r="E1928" t="s">
        <v>55</v>
      </c>
      <c r="F1928" t="s">
        <v>3243</v>
      </c>
      <c r="G1928" t="str">
        <f>"00104797"</f>
        <v>00104797</v>
      </c>
      <c r="H1928" t="s">
        <v>101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50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X1928">
        <v>0</v>
      </c>
      <c r="Y1928" t="s">
        <v>3244</v>
      </c>
    </row>
    <row r="1929" spans="1:25" x14ac:dyDescent="0.25">
      <c r="H1929" t="s">
        <v>91</v>
      </c>
    </row>
    <row r="1930" spans="1:25" x14ac:dyDescent="0.25">
      <c r="A1930">
        <v>962</v>
      </c>
      <c r="B1930">
        <v>200</v>
      </c>
      <c r="C1930" t="s">
        <v>3245</v>
      </c>
      <c r="D1930" t="s">
        <v>3246</v>
      </c>
      <c r="E1930" t="s">
        <v>1035</v>
      </c>
      <c r="F1930" t="s">
        <v>3247</v>
      </c>
      <c r="G1930" t="str">
        <f>"201411000350"</f>
        <v>201411000350</v>
      </c>
      <c r="H1930" t="s">
        <v>3248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70</v>
      </c>
      <c r="O1930">
        <v>70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X1930">
        <v>0</v>
      </c>
      <c r="Y1930" t="s">
        <v>3249</v>
      </c>
    </row>
    <row r="1931" spans="1:25" x14ac:dyDescent="0.25">
      <c r="H1931" t="s">
        <v>34</v>
      </c>
    </row>
    <row r="1932" spans="1:25" x14ac:dyDescent="0.25">
      <c r="A1932">
        <v>963</v>
      </c>
      <c r="B1932">
        <v>6137</v>
      </c>
      <c r="C1932" t="s">
        <v>188</v>
      </c>
      <c r="D1932" t="s">
        <v>25</v>
      </c>
      <c r="E1932" t="s">
        <v>49</v>
      </c>
      <c r="F1932" t="s">
        <v>3250</v>
      </c>
      <c r="G1932" t="str">
        <f>"00117443"</f>
        <v>00117443</v>
      </c>
      <c r="H1932" t="s">
        <v>1269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50</v>
      </c>
      <c r="O1932">
        <v>30</v>
      </c>
      <c r="P1932">
        <v>0</v>
      </c>
      <c r="Q1932">
        <v>30</v>
      </c>
      <c r="R1932">
        <v>0</v>
      </c>
      <c r="S1932">
        <v>0</v>
      </c>
      <c r="T1932">
        <v>0</v>
      </c>
      <c r="U1932">
        <v>0</v>
      </c>
      <c r="V1932">
        <v>0</v>
      </c>
      <c r="X1932">
        <v>0</v>
      </c>
      <c r="Y1932" t="s">
        <v>280</v>
      </c>
    </row>
    <row r="1933" spans="1:25" x14ac:dyDescent="0.25">
      <c r="H1933" t="s">
        <v>23</v>
      </c>
    </row>
    <row r="1934" spans="1:25" x14ac:dyDescent="0.25">
      <c r="A1934">
        <v>964</v>
      </c>
      <c r="B1934">
        <v>3177</v>
      </c>
      <c r="C1934" t="s">
        <v>2290</v>
      </c>
      <c r="D1934" t="s">
        <v>36</v>
      </c>
      <c r="E1934" t="s">
        <v>291</v>
      </c>
      <c r="F1934" t="s">
        <v>3251</v>
      </c>
      <c r="G1934" t="str">
        <f>"00013953"</f>
        <v>00013953</v>
      </c>
      <c r="H1934" t="s">
        <v>747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70</v>
      </c>
      <c r="O1934">
        <v>30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X1934">
        <v>0</v>
      </c>
      <c r="Y1934" t="s">
        <v>3252</v>
      </c>
    </row>
    <row r="1935" spans="1:25" x14ac:dyDescent="0.25">
      <c r="H1935" t="s">
        <v>34</v>
      </c>
    </row>
    <row r="1936" spans="1:25" x14ac:dyDescent="0.25">
      <c r="A1936">
        <v>965</v>
      </c>
      <c r="B1936">
        <v>17</v>
      </c>
      <c r="C1936" t="s">
        <v>3253</v>
      </c>
      <c r="D1936" t="s">
        <v>987</v>
      </c>
      <c r="E1936" t="s">
        <v>55</v>
      </c>
      <c r="F1936" t="s">
        <v>3254</v>
      </c>
      <c r="G1936" t="str">
        <f>"00120813"</f>
        <v>00120813</v>
      </c>
      <c r="H1936">
        <v>704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70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X1936">
        <v>0</v>
      </c>
      <c r="Y1936">
        <v>844</v>
      </c>
    </row>
    <row r="1937" spans="1:25" x14ac:dyDescent="0.25">
      <c r="H1937" t="s">
        <v>23</v>
      </c>
    </row>
    <row r="1938" spans="1:25" x14ac:dyDescent="0.25">
      <c r="A1938">
        <v>966</v>
      </c>
      <c r="B1938">
        <v>412</v>
      </c>
      <c r="C1938" t="s">
        <v>2068</v>
      </c>
      <c r="D1938" t="s">
        <v>3255</v>
      </c>
      <c r="E1938" t="s">
        <v>87</v>
      </c>
      <c r="F1938" t="s">
        <v>3256</v>
      </c>
      <c r="G1938" t="str">
        <f>"00192173"</f>
        <v>00192173</v>
      </c>
      <c r="H1938" t="s">
        <v>938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70</v>
      </c>
      <c r="O1938">
        <v>0</v>
      </c>
      <c r="P1938">
        <v>0</v>
      </c>
      <c r="Q1938">
        <v>0</v>
      </c>
      <c r="R1938">
        <v>30</v>
      </c>
      <c r="S1938">
        <v>0</v>
      </c>
      <c r="T1938">
        <v>0</v>
      </c>
      <c r="U1938">
        <v>0</v>
      </c>
      <c r="V1938">
        <v>0</v>
      </c>
      <c r="X1938">
        <v>0</v>
      </c>
      <c r="Y1938" t="s">
        <v>3257</v>
      </c>
    </row>
    <row r="1939" spans="1:25" x14ac:dyDescent="0.25">
      <c r="H1939" t="s">
        <v>23</v>
      </c>
    </row>
    <row r="1940" spans="1:25" x14ac:dyDescent="0.25">
      <c r="A1940">
        <v>967</v>
      </c>
      <c r="B1940">
        <v>5153</v>
      </c>
      <c r="C1940" t="s">
        <v>3258</v>
      </c>
      <c r="D1940" t="s">
        <v>209</v>
      </c>
      <c r="E1940" t="s">
        <v>55</v>
      </c>
      <c r="F1940" t="s">
        <v>3259</v>
      </c>
      <c r="G1940" t="str">
        <f>"00014579"</f>
        <v>00014579</v>
      </c>
      <c r="H1940" t="s">
        <v>3260</v>
      </c>
      <c r="I1940">
        <v>150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X1940">
        <v>0</v>
      </c>
      <c r="Y1940" t="s">
        <v>3261</v>
      </c>
    </row>
    <row r="1941" spans="1:25" x14ac:dyDescent="0.25">
      <c r="H1941" t="s">
        <v>34</v>
      </c>
    </row>
    <row r="1942" spans="1:25" x14ac:dyDescent="0.25">
      <c r="A1942">
        <v>968</v>
      </c>
      <c r="B1942">
        <v>3687</v>
      </c>
      <c r="C1942" t="s">
        <v>3262</v>
      </c>
      <c r="D1942" t="s">
        <v>113</v>
      </c>
      <c r="E1942" t="s">
        <v>21</v>
      </c>
      <c r="F1942" t="s">
        <v>3263</v>
      </c>
      <c r="G1942" t="str">
        <f>"201304003033"</f>
        <v>201304003033</v>
      </c>
      <c r="H1942" t="s">
        <v>2357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70</v>
      </c>
      <c r="O1942">
        <v>0</v>
      </c>
      <c r="P1942">
        <v>0</v>
      </c>
      <c r="Q1942">
        <v>0</v>
      </c>
      <c r="R1942">
        <v>70</v>
      </c>
      <c r="S1942">
        <v>0</v>
      </c>
      <c r="T1942">
        <v>0</v>
      </c>
      <c r="U1942">
        <v>0</v>
      </c>
      <c r="V1942">
        <v>0</v>
      </c>
      <c r="X1942">
        <v>0</v>
      </c>
      <c r="Y1942" t="s">
        <v>3264</v>
      </c>
    </row>
    <row r="1943" spans="1:25" x14ac:dyDescent="0.25">
      <c r="H1943" t="s">
        <v>23</v>
      </c>
    </row>
    <row r="1944" spans="1:25" x14ac:dyDescent="0.25">
      <c r="A1944">
        <v>969</v>
      </c>
      <c r="B1944">
        <v>5383</v>
      </c>
      <c r="C1944" t="s">
        <v>3265</v>
      </c>
      <c r="D1944" t="s">
        <v>3266</v>
      </c>
      <c r="E1944" t="s">
        <v>61</v>
      </c>
      <c r="F1944" t="s">
        <v>3267</v>
      </c>
      <c r="G1944" t="str">
        <f>"00194387"</f>
        <v>00194387</v>
      </c>
      <c r="H1944" t="s">
        <v>357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30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X1944">
        <v>0</v>
      </c>
      <c r="Y1944" t="s">
        <v>3268</v>
      </c>
    </row>
    <row r="1945" spans="1:25" x14ac:dyDescent="0.25">
      <c r="H1945">
        <v>101</v>
      </c>
    </row>
    <row r="1946" spans="1:25" x14ac:dyDescent="0.25">
      <c r="A1946">
        <v>970</v>
      </c>
      <c r="B1946">
        <v>6187</v>
      </c>
      <c r="C1946" t="s">
        <v>3269</v>
      </c>
      <c r="D1946" t="s">
        <v>1030</v>
      </c>
      <c r="E1946" t="s">
        <v>200</v>
      </c>
      <c r="F1946" t="s">
        <v>3270</v>
      </c>
      <c r="G1946" t="str">
        <f>"00026595"</f>
        <v>00026595</v>
      </c>
      <c r="H1946">
        <v>792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50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X1946">
        <v>0</v>
      </c>
      <c r="Y1946">
        <v>842</v>
      </c>
    </row>
    <row r="1947" spans="1:25" x14ac:dyDescent="0.25">
      <c r="H1947" t="s">
        <v>23</v>
      </c>
    </row>
    <row r="1948" spans="1:25" x14ac:dyDescent="0.25">
      <c r="A1948">
        <v>971</v>
      </c>
      <c r="B1948">
        <v>5729</v>
      </c>
      <c r="C1948" t="s">
        <v>3271</v>
      </c>
      <c r="D1948" t="s">
        <v>663</v>
      </c>
      <c r="E1948" t="s">
        <v>147</v>
      </c>
      <c r="F1948" t="s">
        <v>3272</v>
      </c>
      <c r="G1948" t="str">
        <f>"201410011618"</f>
        <v>201410011618</v>
      </c>
      <c r="H1948" t="s">
        <v>954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70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X1948">
        <v>0</v>
      </c>
      <c r="Y1948" t="s">
        <v>3273</v>
      </c>
    </row>
    <row r="1949" spans="1:25" x14ac:dyDescent="0.25">
      <c r="H1949" t="s">
        <v>53</v>
      </c>
    </row>
    <row r="1950" spans="1:25" x14ac:dyDescent="0.25">
      <c r="A1950">
        <v>972</v>
      </c>
      <c r="B1950">
        <v>1286</v>
      </c>
      <c r="C1950" t="s">
        <v>3274</v>
      </c>
      <c r="D1950" t="s">
        <v>3275</v>
      </c>
      <c r="E1950" t="s">
        <v>2030</v>
      </c>
      <c r="F1950" t="s">
        <v>3276</v>
      </c>
      <c r="G1950" t="str">
        <f>"201304005407"</f>
        <v>201304005407</v>
      </c>
      <c r="H1950" t="s">
        <v>776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70</v>
      </c>
      <c r="O1950">
        <v>50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X1950">
        <v>0</v>
      </c>
      <c r="Y1950" t="s">
        <v>3277</v>
      </c>
    </row>
    <row r="1951" spans="1:25" x14ac:dyDescent="0.25">
      <c r="H1951">
        <v>101</v>
      </c>
    </row>
    <row r="1952" spans="1:25" x14ac:dyDescent="0.25">
      <c r="A1952">
        <v>973</v>
      </c>
      <c r="B1952">
        <v>4940</v>
      </c>
      <c r="C1952" t="s">
        <v>3278</v>
      </c>
      <c r="D1952" t="s">
        <v>3279</v>
      </c>
      <c r="E1952" t="s">
        <v>43</v>
      </c>
      <c r="F1952" t="s">
        <v>3280</v>
      </c>
      <c r="G1952" t="str">
        <f>"00021592"</f>
        <v>00021592</v>
      </c>
      <c r="H1952" t="s">
        <v>636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70</v>
      </c>
      <c r="O1952">
        <v>50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X1952">
        <v>0</v>
      </c>
      <c r="Y1952" t="s">
        <v>3281</v>
      </c>
    </row>
    <row r="1953" spans="1:25" x14ac:dyDescent="0.25">
      <c r="H1953" t="s">
        <v>34</v>
      </c>
    </row>
    <row r="1954" spans="1:25" x14ac:dyDescent="0.25">
      <c r="A1954">
        <v>974</v>
      </c>
      <c r="B1954">
        <v>6294</v>
      </c>
      <c r="C1954" t="s">
        <v>3282</v>
      </c>
      <c r="D1954" t="s">
        <v>1042</v>
      </c>
      <c r="E1954" t="s">
        <v>87</v>
      </c>
      <c r="F1954" t="s">
        <v>3283</v>
      </c>
      <c r="G1954" t="str">
        <f>"00172743"</f>
        <v>00172743</v>
      </c>
      <c r="H1954" t="s">
        <v>636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70</v>
      </c>
      <c r="O1954">
        <v>0</v>
      </c>
      <c r="P1954">
        <v>50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X1954">
        <v>0</v>
      </c>
      <c r="Y1954" t="s">
        <v>3281</v>
      </c>
    </row>
    <row r="1955" spans="1:25" x14ac:dyDescent="0.25">
      <c r="H1955" t="s">
        <v>23</v>
      </c>
    </row>
    <row r="1956" spans="1:25" x14ac:dyDescent="0.25">
      <c r="A1956">
        <v>975</v>
      </c>
      <c r="B1956">
        <v>3385</v>
      </c>
      <c r="C1956" t="s">
        <v>63</v>
      </c>
      <c r="D1956" t="s">
        <v>1789</v>
      </c>
      <c r="E1956" t="s">
        <v>87</v>
      </c>
      <c r="F1956" t="s">
        <v>3284</v>
      </c>
      <c r="G1956" t="str">
        <f>"201405001967"</f>
        <v>201405001967</v>
      </c>
      <c r="H1956" t="s">
        <v>1904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30</v>
      </c>
      <c r="O1956">
        <v>0</v>
      </c>
      <c r="P1956">
        <v>0</v>
      </c>
      <c r="Q1956">
        <v>50</v>
      </c>
      <c r="R1956">
        <v>0</v>
      </c>
      <c r="S1956">
        <v>0</v>
      </c>
      <c r="T1956">
        <v>0</v>
      </c>
      <c r="U1956">
        <v>30</v>
      </c>
      <c r="V1956">
        <v>0</v>
      </c>
      <c r="X1956">
        <v>0</v>
      </c>
      <c r="Y1956" t="s">
        <v>32</v>
      </c>
    </row>
    <row r="1957" spans="1:25" x14ac:dyDescent="0.25">
      <c r="H1957" t="s">
        <v>91</v>
      </c>
    </row>
    <row r="1958" spans="1:25" x14ac:dyDescent="0.25">
      <c r="A1958">
        <v>976</v>
      </c>
      <c r="B1958">
        <v>4797</v>
      </c>
      <c r="C1958" t="s">
        <v>3285</v>
      </c>
      <c r="D1958" t="s">
        <v>200</v>
      </c>
      <c r="E1958" t="s">
        <v>81</v>
      </c>
      <c r="F1958" t="s">
        <v>3286</v>
      </c>
      <c r="G1958" t="str">
        <f>"00014868"</f>
        <v>00014868</v>
      </c>
      <c r="H1958" t="s">
        <v>1055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70</v>
      </c>
      <c r="O1958">
        <v>30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X1958">
        <v>0</v>
      </c>
      <c r="Y1958" t="s">
        <v>3287</v>
      </c>
    </row>
    <row r="1959" spans="1:25" x14ac:dyDescent="0.25">
      <c r="H1959" t="s">
        <v>53</v>
      </c>
    </row>
    <row r="1960" spans="1:25" x14ac:dyDescent="0.25">
      <c r="A1960">
        <v>977</v>
      </c>
      <c r="B1960">
        <v>3402</v>
      </c>
      <c r="C1960" t="s">
        <v>3288</v>
      </c>
      <c r="D1960" t="s">
        <v>217</v>
      </c>
      <c r="E1960" t="s">
        <v>61</v>
      </c>
      <c r="F1960" t="s">
        <v>3289</v>
      </c>
      <c r="G1960" t="str">
        <f>"00128143"</f>
        <v>00128143</v>
      </c>
      <c r="H1960" t="s">
        <v>1055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70</v>
      </c>
      <c r="O1960">
        <v>30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X1960">
        <v>0</v>
      </c>
      <c r="Y1960" t="s">
        <v>3287</v>
      </c>
    </row>
    <row r="1961" spans="1:25" x14ac:dyDescent="0.25">
      <c r="H1961" t="s">
        <v>53</v>
      </c>
    </row>
    <row r="1962" spans="1:25" x14ac:dyDescent="0.25">
      <c r="A1962">
        <v>978</v>
      </c>
      <c r="B1962">
        <v>867</v>
      </c>
      <c r="C1962" t="s">
        <v>597</v>
      </c>
      <c r="D1962" t="s">
        <v>1099</v>
      </c>
      <c r="E1962" t="s">
        <v>55</v>
      </c>
      <c r="F1962" t="s">
        <v>3290</v>
      </c>
      <c r="G1962" t="str">
        <f>"201512001433"</f>
        <v>201512001433</v>
      </c>
      <c r="H1962">
        <v>660</v>
      </c>
      <c r="I1962">
        <v>150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X1962">
        <v>0</v>
      </c>
      <c r="Y1962">
        <v>840</v>
      </c>
    </row>
    <row r="1963" spans="1:25" x14ac:dyDescent="0.25">
      <c r="H1963" t="s">
        <v>118</v>
      </c>
    </row>
    <row r="1964" spans="1:25" x14ac:dyDescent="0.25">
      <c r="A1964">
        <v>979</v>
      </c>
      <c r="B1964">
        <v>3458</v>
      </c>
      <c r="C1964" t="s">
        <v>3291</v>
      </c>
      <c r="D1964" t="s">
        <v>48</v>
      </c>
      <c r="E1964" t="s">
        <v>1886</v>
      </c>
      <c r="G1964" t="str">
        <f>"00128706"</f>
        <v>00128706</v>
      </c>
      <c r="H1964" t="s">
        <v>2007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70</v>
      </c>
      <c r="O1964">
        <v>50</v>
      </c>
      <c r="P1964">
        <v>0</v>
      </c>
      <c r="Q1964">
        <v>0</v>
      </c>
      <c r="R1964">
        <v>30</v>
      </c>
      <c r="S1964">
        <v>0</v>
      </c>
      <c r="T1964">
        <v>0</v>
      </c>
      <c r="U1964">
        <v>0</v>
      </c>
      <c r="V1964">
        <v>0</v>
      </c>
      <c r="X1964">
        <v>0</v>
      </c>
      <c r="Y1964" t="s">
        <v>3292</v>
      </c>
    </row>
    <row r="1965" spans="1:25" x14ac:dyDescent="0.25">
      <c r="H1965" t="s">
        <v>23</v>
      </c>
    </row>
    <row r="1966" spans="1:25" x14ac:dyDescent="0.25">
      <c r="A1966">
        <v>980</v>
      </c>
      <c r="B1966">
        <v>5801</v>
      </c>
      <c r="C1966" t="s">
        <v>3293</v>
      </c>
      <c r="D1966" t="s">
        <v>571</v>
      </c>
      <c r="E1966" t="s">
        <v>49</v>
      </c>
      <c r="F1966" t="s">
        <v>3294</v>
      </c>
      <c r="G1966" t="str">
        <f>"00198335"</f>
        <v>00198335</v>
      </c>
      <c r="H1966" t="s">
        <v>1636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70</v>
      </c>
      <c r="O1966">
        <v>50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X1966">
        <v>0</v>
      </c>
      <c r="Y1966" t="s">
        <v>3295</v>
      </c>
    </row>
    <row r="1967" spans="1:25" x14ac:dyDescent="0.25">
      <c r="H1967" t="s">
        <v>34</v>
      </c>
    </row>
    <row r="1968" spans="1:25" x14ac:dyDescent="0.25">
      <c r="A1968">
        <v>981</v>
      </c>
      <c r="B1968">
        <v>3137</v>
      </c>
      <c r="C1968" t="s">
        <v>3296</v>
      </c>
      <c r="D1968" t="s">
        <v>200</v>
      </c>
      <c r="E1968" t="s">
        <v>71</v>
      </c>
      <c r="F1968" t="s">
        <v>3297</v>
      </c>
      <c r="G1968" t="str">
        <f>"00191158"</f>
        <v>00191158</v>
      </c>
      <c r="H1968" t="s">
        <v>1636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70</v>
      </c>
      <c r="O1968">
        <v>50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X1968">
        <v>0</v>
      </c>
      <c r="Y1968" t="s">
        <v>3295</v>
      </c>
    </row>
    <row r="1969" spans="1:25" x14ac:dyDescent="0.25">
      <c r="H1969" t="s">
        <v>34</v>
      </c>
    </row>
    <row r="1970" spans="1:25" x14ac:dyDescent="0.25">
      <c r="A1970">
        <v>982</v>
      </c>
      <c r="B1970">
        <v>5597</v>
      </c>
      <c r="C1970" t="s">
        <v>3298</v>
      </c>
      <c r="D1970" t="s">
        <v>3299</v>
      </c>
      <c r="E1970" t="s">
        <v>200</v>
      </c>
      <c r="F1970" t="s">
        <v>3300</v>
      </c>
      <c r="G1970" t="str">
        <f>"00182446"</f>
        <v>00182446</v>
      </c>
      <c r="H1970" t="s">
        <v>1060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30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X1970">
        <v>0</v>
      </c>
      <c r="Y1970" t="s">
        <v>3301</v>
      </c>
    </row>
    <row r="1971" spans="1:25" x14ac:dyDescent="0.25">
      <c r="H1971" t="s">
        <v>53</v>
      </c>
    </row>
    <row r="1972" spans="1:25" x14ac:dyDescent="0.25">
      <c r="A1972">
        <v>983</v>
      </c>
      <c r="B1972">
        <v>2521</v>
      </c>
      <c r="C1972" t="s">
        <v>1864</v>
      </c>
      <c r="D1972" t="s">
        <v>3302</v>
      </c>
      <c r="E1972" t="s">
        <v>49</v>
      </c>
      <c r="F1972" t="s">
        <v>3303</v>
      </c>
      <c r="G1972" t="str">
        <f>"00123749"</f>
        <v>00123749</v>
      </c>
      <c r="H1972" t="s">
        <v>1060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50</v>
      </c>
      <c r="O1972">
        <v>50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X1972">
        <v>0</v>
      </c>
      <c r="Y1972" t="s">
        <v>3301</v>
      </c>
    </row>
    <row r="1973" spans="1:25" x14ac:dyDescent="0.25">
      <c r="H1973" t="s">
        <v>23</v>
      </c>
    </row>
    <row r="1974" spans="1:25" x14ac:dyDescent="0.25">
      <c r="A1974">
        <v>984</v>
      </c>
      <c r="B1974">
        <v>6344</v>
      </c>
      <c r="C1974" t="s">
        <v>3304</v>
      </c>
      <c r="D1974" t="s">
        <v>25</v>
      </c>
      <c r="E1974" t="s">
        <v>147</v>
      </c>
      <c r="F1974" t="s">
        <v>3305</v>
      </c>
      <c r="G1974" t="str">
        <f>"00201878"</f>
        <v>00201878</v>
      </c>
      <c r="H1974" t="s">
        <v>1060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70</v>
      </c>
      <c r="O1974">
        <v>30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X1974">
        <v>0</v>
      </c>
      <c r="Y1974" t="s">
        <v>3301</v>
      </c>
    </row>
    <row r="1975" spans="1:25" x14ac:dyDescent="0.25">
      <c r="H1975" t="s">
        <v>34</v>
      </c>
    </row>
    <row r="1976" spans="1:25" x14ac:dyDescent="0.25">
      <c r="A1976">
        <v>985</v>
      </c>
      <c r="B1976">
        <v>1307</v>
      </c>
      <c r="C1976" t="s">
        <v>3306</v>
      </c>
      <c r="D1976" t="s">
        <v>1087</v>
      </c>
      <c r="E1976" t="s">
        <v>1183</v>
      </c>
      <c r="F1976" t="s">
        <v>3307</v>
      </c>
      <c r="G1976" t="str">
        <f>"201406015281"</f>
        <v>201406015281</v>
      </c>
      <c r="H1976" t="s">
        <v>414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X1976">
        <v>0</v>
      </c>
      <c r="Y1976" t="s">
        <v>3308</v>
      </c>
    </row>
    <row r="1977" spans="1:25" x14ac:dyDescent="0.25">
      <c r="H1977" t="s">
        <v>23</v>
      </c>
    </row>
    <row r="1978" spans="1:25" x14ac:dyDescent="0.25">
      <c r="A1978">
        <v>986</v>
      </c>
      <c r="B1978">
        <v>1650</v>
      </c>
      <c r="C1978" t="s">
        <v>3309</v>
      </c>
      <c r="D1978" t="s">
        <v>159</v>
      </c>
      <c r="E1978" t="s">
        <v>99</v>
      </c>
      <c r="F1978" t="s">
        <v>3310</v>
      </c>
      <c r="G1978" t="str">
        <f>"00105342"</f>
        <v>00105342</v>
      </c>
      <c r="H1978" t="s">
        <v>798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70</v>
      </c>
      <c r="O1978">
        <v>0</v>
      </c>
      <c r="P1978">
        <v>50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X1978">
        <v>0</v>
      </c>
      <c r="Y1978" t="s">
        <v>3311</v>
      </c>
    </row>
    <row r="1979" spans="1:25" x14ac:dyDescent="0.25">
      <c r="H1979" t="s">
        <v>34</v>
      </c>
    </row>
    <row r="1980" spans="1:25" x14ac:dyDescent="0.25">
      <c r="A1980">
        <v>987</v>
      </c>
      <c r="B1980">
        <v>4300</v>
      </c>
      <c r="C1980" t="s">
        <v>3312</v>
      </c>
      <c r="D1980" t="s">
        <v>1207</v>
      </c>
      <c r="E1980" t="s">
        <v>2572</v>
      </c>
      <c r="F1980" t="s">
        <v>3313</v>
      </c>
      <c r="G1980" t="str">
        <f>"00190890"</f>
        <v>00190890</v>
      </c>
      <c r="H1980" t="s">
        <v>980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70</v>
      </c>
      <c r="O1980">
        <v>30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X1980">
        <v>0</v>
      </c>
      <c r="Y1980" t="s">
        <v>3314</v>
      </c>
    </row>
    <row r="1981" spans="1:25" x14ac:dyDescent="0.25">
      <c r="H1981" t="s">
        <v>34</v>
      </c>
    </row>
    <row r="1982" spans="1:25" x14ac:dyDescent="0.25">
      <c r="A1982">
        <v>988</v>
      </c>
      <c r="B1982">
        <v>2004</v>
      </c>
      <c r="C1982" t="s">
        <v>3315</v>
      </c>
      <c r="D1982" t="s">
        <v>20</v>
      </c>
      <c r="E1982" t="s">
        <v>3316</v>
      </c>
      <c r="F1982" t="s">
        <v>3317</v>
      </c>
      <c r="G1982" t="str">
        <f>"201511029741"</f>
        <v>201511029741</v>
      </c>
      <c r="H1982" t="s">
        <v>980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70</v>
      </c>
      <c r="O1982">
        <v>30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X1982">
        <v>0</v>
      </c>
      <c r="Y1982" t="s">
        <v>3314</v>
      </c>
    </row>
    <row r="1983" spans="1:25" x14ac:dyDescent="0.25">
      <c r="H1983" t="s">
        <v>34</v>
      </c>
    </row>
    <row r="1984" spans="1:25" x14ac:dyDescent="0.25">
      <c r="A1984">
        <v>989</v>
      </c>
      <c r="B1984">
        <v>2584</v>
      </c>
      <c r="C1984" t="s">
        <v>3318</v>
      </c>
      <c r="D1984" t="s">
        <v>1030</v>
      </c>
      <c r="E1984" t="s">
        <v>334</v>
      </c>
      <c r="F1984" t="s">
        <v>3319</v>
      </c>
      <c r="G1984" t="str">
        <f>"201405001690"</f>
        <v>201405001690</v>
      </c>
      <c r="H1984" t="s">
        <v>206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X1984">
        <v>0</v>
      </c>
      <c r="Y1984" t="s">
        <v>3320</v>
      </c>
    </row>
    <row r="1985" spans="1:25" x14ac:dyDescent="0.25">
      <c r="H1985">
        <v>101</v>
      </c>
    </row>
    <row r="1986" spans="1:25" x14ac:dyDescent="0.25">
      <c r="A1986">
        <v>990</v>
      </c>
      <c r="B1986">
        <v>5692</v>
      </c>
      <c r="C1986" t="s">
        <v>3321</v>
      </c>
      <c r="D1986" t="s">
        <v>25</v>
      </c>
      <c r="E1986" t="s">
        <v>3322</v>
      </c>
      <c r="F1986" t="s">
        <v>3323</v>
      </c>
      <c r="G1986" t="str">
        <f>"201406004206"</f>
        <v>201406004206</v>
      </c>
      <c r="H1986" t="s">
        <v>2534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70</v>
      </c>
      <c r="O1986">
        <v>0</v>
      </c>
      <c r="P1986">
        <v>70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X1986">
        <v>0</v>
      </c>
      <c r="Y1986" t="s">
        <v>3320</v>
      </c>
    </row>
    <row r="1987" spans="1:25" x14ac:dyDescent="0.25">
      <c r="H1987">
        <v>101</v>
      </c>
    </row>
    <row r="1988" spans="1:25" x14ac:dyDescent="0.25">
      <c r="A1988">
        <v>991</v>
      </c>
      <c r="B1988">
        <v>2926</v>
      </c>
      <c r="C1988" t="s">
        <v>3324</v>
      </c>
      <c r="D1988" t="s">
        <v>3325</v>
      </c>
      <c r="E1988" t="s">
        <v>43</v>
      </c>
      <c r="F1988" t="s">
        <v>3326</v>
      </c>
      <c r="G1988" t="str">
        <f>"00013630"</f>
        <v>00013630</v>
      </c>
      <c r="H1988" t="s">
        <v>2534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70</v>
      </c>
      <c r="O1988">
        <v>70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X1988">
        <v>0</v>
      </c>
      <c r="Y1988" t="s">
        <v>3320</v>
      </c>
    </row>
    <row r="1989" spans="1:25" x14ac:dyDescent="0.25">
      <c r="H1989" t="s">
        <v>53</v>
      </c>
    </row>
    <row r="1990" spans="1:25" x14ac:dyDescent="0.25">
      <c r="A1990">
        <v>992</v>
      </c>
      <c r="B1990">
        <v>6457</v>
      </c>
      <c r="C1990" t="s">
        <v>1538</v>
      </c>
      <c r="D1990" t="s">
        <v>20</v>
      </c>
      <c r="E1990" t="s">
        <v>81</v>
      </c>
      <c r="F1990" t="s">
        <v>3327</v>
      </c>
      <c r="G1990" t="str">
        <f>"00119439"</f>
        <v>00119439</v>
      </c>
      <c r="H1990" t="s">
        <v>127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70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X1990">
        <v>0</v>
      </c>
      <c r="Y1990" t="s">
        <v>3328</v>
      </c>
    </row>
    <row r="1991" spans="1:25" x14ac:dyDescent="0.25">
      <c r="H1991" t="s">
        <v>118</v>
      </c>
    </row>
    <row r="1992" spans="1:25" x14ac:dyDescent="0.25">
      <c r="A1992">
        <v>993</v>
      </c>
      <c r="B1992">
        <v>6247</v>
      </c>
      <c r="C1992" t="s">
        <v>3329</v>
      </c>
      <c r="D1992" t="s">
        <v>571</v>
      </c>
      <c r="E1992" t="s">
        <v>2199</v>
      </c>
      <c r="F1992" t="s">
        <v>3330</v>
      </c>
      <c r="G1992" t="str">
        <f>"00045532"</f>
        <v>00045532</v>
      </c>
      <c r="H1992" t="s">
        <v>910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30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X1992">
        <v>0</v>
      </c>
      <c r="Y1992" t="s">
        <v>3331</v>
      </c>
    </row>
    <row r="1993" spans="1:25" x14ac:dyDescent="0.25">
      <c r="H1993" t="s">
        <v>53</v>
      </c>
    </row>
    <row r="1994" spans="1:25" x14ac:dyDescent="0.25">
      <c r="A1994">
        <v>994</v>
      </c>
      <c r="B1994">
        <v>4640</v>
      </c>
      <c r="C1994" t="s">
        <v>3332</v>
      </c>
      <c r="D1994" t="s">
        <v>598</v>
      </c>
      <c r="E1994" t="s">
        <v>49</v>
      </c>
      <c r="F1994" t="s">
        <v>3333</v>
      </c>
      <c r="G1994" t="str">
        <f>"201406009070"</f>
        <v>201406009070</v>
      </c>
      <c r="H1994" t="s">
        <v>1466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70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X1994">
        <v>2</v>
      </c>
      <c r="Y1994" t="s">
        <v>3334</v>
      </c>
    </row>
    <row r="1995" spans="1:25" x14ac:dyDescent="0.25">
      <c r="H1995" t="s">
        <v>118</v>
      </c>
    </row>
    <row r="1996" spans="1:25" x14ac:dyDescent="0.25">
      <c r="A1996">
        <v>995</v>
      </c>
      <c r="B1996">
        <v>5008</v>
      </c>
      <c r="C1996" t="s">
        <v>3335</v>
      </c>
      <c r="D1996" t="s">
        <v>3336</v>
      </c>
      <c r="E1996" t="s">
        <v>21</v>
      </c>
      <c r="F1996" t="s">
        <v>3337</v>
      </c>
      <c r="G1996" t="str">
        <f>"00132486"</f>
        <v>00132486</v>
      </c>
      <c r="H1996" t="s">
        <v>1269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70</v>
      </c>
      <c r="O1996">
        <v>30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X1996">
        <v>0</v>
      </c>
      <c r="Y1996" t="s">
        <v>3338</v>
      </c>
    </row>
    <row r="1997" spans="1:25" x14ac:dyDescent="0.25">
      <c r="H1997" t="s">
        <v>34</v>
      </c>
    </row>
    <row r="1998" spans="1:25" x14ac:dyDescent="0.25">
      <c r="A1998">
        <v>996</v>
      </c>
      <c r="B1998">
        <v>5975</v>
      </c>
      <c r="C1998" t="s">
        <v>3339</v>
      </c>
      <c r="D1998" t="s">
        <v>25</v>
      </c>
      <c r="E1998" t="s">
        <v>87</v>
      </c>
      <c r="F1998" t="s">
        <v>3340</v>
      </c>
      <c r="G1998" t="str">
        <f>"00192974"</f>
        <v>00192974</v>
      </c>
      <c r="H1998" t="s">
        <v>1372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70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X1998">
        <v>0</v>
      </c>
      <c r="Y1998" t="s">
        <v>3341</v>
      </c>
    </row>
    <row r="1999" spans="1:25" x14ac:dyDescent="0.25">
      <c r="H1999" t="s">
        <v>53</v>
      </c>
    </row>
    <row r="2000" spans="1:25" x14ac:dyDescent="0.25">
      <c r="A2000">
        <v>997</v>
      </c>
      <c r="B2000">
        <v>3000</v>
      </c>
      <c r="C2000" t="s">
        <v>3342</v>
      </c>
      <c r="D2000" t="s">
        <v>509</v>
      </c>
      <c r="E2000" t="s">
        <v>252</v>
      </c>
      <c r="F2000" t="s">
        <v>3343</v>
      </c>
      <c r="G2000" t="str">
        <f>"201406004620"</f>
        <v>201406004620</v>
      </c>
      <c r="H2000" t="s">
        <v>2340</v>
      </c>
      <c r="I2000">
        <v>0</v>
      </c>
      <c r="J2000">
        <v>0</v>
      </c>
      <c r="K2000">
        <v>0</v>
      </c>
      <c r="L2000">
        <v>0</v>
      </c>
      <c r="M2000">
        <v>100</v>
      </c>
      <c r="N2000">
        <v>70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X2000">
        <v>0</v>
      </c>
      <c r="Y2000" t="s">
        <v>3344</v>
      </c>
    </row>
    <row r="2001" spans="1:25" x14ac:dyDescent="0.25">
      <c r="H2001" t="s">
        <v>23</v>
      </c>
    </row>
    <row r="2002" spans="1:25" x14ac:dyDescent="0.25">
      <c r="A2002">
        <v>998</v>
      </c>
      <c r="B2002">
        <v>5433</v>
      </c>
      <c r="C2002" t="s">
        <v>3345</v>
      </c>
      <c r="D2002" t="s">
        <v>685</v>
      </c>
      <c r="E2002" t="s">
        <v>99</v>
      </c>
      <c r="F2002" t="s">
        <v>3346</v>
      </c>
      <c r="G2002" t="str">
        <f>"201511021271"</f>
        <v>201511021271</v>
      </c>
      <c r="H2002" t="s">
        <v>390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70</v>
      </c>
      <c r="O2002">
        <v>30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X2002">
        <v>0</v>
      </c>
      <c r="Y2002" t="s">
        <v>3347</v>
      </c>
    </row>
    <row r="2003" spans="1:25" x14ac:dyDescent="0.25">
      <c r="H2003" t="s">
        <v>23</v>
      </c>
    </row>
    <row r="2004" spans="1:25" x14ac:dyDescent="0.25">
      <c r="A2004">
        <v>999</v>
      </c>
      <c r="B2004">
        <v>1055</v>
      </c>
      <c r="C2004" t="s">
        <v>3348</v>
      </c>
      <c r="D2004" t="s">
        <v>237</v>
      </c>
      <c r="E2004" t="s">
        <v>99</v>
      </c>
      <c r="F2004" t="s">
        <v>3349</v>
      </c>
      <c r="G2004" t="str">
        <f>"00134966"</f>
        <v>00134966</v>
      </c>
      <c r="H2004">
        <v>803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X2004">
        <v>0</v>
      </c>
      <c r="Y2004">
        <v>833</v>
      </c>
    </row>
    <row r="2005" spans="1:25" x14ac:dyDescent="0.25">
      <c r="H2005" t="s">
        <v>91</v>
      </c>
    </row>
    <row r="2006" spans="1:25" x14ac:dyDescent="0.25">
      <c r="A2006">
        <v>1000</v>
      </c>
      <c r="B2006">
        <v>700</v>
      </c>
      <c r="C2006" t="s">
        <v>3350</v>
      </c>
      <c r="D2006" t="s">
        <v>113</v>
      </c>
      <c r="E2006" t="s">
        <v>21</v>
      </c>
      <c r="F2006" t="s">
        <v>3351</v>
      </c>
      <c r="G2006" t="str">
        <f>"201402011657"</f>
        <v>201402011657</v>
      </c>
      <c r="H2006" t="s">
        <v>1492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50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X2006">
        <v>0</v>
      </c>
      <c r="Y2006" t="s">
        <v>3352</v>
      </c>
    </row>
    <row r="2007" spans="1:25" x14ac:dyDescent="0.25">
      <c r="H2007" t="s">
        <v>213</v>
      </c>
    </row>
    <row r="2008" spans="1:25" x14ac:dyDescent="0.25">
      <c r="A2008">
        <v>1001</v>
      </c>
      <c r="B2008">
        <v>5708</v>
      </c>
      <c r="C2008" t="s">
        <v>3353</v>
      </c>
      <c r="D2008" t="s">
        <v>2182</v>
      </c>
      <c r="E2008" t="s">
        <v>43</v>
      </c>
      <c r="F2008" t="s">
        <v>3354</v>
      </c>
      <c r="G2008" t="str">
        <f>"200802009279"</f>
        <v>200802009279</v>
      </c>
      <c r="H2008" t="s">
        <v>1204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70</v>
      </c>
      <c r="O2008">
        <v>0</v>
      </c>
      <c r="P2008">
        <v>0</v>
      </c>
      <c r="Q2008">
        <v>0</v>
      </c>
      <c r="R2008">
        <v>30</v>
      </c>
      <c r="S2008">
        <v>0</v>
      </c>
      <c r="T2008">
        <v>0</v>
      </c>
      <c r="U2008">
        <v>0</v>
      </c>
      <c r="V2008">
        <v>0</v>
      </c>
      <c r="X2008">
        <v>0</v>
      </c>
      <c r="Y2008" t="s">
        <v>3355</v>
      </c>
    </row>
    <row r="2009" spans="1:25" x14ac:dyDescent="0.25">
      <c r="H2009" t="s">
        <v>23</v>
      </c>
    </row>
    <row r="2010" spans="1:25" x14ac:dyDescent="0.25">
      <c r="A2010">
        <v>1002</v>
      </c>
      <c r="B2010">
        <v>5757</v>
      </c>
      <c r="C2010" t="s">
        <v>3356</v>
      </c>
      <c r="D2010" t="s">
        <v>322</v>
      </c>
      <c r="E2010" t="s">
        <v>1667</v>
      </c>
      <c r="F2010" t="s">
        <v>3357</v>
      </c>
      <c r="G2010" t="str">
        <f>"201506001818"</f>
        <v>201506001818</v>
      </c>
      <c r="H2010" t="s">
        <v>1204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70</v>
      </c>
      <c r="O2010">
        <v>30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X2010">
        <v>0</v>
      </c>
      <c r="Y2010" t="s">
        <v>3355</v>
      </c>
    </row>
    <row r="2011" spans="1:25" x14ac:dyDescent="0.25">
      <c r="H2011" t="s">
        <v>23</v>
      </c>
    </row>
    <row r="2012" spans="1:25" x14ac:dyDescent="0.25">
      <c r="A2012">
        <v>1003</v>
      </c>
      <c r="B2012">
        <v>2197</v>
      </c>
      <c r="C2012" t="s">
        <v>3358</v>
      </c>
      <c r="D2012" t="s">
        <v>209</v>
      </c>
      <c r="E2012" t="s">
        <v>424</v>
      </c>
      <c r="F2012" t="s">
        <v>3359</v>
      </c>
      <c r="G2012" t="str">
        <f>"201406013867"</f>
        <v>201406013867</v>
      </c>
      <c r="H2012" t="s">
        <v>612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70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X2012">
        <v>2</v>
      </c>
      <c r="Y2012" t="s">
        <v>3360</v>
      </c>
    </row>
    <row r="2013" spans="1:25" x14ac:dyDescent="0.25">
      <c r="H2013">
        <v>101</v>
      </c>
    </row>
    <row r="2014" spans="1:25" x14ac:dyDescent="0.25">
      <c r="A2014">
        <v>1004</v>
      </c>
      <c r="B2014">
        <v>3095</v>
      </c>
      <c r="C2014" t="s">
        <v>920</v>
      </c>
      <c r="D2014" t="s">
        <v>355</v>
      </c>
      <c r="E2014" t="s">
        <v>65</v>
      </c>
      <c r="F2014" t="s">
        <v>3361</v>
      </c>
      <c r="G2014" t="str">
        <f>"00137376"</f>
        <v>00137376</v>
      </c>
      <c r="H2014" t="s">
        <v>612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X2014">
        <v>0</v>
      </c>
      <c r="Y2014" t="s">
        <v>3360</v>
      </c>
    </row>
    <row r="2015" spans="1:25" x14ac:dyDescent="0.25">
      <c r="H2015" t="s">
        <v>23</v>
      </c>
    </row>
    <row r="2016" spans="1:25" x14ac:dyDescent="0.25">
      <c r="A2016">
        <v>1005</v>
      </c>
      <c r="B2016">
        <v>662</v>
      </c>
      <c r="C2016" t="s">
        <v>1800</v>
      </c>
      <c r="D2016" t="s">
        <v>193</v>
      </c>
      <c r="E2016" t="s">
        <v>130</v>
      </c>
      <c r="F2016" t="s">
        <v>3362</v>
      </c>
      <c r="G2016" t="str">
        <f>"00038632"</f>
        <v>00038632</v>
      </c>
      <c r="H2016" t="s">
        <v>612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70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X2016">
        <v>1</v>
      </c>
      <c r="Y2016" t="s">
        <v>3360</v>
      </c>
    </row>
    <row r="2017" spans="1:25" x14ac:dyDescent="0.25">
      <c r="H2017" t="s">
        <v>23</v>
      </c>
    </row>
    <row r="2018" spans="1:25" x14ac:dyDescent="0.25">
      <c r="A2018">
        <v>1006</v>
      </c>
      <c r="B2018">
        <v>4590</v>
      </c>
      <c r="C2018" t="s">
        <v>3363</v>
      </c>
      <c r="D2018" t="s">
        <v>147</v>
      </c>
      <c r="E2018" t="s">
        <v>87</v>
      </c>
      <c r="F2018" t="s">
        <v>3364</v>
      </c>
      <c r="G2018" t="str">
        <f>"201304005211"</f>
        <v>201304005211</v>
      </c>
      <c r="H2018" t="s">
        <v>1297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30</v>
      </c>
      <c r="O2018">
        <v>30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X2018">
        <v>2</v>
      </c>
      <c r="Y2018" t="s">
        <v>3365</v>
      </c>
    </row>
    <row r="2019" spans="1:25" x14ac:dyDescent="0.25">
      <c r="H2019" t="s">
        <v>1541</v>
      </c>
    </row>
    <row r="2020" spans="1:25" x14ac:dyDescent="0.25">
      <c r="A2020">
        <v>1007</v>
      </c>
      <c r="B2020">
        <v>398</v>
      </c>
      <c r="C2020" t="s">
        <v>3366</v>
      </c>
      <c r="D2020" t="s">
        <v>756</v>
      </c>
      <c r="E2020" t="s">
        <v>130</v>
      </c>
      <c r="F2020" t="s">
        <v>3367</v>
      </c>
      <c r="G2020" t="str">
        <f>"00194167"</f>
        <v>00194167</v>
      </c>
      <c r="H2020" t="s">
        <v>2877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70</v>
      </c>
      <c r="O2020">
        <v>50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X2020">
        <v>0</v>
      </c>
      <c r="Y2020" t="s">
        <v>3368</v>
      </c>
    </row>
    <row r="2021" spans="1:25" x14ac:dyDescent="0.25">
      <c r="H2021" t="s">
        <v>34</v>
      </c>
    </row>
    <row r="2022" spans="1:25" x14ac:dyDescent="0.25">
      <c r="A2022">
        <v>1008</v>
      </c>
      <c r="B2022">
        <v>3839</v>
      </c>
      <c r="C2022" t="s">
        <v>3369</v>
      </c>
      <c r="D2022" t="s">
        <v>25</v>
      </c>
      <c r="E2022" t="s">
        <v>49</v>
      </c>
      <c r="F2022" t="s">
        <v>3370</v>
      </c>
      <c r="G2022" t="str">
        <f>"201512004935"</f>
        <v>201512004935</v>
      </c>
      <c r="H2022" t="s">
        <v>699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70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X2022">
        <v>0</v>
      </c>
      <c r="Y2022" t="s">
        <v>3371</v>
      </c>
    </row>
    <row r="2023" spans="1:25" x14ac:dyDescent="0.25">
      <c r="H2023" t="s">
        <v>213</v>
      </c>
    </row>
    <row r="2024" spans="1:25" x14ac:dyDescent="0.25">
      <c r="A2024">
        <v>1009</v>
      </c>
      <c r="B2024">
        <v>180</v>
      </c>
      <c r="C2024" t="s">
        <v>3372</v>
      </c>
      <c r="D2024" t="s">
        <v>21</v>
      </c>
      <c r="E2024" t="s">
        <v>55</v>
      </c>
      <c r="F2024" t="s">
        <v>3373</v>
      </c>
      <c r="G2024" t="str">
        <f>"201406018955"</f>
        <v>201406018955</v>
      </c>
      <c r="H2024" t="s">
        <v>1904</v>
      </c>
      <c r="I2024">
        <v>0</v>
      </c>
      <c r="J2024">
        <v>0</v>
      </c>
      <c r="K2024">
        <v>0</v>
      </c>
      <c r="L2024">
        <v>0</v>
      </c>
      <c r="M2024">
        <v>100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X2024">
        <v>0</v>
      </c>
      <c r="Y2024" t="s">
        <v>3374</v>
      </c>
    </row>
    <row r="2025" spans="1:25" x14ac:dyDescent="0.25">
      <c r="H2025" t="s">
        <v>23</v>
      </c>
    </row>
    <row r="2026" spans="1:25" x14ac:dyDescent="0.25">
      <c r="A2026">
        <v>1010</v>
      </c>
      <c r="B2026">
        <v>2453</v>
      </c>
      <c r="C2026" t="s">
        <v>3375</v>
      </c>
      <c r="D2026" t="s">
        <v>3376</v>
      </c>
      <c r="E2026" t="s">
        <v>87</v>
      </c>
      <c r="F2026" t="s">
        <v>3377</v>
      </c>
      <c r="G2026" t="str">
        <f>"201406003027"</f>
        <v>201406003027</v>
      </c>
      <c r="H2026">
        <v>770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30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X2026">
        <v>0</v>
      </c>
      <c r="Y2026">
        <v>830</v>
      </c>
    </row>
    <row r="2027" spans="1:25" x14ac:dyDescent="0.25">
      <c r="H2027" t="s">
        <v>53</v>
      </c>
    </row>
    <row r="2028" spans="1:25" x14ac:dyDescent="0.25">
      <c r="A2028">
        <v>1011</v>
      </c>
      <c r="B2028">
        <v>2982</v>
      </c>
      <c r="C2028" t="s">
        <v>3378</v>
      </c>
      <c r="D2028" t="s">
        <v>2202</v>
      </c>
      <c r="E2028" t="s">
        <v>200</v>
      </c>
      <c r="F2028" t="s">
        <v>3379</v>
      </c>
      <c r="G2028" t="str">
        <f>"00130387"</f>
        <v>00130387</v>
      </c>
      <c r="H2028" t="s">
        <v>1317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30</v>
      </c>
      <c r="P2028">
        <v>0</v>
      </c>
      <c r="Q2028">
        <v>50</v>
      </c>
      <c r="R2028">
        <v>0</v>
      </c>
      <c r="S2028">
        <v>0</v>
      </c>
      <c r="T2028">
        <v>0</v>
      </c>
      <c r="U2028">
        <v>0</v>
      </c>
      <c r="V2028">
        <v>0</v>
      </c>
      <c r="X2028">
        <v>1</v>
      </c>
      <c r="Y2028" t="s">
        <v>3380</v>
      </c>
    </row>
    <row r="2029" spans="1:25" x14ac:dyDescent="0.25">
      <c r="H2029" t="s">
        <v>34</v>
      </c>
    </row>
    <row r="2030" spans="1:25" x14ac:dyDescent="0.25">
      <c r="A2030">
        <v>1012</v>
      </c>
      <c r="B2030">
        <v>2574</v>
      </c>
      <c r="C2030" t="s">
        <v>3381</v>
      </c>
      <c r="D2030" t="s">
        <v>193</v>
      </c>
      <c r="E2030" t="s">
        <v>55</v>
      </c>
      <c r="F2030" t="s">
        <v>3382</v>
      </c>
      <c r="G2030" t="str">
        <f>"00096032"</f>
        <v>00096032</v>
      </c>
      <c r="H2030" t="s">
        <v>51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50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X2030">
        <v>0</v>
      </c>
      <c r="Y2030" t="s">
        <v>3383</v>
      </c>
    </row>
    <row r="2031" spans="1:25" x14ac:dyDescent="0.25">
      <c r="H2031">
        <v>101</v>
      </c>
    </row>
    <row r="2032" spans="1:25" x14ac:dyDescent="0.25">
      <c r="A2032">
        <v>1013</v>
      </c>
      <c r="B2032">
        <v>5581</v>
      </c>
      <c r="C2032" t="s">
        <v>3384</v>
      </c>
      <c r="D2032" t="s">
        <v>159</v>
      </c>
      <c r="E2032" t="s">
        <v>43</v>
      </c>
      <c r="F2032" t="s">
        <v>3385</v>
      </c>
      <c r="G2032" t="str">
        <f>"201406005564"</f>
        <v>201406005564</v>
      </c>
      <c r="H2032">
        <v>748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50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X2032">
        <v>2</v>
      </c>
      <c r="Y2032">
        <v>828</v>
      </c>
    </row>
    <row r="2033" spans="1:25" x14ac:dyDescent="0.25">
      <c r="H2033" t="s">
        <v>23</v>
      </c>
    </row>
    <row r="2034" spans="1:25" x14ac:dyDescent="0.25">
      <c r="A2034">
        <v>1014</v>
      </c>
      <c r="B2034">
        <v>3524</v>
      </c>
      <c r="C2034" t="s">
        <v>3386</v>
      </c>
      <c r="D2034" t="s">
        <v>509</v>
      </c>
      <c r="E2034" t="s">
        <v>3387</v>
      </c>
      <c r="F2034" t="s">
        <v>3388</v>
      </c>
      <c r="G2034" t="str">
        <f>"00113819"</f>
        <v>00113819</v>
      </c>
      <c r="H2034" t="s">
        <v>1832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30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X2034">
        <v>0</v>
      </c>
      <c r="Y2034" t="s">
        <v>3389</v>
      </c>
    </row>
    <row r="2035" spans="1:25" x14ac:dyDescent="0.25">
      <c r="H2035">
        <v>101</v>
      </c>
    </row>
    <row r="2036" spans="1:25" x14ac:dyDescent="0.25">
      <c r="A2036">
        <v>1015</v>
      </c>
      <c r="B2036">
        <v>4524</v>
      </c>
      <c r="C2036" t="s">
        <v>3390</v>
      </c>
      <c r="D2036" t="s">
        <v>193</v>
      </c>
      <c r="E2036" t="s">
        <v>130</v>
      </c>
      <c r="F2036" t="s">
        <v>3391</v>
      </c>
      <c r="G2036" t="str">
        <f>"00120657"</f>
        <v>00120657</v>
      </c>
      <c r="H2036" t="s">
        <v>1425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70</v>
      </c>
      <c r="O2036">
        <v>50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X2036">
        <v>0</v>
      </c>
      <c r="Y2036" t="s">
        <v>3392</v>
      </c>
    </row>
    <row r="2037" spans="1:25" x14ac:dyDescent="0.25">
      <c r="H2037" t="s">
        <v>118</v>
      </c>
    </row>
    <row r="2038" spans="1:25" x14ac:dyDescent="0.25">
      <c r="A2038">
        <v>1016</v>
      </c>
      <c r="B2038">
        <v>1103</v>
      </c>
      <c r="C2038" t="s">
        <v>3393</v>
      </c>
      <c r="D2038" t="s">
        <v>21</v>
      </c>
      <c r="E2038" t="s">
        <v>87</v>
      </c>
      <c r="F2038" t="s">
        <v>3394</v>
      </c>
      <c r="G2038" t="str">
        <f>"00181438"</f>
        <v>00181438</v>
      </c>
      <c r="H2038" t="s">
        <v>723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70</v>
      </c>
      <c r="O2038">
        <v>30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X2038">
        <v>0</v>
      </c>
      <c r="Y2038" t="s">
        <v>3395</v>
      </c>
    </row>
    <row r="2039" spans="1:25" x14ac:dyDescent="0.25">
      <c r="H2039" t="s">
        <v>118</v>
      </c>
    </row>
    <row r="2040" spans="1:25" x14ac:dyDescent="0.25">
      <c r="A2040">
        <v>1017</v>
      </c>
      <c r="B2040">
        <v>2751</v>
      </c>
      <c r="C2040" t="s">
        <v>3396</v>
      </c>
      <c r="D2040" t="s">
        <v>663</v>
      </c>
      <c r="E2040" t="s">
        <v>200</v>
      </c>
      <c r="F2040" t="s">
        <v>3397</v>
      </c>
      <c r="G2040" t="str">
        <f>"00108872"</f>
        <v>00108872</v>
      </c>
      <c r="H2040" t="s">
        <v>723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70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X2040">
        <v>0</v>
      </c>
      <c r="Y2040" t="s">
        <v>3395</v>
      </c>
    </row>
    <row r="2041" spans="1:25" x14ac:dyDescent="0.25">
      <c r="H2041" t="s">
        <v>213</v>
      </c>
    </row>
    <row r="2042" spans="1:25" x14ac:dyDescent="0.25">
      <c r="A2042">
        <v>1018</v>
      </c>
      <c r="B2042">
        <v>4664</v>
      </c>
      <c r="C2042" t="s">
        <v>3398</v>
      </c>
      <c r="D2042" t="s">
        <v>346</v>
      </c>
      <c r="E2042" t="s">
        <v>21</v>
      </c>
      <c r="F2042" t="s">
        <v>3399</v>
      </c>
      <c r="G2042" t="str">
        <f>"00023169"</f>
        <v>00023169</v>
      </c>
      <c r="H2042" t="s">
        <v>723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30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X2042">
        <v>0</v>
      </c>
      <c r="Y2042" t="s">
        <v>3395</v>
      </c>
    </row>
    <row r="2043" spans="1:25" x14ac:dyDescent="0.25">
      <c r="H2043" t="s">
        <v>91</v>
      </c>
    </row>
    <row r="2044" spans="1:25" x14ac:dyDescent="0.25">
      <c r="A2044">
        <v>1019</v>
      </c>
      <c r="B2044">
        <v>1532</v>
      </c>
      <c r="C2044" t="s">
        <v>3390</v>
      </c>
      <c r="D2044" t="s">
        <v>509</v>
      </c>
      <c r="E2044" t="s">
        <v>65</v>
      </c>
      <c r="F2044" t="s">
        <v>3400</v>
      </c>
      <c r="G2044" t="str">
        <f>"00014893"</f>
        <v>00014893</v>
      </c>
      <c r="H2044" t="s">
        <v>723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70</v>
      </c>
      <c r="O2044">
        <v>0</v>
      </c>
      <c r="P2044">
        <v>30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X2044">
        <v>2</v>
      </c>
      <c r="Y2044" t="s">
        <v>3395</v>
      </c>
    </row>
    <row r="2045" spans="1:25" x14ac:dyDescent="0.25">
      <c r="H2045" t="s">
        <v>23</v>
      </c>
    </row>
    <row r="2046" spans="1:25" x14ac:dyDescent="0.25">
      <c r="A2046">
        <v>1020</v>
      </c>
      <c r="B2046">
        <v>4492</v>
      </c>
      <c r="C2046" t="s">
        <v>412</v>
      </c>
      <c r="D2046" t="s">
        <v>3401</v>
      </c>
      <c r="E2046" t="s">
        <v>1431</v>
      </c>
      <c r="F2046" t="s">
        <v>3402</v>
      </c>
      <c r="G2046" t="str">
        <f>"00183328"</f>
        <v>00183328</v>
      </c>
      <c r="H2046" t="s">
        <v>127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30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X2046">
        <v>0</v>
      </c>
      <c r="Y2046" t="s">
        <v>3403</v>
      </c>
    </row>
    <row r="2047" spans="1:25" x14ac:dyDescent="0.25">
      <c r="H2047" t="s">
        <v>91</v>
      </c>
    </row>
    <row r="2048" spans="1:25" x14ac:dyDescent="0.25">
      <c r="A2048">
        <v>1021</v>
      </c>
      <c r="B2048">
        <v>1121</v>
      </c>
      <c r="C2048" t="s">
        <v>3404</v>
      </c>
      <c r="D2048" t="s">
        <v>917</v>
      </c>
      <c r="E2048" t="s">
        <v>1035</v>
      </c>
      <c r="F2048" t="s">
        <v>3405</v>
      </c>
      <c r="G2048" t="str">
        <f>"00124601"</f>
        <v>00124601</v>
      </c>
      <c r="H2048" t="s">
        <v>3248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70</v>
      </c>
      <c r="O2048">
        <v>0</v>
      </c>
      <c r="P2048">
        <v>50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X2048">
        <v>0</v>
      </c>
      <c r="Y2048" t="s">
        <v>3406</v>
      </c>
    </row>
    <row r="2049" spans="1:25" x14ac:dyDescent="0.25">
      <c r="H2049">
        <v>101</v>
      </c>
    </row>
    <row r="2050" spans="1:25" x14ac:dyDescent="0.25">
      <c r="A2050">
        <v>1022</v>
      </c>
      <c r="B2050">
        <v>4354</v>
      </c>
      <c r="C2050" t="s">
        <v>1763</v>
      </c>
      <c r="D2050" t="s">
        <v>468</v>
      </c>
      <c r="E2050" t="s">
        <v>895</v>
      </c>
      <c r="F2050" t="s">
        <v>3407</v>
      </c>
      <c r="G2050" t="str">
        <f>"201304001708"</f>
        <v>201304001708</v>
      </c>
      <c r="H2050" t="s">
        <v>3248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70</v>
      </c>
      <c r="O2050">
        <v>0</v>
      </c>
      <c r="P2050">
        <v>50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X2050">
        <v>0</v>
      </c>
      <c r="Y2050" t="s">
        <v>3406</v>
      </c>
    </row>
    <row r="2051" spans="1:25" x14ac:dyDescent="0.25">
      <c r="H2051" t="s">
        <v>23</v>
      </c>
    </row>
    <row r="2052" spans="1:25" x14ac:dyDescent="0.25">
      <c r="A2052">
        <v>1023</v>
      </c>
      <c r="B2052">
        <v>6390</v>
      </c>
      <c r="C2052" t="s">
        <v>3408</v>
      </c>
      <c r="D2052" t="s">
        <v>217</v>
      </c>
      <c r="E2052" t="s">
        <v>21</v>
      </c>
      <c r="F2052" t="s">
        <v>3409</v>
      </c>
      <c r="G2052" t="str">
        <f>"00119739"</f>
        <v>00119739</v>
      </c>
      <c r="H2052">
        <v>726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0</v>
      </c>
      <c r="P2052">
        <v>30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X2052">
        <v>0</v>
      </c>
      <c r="Y2052">
        <v>826</v>
      </c>
    </row>
    <row r="2053" spans="1:25" x14ac:dyDescent="0.25">
      <c r="H2053" t="s">
        <v>23</v>
      </c>
    </row>
    <row r="2054" spans="1:25" x14ac:dyDescent="0.25">
      <c r="A2054">
        <v>1024</v>
      </c>
      <c r="B2054">
        <v>4921</v>
      </c>
      <c r="C2054" t="s">
        <v>3410</v>
      </c>
      <c r="D2054" t="s">
        <v>322</v>
      </c>
      <c r="E2054" t="s">
        <v>49</v>
      </c>
      <c r="F2054" t="s">
        <v>3411</v>
      </c>
      <c r="G2054" t="str">
        <f>"00118715"</f>
        <v>00118715</v>
      </c>
      <c r="H2054">
        <v>726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70</v>
      </c>
      <c r="O2054">
        <v>30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X2054">
        <v>0</v>
      </c>
      <c r="Y2054">
        <v>826</v>
      </c>
    </row>
    <row r="2055" spans="1:25" x14ac:dyDescent="0.25">
      <c r="H2055" t="s">
        <v>23</v>
      </c>
    </row>
    <row r="2056" spans="1:25" x14ac:dyDescent="0.25">
      <c r="A2056">
        <v>1025</v>
      </c>
      <c r="B2056">
        <v>1</v>
      </c>
      <c r="C2056" t="s">
        <v>3412</v>
      </c>
      <c r="D2056" t="s">
        <v>3275</v>
      </c>
      <c r="E2056" t="s">
        <v>21</v>
      </c>
      <c r="F2056" t="s">
        <v>3413</v>
      </c>
      <c r="G2056" t="str">
        <f>"00123761"</f>
        <v>00123761</v>
      </c>
      <c r="H2056" t="s">
        <v>1466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30</v>
      </c>
      <c r="P2056">
        <v>0</v>
      </c>
      <c r="Q2056">
        <v>30</v>
      </c>
      <c r="R2056">
        <v>0</v>
      </c>
      <c r="S2056">
        <v>0</v>
      </c>
      <c r="T2056">
        <v>0</v>
      </c>
      <c r="U2056">
        <v>0</v>
      </c>
      <c r="V2056">
        <v>0</v>
      </c>
      <c r="X2056">
        <v>0</v>
      </c>
      <c r="Y2056" t="s">
        <v>3414</v>
      </c>
    </row>
    <row r="2057" spans="1:25" x14ac:dyDescent="0.25">
      <c r="H2057" t="s">
        <v>91</v>
      </c>
    </row>
    <row r="2058" spans="1:25" x14ac:dyDescent="0.25">
      <c r="A2058">
        <v>1026</v>
      </c>
      <c r="B2058">
        <v>5618</v>
      </c>
      <c r="C2058" t="s">
        <v>3415</v>
      </c>
      <c r="D2058" t="s">
        <v>25</v>
      </c>
      <c r="E2058" t="s">
        <v>81</v>
      </c>
      <c r="F2058" t="s">
        <v>3416</v>
      </c>
      <c r="G2058" t="str">
        <f>"201406000699"</f>
        <v>201406000699</v>
      </c>
      <c r="H2058" t="s">
        <v>1578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0</v>
      </c>
      <c r="P2058">
        <v>30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X2058">
        <v>0</v>
      </c>
      <c r="Y2058" t="s">
        <v>3417</v>
      </c>
    </row>
    <row r="2059" spans="1:25" x14ac:dyDescent="0.25">
      <c r="H2059" t="s">
        <v>53</v>
      </c>
    </row>
    <row r="2060" spans="1:25" x14ac:dyDescent="0.25">
      <c r="A2060">
        <v>1027</v>
      </c>
      <c r="B2060">
        <v>2392</v>
      </c>
      <c r="C2060" t="s">
        <v>1306</v>
      </c>
      <c r="D2060" t="s">
        <v>3418</v>
      </c>
      <c r="E2060" t="s">
        <v>1035</v>
      </c>
      <c r="F2060" t="s">
        <v>3419</v>
      </c>
      <c r="G2060" t="str">
        <f>"200812000151"</f>
        <v>200812000151</v>
      </c>
      <c r="H2060" t="s">
        <v>1578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30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X2060">
        <v>0</v>
      </c>
      <c r="Y2060" t="s">
        <v>3417</v>
      </c>
    </row>
    <row r="2061" spans="1:25" x14ac:dyDescent="0.25">
      <c r="H2061" t="s">
        <v>118</v>
      </c>
    </row>
    <row r="2062" spans="1:25" x14ac:dyDescent="0.25">
      <c r="A2062">
        <v>1028</v>
      </c>
      <c r="B2062">
        <v>4204</v>
      </c>
      <c r="C2062" t="s">
        <v>3420</v>
      </c>
      <c r="D2062" t="s">
        <v>781</v>
      </c>
      <c r="E2062" t="s">
        <v>49</v>
      </c>
      <c r="F2062" t="s">
        <v>3421</v>
      </c>
      <c r="G2062" t="str">
        <f>"00199371"</f>
        <v>00199371</v>
      </c>
      <c r="H2062" t="s">
        <v>1578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70</v>
      </c>
      <c r="O2062">
        <v>30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X2062">
        <v>0</v>
      </c>
      <c r="Y2062" t="s">
        <v>3417</v>
      </c>
    </row>
    <row r="2063" spans="1:25" x14ac:dyDescent="0.25">
      <c r="H2063" t="s">
        <v>53</v>
      </c>
    </row>
    <row r="2064" spans="1:25" x14ac:dyDescent="0.25">
      <c r="A2064">
        <v>1029</v>
      </c>
      <c r="B2064">
        <v>4255</v>
      </c>
      <c r="C2064" t="s">
        <v>3422</v>
      </c>
      <c r="D2064" t="s">
        <v>3423</v>
      </c>
      <c r="E2064" t="s">
        <v>419</v>
      </c>
      <c r="F2064" t="s">
        <v>3424</v>
      </c>
      <c r="G2064" t="str">
        <f>"00010691"</f>
        <v>00010691</v>
      </c>
      <c r="H2064" t="s">
        <v>1372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30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X2064">
        <v>1</v>
      </c>
      <c r="Y2064" t="s">
        <v>3425</v>
      </c>
    </row>
    <row r="2065" spans="1:25" x14ac:dyDescent="0.25">
      <c r="H2065" t="s">
        <v>23</v>
      </c>
    </row>
    <row r="2066" spans="1:25" x14ac:dyDescent="0.25">
      <c r="A2066">
        <v>1030</v>
      </c>
      <c r="B2066">
        <v>5578</v>
      </c>
      <c r="C2066" t="s">
        <v>3426</v>
      </c>
      <c r="D2066" t="s">
        <v>70</v>
      </c>
      <c r="E2066" t="s">
        <v>200</v>
      </c>
      <c r="F2066" t="s">
        <v>3427</v>
      </c>
      <c r="G2066" t="str">
        <f>"201304003382"</f>
        <v>201304003382</v>
      </c>
      <c r="H2066" t="s">
        <v>1959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70</v>
      </c>
      <c r="O2066">
        <v>70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X2066">
        <v>0</v>
      </c>
      <c r="Y2066" t="s">
        <v>3428</v>
      </c>
    </row>
    <row r="2067" spans="1:25" x14ac:dyDescent="0.25">
      <c r="H2067" t="s">
        <v>34</v>
      </c>
    </row>
    <row r="2068" spans="1:25" x14ac:dyDescent="0.25">
      <c r="A2068">
        <v>1031</v>
      </c>
      <c r="B2068">
        <v>6089</v>
      </c>
      <c r="C2068" t="s">
        <v>1422</v>
      </c>
      <c r="D2068" t="s">
        <v>2980</v>
      </c>
      <c r="E2068" t="s">
        <v>21</v>
      </c>
      <c r="F2068" t="s">
        <v>3429</v>
      </c>
      <c r="G2068" t="str">
        <f>"201506002949"</f>
        <v>201506002949</v>
      </c>
      <c r="H2068">
        <v>704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70</v>
      </c>
      <c r="O2068">
        <v>0</v>
      </c>
      <c r="P2068">
        <v>50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X2068">
        <v>0</v>
      </c>
      <c r="Y2068">
        <v>824</v>
      </c>
    </row>
    <row r="2069" spans="1:25" x14ac:dyDescent="0.25">
      <c r="H2069" t="s">
        <v>34</v>
      </c>
    </row>
    <row r="2070" spans="1:25" x14ac:dyDescent="0.25">
      <c r="A2070">
        <v>1032</v>
      </c>
      <c r="B2070">
        <v>2171</v>
      </c>
      <c r="C2070" t="s">
        <v>3430</v>
      </c>
      <c r="D2070" t="s">
        <v>531</v>
      </c>
      <c r="E2070" t="s">
        <v>71</v>
      </c>
      <c r="F2070" t="s">
        <v>3431</v>
      </c>
      <c r="G2070" t="str">
        <f>"00168528"</f>
        <v>00168528</v>
      </c>
      <c r="H2070">
        <v>704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50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X2070">
        <v>0</v>
      </c>
      <c r="Y2070">
        <v>824</v>
      </c>
    </row>
    <row r="2071" spans="1:25" x14ac:dyDescent="0.25">
      <c r="H2071">
        <v>101</v>
      </c>
    </row>
    <row r="2072" spans="1:25" x14ac:dyDescent="0.25">
      <c r="A2072">
        <v>1033</v>
      </c>
      <c r="B2072">
        <v>1179</v>
      </c>
      <c r="C2072" t="s">
        <v>3432</v>
      </c>
      <c r="D2072" t="s">
        <v>1667</v>
      </c>
      <c r="E2072" t="s">
        <v>419</v>
      </c>
      <c r="F2072" t="s">
        <v>3433</v>
      </c>
      <c r="G2072" t="str">
        <f>"00127568"</f>
        <v>00127568</v>
      </c>
      <c r="H2072">
        <v>704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70</v>
      </c>
      <c r="O2072">
        <v>0</v>
      </c>
      <c r="P2072">
        <v>50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X2072">
        <v>0</v>
      </c>
      <c r="Y2072">
        <v>824</v>
      </c>
    </row>
    <row r="2073" spans="1:25" x14ac:dyDescent="0.25">
      <c r="H2073" t="s">
        <v>53</v>
      </c>
    </row>
    <row r="2074" spans="1:25" x14ac:dyDescent="0.25">
      <c r="A2074">
        <v>1034</v>
      </c>
      <c r="B2074">
        <v>263</v>
      </c>
      <c r="C2074" t="s">
        <v>3434</v>
      </c>
      <c r="D2074" t="s">
        <v>81</v>
      </c>
      <c r="E2074" t="s">
        <v>87</v>
      </c>
      <c r="F2074" t="s">
        <v>3435</v>
      </c>
      <c r="G2074" t="str">
        <f>"201406003668"</f>
        <v>201406003668</v>
      </c>
      <c r="H2074" t="s">
        <v>1286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70</v>
      </c>
      <c r="U2074">
        <v>0</v>
      </c>
      <c r="V2074">
        <v>0</v>
      </c>
      <c r="X2074">
        <v>0</v>
      </c>
      <c r="Y2074" t="s">
        <v>3436</v>
      </c>
    </row>
    <row r="2075" spans="1:25" x14ac:dyDescent="0.25">
      <c r="H2075" t="s">
        <v>23</v>
      </c>
    </row>
    <row r="2076" spans="1:25" x14ac:dyDescent="0.25">
      <c r="A2076">
        <v>1035</v>
      </c>
      <c r="B2076">
        <v>5864</v>
      </c>
      <c r="C2076" t="s">
        <v>3437</v>
      </c>
      <c r="D2076" t="s">
        <v>193</v>
      </c>
      <c r="E2076" t="s">
        <v>616</v>
      </c>
      <c r="F2076" t="s">
        <v>3438</v>
      </c>
      <c r="G2076" t="str">
        <f>"200903000728"</f>
        <v>200903000728</v>
      </c>
      <c r="H2076" t="s">
        <v>1286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70</v>
      </c>
      <c r="O2076">
        <v>30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X2076">
        <v>0</v>
      </c>
      <c r="Y2076" t="s">
        <v>3436</v>
      </c>
    </row>
    <row r="2077" spans="1:25" x14ac:dyDescent="0.25">
      <c r="H2077" t="s">
        <v>118</v>
      </c>
    </row>
    <row r="2078" spans="1:25" x14ac:dyDescent="0.25">
      <c r="A2078">
        <v>1036</v>
      </c>
      <c r="B2078">
        <v>3545</v>
      </c>
      <c r="C2078" t="s">
        <v>3439</v>
      </c>
      <c r="D2078" t="s">
        <v>2823</v>
      </c>
      <c r="E2078" t="s">
        <v>15</v>
      </c>
      <c r="F2078" t="s">
        <v>3440</v>
      </c>
      <c r="G2078" t="str">
        <f>"00121406"</f>
        <v>00121406</v>
      </c>
      <c r="H2078" t="s">
        <v>1286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70</v>
      </c>
      <c r="O2078">
        <v>0</v>
      </c>
      <c r="P2078">
        <v>30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X2078">
        <v>0</v>
      </c>
      <c r="Y2078" t="s">
        <v>3436</v>
      </c>
    </row>
    <row r="2079" spans="1:25" x14ac:dyDescent="0.25">
      <c r="H2079" t="s">
        <v>23</v>
      </c>
    </row>
    <row r="2080" spans="1:25" x14ac:dyDescent="0.25">
      <c r="A2080">
        <v>1037</v>
      </c>
      <c r="B2080">
        <v>5223</v>
      </c>
      <c r="C2080" t="s">
        <v>3441</v>
      </c>
      <c r="D2080" t="s">
        <v>3442</v>
      </c>
      <c r="E2080" t="s">
        <v>87</v>
      </c>
      <c r="F2080" t="s">
        <v>3443</v>
      </c>
      <c r="G2080" t="str">
        <f>"00108485"</f>
        <v>00108485</v>
      </c>
      <c r="H2080" t="s">
        <v>390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30</v>
      </c>
      <c r="P2080">
        <v>0</v>
      </c>
      <c r="Q2080">
        <v>0</v>
      </c>
      <c r="R2080">
        <v>30</v>
      </c>
      <c r="S2080">
        <v>0</v>
      </c>
      <c r="T2080">
        <v>0</v>
      </c>
      <c r="U2080">
        <v>0</v>
      </c>
      <c r="V2080">
        <v>0</v>
      </c>
      <c r="X2080">
        <v>0</v>
      </c>
      <c r="Y2080" t="s">
        <v>3444</v>
      </c>
    </row>
    <row r="2081" spans="1:25" x14ac:dyDescent="0.25">
      <c r="H2081" t="s">
        <v>23</v>
      </c>
    </row>
    <row r="2082" spans="1:25" x14ac:dyDescent="0.25">
      <c r="A2082">
        <v>1038</v>
      </c>
      <c r="B2082">
        <v>3378</v>
      </c>
      <c r="C2082" t="s">
        <v>1879</v>
      </c>
      <c r="D2082" t="s">
        <v>3445</v>
      </c>
      <c r="E2082" t="s">
        <v>61</v>
      </c>
      <c r="F2082" t="s">
        <v>3446</v>
      </c>
      <c r="G2082" t="str">
        <f>"00012227"</f>
        <v>00012227</v>
      </c>
      <c r="H2082" t="s">
        <v>1027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70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X2082">
        <v>0</v>
      </c>
      <c r="Y2082" t="s">
        <v>3447</v>
      </c>
    </row>
    <row r="2083" spans="1:25" x14ac:dyDescent="0.25">
      <c r="H2083">
        <v>101</v>
      </c>
    </row>
    <row r="2084" spans="1:25" x14ac:dyDescent="0.25">
      <c r="A2084">
        <v>1039</v>
      </c>
      <c r="B2084">
        <v>4632</v>
      </c>
      <c r="C2084" t="s">
        <v>708</v>
      </c>
      <c r="D2084" t="s">
        <v>501</v>
      </c>
      <c r="E2084" t="s">
        <v>55</v>
      </c>
      <c r="F2084" t="s">
        <v>3448</v>
      </c>
      <c r="G2084" t="str">
        <f>"201511014650"</f>
        <v>201511014650</v>
      </c>
      <c r="H2084" t="s">
        <v>1027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70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X2084">
        <v>0</v>
      </c>
      <c r="Y2084" t="s">
        <v>3447</v>
      </c>
    </row>
    <row r="2085" spans="1:25" x14ac:dyDescent="0.25">
      <c r="H2085" t="s">
        <v>53</v>
      </c>
    </row>
    <row r="2086" spans="1:25" x14ac:dyDescent="0.25">
      <c r="A2086">
        <v>1040</v>
      </c>
      <c r="B2086">
        <v>1468</v>
      </c>
      <c r="C2086" t="s">
        <v>3449</v>
      </c>
      <c r="D2086" t="s">
        <v>509</v>
      </c>
      <c r="E2086" t="s">
        <v>1132</v>
      </c>
      <c r="F2086" t="s">
        <v>3450</v>
      </c>
      <c r="G2086" t="str">
        <f>"00203404"</f>
        <v>00203404</v>
      </c>
      <c r="H2086" t="s">
        <v>1027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70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X2086">
        <v>1</v>
      </c>
      <c r="Y2086" t="s">
        <v>3447</v>
      </c>
    </row>
    <row r="2087" spans="1:25" x14ac:dyDescent="0.25">
      <c r="H2087" t="s">
        <v>53</v>
      </c>
    </row>
    <row r="2088" spans="1:25" x14ac:dyDescent="0.25">
      <c r="A2088">
        <v>1041</v>
      </c>
      <c r="B2088">
        <v>5001</v>
      </c>
      <c r="C2088" t="s">
        <v>1321</v>
      </c>
      <c r="D2088" t="s">
        <v>382</v>
      </c>
      <c r="E2088" t="s">
        <v>147</v>
      </c>
      <c r="F2088" t="s">
        <v>3451</v>
      </c>
      <c r="G2088" t="str">
        <f>"00120127"</f>
        <v>00120127</v>
      </c>
      <c r="H2088" t="s">
        <v>828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70</v>
      </c>
      <c r="O2088">
        <v>50</v>
      </c>
      <c r="P2088">
        <v>0</v>
      </c>
      <c r="Q2088">
        <v>30</v>
      </c>
      <c r="R2088">
        <v>0</v>
      </c>
      <c r="S2088">
        <v>0</v>
      </c>
      <c r="T2088">
        <v>0</v>
      </c>
      <c r="U2088">
        <v>0</v>
      </c>
      <c r="V2088">
        <v>0</v>
      </c>
      <c r="X2088">
        <v>0</v>
      </c>
      <c r="Y2088" t="s">
        <v>3452</v>
      </c>
    </row>
    <row r="2089" spans="1:25" x14ac:dyDescent="0.25">
      <c r="H2089" t="s">
        <v>366</v>
      </c>
    </row>
    <row r="2090" spans="1:25" x14ac:dyDescent="0.25">
      <c r="A2090">
        <v>1042</v>
      </c>
      <c r="B2090">
        <v>1786</v>
      </c>
      <c r="C2090" t="s">
        <v>3453</v>
      </c>
      <c r="D2090" t="s">
        <v>48</v>
      </c>
      <c r="E2090" t="s">
        <v>419</v>
      </c>
      <c r="F2090" t="s">
        <v>3454</v>
      </c>
      <c r="G2090" t="str">
        <f>"201506001355"</f>
        <v>201506001355</v>
      </c>
      <c r="H2090" t="s">
        <v>511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30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X2090">
        <v>0</v>
      </c>
      <c r="Y2090" t="s">
        <v>3455</v>
      </c>
    </row>
    <row r="2091" spans="1:25" x14ac:dyDescent="0.25">
      <c r="H2091" t="s">
        <v>118</v>
      </c>
    </row>
    <row r="2092" spans="1:25" x14ac:dyDescent="0.25">
      <c r="A2092">
        <v>1043</v>
      </c>
      <c r="B2092">
        <v>2854</v>
      </c>
      <c r="C2092" t="s">
        <v>3456</v>
      </c>
      <c r="D2092" t="s">
        <v>3457</v>
      </c>
      <c r="E2092" t="s">
        <v>87</v>
      </c>
      <c r="F2092" t="s">
        <v>3458</v>
      </c>
      <c r="G2092" t="str">
        <f>"00187366"</f>
        <v>00187366</v>
      </c>
      <c r="H2092" t="s">
        <v>511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30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X2092">
        <v>0</v>
      </c>
      <c r="Y2092" t="s">
        <v>3455</v>
      </c>
    </row>
    <row r="2093" spans="1:25" x14ac:dyDescent="0.25">
      <c r="H2093">
        <v>101</v>
      </c>
    </row>
    <row r="2094" spans="1:25" x14ac:dyDescent="0.25">
      <c r="A2094">
        <v>1044</v>
      </c>
      <c r="B2094">
        <v>1340</v>
      </c>
      <c r="C2094" t="s">
        <v>741</v>
      </c>
      <c r="D2094" t="s">
        <v>1224</v>
      </c>
      <c r="E2094" t="s">
        <v>49</v>
      </c>
      <c r="F2094" t="s">
        <v>3459</v>
      </c>
      <c r="G2094" t="str">
        <f>"00088339"</f>
        <v>00088339</v>
      </c>
      <c r="H2094" t="s">
        <v>608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50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X2094">
        <v>0</v>
      </c>
      <c r="Y2094" t="s">
        <v>3460</v>
      </c>
    </row>
    <row r="2095" spans="1:25" x14ac:dyDescent="0.25">
      <c r="H2095" t="s">
        <v>91</v>
      </c>
    </row>
    <row r="2096" spans="1:25" x14ac:dyDescent="0.25">
      <c r="A2096">
        <v>1045</v>
      </c>
      <c r="B2096">
        <v>2503</v>
      </c>
      <c r="C2096" t="s">
        <v>2658</v>
      </c>
      <c r="D2096" t="s">
        <v>1128</v>
      </c>
      <c r="E2096" t="s">
        <v>1260</v>
      </c>
      <c r="F2096" t="s">
        <v>3461</v>
      </c>
      <c r="G2096" t="str">
        <f>"200811000854"</f>
        <v>200811000854</v>
      </c>
      <c r="H2096" t="s">
        <v>612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30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X2096">
        <v>0</v>
      </c>
      <c r="Y2096" t="s">
        <v>3462</v>
      </c>
    </row>
    <row r="2097" spans="1:25" x14ac:dyDescent="0.25">
      <c r="H2097" t="s">
        <v>23</v>
      </c>
    </row>
    <row r="2098" spans="1:25" x14ac:dyDescent="0.25">
      <c r="A2098">
        <v>1046</v>
      </c>
      <c r="B2098">
        <v>3511</v>
      </c>
      <c r="C2098" t="s">
        <v>3463</v>
      </c>
      <c r="D2098" t="s">
        <v>266</v>
      </c>
      <c r="E2098" t="s">
        <v>283</v>
      </c>
      <c r="F2098" t="s">
        <v>3464</v>
      </c>
      <c r="G2098" t="str">
        <f>"00015210"</f>
        <v>00015210</v>
      </c>
      <c r="H2098">
        <v>792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X2098">
        <v>0</v>
      </c>
      <c r="Y2098">
        <v>822</v>
      </c>
    </row>
    <row r="2099" spans="1:25" x14ac:dyDescent="0.25">
      <c r="H2099" t="s">
        <v>34</v>
      </c>
    </row>
    <row r="2100" spans="1:25" x14ac:dyDescent="0.25">
      <c r="A2100">
        <v>1047</v>
      </c>
      <c r="B2100">
        <v>1243</v>
      </c>
      <c r="C2100" t="s">
        <v>3465</v>
      </c>
      <c r="D2100" t="s">
        <v>43</v>
      </c>
      <c r="E2100" t="s">
        <v>184</v>
      </c>
      <c r="F2100" t="s">
        <v>3466</v>
      </c>
      <c r="G2100" t="str">
        <f>"00105493"</f>
        <v>00105493</v>
      </c>
      <c r="H2100" t="s">
        <v>954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70</v>
      </c>
      <c r="O2100">
        <v>0</v>
      </c>
      <c r="P2100">
        <v>50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X2100">
        <v>0</v>
      </c>
      <c r="Y2100" t="s">
        <v>3467</v>
      </c>
    </row>
    <row r="2101" spans="1:25" x14ac:dyDescent="0.25">
      <c r="H2101" t="s">
        <v>23</v>
      </c>
    </row>
    <row r="2102" spans="1:25" x14ac:dyDescent="0.25">
      <c r="A2102">
        <v>1048</v>
      </c>
      <c r="B2102">
        <v>5743</v>
      </c>
      <c r="C2102" t="s">
        <v>3468</v>
      </c>
      <c r="D2102" t="s">
        <v>3469</v>
      </c>
      <c r="E2102" t="s">
        <v>87</v>
      </c>
      <c r="F2102" t="s">
        <v>3470</v>
      </c>
      <c r="G2102" t="str">
        <f>"00121629"</f>
        <v>00121629</v>
      </c>
      <c r="H2102" t="s">
        <v>776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70</v>
      </c>
      <c r="O2102">
        <v>0</v>
      </c>
      <c r="P2102">
        <v>0</v>
      </c>
      <c r="Q2102">
        <v>0</v>
      </c>
      <c r="R2102">
        <v>30</v>
      </c>
      <c r="S2102">
        <v>0</v>
      </c>
      <c r="T2102">
        <v>0</v>
      </c>
      <c r="U2102">
        <v>0</v>
      </c>
      <c r="V2102">
        <v>0</v>
      </c>
      <c r="X2102">
        <v>0</v>
      </c>
      <c r="Y2102" t="s">
        <v>3471</v>
      </c>
    </row>
    <row r="2103" spans="1:25" x14ac:dyDescent="0.25">
      <c r="H2103" t="s">
        <v>23</v>
      </c>
    </row>
    <row r="2104" spans="1:25" x14ac:dyDescent="0.25">
      <c r="A2104">
        <v>1049</v>
      </c>
      <c r="B2104">
        <v>1898</v>
      </c>
      <c r="C2104" t="s">
        <v>522</v>
      </c>
      <c r="D2104" t="s">
        <v>266</v>
      </c>
      <c r="E2104" t="s">
        <v>61</v>
      </c>
      <c r="F2104" t="s">
        <v>3472</v>
      </c>
      <c r="G2104" t="str">
        <f>"00011822"</f>
        <v>00011822</v>
      </c>
      <c r="H2104" t="s">
        <v>1994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70</v>
      </c>
      <c r="O2104">
        <v>50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X2104">
        <v>0</v>
      </c>
      <c r="Y2104" t="s">
        <v>3473</v>
      </c>
    </row>
    <row r="2105" spans="1:25" x14ac:dyDescent="0.25">
      <c r="H2105" t="s">
        <v>34</v>
      </c>
    </row>
    <row r="2106" spans="1:25" x14ac:dyDescent="0.25">
      <c r="A2106">
        <v>1050</v>
      </c>
      <c r="B2106">
        <v>5524</v>
      </c>
      <c r="C2106" t="s">
        <v>3474</v>
      </c>
      <c r="D2106" t="s">
        <v>48</v>
      </c>
      <c r="E2106" t="s">
        <v>21</v>
      </c>
      <c r="F2106" t="s">
        <v>3475</v>
      </c>
      <c r="G2106" t="str">
        <f>"00201748"</f>
        <v>00201748</v>
      </c>
      <c r="H2106">
        <v>770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50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X2106">
        <v>0</v>
      </c>
      <c r="Y2106">
        <v>820</v>
      </c>
    </row>
    <row r="2107" spans="1:25" x14ac:dyDescent="0.25">
      <c r="H2107" t="s">
        <v>23</v>
      </c>
    </row>
    <row r="2108" spans="1:25" x14ac:dyDescent="0.25">
      <c r="A2108">
        <v>1051</v>
      </c>
      <c r="B2108">
        <v>2178</v>
      </c>
      <c r="C2108" t="s">
        <v>3476</v>
      </c>
      <c r="D2108" t="s">
        <v>113</v>
      </c>
      <c r="E2108" t="s">
        <v>200</v>
      </c>
      <c r="F2108" t="s">
        <v>3477</v>
      </c>
      <c r="G2108" t="str">
        <f>"201406010792"</f>
        <v>201406010792</v>
      </c>
      <c r="H2108">
        <v>660</v>
      </c>
      <c r="I2108">
        <v>0</v>
      </c>
      <c r="J2108">
        <v>0</v>
      </c>
      <c r="K2108">
        <v>0</v>
      </c>
      <c r="L2108">
        <v>0</v>
      </c>
      <c r="M2108">
        <v>100</v>
      </c>
      <c r="N2108">
        <v>30</v>
      </c>
      <c r="O2108">
        <v>0</v>
      </c>
      <c r="P2108">
        <v>30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X2108">
        <v>0</v>
      </c>
      <c r="Y2108">
        <v>820</v>
      </c>
    </row>
    <row r="2109" spans="1:25" x14ac:dyDescent="0.25">
      <c r="H2109" t="s">
        <v>23</v>
      </c>
    </row>
    <row r="2110" spans="1:25" x14ac:dyDescent="0.25">
      <c r="A2110">
        <v>1052</v>
      </c>
      <c r="B2110">
        <v>2768</v>
      </c>
      <c r="C2110" t="s">
        <v>3478</v>
      </c>
      <c r="D2110" t="s">
        <v>3479</v>
      </c>
      <c r="E2110" t="s">
        <v>65</v>
      </c>
      <c r="F2110" t="s">
        <v>3480</v>
      </c>
      <c r="G2110" t="str">
        <f>"00103303"</f>
        <v>00103303</v>
      </c>
      <c r="H2110">
        <v>550</v>
      </c>
      <c r="I2110">
        <v>0</v>
      </c>
      <c r="J2110">
        <v>0</v>
      </c>
      <c r="K2110">
        <v>0</v>
      </c>
      <c r="L2110">
        <v>200</v>
      </c>
      <c r="M2110">
        <v>0</v>
      </c>
      <c r="N2110">
        <v>0</v>
      </c>
      <c r="O2110">
        <v>70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X2110">
        <v>0</v>
      </c>
      <c r="Y2110">
        <v>820</v>
      </c>
    </row>
    <row r="2111" spans="1:25" x14ac:dyDescent="0.25">
      <c r="H2111" t="s">
        <v>213</v>
      </c>
    </row>
    <row r="2112" spans="1:25" x14ac:dyDescent="0.25">
      <c r="A2112">
        <v>1053</v>
      </c>
      <c r="B2112">
        <v>538</v>
      </c>
      <c r="C2112" t="s">
        <v>3481</v>
      </c>
      <c r="D2112" t="s">
        <v>209</v>
      </c>
      <c r="E2112" t="s">
        <v>55</v>
      </c>
      <c r="F2112" t="s">
        <v>3482</v>
      </c>
      <c r="G2112" t="str">
        <f>"201406002337"</f>
        <v>201406002337</v>
      </c>
      <c r="H2112" t="s">
        <v>1530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70</v>
      </c>
      <c r="O2112">
        <v>50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X2112">
        <v>0</v>
      </c>
      <c r="Y2112" t="s">
        <v>3483</v>
      </c>
    </row>
    <row r="2113" spans="1:25" x14ac:dyDescent="0.25">
      <c r="H2113" t="s">
        <v>23</v>
      </c>
    </row>
    <row r="2114" spans="1:25" x14ac:dyDescent="0.25">
      <c r="A2114">
        <v>1054</v>
      </c>
      <c r="B2114">
        <v>1938</v>
      </c>
      <c r="C2114" t="s">
        <v>3484</v>
      </c>
      <c r="D2114" t="s">
        <v>193</v>
      </c>
      <c r="E2114" t="s">
        <v>2027</v>
      </c>
      <c r="F2114" t="s">
        <v>3485</v>
      </c>
      <c r="G2114" t="str">
        <f>"00013320"</f>
        <v>00013320</v>
      </c>
      <c r="H2114" t="s">
        <v>1636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70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X2114">
        <v>0</v>
      </c>
      <c r="Y2114" t="s">
        <v>3486</v>
      </c>
    </row>
    <row r="2115" spans="1:25" x14ac:dyDescent="0.25">
      <c r="H2115" t="s">
        <v>23</v>
      </c>
    </row>
    <row r="2116" spans="1:25" x14ac:dyDescent="0.25">
      <c r="A2116">
        <v>1055</v>
      </c>
      <c r="B2116">
        <v>3181</v>
      </c>
      <c r="C2116" t="s">
        <v>3487</v>
      </c>
      <c r="D2116" t="s">
        <v>48</v>
      </c>
      <c r="E2116" t="s">
        <v>1035</v>
      </c>
      <c r="F2116" t="s">
        <v>3488</v>
      </c>
      <c r="G2116" t="str">
        <f>"00196278"</f>
        <v>00196278</v>
      </c>
      <c r="H2116" t="s">
        <v>2458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70</v>
      </c>
      <c r="O2116">
        <v>50</v>
      </c>
      <c r="P2116">
        <v>0</v>
      </c>
      <c r="Q2116">
        <v>0</v>
      </c>
      <c r="R2116">
        <v>30</v>
      </c>
      <c r="S2116">
        <v>0</v>
      </c>
      <c r="T2116">
        <v>0</v>
      </c>
      <c r="U2116">
        <v>0</v>
      </c>
      <c r="V2116">
        <v>0</v>
      </c>
      <c r="X2116">
        <v>0</v>
      </c>
      <c r="Y2116" t="s">
        <v>3489</v>
      </c>
    </row>
    <row r="2117" spans="1:25" x14ac:dyDescent="0.25">
      <c r="H2117" t="s">
        <v>366</v>
      </c>
    </row>
    <row r="2118" spans="1:25" x14ac:dyDescent="0.25">
      <c r="A2118">
        <v>1056</v>
      </c>
      <c r="B2118">
        <v>6015</v>
      </c>
      <c r="C2118" t="s">
        <v>418</v>
      </c>
      <c r="D2118" t="s">
        <v>509</v>
      </c>
      <c r="E2118" t="s">
        <v>81</v>
      </c>
      <c r="F2118" t="s">
        <v>3490</v>
      </c>
      <c r="G2118" t="str">
        <f>"201406007289"</f>
        <v>201406007289</v>
      </c>
      <c r="H2118" t="s">
        <v>2757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70</v>
      </c>
      <c r="O2118">
        <v>50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X2118">
        <v>0</v>
      </c>
      <c r="Y2118" t="s">
        <v>3491</v>
      </c>
    </row>
    <row r="2119" spans="1:25" x14ac:dyDescent="0.25">
      <c r="H2119" t="s">
        <v>34</v>
      </c>
    </row>
    <row r="2120" spans="1:25" x14ac:dyDescent="0.25">
      <c r="A2120">
        <v>1057</v>
      </c>
      <c r="B2120">
        <v>1637</v>
      </c>
      <c r="C2120" t="s">
        <v>3492</v>
      </c>
      <c r="D2120" t="s">
        <v>440</v>
      </c>
      <c r="E2120" t="s">
        <v>43</v>
      </c>
      <c r="F2120" t="s">
        <v>3493</v>
      </c>
      <c r="G2120" t="str">
        <f>"201304005898"</f>
        <v>201304005898</v>
      </c>
      <c r="H2120" t="s">
        <v>798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30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X2120">
        <v>0</v>
      </c>
      <c r="Y2120" t="s">
        <v>3494</v>
      </c>
    </row>
    <row r="2121" spans="1:25" x14ac:dyDescent="0.25">
      <c r="H2121" t="s">
        <v>34</v>
      </c>
    </row>
    <row r="2122" spans="1:25" x14ac:dyDescent="0.25">
      <c r="A2122">
        <v>1058</v>
      </c>
      <c r="B2122">
        <v>3842</v>
      </c>
      <c r="C2122" t="s">
        <v>3495</v>
      </c>
      <c r="D2122" t="s">
        <v>440</v>
      </c>
      <c r="E2122" t="s">
        <v>43</v>
      </c>
      <c r="F2122" t="s">
        <v>3496</v>
      </c>
      <c r="G2122" t="str">
        <f>"00207226"</f>
        <v>00207226</v>
      </c>
      <c r="H2122" t="s">
        <v>1425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50</v>
      </c>
      <c r="P2122">
        <v>0</v>
      </c>
      <c r="Q2122">
        <v>0</v>
      </c>
      <c r="R2122">
        <v>30</v>
      </c>
      <c r="S2122">
        <v>0</v>
      </c>
      <c r="T2122">
        <v>0</v>
      </c>
      <c r="U2122">
        <v>0</v>
      </c>
      <c r="V2122">
        <v>0</v>
      </c>
      <c r="X2122">
        <v>0</v>
      </c>
      <c r="Y2122" t="s">
        <v>719</v>
      </c>
    </row>
    <row r="2123" spans="1:25" x14ac:dyDescent="0.25">
      <c r="H2123" t="s">
        <v>53</v>
      </c>
    </row>
    <row r="2124" spans="1:25" x14ac:dyDescent="0.25">
      <c r="A2124">
        <v>1059</v>
      </c>
      <c r="B2124">
        <v>1965</v>
      </c>
      <c r="C2124" t="s">
        <v>3497</v>
      </c>
      <c r="D2124" t="s">
        <v>3498</v>
      </c>
      <c r="E2124" t="s">
        <v>645</v>
      </c>
      <c r="F2124" t="s">
        <v>3499</v>
      </c>
      <c r="G2124" t="str">
        <f>"201304000875"</f>
        <v>201304000875</v>
      </c>
      <c r="H2124" t="s">
        <v>1337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30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X2124">
        <v>0</v>
      </c>
      <c r="Y2124" t="s">
        <v>3500</v>
      </c>
    </row>
    <row r="2125" spans="1:25" x14ac:dyDescent="0.25">
      <c r="H2125" t="s">
        <v>118</v>
      </c>
    </row>
    <row r="2126" spans="1:25" x14ac:dyDescent="0.25">
      <c r="A2126">
        <v>1060</v>
      </c>
      <c r="B2126">
        <v>5663</v>
      </c>
      <c r="C2126" t="s">
        <v>3501</v>
      </c>
      <c r="D2126" t="s">
        <v>805</v>
      </c>
      <c r="E2126" t="s">
        <v>49</v>
      </c>
      <c r="F2126" t="s">
        <v>3502</v>
      </c>
      <c r="G2126" t="str">
        <f>"00128544"</f>
        <v>00128544</v>
      </c>
      <c r="H2126" t="s">
        <v>1350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X2126">
        <v>0</v>
      </c>
      <c r="Y2126" t="s">
        <v>3503</v>
      </c>
    </row>
    <row r="2127" spans="1:25" x14ac:dyDescent="0.25">
      <c r="H2127" t="s">
        <v>53</v>
      </c>
    </row>
    <row r="2128" spans="1:25" x14ac:dyDescent="0.25">
      <c r="A2128">
        <v>1061</v>
      </c>
      <c r="B2128">
        <v>6194</v>
      </c>
      <c r="C2128" t="s">
        <v>3504</v>
      </c>
      <c r="D2128" t="s">
        <v>25</v>
      </c>
      <c r="E2128" t="s">
        <v>200</v>
      </c>
      <c r="F2128" t="s">
        <v>3505</v>
      </c>
      <c r="G2128" t="str">
        <f>"200811000592"</f>
        <v>200811000592</v>
      </c>
      <c r="H2128" t="s">
        <v>1096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70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X2128">
        <v>0</v>
      </c>
      <c r="Y2128" t="s">
        <v>3506</v>
      </c>
    </row>
    <row r="2129" spans="1:25" x14ac:dyDescent="0.25">
      <c r="H2129" t="s">
        <v>23</v>
      </c>
    </row>
    <row r="2130" spans="1:25" x14ac:dyDescent="0.25">
      <c r="A2130">
        <v>1062</v>
      </c>
      <c r="B2130">
        <v>1118</v>
      </c>
      <c r="C2130" t="s">
        <v>3507</v>
      </c>
      <c r="D2130" t="s">
        <v>193</v>
      </c>
      <c r="E2130" t="s">
        <v>49</v>
      </c>
      <c r="F2130" t="s">
        <v>3508</v>
      </c>
      <c r="G2130" t="str">
        <f>"201406006224"</f>
        <v>201406006224</v>
      </c>
      <c r="H2130" t="s">
        <v>1096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X2130">
        <v>0</v>
      </c>
      <c r="Y2130" t="s">
        <v>3506</v>
      </c>
    </row>
    <row r="2131" spans="1:25" x14ac:dyDescent="0.25">
      <c r="H2131" t="s">
        <v>23</v>
      </c>
    </row>
    <row r="2132" spans="1:25" x14ac:dyDescent="0.25">
      <c r="A2132">
        <v>1063</v>
      </c>
      <c r="B2132">
        <v>5979</v>
      </c>
      <c r="C2132" t="s">
        <v>3509</v>
      </c>
      <c r="D2132" t="s">
        <v>1340</v>
      </c>
      <c r="E2132" t="s">
        <v>1345</v>
      </c>
      <c r="F2132" t="s">
        <v>3510</v>
      </c>
      <c r="G2132" t="str">
        <f>"00105587"</f>
        <v>00105587</v>
      </c>
      <c r="H2132" t="s">
        <v>1096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70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X2132">
        <v>0</v>
      </c>
      <c r="Y2132" t="s">
        <v>3506</v>
      </c>
    </row>
    <row r="2133" spans="1:25" x14ac:dyDescent="0.25">
      <c r="H2133" t="s">
        <v>53</v>
      </c>
    </row>
    <row r="2134" spans="1:25" x14ac:dyDescent="0.25">
      <c r="A2134">
        <v>1064</v>
      </c>
      <c r="B2134">
        <v>4573</v>
      </c>
      <c r="C2134" t="s">
        <v>3511</v>
      </c>
      <c r="D2134" t="s">
        <v>3044</v>
      </c>
      <c r="E2134" t="s">
        <v>81</v>
      </c>
      <c r="F2134" t="s">
        <v>3512</v>
      </c>
      <c r="G2134" t="str">
        <f>"201505000461"</f>
        <v>201505000461</v>
      </c>
      <c r="H2134" t="s">
        <v>1466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0</v>
      </c>
      <c r="P2134">
        <v>0</v>
      </c>
      <c r="Q2134">
        <v>50</v>
      </c>
      <c r="R2134">
        <v>0</v>
      </c>
      <c r="S2134">
        <v>0</v>
      </c>
      <c r="T2134">
        <v>0</v>
      </c>
      <c r="U2134">
        <v>0</v>
      </c>
      <c r="V2134">
        <v>0</v>
      </c>
      <c r="X2134">
        <v>0</v>
      </c>
      <c r="Y2134" t="s">
        <v>3513</v>
      </c>
    </row>
    <row r="2135" spans="1:25" x14ac:dyDescent="0.25">
      <c r="H2135" t="s">
        <v>34</v>
      </c>
    </row>
    <row r="2136" spans="1:25" x14ac:dyDescent="0.25">
      <c r="A2136">
        <v>1065</v>
      </c>
      <c r="B2136">
        <v>3802</v>
      </c>
      <c r="C2136" t="s">
        <v>3514</v>
      </c>
      <c r="D2136" t="s">
        <v>36</v>
      </c>
      <c r="E2136" t="s">
        <v>130</v>
      </c>
      <c r="F2136" t="s">
        <v>3515</v>
      </c>
      <c r="G2136" t="str">
        <f>"201410006179"</f>
        <v>201410006179</v>
      </c>
      <c r="H2136">
        <v>715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30</v>
      </c>
      <c r="O2136">
        <v>0</v>
      </c>
      <c r="P2136">
        <v>0</v>
      </c>
      <c r="Q2136">
        <v>70</v>
      </c>
      <c r="R2136">
        <v>0</v>
      </c>
      <c r="S2136">
        <v>0</v>
      </c>
      <c r="T2136">
        <v>0</v>
      </c>
      <c r="U2136">
        <v>0</v>
      </c>
      <c r="V2136">
        <v>0</v>
      </c>
      <c r="X2136">
        <v>0</v>
      </c>
      <c r="Y2136">
        <v>815</v>
      </c>
    </row>
    <row r="2137" spans="1:25" x14ac:dyDescent="0.25">
      <c r="H2137" t="s">
        <v>53</v>
      </c>
    </row>
    <row r="2138" spans="1:25" x14ac:dyDescent="0.25">
      <c r="A2138">
        <v>1066</v>
      </c>
      <c r="B2138">
        <v>3828</v>
      </c>
      <c r="C2138" t="s">
        <v>3516</v>
      </c>
      <c r="D2138" t="s">
        <v>113</v>
      </c>
      <c r="E2138" t="s">
        <v>87</v>
      </c>
      <c r="F2138" t="s">
        <v>3517</v>
      </c>
      <c r="G2138" t="str">
        <f>"00118761"</f>
        <v>00118761</v>
      </c>
      <c r="H2138">
        <v>715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70</v>
      </c>
      <c r="O2138">
        <v>30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X2138">
        <v>0</v>
      </c>
      <c r="Y2138">
        <v>815</v>
      </c>
    </row>
    <row r="2139" spans="1:25" x14ac:dyDescent="0.25">
      <c r="H2139" t="s">
        <v>53</v>
      </c>
    </row>
    <row r="2140" spans="1:25" x14ac:dyDescent="0.25">
      <c r="A2140">
        <v>1067</v>
      </c>
      <c r="B2140">
        <v>6410</v>
      </c>
      <c r="C2140" t="s">
        <v>3518</v>
      </c>
      <c r="D2140" t="s">
        <v>43</v>
      </c>
      <c r="E2140" t="s">
        <v>61</v>
      </c>
      <c r="F2140" t="s">
        <v>3519</v>
      </c>
      <c r="G2140" t="str">
        <f>"00124894"</f>
        <v>00124894</v>
      </c>
      <c r="H2140" t="s">
        <v>747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70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X2140">
        <v>0</v>
      </c>
      <c r="Y2140" t="s">
        <v>3520</v>
      </c>
    </row>
    <row r="2141" spans="1:25" x14ac:dyDescent="0.25">
      <c r="H2141" t="s">
        <v>23</v>
      </c>
    </row>
    <row r="2142" spans="1:25" x14ac:dyDescent="0.25">
      <c r="A2142">
        <v>1068</v>
      </c>
      <c r="B2142">
        <v>775</v>
      </c>
      <c r="C2142" t="s">
        <v>3521</v>
      </c>
      <c r="D2142" t="s">
        <v>99</v>
      </c>
      <c r="E2142" t="s">
        <v>2572</v>
      </c>
      <c r="F2142" t="s">
        <v>3522</v>
      </c>
      <c r="G2142" t="str">
        <f>"00191354"</f>
        <v>00191354</v>
      </c>
      <c r="H2142" t="s">
        <v>1372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50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X2142">
        <v>0</v>
      </c>
      <c r="Y2142" t="s">
        <v>3523</v>
      </c>
    </row>
    <row r="2143" spans="1:25" x14ac:dyDescent="0.25">
      <c r="H2143" t="s">
        <v>34</v>
      </c>
    </row>
    <row r="2144" spans="1:25" x14ac:dyDescent="0.25">
      <c r="A2144">
        <v>1069</v>
      </c>
      <c r="B2144">
        <v>3899</v>
      </c>
      <c r="C2144" t="s">
        <v>3524</v>
      </c>
      <c r="D2144" t="s">
        <v>209</v>
      </c>
      <c r="E2144" t="s">
        <v>334</v>
      </c>
      <c r="F2144" t="s">
        <v>3525</v>
      </c>
      <c r="G2144" t="str">
        <f>"201407000097"</f>
        <v>201407000097</v>
      </c>
      <c r="H2144" t="s">
        <v>1276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70</v>
      </c>
      <c r="O2144">
        <v>70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X2144">
        <v>0</v>
      </c>
      <c r="Y2144" t="s">
        <v>3526</v>
      </c>
    </row>
    <row r="2145" spans="1:25" x14ac:dyDescent="0.25">
      <c r="H2145" t="s">
        <v>23</v>
      </c>
    </row>
    <row r="2146" spans="1:25" x14ac:dyDescent="0.25">
      <c r="A2146">
        <v>1070</v>
      </c>
      <c r="B2146">
        <v>352</v>
      </c>
      <c r="C2146" t="s">
        <v>3527</v>
      </c>
      <c r="D2146" t="s">
        <v>1030</v>
      </c>
      <c r="E2146" t="s">
        <v>71</v>
      </c>
      <c r="F2146" t="s">
        <v>3528</v>
      </c>
      <c r="G2146" t="str">
        <f>"201506001496"</f>
        <v>201506001496</v>
      </c>
      <c r="H2146" t="s">
        <v>1959</v>
      </c>
      <c r="I2146">
        <v>0</v>
      </c>
      <c r="J2146">
        <v>0</v>
      </c>
      <c r="K2146">
        <v>0</v>
      </c>
      <c r="L2146">
        <v>0</v>
      </c>
      <c r="M2146">
        <v>100</v>
      </c>
      <c r="N2146">
        <v>30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X2146">
        <v>0</v>
      </c>
      <c r="Y2146" t="s">
        <v>3529</v>
      </c>
    </row>
    <row r="2147" spans="1:25" x14ac:dyDescent="0.25">
      <c r="H2147" t="s">
        <v>23</v>
      </c>
    </row>
    <row r="2148" spans="1:25" x14ac:dyDescent="0.25">
      <c r="A2148">
        <v>1071</v>
      </c>
      <c r="B2148">
        <v>2083</v>
      </c>
      <c r="C2148" t="s">
        <v>3530</v>
      </c>
      <c r="D2148" t="s">
        <v>2494</v>
      </c>
      <c r="E2148" t="s">
        <v>3531</v>
      </c>
      <c r="F2148" t="s">
        <v>3532</v>
      </c>
      <c r="G2148" t="str">
        <f>"00089545"</f>
        <v>00089545</v>
      </c>
      <c r="H2148" t="s">
        <v>331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50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X2148">
        <v>0</v>
      </c>
      <c r="Y2148" t="s">
        <v>3533</v>
      </c>
    </row>
    <row r="2149" spans="1:25" x14ac:dyDescent="0.25">
      <c r="H2149" t="s">
        <v>366</v>
      </c>
    </row>
    <row r="2150" spans="1:25" x14ac:dyDescent="0.25">
      <c r="A2150">
        <v>1072</v>
      </c>
      <c r="B2150">
        <v>3141</v>
      </c>
      <c r="C2150" t="s">
        <v>3534</v>
      </c>
      <c r="D2150" t="s">
        <v>21</v>
      </c>
      <c r="E2150" t="s">
        <v>291</v>
      </c>
      <c r="F2150" t="s">
        <v>3535</v>
      </c>
      <c r="G2150" t="str">
        <f>"00129040"</f>
        <v>00129040</v>
      </c>
      <c r="H2150" t="s">
        <v>938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70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X2150">
        <v>2</v>
      </c>
      <c r="Y2150" t="s">
        <v>3536</v>
      </c>
    </row>
    <row r="2151" spans="1:25" x14ac:dyDescent="0.25">
      <c r="H2151" t="s">
        <v>23</v>
      </c>
    </row>
    <row r="2152" spans="1:25" x14ac:dyDescent="0.25">
      <c r="A2152">
        <v>1073</v>
      </c>
      <c r="B2152">
        <v>6136</v>
      </c>
      <c r="C2152" t="s">
        <v>3537</v>
      </c>
      <c r="D2152" t="s">
        <v>237</v>
      </c>
      <c r="E2152" t="s">
        <v>2101</v>
      </c>
      <c r="F2152" t="s">
        <v>3538</v>
      </c>
      <c r="G2152" t="str">
        <f>"00073343"</f>
        <v>00073343</v>
      </c>
      <c r="H2152" t="s">
        <v>600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X2152">
        <v>0</v>
      </c>
      <c r="Y2152" t="s">
        <v>3539</v>
      </c>
    </row>
    <row r="2153" spans="1:25" x14ac:dyDescent="0.25">
      <c r="H2153">
        <v>101</v>
      </c>
    </row>
    <row r="2154" spans="1:25" x14ac:dyDescent="0.25">
      <c r="A2154">
        <v>1074</v>
      </c>
      <c r="B2154">
        <v>3250</v>
      </c>
      <c r="C2154" t="s">
        <v>3540</v>
      </c>
      <c r="D2154" t="s">
        <v>245</v>
      </c>
      <c r="E2154" t="s">
        <v>383</v>
      </c>
      <c r="F2154" t="s">
        <v>3541</v>
      </c>
      <c r="G2154" t="str">
        <f>"00104009"</f>
        <v>00104009</v>
      </c>
      <c r="H2154" t="s">
        <v>1492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0</v>
      </c>
      <c r="P2154">
        <v>0</v>
      </c>
      <c r="Q2154">
        <v>30</v>
      </c>
      <c r="R2154">
        <v>0</v>
      </c>
      <c r="S2154">
        <v>0</v>
      </c>
      <c r="T2154">
        <v>0</v>
      </c>
      <c r="U2154">
        <v>0</v>
      </c>
      <c r="V2154">
        <v>0</v>
      </c>
      <c r="X2154">
        <v>0</v>
      </c>
      <c r="Y2154" t="s">
        <v>3542</v>
      </c>
    </row>
    <row r="2155" spans="1:25" x14ac:dyDescent="0.25">
      <c r="H2155">
        <v>101</v>
      </c>
    </row>
    <row r="2156" spans="1:25" x14ac:dyDescent="0.25">
      <c r="A2156">
        <v>1075</v>
      </c>
      <c r="B2156">
        <v>5522</v>
      </c>
      <c r="C2156" t="s">
        <v>3543</v>
      </c>
      <c r="D2156" t="s">
        <v>891</v>
      </c>
      <c r="E2156" t="s">
        <v>3544</v>
      </c>
      <c r="F2156" t="s">
        <v>3545</v>
      </c>
      <c r="G2156" t="str">
        <f>"00012403"</f>
        <v>00012403</v>
      </c>
      <c r="H2156">
        <v>671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30</v>
      </c>
      <c r="P2156">
        <v>30</v>
      </c>
      <c r="Q2156">
        <v>50</v>
      </c>
      <c r="R2156">
        <v>0</v>
      </c>
      <c r="S2156">
        <v>0</v>
      </c>
      <c r="T2156">
        <v>0</v>
      </c>
      <c r="U2156">
        <v>0</v>
      </c>
      <c r="V2156">
        <v>0</v>
      </c>
      <c r="X2156">
        <v>0</v>
      </c>
      <c r="Y2156">
        <v>811</v>
      </c>
    </row>
    <row r="2157" spans="1:25" x14ac:dyDescent="0.25">
      <c r="H2157" t="s">
        <v>118</v>
      </c>
    </row>
    <row r="2158" spans="1:25" x14ac:dyDescent="0.25">
      <c r="A2158">
        <v>1076</v>
      </c>
      <c r="B2158">
        <v>4117</v>
      </c>
      <c r="C2158" t="s">
        <v>3546</v>
      </c>
      <c r="D2158" t="s">
        <v>3547</v>
      </c>
      <c r="E2158" t="s">
        <v>87</v>
      </c>
      <c r="F2158" t="s">
        <v>3548</v>
      </c>
      <c r="G2158" t="str">
        <f>"00069706"</f>
        <v>00069706</v>
      </c>
      <c r="H2158" t="s">
        <v>3549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70</v>
      </c>
      <c r="O2158">
        <v>0</v>
      </c>
      <c r="P2158">
        <v>50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X2158">
        <v>0</v>
      </c>
      <c r="Y2158" t="s">
        <v>3550</v>
      </c>
    </row>
    <row r="2159" spans="1:25" x14ac:dyDescent="0.25">
      <c r="H2159" t="s">
        <v>34</v>
      </c>
    </row>
    <row r="2160" spans="1:25" x14ac:dyDescent="0.25">
      <c r="A2160">
        <v>1077</v>
      </c>
      <c r="B2160">
        <v>2305</v>
      </c>
      <c r="C2160" t="s">
        <v>3551</v>
      </c>
      <c r="D2160" t="s">
        <v>48</v>
      </c>
      <c r="E2160" t="s">
        <v>55</v>
      </c>
      <c r="F2160" t="s">
        <v>3552</v>
      </c>
      <c r="G2160" t="str">
        <f>"00120983"</f>
        <v>00120983</v>
      </c>
      <c r="H2160" t="s">
        <v>2109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70</v>
      </c>
      <c r="O2160">
        <v>0</v>
      </c>
      <c r="P2160">
        <v>0</v>
      </c>
      <c r="Q2160">
        <v>30</v>
      </c>
      <c r="R2160">
        <v>0</v>
      </c>
      <c r="S2160">
        <v>0</v>
      </c>
      <c r="T2160">
        <v>0</v>
      </c>
      <c r="U2160">
        <v>0</v>
      </c>
      <c r="V2160">
        <v>0</v>
      </c>
      <c r="X2160">
        <v>0</v>
      </c>
      <c r="Y2160" t="s">
        <v>3553</v>
      </c>
    </row>
    <row r="2161" spans="1:25" x14ac:dyDescent="0.25">
      <c r="H2161" t="s">
        <v>23</v>
      </c>
    </row>
    <row r="2162" spans="1:25" x14ac:dyDescent="0.25">
      <c r="A2162">
        <v>1078</v>
      </c>
      <c r="B2162">
        <v>1481</v>
      </c>
      <c r="C2162" t="s">
        <v>1800</v>
      </c>
      <c r="D2162" t="s">
        <v>1436</v>
      </c>
      <c r="E2162" t="s">
        <v>424</v>
      </c>
      <c r="F2162" t="s">
        <v>3554</v>
      </c>
      <c r="G2162" t="str">
        <f>"201406006593"</f>
        <v>201406006593</v>
      </c>
      <c r="H2162" t="s">
        <v>2109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70</v>
      </c>
      <c r="O2162">
        <v>0</v>
      </c>
      <c r="P2162">
        <v>0</v>
      </c>
      <c r="Q2162">
        <v>30</v>
      </c>
      <c r="R2162">
        <v>0</v>
      </c>
      <c r="S2162">
        <v>0</v>
      </c>
      <c r="T2162">
        <v>0</v>
      </c>
      <c r="U2162">
        <v>0</v>
      </c>
      <c r="V2162">
        <v>0</v>
      </c>
      <c r="X2162">
        <v>0</v>
      </c>
      <c r="Y2162" t="s">
        <v>3553</v>
      </c>
    </row>
    <row r="2163" spans="1:25" x14ac:dyDescent="0.25">
      <c r="H2163" t="s">
        <v>34</v>
      </c>
    </row>
    <row r="2164" spans="1:25" x14ac:dyDescent="0.25">
      <c r="A2164">
        <v>1079</v>
      </c>
      <c r="B2164">
        <v>447</v>
      </c>
      <c r="C2164" t="s">
        <v>3555</v>
      </c>
      <c r="D2164" t="s">
        <v>159</v>
      </c>
      <c r="E2164" t="s">
        <v>1213</v>
      </c>
      <c r="F2164" t="s">
        <v>3556</v>
      </c>
      <c r="G2164" t="str">
        <f>"201303000780"</f>
        <v>201303000780</v>
      </c>
      <c r="H2164" t="s">
        <v>1055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70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X2164">
        <v>0</v>
      </c>
      <c r="Y2164" t="s">
        <v>3557</v>
      </c>
    </row>
    <row r="2165" spans="1:25" x14ac:dyDescent="0.25">
      <c r="H2165" t="s">
        <v>23</v>
      </c>
    </row>
    <row r="2166" spans="1:25" x14ac:dyDescent="0.25">
      <c r="A2166">
        <v>1080</v>
      </c>
      <c r="B2166">
        <v>5885</v>
      </c>
      <c r="C2166" t="s">
        <v>3558</v>
      </c>
      <c r="D2166" t="s">
        <v>193</v>
      </c>
      <c r="E2166" t="s">
        <v>55</v>
      </c>
      <c r="F2166" t="s">
        <v>3559</v>
      </c>
      <c r="G2166" t="str">
        <f>"00194327"</f>
        <v>00194327</v>
      </c>
      <c r="H2166" t="s">
        <v>1055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70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X2166">
        <v>0</v>
      </c>
      <c r="Y2166" t="s">
        <v>3557</v>
      </c>
    </row>
    <row r="2167" spans="1:25" x14ac:dyDescent="0.25">
      <c r="H2167" t="s">
        <v>23</v>
      </c>
    </row>
    <row r="2168" spans="1:25" x14ac:dyDescent="0.25">
      <c r="A2168">
        <v>1081</v>
      </c>
      <c r="B2168">
        <v>5355</v>
      </c>
      <c r="C2168" t="s">
        <v>3560</v>
      </c>
      <c r="D2168" t="s">
        <v>805</v>
      </c>
      <c r="E2168" t="s">
        <v>130</v>
      </c>
      <c r="F2168" t="s">
        <v>3561</v>
      </c>
      <c r="G2168" t="str">
        <f>"00014930"</f>
        <v>00014930</v>
      </c>
      <c r="H2168" t="s">
        <v>563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30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X2168">
        <v>0</v>
      </c>
      <c r="Y2168" t="s">
        <v>3562</v>
      </c>
    </row>
    <row r="2169" spans="1:25" x14ac:dyDescent="0.25">
      <c r="H2169" t="s">
        <v>23</v>
      </c>
    </row>
    <row r="2170" spans="1:25" x14ac:dyDescent="0.25">
      <c r="A2170">
        <v>1082</v>
      </c>
      <c r="B2170">
        <v>3309</v>
      </c>
      <c r="C2170" t="s">
        <v>3563</v>
      </c>
      <c r="D2170" t="s">
        <v>25</v>
      </c>
      <c r="E2170" t="s">
        <v>21</v>
      </c>
      <c r="F2170" t="s">
        <v>3564</v>
      </c>
      <c r="G2170" t="str">
        <f>"00117919"</f>
        <v>00117919</v>
      </c>
      <c r="H2170" t="s">
        <v>2272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70</v>
      </c>
      <c r="O2170">
        <v>0</v>
      </c>
      <c r="P2170">
        <v>0</v>
      </c>
      <c r="Q2170">
        <v>70</v>
      </c>
      <c r="R2170">
        <v>0</v>
      </c>
      <c r="S2170">
        <v>0</v>
      </c>
      <c r="T2170">
        <v>0</v>
      </c>
      <c r="U2170">
        <v>0</v>
      </c>
      <c r="V2170">
        <v>0</v>
      </c>
      <c r="X2170">
        <v>0</v>
      </c>
      <c r="Y2170" t="s">
        <v>3565</v>
      </c>
    </row>
    <row r="2171" spans="1:25" x14ac:dyDescent="0.25">
      <c r="H2171" t="s">
        <v>34</v>
      </c>
    </row>
    <row r="2172" spans="1:25" x14ac:dyDescent="0.25">
      <c r="A2172">
        <v>1083</v>
      </c>
      <c r="B2172">
        <v>2411</v>
      </c>
      <c r="C2172" t="s">
        <v>3566</v>
      </c>
      <c r="D2172" t="s">
        <v>237</v>
      </c>
      <c r="E2172" t="s">
        <v>21</v>
      </c>
      <c r="F2172" t="s">
        <v>3567</v>
      </c>
      <c r="G2172" t="str">
        <f>"00195410"</f>
        <v>00195410</v>
      </c>
      <c r="H2172" t="s">
        <v>1317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70</v>
      </c>
      <c r="O2172">
        <v>30</v>
      </c>
      <c r="P2172">
        <v>0</v>
      </c>
      <c r="Q2172">
        <v>30</v>
      </c>
      <c r="R2172">
        <v>0</v>
      </c>
      <c r="S2172">
        <v>0</v>
      </c>
      <c r="T2172">
        <v>0</v>
      </c>
      <c r="U2172">
        <v>0</v>
      </c>
      <c r="V2172">
        <v>0</v>
      </c>
      <c r="X2172">
        <v>0</v>
      </c>
      <c r="Y2172" t="s">
        <v>3568</v>
      </c>
    </row>
    <row r="2173" spans="1:25" x14ac:dyDescent="0.25">
      <c r="H2173" t="s">
        <v>53</v>
      </c>
    </row>
    <row r="2174" spans="1:25" x14ac:dyDescent="0.25">
      <c r="A2174">
        <v>1084</v>
      </c>
      <c r="B2174">
        <v>2577</v>
      </c>
      <c r="C2174" t="s">
        <v>2015</v>
      </c>
      <c r="D2174" t="s">
        <v>1241</v>
      </c>
      <c r="E2174" t="s">
        <v>781</v>
      </c>
      <c r="F2174" t="s">
        <v>3569</v>
      </c>
      <c r="G2174" t="str">
        <f>"00130346"</f>
        <v>00130346</v>
      </c>
      <c r="H2174" t="s">
        <v>783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70</v>
      </c>
      <c r="O2174">
        <v>0</v>
      </c>
      <c r="P2174">
        <v>30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X2174">
        <v>0</v>
      </c>
      <c r="Y2174" t="s">
        <v>3570</v>
      </c>
    </row>
    <row r="2175" spans="1:25" x14ac:dyDescent="0.25">
      <c r="H2175" t="s">
        <v>118</v>
      </c>
    </row>
    <row r="2176" spans="1:25" x14ac:dyDescent="0.25">
      <c r="A2176">
        <v>1085</v>
      </c>
      <c r="B2176">
        <v>4083</v>
      </c>
      <c r="C2176" t="s">
        <v>3571</v>
      </c>
      <c r="D2176" t="s">
        <v>20</v>
      </c>
      <c r="E2176" t="s">
        <v>87</v>
      </c>
      <c r="F2176" t="s">
        <v>3572</v>
      </c>
      <c r="G2176" t="str">
        <f>"00015203"</f>
        <v>00015203</v>
      </c>
      <c r="H2176" t="s">
        <v>783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70</v>
      </c>
      <c r="O2176">
        <v>0</v>
      </c>
      <c r="P2176">
        <v>30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0</v>
      </c>
      <c r="X2176">
        <v>0</v>
      </c>
      <c r="Y2176" t="s">
        <v>3570</v>
      </c>
    </row>
    <row r="2177" spans="1:25" x14ac:dyDescent="0.25">
      <c r="H2177" t="s">
        <v>23</v>
      </c>
    </row>
    <row r="2178" spans="1:25" x14ac:dyDescent="0.25">
      <c r="A2178">
        <v>1086</v>
      </c>
      <c r="B2178">
        <v>4041</v>
      </c>
      <c r="C2178" t="s">
        <v>862</v>
      </c>
      <c r="D2178" t="s">
        <v>891</v>
      </c>
      <c r="E2178" t="s">
        <v>61</v>
      </c>
      <c r="F2178" t="s">
        <v>3573</v>
      </c>
      <c r="G2178" t="str">
        <f>"201304001252"</f>
        <v>201304001252</v>
      </c>
      <c r="H2178" t="s">
        <v>442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50</v>
      </c>
      <c r="O2178">
        <v>30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X2178">
        <v>0</v>
      </c>
      <c r="Y2178" t="s">
        <v>3574</v>
      </c>
    </row>
    <row r="2179" spans="1:25" x14ac:dyDescent="0.25">
      <c r="H2179" t="s">
        <v>23</v>
      </c>
    </row>
    <row r="2180" spans="1:25" x14ac:dyDescent="0.25">
      <c r="A2180">
        <v>1087</v>
      </c>
      <c r="B2180">
        <v>5216</v>
      </c>
      <c r="C2180" t="s">
        <v>3575</v>
      </c>
      <c r="D2180" t="s">
        <v>21</v>
      </c>
      <c r="E2180" t="s">
        <v>55</v>
      </c>
      <c r="F2180" t="s">
        <v>3576</v>
      </c>
      <c r="G2180" t="str">
        <f>"200907000451"</f>
        <v>200907000451</v>
      </c>
      <c r="H2180" t="s">
        <v>1060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70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X2180">
        <v>0</v>
      </c>
      <c r="Y2180" t="s">
        <v>3577</v>
      </c>
    </row>
    <row r="2181" spans="1:25" x14ac:dyDescent="0.25">
      <c r="H2181" t="s">
        <v>3578</v>
      </c>
    </row>
    <row r="2182" spans="1:25" x14ac:dyDescent="0.25">
      <c r="A2182">
        <v>1088</v>
      </c>
      <c r="B2182">
        <v>67</v>
      </c>
      <c r="C2182" t="s">
        <v>3579</v>
      </c>
      <c r="D2182" t="s">
        <v>663</v>
      </c>
      <c r="E2182" t="s">
        <v>87</v>
      </c>
      <c r="F2182" t="s">
        <v>3580</v>
      </c>
      <c r="G2182" t="str">
        <f>"00123879"</f>
        <v>00123879</v>
      </c>
      <c r="H2182" t="s">
        <v>1060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70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X2182">
        <v>0</v>
      </c>
      <c r="Y2182" t="s">
        <v>3577</v>
      </c>
    </row>
    <row r="2183" spans="1:25" x14ac:dyDescent="0.25">
      <c r="H2183">
        <v>101</v>
      </c>
    </row>
    <row r="2184" spans="1:25" x14ac:dyDescent="0.25">
      <c r="A2184">
        <v>1089</v>
      </c>
      <c r="B2184">
        <v>5881</v>
      </c>
      <c r="C2184" t="s">
        <v>3581</v>
      </c>
      <c r="D2184" t="s">
        <v>362</v>
      </c>
      <c r="E2184" t="s">
        <v>2572</v>
      </c>
      <c r="F2184" t="s">
        <v>3582</v>
      </c>
      <c r="G2184" t="str">
        <f>"201506001536"</f>
        <v>201506001536</v>
      </c>
      <c r="H2184" t="s">
        <v>1066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70</v>
      </c>
      <c r="O2184">
        <v>0</v>
      </c>
      <c r="P2184">
        <v>50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X2184">
        <v>0</v>
      </c>
      <c r="Y2184" t="s">
        <v>3583</v>
      </c>
    </row>
    <row r="2185" spans="1:25" x14ac:dyDescent="0.25">
      <c r="H2185" t="s">
        <v>23</v>
      </c>
    </row>
    <row r="2186" spans="1:25" x14ac:dyDescent="0.25">
      <c r="A2186">
        <v>1090</v>
      </c>
      <c r="B2186">
        <v>3144</v>
      </c>
      <c r="C2186" t="s">
        <v>1160</v>
      </c>
      <c r="D2186" t="s">
        <v>468</v>
      </c>
      <c r="E2186" t="s">
        <v>200</v>
      </c>
      <c r="F2186">
        <v>5845</v>
      </c>
      <c r="G2186" t="str">
        <f>"201406012863"</f>
        <v>201406012863</v>
      </c>
      <c r="H2186" t="s">
        <v>1734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70</v>
      </c>
      <c r="O2186">
        <v>0</v>
      </c>
      <c r="P2186">
        <v>30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0</v>
      </c>
      <c r="X2186">
        <v>0</v>
      </c>
      <c r="Y2186" t="s">
        <v>3584</v>
      </c>
    </row>
    <row r="2187" spans="1:25" x14ac:dyDescent="0.25">
      <c r="H2187">
        <v>101</v>
      </c>
    </row>
    <row r="2188" spans="1:25" x14ac:dyDescent="0.25">
      <c r="A2188">
        <v>1091</v>
      </c>
      <c r="B2188">
        <v>1317</v>
      </c>
      <c r="C2188" t="s">
        <v>3585</v>
      </c>
      <c r="D2188" t="s">
        <v>509</v>
      </c>
      <c r="E2188" t="s">
        <v>200</v>
      </c>
      <c r="F2188" t="s">
        <v>3586</v>
      </c>
      <c r="G2188" t="str">
        <f>"00193844"</f>
        <v>00193844</v>
      </c>
      <c r="H2188" t="s">
        <v>980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70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X2188">
        <v>0</v>
      </c>
      <c r="Y2188" t="s">
        <v>3587</v>
      </c>
    </row>
    <row r="2189" spans="1:25" x14ac:dyDescent="0.25">
      <c r="H2189" t="s">
        <v>23</v>
      </c>
    </row>
    <row r="2190" spans="1:25" x14ac:dyDescent="0.25">
      <c r="A2190">
        <v>1092</v>
      </c>
      <c r="B2190">
        <v>1810</v>
      </c>
      <c r="C2190" t="s">
        <v>3588</v>
      </c>
      <c r="D2190" t="s">
        <v>209</v>
      </c>
      <c r="E2190" t="s">
        <v>61</v>
      </c>
      <c r="F2190" t="s">
        <v>3589</v>
      </c>
      <c r="G2190" t="str">
        <f>"201304000365"</f>
        <v>201304000365</v>
      </c>
      <c r="H2190" t="s">
        <v>984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X2190">
        <v>0</v>
      </c>
      <c r="Y2190" t="s">
        <v>3590</v>
      </c>
    </row>
    <row r="2191" spans="1:25" x14ac:dyDescent="0.25">
      <c r="H2191" t="s">
        <v>91</v>
      </c>
    </row>
    <row r="2192" spans="1:25" x14ac:dyDescent="0.25">
      <c r="A2192">
        <v>1093</v>
      </c>
      <c r="B2192">
        <v>924</v>
      </c>
      <c r="C2192" t="s">
        <v>3591</v>
      </c>
      <c r="D2192" t="s">
        <v>891</v>
      </c>
      <c r="E2192" t="s">
        <v>3592</v>
      </c>
      <c r="F2192" t="s">
        <v>3593</v>
      </c>
      <c r="G2192" t="str">
        <f>"00132772"</f>
        <v>00132772</v>
      </c>
      <c r="H2192" t="s">
        <v>1937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70</v>
      </c>
      <c r="O2192">
        <v>0</v>
      </c>
      <c r="P2192">
        <v>0</v>
      </c>
      <c r="Q2192">
        <v>0</v>
      </c>
      <c r="R2192">
        <v>0</v>
      </c>
      <c r="S2192">
        <v>50</v>
      </c>
      <c r="T2192">
        <v>0</v>
      </c>
      <c r="U2192">
        <v>0</v>
      </c>
      <c r="V2192">
        <v>0</v>
      </c>
      <c r="X2192">
        <v>0</v>
      </c>
      <c r="Y2192" t="s">
        <v>3594</v>
      </c>
    </row>
    <row r="2193" spans="1:25" x14ac:dyDescent="0.25">
      <c r="H2193">
        <v>101</v>
      </c>
    </row>
    <row r="2194" spans="1:25" x14ac:dyDescent="0.25">
      <c r="A2194">
        <v>1094</v>
      </c>
      <c r="B2194">
        <v>2280</v>
      </c>
      <c r="C2194" t="s">
        <v>1200</v>
      </c>
      <c r="D2194" t="s">
        <v>820</v>
      </c>
      <c r="E2194" t="s">
        <v>2805</v>
      </c>
      <c r="F2194" t="s">
        <v>3595</v>
      </c>
      <c r="G2194" t="str">
        <f>"00190924"</f>
        <v>00190924</v>
      </c>
      <c r="H2194" t="s">
        <v>1425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70</v>
      </c>
      <c r="O2194">
        <v>0</v>
      </c>
      <c r="P2194">
        <v>0</v>
      </c>
      <c r="Q2194">
        <v>30</v>
      </c>
      <c r="R2194">
        <v>0</v>
      </c>
      <c r="S2194">
        <v>0</v>
      </c>
      <c r="T2194">
        <v>0</v>
      </c>
      <c r="U2194">
        <v>0</v>
      </c>
      <c r="V2194">
        <v>0</v>
      </c>
      <c r="X2194">
        <v>0</v>
      </c>
      <c r="Y2194" t="s">
        <v>3596</v>
      </c>
    </row>
    <row r="2195" spans="1:25" x14ac:dyDescent="0.25">
      <c r="H2195">
        <v>101</v>
      </c>
    </row>
    <row r="2196" spans="1:25" x14ac:dyDescent="0.25">
      <c r="A2196">
        <v>1095</v>
      </c>
      <c r="B2196">
        <v>5703</v>
      </c>
      <c r="C2196" t="s">
        <v>3597</v>
      </c>
      <c r="D2196" t="s">
        <v>598</v>
      </c>
      <c r="E2196" t="s">
        <v>1631</v>
      </c>
      <c r="F2196" t="s">
        <v>3598</v>
      </c>
      <c r="G2196" t="str">
        <f>"00033063"</f>
        <v>00033063</v>
      </c>
      <c r="H2196">
        <v>737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70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X2196">
        <v>0</v>
      </c>
      <c r="Y2196">
        <v>807</v>
      </c>
    </row>
    <row r="2197" spans="1:25" x14ac:dyDescent="0.25">
      <c r="H2197" t="s">
        <v>53</v>
      </c>
    </row>
    <row r="2198" spans="1:25" x14ac:dyDescent="0.25">
      <c r="A2198">
        <v>1096</v>
      </c>
      <c r="B2198">
        <v>4922</v>
      </c>
      <c r="C2198" t="s">
        <v>3599</v>
      </c>
      <c r="D2198" t="s">
        <v>199</v>
      </c>
      <c r="E2198" t="s">
        <v>895</v>
      </c>
      <c r="F2198" t="s">
        <v>3600</v>
      </c>
      <c r="G2198" t="str">
        <f>"00121345"</f>
        <v>00121345</v>
      </c>
      <c r="H2198">
        <v>737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X2198">
        <v>0</v>
      </c>
      <c r="Y2198">
        <v>807</v>
      </c>
    </row>
    <row r="2199" spans="1:25" x14ac:dyDescent="0.25">
      <c r="H2199" t="s">
        <v>53</v>
      </c>
    </row>
    <row r="2200" spans="1:25" x14ac:dyDescent="0.25">
      <c r="A2200">
        <v>1097</v>
      </c>
      <c r="B2200">
        <v>3043</v>
      </c>
      <c r="C2200" t="s">
        <v>3601</v>
      </c>
      <c r="D2200" t="s">
        <v>245</v>
      </c>
      <c r="E2200" t="s">
        <v>781</v>
      </c>
      <c r="F2200" t="s">
        <v>3602</v>
      </c>
      <c r="G2200" t="str">
        <f>"201406019011"</f>
        <v>201406019011</v>
      </c>
      <c r="H2200">
        <v>737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70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X2200">
        <v>0</v>
      </c>
      <c r="Y2200">
        <v>807</v>
      </c>
    </row>
    <row r="2201" spans="1:25" x14ac:dyDescent="0.25">
      <c r="H2201" t="s">
        <v>23</v>
      </c>
    </row>
    <row r="2202" spans="1:25" x14ac:dyDescent="0.25">
      <c r="A2202">
        <v>1098</v>
      </c>
      <c r="B2202">
        <v>3030</v>
      </c>
      <c r="C2202" t="s">
        <v>3603</v>
      </c>
      <c r="D2202" t="s">
        <v>3604</v>
      </c>
      <c r="E2202" t="s">
        <v>55</v>
      </c>
      <c r="F2202" t="s">
        <v>3605</v>
      </c>
      <c r="G2202" t="str">
        <f>"00040846"</f>
        <v>00040846</v>
      </c>
      <c r="H2202" t="s">
        <v>660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X2202">
        <v>0</v>
      </c>
      <c r="Y2202" t="s">
        <v>3606</v>
      </c>
    </row>
    <row r="2203" spans="1:25" x14ac:dyDescent="0.25">
      <c r="H2203" t="s">
        <v>23</v>
      </c>
    </row>
    <row r="2204" spans="1:25" x14ac:dyDescent="0.25">
      <c r="A2204">
        <v>1099</v>
      </c>
      <c r="B2204">
        <v>2512</v>
      </c>
      <c r="C2204" t="s">
        <v>3607</v>
      </c>
      <c r="D2204" t="s">
        <v>1046</v>
      </c>
      <c r="E2204" t="s">
        <v>49</v>
      </c>
      <c r="F2204" t="s">
        <v>3608</v>
      </c>
      <c r="G2204" t="str">
        <f>"201406003972"</f>
        <v>201406003972</v>
      </c>
      <c r="H2204" t="s">
        <v>1438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70</v>
      </c>
      <c r="P2204">
        <v>0</v>
      </c>
      <c r="Q2204">
        <v>0</v>
      </c>
      <c r="R2204">
        <v>0</v>
      </c>
      <c r="S2204">
        <v>0</v>
      </c>
      <c r="T2204">
        <v>70</v>
      </c>
      <c r="U2204">
        <v>0</v>
      </c>
      <c r="V2204">
        <v>0</v>
      </c>
      <c r="X2204">
        <v>0</v>
      </c>
      <c r="Y2204" t="s">
        <v>3606</v>
      </c>
    </row>
    <row r="2205" spans="1:25" x14ac:dyDescent="0.25">
      <c r="H2205" t="s">
        <v>34</v>
      </c>
    </row>
    <row r="2206" spans="1:25" x14ac:dyDescent="0.25">
      <c r="A2206">
        <v>1100</v>
      </c>
      <c r="B2206">
        <v>1160</v>
      </c>
      <c r="C2206" t="s">
        <v>3609</v>
      </c>
      <c r="D2206" t="s">
        <v>2202</v>
      </c>
      <c r="E2206" t="s">
        <v>49</v>
      </c>
      <c r="F2206" t="s">
        <v>3610</v>
      </c>
      <c r="G2206" t="str">
        <f>"201601001357"</f>
        <v>201601001357</v>
      </c>
      <c r="H2206" t="s">
        <v>910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70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X2206">
        <v>0</v>
      </c>
      <c r="Y2206" t="s">
        <v>3611</v>
      </c>
    </row>
    <row r="2207" spans="1:25" x14ac:dyDescent="0.25">
      <c r="H2207" t="s">
        <v>34</v>
      </c>
    </row>
    <row r="2208" spans="1:25" x14ac:dyDescent="0.25">
      <c r="A2208">
        <v>1101</v>
      </c>
      <c r="B2208">
        <v>6152</v>
      </c>
      <c r="C2208" t="s">
        <v>3612</v>
      </c>
      <c r="D2208" t="s">
        <v>1945</v>
      </c>
      <c r="E2208" t="s">
        <v>1340</v>
      </c>
      <c r="F2208" t="s">
        <v>3613</v>
      </c>
      <c r="G2208" t="str">
        <f>"201511036125"</f>
        <v>201511036125</v>
      </c>
      <c r="H2208" t="s">
        <v>910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70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X2208">
        <v>1</v>
      </c>
      <c r="Y2208" t="s">
        <v>3611</v>
      </c>
    </row>
    <row r="2209" spans="1:25" x14ac:dyDescent="0.25">
      <c r="H2209" t="s">
        <v>23</v>
      </c>
    </row>
    <row r="2210" spans="1:25" x14ac:dyDescent="0.25">
      <c r="A2210">
        <v>1102</v>
      </c>
      <c r="B2210">
        <v>3570</v>
      </c>
      <c r="C2210" t="s">
        <v>3614</v>
      </c>
      <c r="D2210" t="s">
        <v>917</v>
      </c>
      <c r="E2210" t="s">
        <v>55</v>
      </c>
      <c r="F2210" t="s">
        <v>3615</v>
      </c>
      <c r="G2210" t="str">
        <f>"201506003561"</f>
        <v>201506003561</v>
      </c>
      <c r="H2210" t="s">
        <v>2147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70</v>
      </c>
      <c r="O2210">
        <v>30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X2210">
        <v>0</v>
      </c>
      <c r="Y2210" t="s">
        <v>3616</v>
      </c>
    </row>
    <row r="2211" spans="1:25" x14ac:dyDescent="0.25">
      <c r="H2211" t="s">
        <v>53</v>
      </c>
    </row>
    <row r="2212" spans="1:25" x14ac:dyDescent="0.25">
      <c r="A2212">
        <v>1103</v>
      </c>
      <c r="B2212">
        <v>5354</v>
      </c>
      <c r="C2212" t="s">
        <v>3617</v>
      </c>
      <c r="D2212" t="s">
        <v>3299</v>
      </c>
      <c r="E2212" t="s">
        <v>1340</v>
      </c>
      <c r="F2212" t="s">
        <v>3618</v>
      </c>
      <c r="G2212" t="str">
        <f>"201405000948"</f>
        <v>201405000948</v>
      </c>
      <c r="H2212" t="s">
        <v>1269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70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X2212">
        <v>0</v>
      </c>
      <c r="Y2212" t="s">
        <v>3619</v>
      </c>
    </row>
    <row r="2213" spans="1:25" x14ac:dyDescent="0.25">
      <c r="H2213" t="s">
        <v>118</v>
      </c>
    </row>
    <row r="2214" spans="1:25" x14ac:dyDescent="0.25">
      <c r="A2214">
        <v>1104</v>
      </c>
      <c r="B2214">
        <v>6189</v>
      </c>
      <c r="C2214" t="s">
        <v>3620</v>
      </c>
      <c r="D2214" t="s">
        <v>55</v>
      </c>
      <c r="E2214" t="s">
        <v>1035</v>
      </c>
      <c r="F2214" t="s">
        <v>3621</v>
      </c>
      <c r="G2214" t="str">
        <f>"00124569"</f>
        <v>00124569</v>
      </c>
      <c r="H2214" t="s">
        <v>1959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70</v>
      </c>
      <c r="O2214">
        <v>0</v>
      </c>
      <c r="P2214">
        <v>50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X2214">
        <v>0</v>
      </c>
      <c r="Y2214" t="s">
        <v>3622</v>
      </c>
    </row>
    <row r="2215" spans="1:25" x14ac:dyDescent="0.25">
      <c r="H2215" t="s">
        <v>118</v>
      </c>
    </row>
    <row r="2216" spans="1:25" x14ac:dyDescent="0.25">
      <c r="A2216">
        <v>1105</v>
      </c>
      <c r="B2216">
        <v>1628</v>
      </c>
      <c r="C2216" t="s">
        <v>3623</v>
      </c>
      <c r="D2216" t="s">
        <v>663</v>
      </c>
      <c r="E2216" t="s">
        <v>43</v>
      </c>
      <c r="F2216" t="s">
        <v>3624</v>
      </c>
      <c r="G2216" t="str">
        <f>"00206009"</f>
        <v>00206009</v>
      </c>
      <c r="H2216" t="s">
        <v>1286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30</v>
      </c>
      <c r="O2216">
        <v>50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X2216">
        <v>0</v>
      </c>
      <c r="Y2216" t="s">
        <v>3625</v>
      </c>
    </row>
    <row r="2217" spans="1:25" x14ac:dyDescent="0.25">
      <c r="H2217" t="s">
        <v>34</v>
      </c>
    </row>
    <row r="2218" spans="1:25" x14ac:dyDescent="0.25">
      <c r="A2218">
        <v>1106</v>
      </c>
      <c r="B2218">
        <v>919</v>
      </c>
      <c r="C2218" t="s">
        <v>3626</v>
      </c>
      <c r="D2218" t="s">
        <v>3627</v>
      </c>
      <c r="E2218" t="s">
        <v>21</v>
      </c>
      <c r="F2218" t="s">
        <v>3628</v>
      </c>
      <c r="G2218" t="str">
        <f>"00123493"</f>
        <v>00123493</v>
      </c>
      <c r="H2218" t="s">
        <v>390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70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X2218">
        <v>0</v>
      </c>
      <c r="Y2218" t="s">
        <v>3629</v>
      </c>
    </row>
    <row r="2219" spans="1:25" x14ac:dyDescent="0.25">
      <c r="H2219" t="s">
        <v>34</v>
      </c>
    </row>
    <row r="2220" spans="1:25" x14ac:dyDescent="0.25">
      <c r="A2220">
        <v>1107</v>
      </c>
      <c r="B2220">
        <v>5933</v>
      </c>
      <c r="C2220" t="s">
        <v>2862</v>
      </c>
      <c r="D2220" t="s">
        <v>3630</v>
      </c>
      <c r="E2220" t="s">
        <v>283</v>
      </c>
      <c r="F2220" t="s">
        <v>3631</v>
      </c>
      <c r="G2220" t="str">
        <f>"201406015060"</f>
        <v>201406015060</v>
      </c>
      <c r="H2220" t="s">
        <v>390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70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X2220">
        <v>0</v>
      </c>
      <c r="Y2220" t="s">
        <v>3629</v>
      </c>
    </row>
    <row r="2221" spans="1:25" x14ac:dyDescent="0.25">
      <c r="H2221" t="s">
        <v>34</v>
      </c>
    </row>
    <row r="2222" spans="1:25" x14ac:dyDescent="0.25">
      <c r="A2222">
        <v>1108</v>
      </c>
      <c r="B2222">
        <v>3466</v>
      </c>
      <c r="C2222" t="s">
        <v>3056</v>
      </c>
      <c r="D2222" t="s">
        <v>558</v>
      </c>
      <c r="E2222" t="s">
        <v>1035</v>
      </c>
      <c r="F2222" t="s">
        <v>3632</v>
      </c>
      <c r="G2222" t="str">
        <f>"00123531"</f>
        <v>00123531</v>
      </c>
      <c r="H2222" t="s">
        <v>938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30</v>
      </c>
      <c r="O2222">
        <v>30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X2222">
        <v>0</v>
      </c>
      <c r="Y2222" t="s">
        <v>3633</v>
      </c>
    </row>
    <row r="2223" spans="1:25" x14ac:dyDescent="0.25">
      <c r="H2223" t="s">
        <v>34</v>
      </c>
    </row>
    <row r="2224" spans="1:25" x14ac:dyDescent="0.25">
      <c r="A2224">
        <v>1109</v>
      </c>
      <c r="B2224">
        <v>5058</v>
      </c>
      <c r="C2224" t="s">
        <v>2785</v>
      </c>
      <c r="D2224" t="s">
        <v>355</v>
      </c>
      <c r="E2224" t="s">
        <v>130</v>
      </c>
      <c r="F2224" t="s">
        <v>3634</v>
      </c>
      <c r="G2224" t="str">
        <f>"00113575"</f>
        <v>00113575</v>
      </c>
      <c r="H2224" t="s">
        <v>2357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70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X2224">
        <v>0</v>
      </c>
      <c r="Y2224" t="s">
        <v>3635</v>
      </c>
    </row>
    <row r="2225" spans="1:25" x14ac:dyDescent="0.25">
      <c r="H2225" t="s">
        <v>34</v>
      </c>
    </row>
    <row r="2226" spans="1:25" x14ac:dyDescent="0.25">
      <c r="A2226">
        <v>1110</v>
      </c>
      <c r="B2226">
        <v>2086</v>
      </c>
      <c r="C2226" t="s">
        <v>3636</v>
      </c>
      <c r="D2226" t="s">
        <v>3637</v>
      </c>
      <c r="E2226" t="s">
        <v>55</v>
      </c>
      <c r="F2226" t="s">
        <v>3638</v>
      </c>
      <c r="G2226" t="str">
        <f>"201304002947"</f>
        <v>201304002947</v>
      </c>
      <c r="H2226" t="s">
        <v>2357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70</v>
      </c>
      <c r="O2226">
        <v>0</v>
      </c>
      <c r="P2226">
        <v>0</v>
      </c>
      <c r="Q2226">
        <v>30</v>
      </c>
      <c r="R2226">
        <v>0</v>
      </c>
      <c r="S2226">
        <v>0</v>
      </c>
      <c r="T2226">
        <v>0</v>
      </c>
      <c r="U2226">
        <v>0</v>
      </c>
      <c r="V2226">
        <v>0</v>
      </c>
      <c r="X2226">
        <v>0</v>
      </c>
      <c r="Y2226" t="s">
        <v>3635</v>
      </c>
    </row>
    <row r="2227" spans="1:25" x14ac:dyDescent="0.25">
      <c r="H2227" t="s">
        <v>91</v>
      </c>
    </row>
    <row r="2228" spans="1:25" x14ac:dyDescent="0.25">
      <c r="A2228">
        <v>1111</v>
      </c>
      <c r="B2228">
        <v>4834</v>
      </c>
      <c r="C2228" t="s">
        <v>3639</v>
      </c>
      <c r="D2228" t="s">
        <v>65</v>
      </c>
      <c r="E2228" t="s">
        <v>99</v>
      </c>
      <c r="F2228" t="s">
        <v>3640</v>
      </c>
      <c r="G2228" t="str">
        <f>"00195269"</f>
        <v>00195269</v>
      </c>
      <c r="H2228" t="s">
        <v>1492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30</v>
      </c>
      <c r="P2228">
        <v>0</v>
      </c>
      <c r="Q2228">
        <v>30</v>
      </c>
      <c r="R2228">
        <v>0</v>
      </c>
      <c r="S2228">
        <v>0</v>
      </c>
      <c r="T2228">
        <v>0</v>
      </c>
      <c r="U2228">
        <v>0</v>
      </c>
      <c r="V2228">
        <v>0</v>
      </c>
      <c r="X2228">
        <v>0</v>
      </c>
      <c r="Y2228" t="s">
        <v>3641</v>
      </c>
    </row>
    <row r="2229" spans="1:25" x14ac:dyDescent="0.25">
      <c r="H2229" t="s">
        <v>23</v>
      </c>
    </row>
    <row r="2230" spans="1:25" x14ac:dyDescent="0.25">
      <c r="A2230">
        <v>1112</v>
      </c>
      <c r="B2230">
        <v>4663</v>
      </c>
      <c r="C2230" t="s">
        <v>3642</v>
      </c>
      <c r="D2230" t="s">
        <v>726</v>
      </c>
      <c r="E2230" t="s">
        <v>43</v>
      </c>
      <c r="F2230" t="s">
        <v>3643</v>
      </c>
      <c r="G2230" t="str">
        <f>"00206965"</f>
        <v>00206965</v>
      </c>
      <c r="H2230" t="s">
        <v>1204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70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X2230">
        <v>0</v>
      </c>
      <c r="Y2230" t="s">
        <v>3644</v>
      </c>
    </row>
    <row r="2231" spans="1:25" x14ac:dyDescent="0.25">
      <c r="H2231" t="s">
        <v>23</v>
      </c>
    </row>
    <row r="2232" spans="1:25" x14ac:dyDescent="0.25">
      <c r="A2232">
        <v>1113</v>
      </c>
      <c r="B2232">
        <v>2629</v>
      </c>
      <c r="C2232" t="s">
        <v>3645</v>
      </c>
      <c r="D2232" t="s">
        <v>3646</v>
      </c>
      <c r="E2232" t="s">
        <v>55</v>
      </c>
      <c r="F2232" t="s">
        <v>3647</v>
      </c>
      <c r="G2232" t="str">
        <f>"00209274"</f>
        <v>00209274</v>
      </c>
      <c r="H2232" t="s">
        <v>954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70</v>
      </c>
      <c r="O2232">
        <v>30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X2232">
        <v>0</v>
      </c>
      <c r="Y2232" t="s">
        <v>3648</v>
      </c>
    </row>
    <row r="2233" spans="1:25" x14ac:dyDescent="0.25">
      <c r="H2233" t="s">
        <v>34</v>
      </c>
    </row>
    <row r="2234" spans="1:25" x14ac:dyDescent="0.25">
      <c r="A2234">
        <v>1114</v>
      </c>
      <c r="B2234">
        <v>1735</v>
      </c>
      <c r="C2234" t="s">
        <v>3649</v>
      </c>
      <c r="D2234" t="s">
        <v>3650</v>
      </c>
      <c r="E2234" t="s">
        <v>55</v>
      </c>
      <c r="F2234" t="s">
        <v>3651</v>
      </c>
      <c r="G2234" t="str">
        <f>"00113562"</f>
        <v>00113562</v>
      </c>
      <c r="H2234" t="s">
        <v>776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0</v>
      </c>
      <c r="P2234">
        <v>50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X2234">
        <v>0</v>
      </c>
      <c r="Y2234" t="s">
        <v>3652</v>
      </c>
    </row>
    <row r="2235" spans="1:25" x14ac:dyDescent="0.25">
      <c r="H2235" t="s">
        <v>213</v>
      </c>
    </row>
    <row r="2236" spans="1:25" x14ac:dyDescent="0.25">
      <c r="A2236">
        <v>1115</v>
      </c>
      <c r="B2236">
        <v>5944</v>
      </c>
      <c r="C2236" t="s">
        <v>3653</v>
      </c>
      <c r="D2236" t="s">
        <v>2202</v>
      </c>
      <c r="E2236" t="s">
        <v>81</v>
      </c>
      <c r="F2236" t="s">
        <v>3654</v>
      </c>
      <c r="G2236" t="str">
        <f>"201304004450"</f>
        <v>201304004450</v>
      </c>
      <c r="H2236" t="s">
        <v>1893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70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X2236">
        <v>0</v>
      </c>
      <c r="Y2236" t="s">
        <v>3655</v>
      </c>
    </row>
    <row r="2237" spans="1:25" x14ac:dyDescent="0.25">
      <c r="H2237" t="s">
        <v>53</v>
      </c>
    </row>
    <row r="2238" spans="1:25" x14ac:dyDescent="0.25">
      <c r="A2238">
        <v>1116</v>
      </c>
      <c r="B2238">
        <v>5560</v>
      </c>
      <c r="C2238" t="s">
        <v>503</v>
      </c>
      <c r="D2238" t="s">
        <v>113</v>
      </c>
      <c r="E2238" t="s">
        <v>21</v>
      </c>
      <c r="F2238" t="s">
        <v>3656</v>
      </c>
      <c r="G2238" t="str">
        <f>"201304002496"</f>
        <v>201304002496</v>
      </c>
      <c r="H2238" t="s">
        <v>3657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70</v>
      </c>
      <c r="O2238">
        <v>0</v>
      </c>
      <c r="P2238">
        <v>70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X2238">
        <v>0</v>
      </c>
      <c r="Y2238" t="s">
        <v>3658</v>
      </c>
    </row>
    <row r="2239" spans="1:25" x14ac:dyDescent="0.25">
      <c r="H2239" t="s">
        <v>34</v>
      </c>
    </row>
    <row r="2240" spans="1:25" x14ac:dyDescent="0.25">
      <c r="A2240">
        <v>1117</v>
      </c>
      <c r="B2240">
        <v>570</v>
      </c>
      <c r="C2240" t="s">
        <v>3659</v>
      </c>
      <c r="D2240" t="s">
        <v>25</v>
      </c>
      <c r="E2240" t="s">
        <v>850</v>
      </c>
      <c r="F2240" t="s">
        <v>3660</v>
      </c>
      <c r="G2240" t="str">
        <f>"00128262"</f>
        <v>00128262</v>
      </c>
      <c r="H2240" t="s">
        <v>1397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70</v>
      </c>
      <c r="O2240">
        <v>0</v>
      </c>
      <c r="P2240">
        <v>50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X2240">
        <v>2</v>
      </c>
      <c r="Y2240" t="s">
        <v>3661</v>
      </c>
    </row>
    <row r="2241" spans="1:25" x14ac:dyDescent="0.25">
      <c r="H2241" t="s">
        <v>34</v>
      </c>
    </row>
    <row r="2242" spans="1:25" x14ac:dyDescent="0.25">
      <c r="A2242">
        <v>1118</v>
      </c>
      <c r="B2242">
        <v>5299</v>
      </c>
      <c r="C2242" t="s">
        <v>3662</v>
      </c>
      <c r="D2242" t="s">
        <v>805</v>
      </c>
      <c r="E2242" t="s">
        <v>21</v>
      </c>
      <c r="F2242" t="s">
        <v>3663</v>
      </c>
      <c r="G2242" t="str">
        <f>"00199095"</f>
        <v>00199095</v>
      </c>
      <c r="H2242" t="s">
        <v>636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30</v>
      </c>
      <c r="O2242">
        <v>50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X2242">
        <v>0</v>
      </c>
      <c r="Y2242" t="s">
        <v>3664</v>
      </c>
    </row>
    <row r="2243" spans="1:25" x14ac:dyDescent="0.25">
      <c r="H2243" t="s">
        <v>34</v>
      </c>
    </row>
    <row r="2244" spans="1:25" x14ac:dyDescent="0.25">
      <c r="A2244">
        <v>1119</v>
      </c>
      <c r="B2244">
        <v>4956</v>
      </c>
      <c r="C2244" t="s">
        <v>3465</v>
      </c>
      <c r="D2244" t="s">
        <v>37</v>
      </c>
      <c r="E2244" t="s">
        <v>49</v>
      </c>
      <c r="F2244" t="s">
        <v>3665</v>
      </c>
      <c r="G2244" t="str">
        <f>"00198726"</f>
        <v>00198726</v>
      </c>
      <c r="H2244" t="s">
        <v>1904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70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0</v>
      </c>
      <c r="X2244">
        <v>0</v>
      </c>
      <c r="Y2244" t="s">
        <v>3666</v>
      </c>
    </row>
    <row r="2245" spans="1:25" x14ac:dyDescent="0.25">
      <c r="H2245" t="s">
        <v>34</v>
      </c>
    </row>
    <row r="2246" spans="1:25" x14ac:dyDescent="0.25">
      <c r="A2246">
        <v>1120</v>
      </c>
      <c r="B2246">
        <v>518</v>
      </c>
      <c r="C2246" t="s">
        <v>3667</v>
      </c>
      <c r="D2246" t="s">
        <v>3668</v>
      </c>
      <c r="E2246" t="s">
        <v>55</v>
      </c>
      <c r="F2246" t="s">
        <v>3669</v>
      </c>
      <c r="G2246" t="str">
        <f>"00013236"</f>
        <v>00013236</v>
      </c>
      <c r="H2246">
        <v>770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30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X2246">
        <v>0</v>
      </c>
      <c r="Y2246">
        <v>800</v>
      </c>
    </row>
    <row r="2247" spans="1:25" x14ac:dyDescent="0.25">
      <c r="H2247" t="s">
        <v>23</v>
      </c>
    </row>
    <row r="2248" spans="1:25" x14ac:dyDescent="0.25">
      <c r="A2248">
        <v>1121</v>
      </c>
      <c r="B2248">
        <v>6539</v>
      </c>
      <c r="C2248" t="s">
        <v>3670</v>
      </c>
      <c r="D2248" t="s">
        <v>25</v>
      </c>
      <c r="E2248" t="s">
        <v>15</v>
      </c>
      <c r="F2248" t="s">
        <v>3671</v>
      </c>
      <c r="G2248" t="str">
        <f>"201304003571"</f>
        <v>201304003571</v>
      </c>
      <c r="H2248" t="s">
        <v>414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30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0</v>
      </c>
      <c r="X2248">
        <v>0</v>
      </c>
      <c r="Y2248" t="s">
        <v>3672</v>
      </c>
    </row>
    <row r="2249" spans="1:25" x14ac:dyDescent="0.25">
      <c r="H2249">
        <v>101</v>
      </c>
    </row>
    <row r="2250" spans="1:25" x14ac:dyDescent="0.25">
      <c r="A2250">
        <v>1122</v>
      </c>
      <c r="B2250">
        <v>5033</v>
      </c>
      <c r="C2250" t="s">
        <v>1086</v>
      </c>
      <c r="D2250" t="s">
        <v>209</v>
      </c>
      <c r="E2250" t="s">
        <v>61</v>
      </c>
      <c r="F2250" t="s">
        <v>3673</v>
      </c>
      <c r="G2250" t="str">
        <f>"00076657"</f>
        <v>00076657</v>
      </c>
      <c r="H2250" t="s">
        <v>1558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70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X2250">
        <v>0</v>
      </c>
      <c r="Y2250" t="s">
        <v>3674</v>
      </c>
    </row>
    <row r="2251" spans="1:25" x14ac:dyDescent="0.25">
      <c r="H2251" t="s">
        <v>213</v>
      </c>
    </row>
    <row r="2252" spans="1:25" x14ac:dyDescent="0.25">
      <c r="A2252">
        <v>1123</v>
      </c>
      <c r="B2252">
        <v>4717</v>
      </c>
      <c r="C2252" t="s">
        <v>3675</v>
      </c>
      <c r="D2252" t="s">
        <v>209</v>
      </c>
      <c r="E2252" t="s">
        <v>252</v>
      </c>
      <c r="F2252" t="s">
        <v>3676</v>
      </c>
      <c r="G2252" t="str">
        <f>"00125092"</f>
        <v>00125092</v>
      </c>
      <c r="H2252" t="s">
        <v>1558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70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X2252">
        <v>0</v>
      </c>
      <c r="Y2252" t="s">
        <v>3674</v>
      </c>
    </row>
    <row r="2253" spans="1:25" x14ac:dyDescent="0.25">
      <c r="H2253" t="s">
        <v>23</v>
      </c>
    </row>
    <row r="2254" spans="1:25" x14ac:dyDescent="0.25">
      <c r="A2254">
        <v>1124</v>
      </c>
      <c r="B2254">
        <v>4098</v>
      </c>
      <c r="C2254" t="s">
        <v>3677</v>
      </c>
      <c r="D2254" t="s">
        <v>237</v>
      </c>
      <c r="E2254" t="s">
        <v>61</v>
      </c>
      <c r="F2254" t="s">
        <v>3678</v>
      </c>
      <c r="G2254" t="str">
        <f>"201406003361"</f>
        <v>201406003361</v>
      </c>
      <c r="H2254" t="s">
        <v>1558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70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X2254">
        <v>0</v>
      </c>
      <c r="Y2254" t="s">
        <v>3674</v>
      </c>
    </row>
    <row r="2255" spans="1:25" x14ac:dyDescent="0.25">
      <c r="H2255">
        <v>101</v>
      </c>
    </row>
    <row r="2256" spans="1:25" x14ac:dyDescent="0.25">
      <c r="A2256">
        <v>1125</v>
      </c>
      <c r="B2256">
        <v>1603</v>
      </c>
      <c r="C2256" t="s">
        <v>3679</v>
      </c>
      <c r="D2256" t="s">
        <v>3680</v>
      </c>
      <c r="E2256" t="s">
        <v>147</v>
      </c>
      <c r="F2256" t="s">
        <v>3681</v>
      </c>
      <c r="G2256" t="str">
        <f>"00209277"</f>
        <v>00209277</v>
      </c>
      <c r="H2256" t="s">
        <v>980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30</v>
      </c>
      <c r="O2256">
        <v>30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0</v>
      </c>
      <c r="X2256">
        <v>0</v>
      </c>
      <c r="Y2256" t="s">
        <v>3682</v>
      </c>
    </row>
    <row r="2257" spans="1:25" x14ac:dyDescent="0.25">
      <c r="H2257" t="s">
        <v>23</v>
      </c>
    </row>
    <row r="2258" spans="1:25" x14ac:dyDescent="0.25">
      <c r="A2258">
        <v>1126</v>
      </c>
      <c r="B2258">
        <v>6</v>
      </c>
      <c r="C2258" t="s">
        <v>3683</v>
      </c>
      <c r="D2258" t="s">
        <v>25</v>
      </c>
      <c r="E2258" t="s">
        <v>49</v>
      </c>
      <c r="F2258" t="s">
        <v>3684</v>
      </c>
      <c r="G2258" t="str">
        <f>"00088017"</f>
        <v>00088017</v>
      </c>
      <c r="H2258" t="s">
        <v>2534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70</v>
      </c>
      <c r="O2258">
        <v>30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X2258">
        <v>0</v>
      </c>
      <c r="Y2258" t="s">
        <v>3685</v>
      </c>
    </row>
    <row r="2259" spans="1:25" x14ac:dyDescent="0.25">
      <c r="H2259" t="s">
        <v>23</v>
      </c>
    </row>
    <row r="2260" spans="1:25" x14ac:dyDescent="0.25">
      <c r="A2260">
        <v>1127</v>
      </c>
      <c r="B2260">
        <v>1814</v>
      </c>
      <c r="C2260" t="s">
        <v>3686</v>
      </c>
      <c r="D2260" t="s">
        <v>3687</v>
      </c>
      <c r="E2260" t="s">
        <v>87</v>
      </c>
      <c r="F2260" t="s">
        <v>3688</v>
      </c>
      <c r="G2260" t="str">
        <f>"00006488"</f>
        <v>00006488</v>
      </c>
      <c r="H2260" t="s">
        <v>2409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70</v>
      </c>
      <c r="O2260">
        <v>0</v>
      </c>
      <c r="P2260">
        <v>0</v>
      </c>
      <c r="Q2260">
        <v>50</v>
      </c>
      <c r="R2260">
        <v>0</v>
      </c>
      <c r="S2260">
        <v>0</v>
      </c>
      <c r="T2260">
        <v>0</v>
      </c>
      <c r="U2260">
        <v>0</v>
      </c>
      <c r="V2260">
        <v>0</v>
      </c>
      <c r="X2260">
        <v>0</v>
      </c>
      <c r="Y2260" t="s">
        <v>3689</v>
      </c>
    </row>
    <row r="2261" spans="1:25" x14ac:dyDescent="0.25">
      <c r="H2261" t="s">
        <v>2695</v>
      </c>
    </row>
    <row r="2262" spans="1:25" x14ac:dyDescent="0.25">
      <c r="A2262">
        <v>1128</v>
      </c>
      <c r="B2262">
        <v>6405</v>
      </c>
      <c r="C2262" t="s">
        <v>1766</v>
      </c>
      <c r="D2262" t="s">
        <v>805</v>
      </c>
      <c r="E2262" t="s">
        <v>87</v>
      </c>
      <c r="F2262" t="s">
        <v>3690</v>
      </c>
      <c r="G2262" t="str">
        <f>"00114910"</f>
        <v>00114910</v>
      </c>
      <c r="H2262" t="s">
        <v>2409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70</v>
      </c>
      <c r="O2262">
        <v>50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0</v>
      </c>
      <c r="X2262">
        <v>0</v>
      </c>
      <c r="Y2262" t="s">
        <v>3689</v>
      </c>
    </row>
    <row r="2263" spans="1:25" x14ac:dyDescent="0.25">
      <c r="H2263">
        <v>101</v>
      </c>
    </row>
    <row r="2264" spans="1:25" x14ac:dyDescent="0.25">
      <c r="A2264">
        <v>1129</v>
      </c>
      <c r="B2264">
        <v>5324</v>
      </c>
      <c r="C2264" t="s">
        <v>3691</v>
      </c>
      <c r="D2264" t="s">
        <v>25</v>
      </c>
      <c r="E2264" t="s">
        <v>1667</v>
      </c>
      <c r="F2264" t="s">
        <v>3692</v>
      </c>
      <c r="G2264" t="str">
        <f>"00115223"</f>
        <v>00115223</v>
      </c>
      <c r="H2264" t="s">
        <v>2047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70</v>
      </c>
      <c r="O2264">
        <v>30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0</v>
      </c>
      <c r="X2264">
        <v>0</v>
      </c>
      <c r="Y2264" t="s">
        <v>3693</v>
      </c>
    </row>
    <row r="2265" spans="1:25" x14ac:dyDescent="0.25">
      <c r="H2265" t="s">
        <v>23</v>
      </c>
    </row>
    <row r="2266" spans="1:25" x14ac:dyDescent="0.25">
      <c r="A2266">
        <v>1130</v>
      </c>
      <c r="B2266">
        <v>1411</v>
      </c>
      <c r="C2266" t="s">
        <v>1944</v>
      </c>
      <c r="D2266" t="s">
        <v>93</v>
      </c>
      <c r="E2266" t="s">
        <v>1945</v>
      </c>
      <c r="F2266" t="s">
        <v>1946</v>
      </c>
      <c r="G2266" t="str">
        <f>"201506001151"</f>
        <v>201506001151</v>
      </c>
      <c r="H2266">
        <v>726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70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X2266">
        <v>2</v>
      </c>
      <c r="Y2266">
        <v>796</v>
      </c>
    </row>
    <row r="2267" spans="1:25" x14ac:dyDescent="0.25">
      <c r="H2267" t="s">
        <v>118</v>
      </c>
    </row>
    <row r="2268" spans="1:25" x14ac:dyDescent="0.25">
      <c r="A2268">
        <v>1131</v>
      </c>
      <c r="B2268">
        <v>193</v>
      </c>
      <c r="C2268" t="s">
        <v>968</v>
      </c>
      <c r="D2268" t="s">
        <v>3694</v>
      </c>
      <c r="E2268" t="s">
        <v>1945</v>
      </c>
      <c r="F2268" t="s">
        <v>3695</v>
      </c>
      <c r="G2268" t="str">
        <f>"00135032"</f>
        <v>00135032</v>
      </c>
      <c r="H2268" t="s">
        <v>1096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50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X2268">
        <v>0</v>
      </c>
      <c r="Y2268" t="s">
        <v>3696</v>
      </c>
    </row>
    <row r="2269" spans="1:25" x14ac:dyDescent="0.25">
      <c r="H2269" t="s">
        <v>23</v>
      </c>
    </row>
    <row r="2270" spans="1:25" x14ac:dyDescent="0.25">
      <c r="A2270">
        <v>1132</v>
      </c>
      <c r="B2270">
        <v>6003</v>
      </c>
      <c r="C2270" t="s">
        <v>3697</v>
      </c>
      <c r="D2270" t="s">
        <v>891</v>
      </c>
      <c r="E2270" t="s">
        <v>1257</v>
      </c>
      <c r="F2270" t="s">
        <v>3698</v>
      </c>
      <c r="G2270" t="str">
        <f>"00107956"</f>
        <v>00107956</v>
      </c>
      <c r="H2270" t="s">
        <v>1004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X2270">
        <v>0</v>
      </c>
      <c r="Y2270" t="s">
        <v>3699</v>
      </c>
    </row>
    <row r="2271" spans="1:25" x14ac:dyDescent="0.25">
      <c r="H2271" t="s">
        <v>23</v>
      </c>
    </row>
    <row r="2272" spans="1:25" x14ac:dyDescent="0.25">
      <c r="A2272">
        <v>1133</v>
      </c>
      <c r="B2272">
        <v>2301</v>
      </c>
      <c r="C2272" t="s">
        <v>3700</v>
      </c>
      <c r="D2272" t="s">
        <v>87</v>
      </c>
      <c r="E2272" t="s">
        <v>781</v>
      </c>
      <c r="F2272" t="s">
        <v>3701</v>
      </c>
      <c r="G2272" t="str">
        <f>"201406008268"</f>
        <v>201406008268</v>
      </c>
      <c r="H2272" t="s">
        <v>1466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70</v>
      </c>
      <c r="O2272">
        <v>30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X2272">
        <v>0</v>
      </c>
      <c r="Y2272" t="s">
        <v>3702</v>
      </c>
    </row>
    <row r="2273" spans="1:25" x14ac:dyDescent="0.25">
      <c r="H2273" t="s">
        <v>118</v>
      </c>
    </row>
    <row r="2274" spans="1:25" x14ac:dyDescent="0.25">
      <c r="A2274">
        <v>1134</v>
      </c>
      <c r="B2274">
        <v>1807</v>
      </c>
      <c r="C2274" t="s">
        <v>3703</v>
      </c>
      <c r="D2274" t="s">
        <v>805</v>
      </c>
      <c r="E2274" t="s">
        <v>43</v>
      </c>
      <c r="F2274" t="s">
        <v>3704</v>
      </c>
      <c r="G2274" t="str">
        <f>"201411000529"</f>
        <v>201411000529</v>
      </c>
      <c r="H2274" t="s">
        <v>331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70</v>
      </c>
      <c r="O2274">
        <v>0</v>
      </c>
      <c r="P2274">
        <v>30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X2274">
        <v>0</v>
      </c>
      <c r="Y2274" t="s">
        <v>3705</v>
      </c>
    </row>
    <row r="2275" spans="1:25" x14ac:dyDescent="0.25">
      <c r="H2275">
        <v>101</v>
      </c>
    </row>
    <row r="2276" spans="1:25" x14ac:dyDescent="0.25">
      <c r="A2276">
        <v>1135</v>
      </c>
      <c r="B2276">
        <v>5</v>
      </c>
      <c r="C2276" t="s">
        <v>3706</v>
      </c>
      <c r="D2276" t="s">
        <v>25</v>
      </c>
      <c r="E2276" t="s">
        <v>15</v>
      </c>
      <c r="F2276" t="s">
        <v>3707</v>
      </c>
      <c r="G2276" t="str">
        <f>"00014708"</f>
        <v>00014708</v>
      </c>
      <c r="H2276" t="s">
        <v>3260</v>
      </c>
      <c r="I2276">
        <v>0</v>
      </c>
      <c r="J2276">
        <v>0</v>
      </c>
      <c r="K2276">
        <v>0</v>
      </c>
      <c r="L2276">
        <v>0</v>
      </c>
      <c r="M2276">
        <v>100</v>
      </c>
      <c r="N2276">
        <v>30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0</v>
      </c>
      <c r="X2276">
        <v>0</v>
      </c>
      <c r="Y2276" t="s">
        <v>3708</v>
      </c>
    </row>
    <row r="2277" spans="1:25" x14ac:dyDescent="0.25">
      <c r="H2277" t="s">
        <v>3709</v>
      </c>
    </row>
    <row r="2278" spans="1:25" x14ac:dyDescent="0.25">
      <c r="A2278">
        <v>1136</v>
      </c>
      <c r="B2278">
        <v>4122</v>
      </c>
      <c r="C2278" t="s">
        <v>3710</v>
      </c>
      <c r="D2278" t="s">
        <v>3711</v>
      </c>
      <c r="E2278" t="s">
        <v>1260</v>
      </c>
      <c r="F2278" t="s">
        <v>3712</v>
      </c>
      <c r="G2278" t="str">
        <f>"201405001417"</f>
        <v>201405001417</v>
      </c>
      <c r="H2278" t="s">
        <v>511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70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X2278">
        <v>0</v>
      </c>
      <c r="Y2278" t="s">
        <v>3713</v>
      </c>
    </row>
    <row r="2279" spans="1:25" x14ac:dyDescent="0.25">
      <c r="H2279" t="s">
        <v>23</v>
      </c>
    </row>
    <row r="2280" spans="1:25" x14ac:dyDescent="0.25">
      <c r="A2280">
        <v>1137</v>
      </c>
      <c r="B2280">
        <v>5750</v>
      </c>
      <c r="C2280" t="s">
        <v>3714</v>
      </c>
      <c r="D2280" t="s">
        <v>200</v>
      </c>
      <c r="E2280" t="s">
        <v>350</v>
      </c>
      <c r="F2280" t="s">
        <v>3715</v>
      </c>
      <c r="G2280" t="str">
        <f>"00097299"</f>
        <v>00097299</v>
      </c>
      <c r="H2280" t="s">
        <v>1204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30</v>
      </c>
      <c r="O2280">
        <v>30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X2280">
        <v>0</v>
      </c>
      <c r="Y2280" t="s">
        <v>3716</v>
      </c>
    </row>
    <row r="2281" spans="1:25" x14ac:dyDescent="0.25">
      <c r="H2281" t="s">
        <v>23</v>
      </c>
    </row>
    <row r="2282" spans="1:25" x14ac:dyDescent="0.25">
      <c r="A2282">
        <v>1138</v>
      </c>
      <c r="B2282">
        <v>1077</v>
      </c>
      <c r="C2282" t="s">
        <v>968</v>
      </c>
      <c r="D2282" t="s">
        <v>1179</v>
      </c>
      <c r="E2282" t="s">
        <v>99</v>
      </c>
      <c r="F2282" t="s">
        <v>3717</v>
      </c>
      <c r="G2282" t="str">
        <f>"201405002260"</f>
        <v>201405002260</v>
      </c>
      <c r="H2282" t="s">
        <v>1204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30</v>
      </c>
      <c r="O2282">
        <v>30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X2282">
        <v>2</v>
      </c>
      <c r="Y2282" t="s">
        <v>3716</v>
      </c>
    </row>
    <row r="2283" spans="1:25" x14ac:dyDescent="0.25">
      <c r="H2283">
        <v>101</v>
      </c>
    </row>
    <row r="2284" spans="1:25" x14ac:dyDescent="0.25">
      <c r="A2284">
        <v>1139</v>
      </c>
      <c r="B2284">
        <v>1280</v>
      </c>
      <c r="C2284" t="s">
        <v>3718</v>
      </c>
      <c r="D2284" t="s">
        <v>25</v>
      </c>
      <c r="E2284" t="s">
        <v>1340</v>
      </c>
      <c r="F2284" t="s">
        <v>3719</v>
      </c>
      <c r="G2284" t="str">
        <f>"00195360"</f>
        <v>00195360</v>
      </c>
      <c r="H2284" t="s">
        <v>2094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70</v>
      </c>
      <c r="O2284">
        <v>0</v>
      </c>
      <c r="P2284">
        <v>30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X2284">
        <v>0</v>
      </c>
      <c r="Y2284" t="s">
        <v>3720</v>
      </c>
    </row>
    <row r="2285" spans="1:25" x14ac:dyDescent="0.25">
      <c r="H2285" t="s">
        <v>91</v>
      </c>
    </row>
    <row r="2286" spans="1:25" x14ac:dyDescent="0.25">
      <c r="A2286">
        <v>1140</v>
      </c>
      <c r="B2286">
        <v>3429</v>
      </c>
      <c r="C2286" t="s">
        <v>3721</v>
      </c>
      <c r="D2286" t="s">
        <v>49</v>
      </c>
      <c r="E2286" t="s">
        <v>948</v>
      </c>
      <c r="F2286" t="s">
        <v>3722</v>
      </c>
      <c r="G2286" t="str">
        <f>"00105170"</f>
        <v>00105170</v>
      </c>
      <c r="H2286" t="s">
        <v>776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70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X2286">
        <v>0</v>
      </c>
      <c r="Y2286" t="s">
        <v>3723</v>
      </c>
    </row>
    <row r="2287" spans="1:25" x14ac:dyDescent="0.25">
      <c r="H2287" t="s">
        <v>34</v>
      </c>
    </row>
    <row r="2288" spans="1:25" x14ac:dyDescent="0.25">
      <c r="A2288">
        <v>1141</v>
      </c>
      <c r="B2288">
        <v>3871</v>
      </c>
      <c r="C2288" t="s">
        <v>3724</v>
      </c>
      <c r="D2288" t="s">
        <v>1030</v>
      </c>
      <c r="E2288" t="s">
        <v>49</v>
      </c>
      <c r="F2288" t="s">
        <v>3725</v>
      </c>
      <c r="G2288" t="str">
        <f>"201303000646"</f>
        <v>201303000646</v>
      </c>
      <c r="H2288" t="s">
        <v>1893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30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X2288">
        <v>2</v>
      </c>
      <c r="Y2288" t="s">
        <v>3726</v>
      </c>
    </row>
    <row r="2289" spans="1:25" x14ac:dyDescent="0.25">
      <c r="H2289" t="s">
        <v>23</v>
      </c>
    </row>
    <row r="2290" spans="1:25" x14ac:dyDescent="0.25">
      <c r="A2290">
        <v>1142</v>
      </c>
      <c r="B2290">
        <v>1228</v>
      </c>
      <c r="C2290" t="s">
        <v>3727</v>
      </c>
      <c r="D2290" t="s">
        <v>184</v>
      </c>
      <c r="E2290" t="s">
        <v>200</v>
      </c>
      <c r="F2290" t="s">
        <v>3728</v>
      </c>
      <c r="G2290" t="str">
        <f>"00172284"</f>
        <v>00172284</v>
      </c>
      <c r="H2290">
        <v>671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70</v>
      </c>
      <c r="O2290">
        <v>0</v>
      </c>
      <c r="P2290">
        <v>50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X2290">
        <v>0</v>
      </c>
      <c r="Y2290">
        <v>791</v>
      </c>
    </row>
    <row r="2291" spans="1:25" x14ac:dyDescent="0.25">
      <c r="H2291" t="s">
        <v>53</v>
      </c>
    </row>
    <row r="2292" spans="1:25" x14ac:dyDescent="0.25">
      <c r="A2292">
        <v>1143</v>
      </c>
      <c r="B2292">
        <v>1725</v>
      </c>
      <c r="C2292" t="s">
        <v>3729</v>
      </c>
      <c r="D2292" t="s">
        <v>3730</v>
      </c>
      <c r="E2292" t="s">
        <v>3731</v>
      </c>
      <c r="F2292" t="s">
        <v>3732</v>
      </c>
      <c r="G2292" t="str">
        <f>"00123877"</f>
        <v>00123877</v>
      </c>
      <c r="H2292" t="s">
        <v>3549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70</v>
      </c>
      <c r="R2292">
        <v>0</v>
      </c>
      <c r="S2292">
        <v>0</v>
      </c>
      <c r="T2292">
        <v>0</v>
      </c>
      <c r="U2292">
        <v>0</v>
      </c>
      <c r="V2292">
        <v>0</v>
      </c>
      <c r="X2292">
        <v>0</v>
      </c>
      <c r="Y2292" t="s">
        <v>3733</v>
      </c>
    </row>
    <row r="2293" spans="1:25" x14ac:dyDescent="0.25">
      <c r="H2293" t="s">
        <v>34</v>
      </c>
    </row>
    <row r="2294" spans="1:25" x14ac:dyDescent="0.25">
      <c r="A2294">
        <v>1144</v>
      </c>
      <c r="B2294">
        <v>5782</v>
      </c>
      <c r="C2294" t="s">
        <v>3734</v>
      </c>
      <c r="D2294" t="s">
        <v>48</v>
      </c>
      <c r="E2294" t="s">
        <v>49</v>
      </c>
      <c r="F2294" t="s">
        <v>3735</v>
      </c>
      <c r="G2294" t="str">
        <f>"201406014760"</f>
        <v>201406014760</v>
      </c>
      <c r="H2294" t="s">
        <v>3549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30</v>
      </c>
      <c r="O2294">
        <v>70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X2294">
        <v>0</v>
      </c>
      <c r="Y2294" t="s">
        <v>3733</v>
      </c>
    </row>
    <row r="2295" spans="1:25" x14ac:dyDescent="0.25">
      <c r="H2295" t="s">
        <v>23</v>
      </c>
    </row>
    <row r="2296" spans="1:25" x14ac:dyDescent="0.25">
      <c r="A2296">
        <v>1145</v>
      </c>
      <c r="B2296">
        <v>4908</v>
      </c>
      <c r="C2296" t="s">
        <v>3736</v>
      </c>
      <c r="D2296" t="s">
        <v>113</v>
      </c>
      <c r="E2296" t="s">
        <v>87</v>
      </c>
      <c r="F2296" t="s">
        <v>3737</v>
      </c>
      <c r="G2296" t="str">
        <f>"00003553"</f>
        <v>00003553</v>
      </c>
      <c r="H2296" t="s">
        <v>1904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30</v>
      </c>
      <c r="O2296">
        <v>0</v>
      </c>
      <c r="P2296">
        <v>30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X2296">
        <v>0</v>
      </c>
      <c r="Y2296" t="s">
        <v>3738</v>
      </c>
    </row>
    <row r="2297" spans="1:25" x14ac:dyDescent="0.25">
      <c r="H2297">
        <v>101</v>
      </c>
    </row>
    <row r="2298" spans="1:25" x14ac:dyDescent="0.25">
      <c r="A2298">
        <v>1146</v>
      </c>
      <c r="B2298">
        <v>5358</v>
      </c>
      <c r="C2298" t="s">
        <v>3739</v>
      </c>
      <c r="D2298" t="s">
        <v>1392</v>
      </c>
      <c r="E2298" t="s">
        <v>43</v>
      </c>
      <c r="F2298" t="s">
        <v>3740</v>
      </c>
      <c r="G2298" t="str">
        <f>"00001463"</f>
        <v>00001463</v>
      </c>
      <c r="H2298" t="s">
        <v>1055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50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X2298">
        <v>0</v>
      </c>
      <c r="Y2298" t="s">
        <v>3741</v>
      </c>
    </row>
    <row r="2299" spans="1:25" x14ac:dyDescent="0.25">
      <c r="H2299" t="s">
        <v>23</v>
      </c>
    </row>
    <row r="2300" spans="1:25" x14ac:dyDescent="0.25">
      <c r="A2300">
        <v>1147</v>
      </c>
      <c r="B2300">
        <v>4559</v>
      </c>
      <c r="C2300" t="s">
        <v>3742</v>
      </c>
      <c r="D2300" t="s">
        <v>355</v>
      </c>
      <c r="E2300" t="s">
        <v>55</v>
      </c>
      <c r="F2300" t="s">
        <v>3743</v>
      </c>
      <c r="G2300" t="str">
        <f>"00196137"</f>
        <v>00196137</v>
      </c>
      <c r="H2300" t="s">
        <v>2272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70</v>
      </c>
      <c r="O2300">
        <v>0</v>
      </c>
      <c r="P2300">
        <v>50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X2300">
        <v>1</v>
      </c>
      <c r="Y2300" t="s">
        <v>3744</v>
      </c>
    </row>
    <row r="2301" spans="1:25" x14ac:dyDescent="0.25">
      <c r="H2301" t="s">
        <v>23</v>
      </c>
    </row>
    <row r="2302" spans="1:25" x14ac:dyDescent="0.25">
      <c r="A2302">
        <v>1148</v>
      </c>
      <c r="B2302">
        <v>5491</v>
      </c>
      <c r="C2302" t="s">
        <v>3745</v>
      </c>
      <c r="D2302" t="s">
        <v>501</v>
      </c>
      <c r="E2302" t="s">
        <v>147</v>
      </c>
      <c r="F2302" t="s">
        <v>3746</v>
      </c>
      <c r="G2302" t="str">
        <f>"00112279"</f>
        <v>00112279</v>
      </c>
      <c r="H2302" t="s">
        <v>2007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70</v>
      </c>
      <c r="O2302">
        <v>30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X2302">
        <v>0</v>
      </c>
      <c r="Y2302" t="s">
        <v>3747</v>
      </c>
    </row>
    <row r="2303" spans="1:25" x14ac:dyDescent="0.25">
      <c r="H2303" t="s">
        <v>53</v>
      </c>
    </row>
    <row r="2304" spans="1:25" x14ac:dyDescent="0.25">
      <c r="A2304">
        <v>1149</v>
      </c>
      <c r="B2304">
        <v>5142</v>
      </c>
      <c r="C2304" t="s">
        <v>3748</v>
      </c>
      <c r="D2304" t="s">
        <v>20</v>
      </c>
      <c r="E2304" t="s">
        <v>419</v>
      </c>
      <c r="F2304" t="s">
        <v>3749</v>
      </c>
      <c r="G2304" t="str">
        <f>"00187375"</f>
        <v>00187375</v>
      </c>
      <c r="H2304" t="s">
        <v>2007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70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X2304">
        <v>0</v>
      </c>
      <c r="Y2304" t="s">
        <v>3747</v>
      </c>
    </row>
    <row r="2305" spans="1:25" x14ac:dyDescent="0.25">
      <c r="H2305" t="s">
        <v>53</v>
      </c>
    </row>
    <row r="2306" spans="1:25" x14ac:dyDescent="0.25">
      <c r="A2306">
        <v>1150</v>
      </c>
      <c r="B2306">
        <v>3797</v>
      </c>
      <c r="C2306" t="s">
        <v>3750</v>
      </c>
      <c r="D2306" t="s">
        <v>355</v>
      </c>
      <c r="E2306" t="s">
        <v>21</v>
      </c>
      <c r="F2306" t="s">
        <v>3751</v>
      </c>
      <c r="G2306" t="str">
        <f>"00091729"</f>
        <v>00091729</v>
      </c>
      <c r="H2306" t="s">
        <v>1636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70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X2306">
        <v>0</v>
      </c>
      <c r="Y2306" t="s">
        <v>3752</v>
      </c>
    </row>
    <row r="2307" spans="1:25" x14ac:dyDescent="0.25">
      <c r="H2307">
        <v>101</v>
      </c>
    </row>
    <row r="2308" spans="1:25" x14ac:dyDescent="0.25">
      <c r="A2308">
        <v>1151</v>
      </c>
      <c r="B2308">
        <v>3224</v>
      </c>
      <c r="C2308" t="s">
        <v>3753</v>
      </c>
      <c r="D2308" t="s">
        <v>55</v>
      </c>
      <c r="E2308" t="s">
        <v>3754</v>
      </c>
      <c r="F2308" t="s">
        <v>3755</v>
      </c>
      <c r="G2308" t="str">
        <f>"201411003171"</f>
        <v>201411003171</v>
      </c>
      <c r="H2308">
        <v>649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70</v>
      </c>
      <c r="O2308">
        <v>70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X2308">
        <v>0</v>
      </c>
      <c r="Y2308">
        <v>789</v>
      </c>
    </row>
    <row r="2309" spans="1:25" x14ac:dyDescent="0.25">
      <c r="H2309" t="s">
        <v>53</v>
      </c>
    </row>
    <row r="2310" spans="1:25" x14ac:dyDescent="0.25">
      <c r="A2310">
        <v>1152</v>
      </c>
      <c r="B2310">
        <v>3253</v>
      </c>
      <c r="C2310" t="s">
        <v>3756</v>
      </c>
      <c r="D2310" t="s">
        <v>283</v>
      </c>
      <c r="E2310" t="s">
        <v>61</v>
      </c>
      <c r="F2310" t="s">
        <v>3757</v>
      </c>
      <c r="G2310" t="str">
        <f>"201406016265"</f>
        <v>201406016265</v>
      </c>
      <c r="H2310" t="s">
        <v>1066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70</v>
      </c>
      <c r="O2310">
        <v>0</v>
      </c>
      <c r="P2310">
        <v>30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X2310">
        <v>0</v>
      </c>
      <c r="Y2310" t="s">
        <v>3758</v>
      </c>
    </row>
    <row r="2311" spans="1:25" x14ac:dyDescent="0.25">
      <c r="H2311" t="s">
        <v>23</v>
      </c>
    </row>
    <row r="2312" spans="1:25" x14ac:dyDescent="0.25">
      <c r="A2312">
        <v>1153</v>
      </c>
      <c r="B2312">
        <v>4787</v>
      </c>
      <c r="C2312" t="s">
        <v>2760</v>
      </c>
      <c r="D2312" t="s">
        <v>3759</v>
      </c>
      <c r="E2312" t="s">
        <v>87</v>
      </c>
      <c r="F2312" t="s">
        <v>3760</v>
      </c>
      <c r="G2312" t="str">
        <f>"00208746"</f>
        <v>00208746</v>
      </c>
      <c r="H2312" t="s">
        <v>1734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50</v>
      </c>
      <c r="O2312">
        <v>30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0</v>
      </c>
      <c r="X2312">
        <v>0</v>
      </c>
      <c r="Y2312" t="s">
        <v>3761</v>
      </c>
    </row>
    <row r="2313" spans="1:25" x14ac:dyDescent="0.25">
      <c r="H2313" t="s">
        <v>34</v>
      </c>
    </row>
    <row r="2314" spans="1:25" x14ac:dyDescent="0.25">
      <c r="A2314">
        <v>1154</v>
      </c>
      <c r="B2314">
        <v>6177</v>
      </c>
      <c r="C2314" t="s">
        <v>3762</v>
      </c>
      <c r="D2314" t="s">
        <v>933</v>
      </c>
      <c r="E2314" t="s">
        <v>200</v>
      </c>
      <c r="F2314" t="s">
        <v>3763</v>
      </c>
      <c r="G2314" t="str">
        <f>"201506003742"</f>
        <v>201506003742</v>
      </c>
      <c r="H2314" t="s">
        <v>2292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0</v>
      </c>
      <c r="P2314">
        <v>0</v>
      </c>
      <c r="Q2314">
        <v>0</v>
      </c>
      <c r="R2314">
        <v>50</v>
      </c>
      <c r="S2314">
        <v>0</v>
      </c>
      <c r="T2314">
        <v>0</v>
      </c>
      <c r="U2314">
        <v>0</v>
      </c>
      <c r="V2314">
        <v>0</v>
      </c>
      <c r="X2314">
        <v>0</v>
      </c>
      <c r="Y2314" t="s">
        <v>3764</v>
      </c>
    </row>
    <row r="2315" spans="1:25" x14ac:dyDescent="0.25">
      <c r="H2315" t="s">
        <v>23</v>
      </c>
    </row>
    <row r="2316" spans="1:25" x14ac:dyDescent="0.25">
      <c r="A2316">
        <v>1155</v>
      </c>
      <c r="B2316">
        <v>942</v>
      </c>
      <c r="C2316" t="s">
        <v>3765</v>
      </c>
      <c r="D2316" t="s">
        <v>2615</v>
      </c>
      <c r="E2316" t="s">
        <v>15</v>
      </c>
      <c r="F2316" t="s">
        <v>3766</v>
      </c>
      <c r="G2316" t="str">
        <f>"00131711"</f>
        <v>00131711</v>
      </c>
      <c r="H2316" t="s">
        <v>1937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70</v>
      </c>
      <c r="O2316">
        <v>0</v>
      </c>
      <c r="P2316">
        <v>0</v>
      </c>
      <c r="Q2316">
        <v>30</v>
      </c>
      <c r="R2316">
        <v>0</v>
      </c>
      <c r="S2316">
        <v>0</v>
      </c>
      <c r="T2316">
        <v>0</v>
      </c>
      <c r="U2316">
        <v>0</v>
      </c>
      <c r="V2316">
        <v>0</v>
      </c>
      <c r="X2316">
        <v>0</v>
      </c>
      <c r="Y2316" t="s">
        <v>3767</v>
      </c>
    </row>
    <row r="2317" spans="1:25" x14ac:dyDescent="0.25">
      <c r="H2317">
        <v>101</v>
      </c>
    </row>
    <row r="2318" spans="1:25" x14ac:dyDescent="0.25">
      <c r="A2318">
        <v>1156</v>
      </c>
      <c r="B2318">
        <v>41</v>
      </c>
      <c r="C2318" t="s">
        <v>3768</v>
      </c>
      <c r="D2318" t="s">
        <v>55</v>
      </c>
      <c r="E2318" t="s">
        <v>87</v>
      </c>
      <c r="F2318" t="s">
        <v>3769</v>
      </c>
      <c r="G2318" t="str">
        <f>"00202460"</f>
        <v>00202460</v>
      </c>
      <c r="H2318" t="s">
        <v>1337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70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X2318">
        <v>2</v>
      </c>
      <c r="Y2318" t="s">
        <v>3770</v>
      </c>
    </row>
    <row r="2319" spans="1:25" x14ac:dyDescent="0.25">
      <c r="H2319">
        <v>101</v>
      </c>
    </row>
    <row r="2320" spans="1:25" x14ac:dyDescent="0.25">
      <c r="A2320">
        <v>1157</v>
      </c>
      <c r="B2320">
        <v>2615</v>
      </c>
      <c r="C2320" t="s">
        <v>1121</v>
      </c>
      <c r="D2320" t="s">
        <v>48</v>
      </c>
      <c r="E2320" t="s">
        <v>3122</v>
      </c>
      <c r="F2320" t="s">
        <v>3771</v>
      </c>
      <c r="G2320" t="str">
        <f>"201506000785"</f>
        <v>201506000785</v>
      </c>
      <c r="H2320" t="s">
        <v>1337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70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X2320">
        <v>2</v>
      </c>
      <c r="Y2320" t="s">
        <v>3770</v>
      </c>
    </row>
    <row r="2321" spans="1:25" x14ac:dyDescent="0.25">
      <c r="H2321" t="s">
        <v>23</v>
      </c>
    </row>
    <row r="2322" spans="1:25" x14ac:dyDescent="0.25">
      <c r="A2322">
        <v>1158</v>
      </c>
      <c r="B2322">
        <v>2588</v>
      </c>
      <c r="C2322" t="s">
        <v>3772</v>
      </c>
      <c r="D2322" t="s">
        <v>199</v>
      </c>
      <c r="E2322" t="s">
        <v>147</v>
      </c>
      <c r="F2322" t="s">
        <v>3773</v>
      </c>
      <c r="G2322" t="str">
        <f>"201304003326"</f>
        <v>201304003326</v>
      </c>
      <c r="H2322" t="s">
        <v>3774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70</v>
      </c>
      <c r="O2322">
        <v>0</v>
      </c>
      <c r="P2322">
        <v>70</v>
      </c>
      <c r="Q2322">
        <v>0</v>
      </c>
      <c r="R2322">
        <v>30</v>
      </c>
      <c r="S2322">
        <v>0</v>
      </c>
      <c r="T2322">
        <v>0</v>
      </c>
      <c r="U2322">
        <v>0</v>
      </c>
      <c r="V2322">
        <v>0</v>
      </c>
      <c r="X2322">
        <v>0</v>
      </c>
      <c r="Y2322" t="s">
        <v>3775</v>
      </c>
    </row>
    <row r="2323" spans="1:25" x14ac:dyDescent="0.25">
      <c r="H2323" t="s">
        <v>23</v>
      </c>
    </row>
    <row r="2324" spans="1:25" x14ac:dyDescent="0.25">
      <c r="A2324">
        <v>1159</v>
      </c>
      <c r="B2324">
        <v>6108</v>
      </c>
      <c r="C2324" t="s">
        <v>1758</v>
      </c>
      <c r="D2324" t="s">
        <v>25</v>
      </c>
      <c r="E2324" t="s">
        <v>21</v>
      </c>
      <c r="F2324" t="s">
        <v>3776</v>
      </c>
      <c r="G2324" t="str">
        <f>"00010942"</f>
        <v>00010942</v>
      </c>
      <c r="H2324">
        <v>737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50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X2324">
        <v>0</v>
      </c>
      <c r="Y2324">
        <v>787</v>
      </c>
    </row>
    <row r="2325" spans="1:25" x14ac:dyDescent="0.25">
      <c r="H2325">
        <v>103</v>
      </c>
    </row>
    <row r="2326" spans="1:25" x14ac:dyDescent="0.25">
      <c r="A2326">
        <v>1160</v>
      </c>
      <c r="B2326">
        <v>6421</v>
      </c>
      <c r="C2326" t="s">
        <v>3777</v>
      </c>
      <c r="D2326" t="s">
        <v>1030</v>
      </c>
      <c r="E2326" t="s">
        <v>147</v>
      </c>
      <c r="F2326" t="s">
        <v>3778</v>
      </c>
      <c r="G2326" t="str">
        <f>"00014099"</f>
        <v>00014099</v>
      </c>
      <c r="H2326" t="s">
        <v>2143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70</v>
      </c>
      <c r="O2326">
        <v>30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X2326">
        <v>0</v>
      </c>
      <c r="Y2326" t="s">
        <v>3779</v>
      </c>
    </row>
    <row r="2327" spans="1:25" x14ac:dyDescent="0.25">
      <c r="H2327" t="s">
        <v>53</v>
      </c>
    </row>
    <row r="2328" spans="1:25" x14ac:dyDescent="0.25">
      <c r="A2328">
        <v>1161</v>
      </c>
      <c r="B2328">
        <v>257</v>
      </c>
      <c r="C2328" t="s">
        <v>3780</v>
      </c>
      <c r="D2328" t="s">
        <v>209</v>
      </c>
      <c r="E2328" t="s">
        <v>37</v>
      </c>
      <c r="F2328" t="s">
        <v>3781</v>
      </c>
      <c r="G2328" t="str">
        <f>"00200702"</f>
        <v>00200702</v>
      </c>
      <c r="H2328" t="s">
        <v>1089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70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X2328">
        <v>2</v>
      </c>
      <c r="Y2328" t="s">
        <v>3782</v>
      </c>
    </row>
    <row r="2329" spans="1:25" x14ac:dyDescent="0.25">
      <c r="H2329">
        <v>101</v>
      </c>
    </row>
    <row r="2330" spans="1:25" x14ac:dyDescent="0.25">
      <c r="A2330">
        <v>1162</v>
      </c>
      <c r="B2330">
        <v>1202</v>
      </c>
      <c r="C2330" t="s">
        <v>3783</v>
      </c>
      <c r="D2330" t="s">
        <v>113</v>
      </c>
      <c r="E2330" t="s">
        <v>291</v>
      </c>
      <c r="F2330" t="s">
        <v>3784</v>
      </c>
      <c r="G2330" t="str">
        <f>"00013221"</f>
        <v>00013221</v>
      </c>
      <c r="H2330" t="s">
        <v>1089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70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X2330">
        <v>0</v>
      </c>
      <c r="Y2330" t="s">
        <v>3782</v>
      </c>
    </row>
    <row r="2331" spans="1:25" x14ac:dyDescent="0.25">
      <c r="H2331" t="s">
        <v>23</v>
      </c>
    </row>
    <row r="2332" spans="1:25" x14ac:dyDescent="0.25">
      <c r="A2332">
        <v>1163</v>
      </c>
      <c r="B2332">
        <v>1774</v>
      </c>
      <c r="C2332" t="s">
        <v>3785</v>
      </c>
      <c r="D2332" t="s">
        <v>3193</v>
      </c>
      <c r="E2332" t="s">
        <v>200</v>
      </c>
      <c r="F2332" t="s">
        <v>3786</v>
      </c>
      <c r="G2332" t="str">
        <f>"00208399"</f>
        <v>00208399</v>
      </c>
      <c r="H2332">
        <v>726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30</v>
      </c>
      <c r="O2332">
        <v>30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X2332">
        <v>0</v>
      </c>
      <c r="Y2332">
        <v>786</v>
      </c>
    </row>
    <row r="2333" spans="1:25" x14ac:dyDescent="0.25">
      <c r="H2333" t="s">
        <v>34</v>
      </c>
    </row>
    <row r="2334" spans="1:25" x14ac:dyDescent="0.25">
      <c r="A2334">
        <v>1164</v>
      </c>
      <c r="B2334">
        <v>1271</v>
      </c>
      <c r="C2334" t="s">
        <v>3787</v>
      </c>
      <c r="D2334" t="s">
        <v>689</v>
      </c>
      <c r="E2334" t="s">
        <v>3788</v>
      </c>
      <c r="F2334" t="s">
        <v>3789</v>
      </c>
      <c r="G2334" t="str">
        <f>"201506001937"</f>
        <v>201506001937</v>
      </c>
      <c r="H2334">
        <v>726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30</v>
      </c>
      <c r="O2334">
        <v>0</v>
      </c>
      <c r="P2334">
        <v>0</v>
      </c>
      <c r="Q2334">
        <v>30</v>
      </c>
      <c r="R2334">
        <v>0</v>
      </c>
      <c r="S2334">
        <v>0</v>
      </c>
      <c r="T2334">
        <v>0</v>
      </c>
      <c r="U2334">
        <v>0</v>
      </c>
      <c r="V2334">
        <v>0</v>
      </c>
      <c r="X2334">
        <v>0</v>
      </c>
      <c r="Y2334">
        <v>786</v>
      </c>
    </row>
    <row r="2335" spans="1:25" x14ac:dyDescent="0.25">
      <c r="H2335" t="s">
        <v>23</v>
      </c>
    </row>
    <row r="2336" spans="1:25" x14ac:dyDescent="0.25">
      <c r="A2336">
        <v>1165</v>
      </c>
      <c r="B2336">
        <v>4911</v>
      </c>
      <c r="C2336" t="s">
        <v>3790</v>
      </c>
      <c r="D2336" t="s">
        <v>200</v>
      </c>
      <c r="E2336" t="s">
        <v>87</v>
      </c>
      <c r="F2336" t="s">
        <v>3791</v>
      </c>
      <c r="G2336" t="str">
        <f>"201411002121"</f>
        <v>201411002121</v>
      </c>
      <c r="H2336" t="s">
        <v>910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50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X2336">
        <v>0</v>
      </c>
      <c r="Y2336" t="s">
        <v>3792</v>
      </c>
    </row>
    <row r="2337" spans="1:25" x14ac:dyDescent="0.25">
      <c r="H2337" t="s">
        <v>23</v>
      </c>
    </row>
    <row r="2338" spans="1:25" x14ac:dyDescent="0.25">
      <c r="A2338">
        <v>1166</v>
      </c>
      <c r="B2338">
        <v>108</v>
      </c>
      <c r="C2338" t="s">
        <v>2901</v>
      </c>
      <c r="D2338" t="s">
        <v>113</v>
      </c>
      <c r="E2338" t="s">
        <v>200</v>
      </c>
      <c r="F2338" t="s">
        <v>3793</v>
      </c>
      <c r="G2338" t="str">
        <f>"00117952"</f>
        <v>00117952</v>
      </c>
      <c r="H2338" t="s">
        <v>1276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50</v>
      </c>
      <c r="O2338">
        <v>30</v>
      </c>
      <c r="P2338">
        <v>0</v>
      </c>
      <c r="Q2338">
        <v>30</v>
      </c>
      <c r="R2338">
        <v>0</v>
      </c>
      <c r="S2338">
        <v>0</v>
      </c>
      <c r="T2338">
        <v>0</v>
      </c>
      <c r="U2338">
        <v>0</v>
      </c>
      <c r="V2338">
        <v>0</v>
      </c>
      <c r="X2338">
        <v>0</v>
      </c>
      <c r="Y2338" t="s">
        <v>379</v>
      </c>
    </row>
    <row r="2339" spans="1:25" x14ac:dyDescent="0.25">
      <c r="H2339" t="s">
        <v>91</v>
      </c>
    </row>
    <row r="2340" spans="1:25" x14ac:dyDescent="0.25">
      <c r="A2340">
        <v>1167</v>
      </c>
      <c r="B2340">
        <v>5744</v>
      </c>
      <c r="C2340" t="s">
        <v>3794</v>
      </c>
      <c r="D2340" t="s">
        <v>3795</v>
      </c>
      <c r="E2340" t="s">
        <v>49</v>
      </c>
      <c r="F2340" t="s">
        <v>3796</v>
      </c>
      <c r="G2340" t="str">
        <f>"00093365"</f>
        <v>00093365</v>
      </c>
      <c r="H2340" t="s">
        <v>1959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70</v>
      </c>
      <c r="O2340">
        <v>30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X2340">
        <v>0</v>
      </c>
      <c r="Y2340" t="s">
        <v>3797</v>
      </c>
    </row>
    <row r="2341" spans="1:25" x14ac:dyDescent="0.25">
      <c r="H2341" t="s">
        <v>53</v>
      </c>
    </row>
    <row r="2342" spans="1:25" x14ac:dyDescent="0.25">
      <c r="A2342">
        <v>1168</v>
      </c>
      <c r="B2342">
        <v>4135</v>
      </c>
      <c r="C2342" t="s">
        <v>3798</v>
      </c>
      <c r="D2342" t="s">
        <v>76</v>
      </c>
      <c r="E2342" t="s">
        <v>114</v>
      </c>
      <c r="F2342" t="s">
        <v>3799</v>
      </c>
      <c r="G2342" t="str">
        <f>"00126471"</f>
        <v>00126471</v>
      </c>
      <c r="H2342" t="s">
        <v>1959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70</v>
      </c>
      <c r="O2342">
        <v>30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0</v>
      </c>
      <c r="X2342">
        <v>0</v>
      </c>
      <c r="Y2342" t="s">
        <v>3797</v>
      </c>
    </row>
    <row r="2343" spans="1:25" x14ac:dyDescent="0.25">
      <c r="H2343" t="s">
        <v>53</v>
      </c>
    </row>
    <row r="2344" spans="1:25" x14ac:dyDescent="0.25">
      <c r="A2344">
        <v>1169</v>
      </c>
      <c r="B2344">
        <v>5973</v>
      </c>
      <c r="C2344" t="s">
        <v>3800</v>
      </c>
      <c r="D2344" t="s">
        <v>362</v>
      </c>
      <c r="E2344" t="s">
        <v>895</v>
      </c>
      <c r="F2344" t="s">
        <v>3801</v>
      </c>
      <c r="G2344" t="str">
        <f>"200802004815"</f>
        <v>200802004815</v>
      </c>
      <c r="H2344" t="s">
        <v>390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50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X2344">
        <v>0</v>
      </c>
      <c r="Y2344" t="s">
        <v>3802</v>
      </c>
    </row>
    <row r="2345" spans="1:25" x14ac:dyDescent="0.25">
      <c r="H2345" t="s">
        <v>23</v>
      </c>
    </row>
    <row r="2346" spans="1:25" x14ac:dyDescent="0.25">
      <c r="A2346">
        <v>1170</v>
      </c>
      <c r="B2346">
        <v>3421</v>
      </c>
      <c r="C2346" t="s">
        <v>3803</v>
      </c>
      <c r="D2346" t="s">
        <v>252</v>
      </c>
      <c r="E2346" t="s">
        <v>49</v>
      </c>
      <c r="F2346" t="s">
        <v>3804</v>
      </c>
      <c r="G2346" t="str">
        <f>"00135199"</f>
        <v>00135199</v>
      </c>
      <c r="H2346" t="s">
        <v>1204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50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X2346">
        <v>0</v>
      </c>
      <c r="Y2346" t="s">
        <v>3805</v>
      </c>
    </row>
    <row r="2347" spans="1:25" x14ac:dyDescent="0.25">
      <c r="H2347" t="s">
        <v>34</v>
      </c>
    </row>
    <row r="2348" spans="1:25" x14ac:dyDescent="0.25">
      <c r="A2348">
        <v>1171</v>
      </c>
      <c r="B2348">
        <v>4343</v>
      </c>
      <c r="C2348" t="s">
        <v>3806</v>
      </c>
      <c r="D2348" t="s">
        <v>125</v>
      </c>
      <c r="E2348" t="s">
        <v>55</v>
      </c>
      <c r="F2348" t="s">
        <v>3807</v>
      </c>
      <c r="G2348" t="str">
        <f>"00014770"</f>
        <v>00014770</v>
      </c>
      <c r="H2348" t="s">
        <v>691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X2348">
        <v>0</v>
      </c>
      <c r="Y2348" t="s">
        <v>3808</v>
      </c>
    </row>
    <row r="2349" spans="1:25" x14ac:dyDescent="0.25">
      <c r="H2349" t="s">
        <v>118</v>
      </c>
    </row>
    <row r="2350" spans="1:25" x14ac:dyDescent="0.25">
      <c r="A2350">
        <v>1172</v>
      </c>
      <c r="B2350">
        <v>5473</v>
      </c>
      <c r="C2350" t="s">
        <v>3809</v>
      </c>
      <c r="D2350" t="s">
        <v>245</v>
      </c>
      <c r="E2350" t="s">
        <v>99</v>
      </c>
      <c r="F2350" t="s">
        <v>3810</v>
      </c>
      <c r="G2350" t="str">
        <f>"201406012468"</f>
        <v>201406012468</v>
      </c>
      <c r="H2350" t="s">
        <v>2368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50</v>
      </c>
      <c r="O2350">
        <v>0</v>
      </c>
      <c r="P2350">
        <v>0</v>
      </c>
      <c r="Q2350">
        <v>70</v>
      </c>
      <c r="R2350">
        <v>0</v>
      </c>
      <c r="S2350">
        <v>0</v>
      </c>
      <c r="T2350">
        <v>0</v>
      </c>
      <c r="U2350">
        <v>0</v>
      </c>
      <c r="V2350">
        <v>0</v>
      </c>
      <c r="X2350">
        <v>0</v>
      </c>
      <c r="Y2350" t="s">
        <v>3811</v>
      </c>
    </row>
    <row r="2351" spans="1:25" x14ac:dyDescent="0.25">
      <c r="H2351" t="s">
        <v>118</v>
      </c>
    </row>
    <row r="2352" spans="1:25" x14ac:dyDescent="0.25">
      <c r="A2352">
        <v>1173</v>
      </c>
      <c r="B2352">
        <v>5655</v>
      </c>
      <c r="C2352" t="s">
        <v>381</v>
      </c>
      <c r="D2352" t="s">
        <v>266</v>
      </c>
      <c r="E2352" t="s">
        <v>1481</v>
      </c>
      <c r="F2352" t="s">
        <v>3812</v>
      </c>
      <c r="G2352" t="str">
        <f>"00092980"</f>
        <v>00092980</v>
      </c>
      <c r="H2352">
        <v>682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70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0</v>
      </c>
      <c r="X2352">
        <v>0</v>
      </c>
      <c r="Y2352">
        <v>782</v>
      </c>
    </row>
    <row r="2353" spans="1:25" x14ac:dyDescent="0.25">
      <c r="H2353" t="s">
        <v>23</v>
      </c>
    </row>
    <row r="2354" spans="1:25" x14ac:dyDescent="0.25">
      <c r="A2354">
        <v>1174</v>
      </c>
      <c r="B2354">
        <v>623</v>
      </c>
      <c r="C2354" t="s">
        <v>3813</v>
      </c>
      <c r="D2354" t="s">
        <v>209</v>
      </c>
      <c r="E2354" t="s">
        <v>1886</v>
      </c>
      <c r="F2354" t="s">
        <v>3814</v>
      </c>
      <c r="G2354" t="str">
        <f>"00192545"</f>
        <v>00192545</v>
      </c>
      <c r="H2354">
        <v>682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70</v>
      </c>
      <c r="R2354">
        <v>0</v>
      </c>
      <c r="S2354">
        <v>0</v>
      </c>
      <c r="T2354">
        <v>0</v>
      </c>
      <c r="U2354">
        <v>0</v>
      </c>
      <c r="V2354">
        <v>0</v>
      </c>
      <c r="X2354">
        <v>0</v>
      </c>
      <c r="Y2354">
        <v>782</v>
      </c>
    </row>
    <row r="2355" spans="1:25" x14ac:dyDescent="0.25">
      <c r="H2355" t="s">
        <v>34</v>
      </c>
    </row>
    <row r="2356" spans="1:25" x14ac:dyDescent="0.25">
      <c r="A2356">
        <v>1175</v>
      </c>
      <c r="B2356">
        <v>2340</v>
      </c>
      <c r="C2356" t="s">
        <v>3815</v>
      </c>
      <c r="D2356" t="s">
        <v>113</v>
      </c>
      <c r="E2356" t="s">
        <v>2282</v>
      </c>
      <c r="F2356" t="s">
        <v>3816</v>
      </c>
      <c r="G2356" t="str">
        <f>"00011552"</f>
        <v>00011552</v>
      </c>
      <c r="H2356" t="s">
        <v>954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30</v>
      </c>
      <c r="O2356">
        <v>50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X2356">
        <v>0</v>
      </c>
      <c r="Y2356" t="s">
        <v>3817</v>
      </c>
    </row>
    <row r="2357" spans="1:25" x14ac:dyDescent="0.25">
      <c r="H2357" t="s">
        <v>118</v>
      </c>
    </row>
    <row r="2358" spans="1:25" x14ac:dyDescent="0.25">
      <c r="A2358">
        <v>1176</v>
      </c>
      <c r="B2358">
        <v>1384</v>
      </c>
      <c r="C2358" t="s">
        <v>3818</v>
      </c>
      <c r="D2358" t="s">
        <v>419</v>
      </c>
      <c r="E2358" t="s">
        <v>55</v>
      </c>
      <c r="F2358" t="s">
        <v>3819</v>
      </c>
      <c r="G2358" t="str">
        <f>"201304003903"</f>
        <v>201304003903</v>
      </c>
      <c r="H2358" t="s">
        <v>2877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70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X2358">
        <v>0</v>
      </c>
      <c r="Y2358" t="s">
        <v>3820</v>
      </c>
    </row>
    <row r="2359" spans="1:25" x14ac:dyDescent="0.25">
      <c r="H2359">
        <v>102</v>
      </c>
    </row>
    <row r="2360" spans="1:25" x14ac:dyDescent="0.25">
      <c r="A2360">
        <v>1177</v>
      </c>
      <c r="B2360">
        <v>1986</v>
      </c>
      <c r="C2360" t="s">
        <v>3821</v>
      </c>
      <c r="D2360" t="s">
        <v>87</v>
      </c>
      <c r="E2360" t="s">
        <v>55</v>
      </c>
      <c r="F2360" t="s">
        <v>3822</v>
      </c>
      <c r="G2360" t="str">
        <f>"00192186"</f>
        <v>00192186</v>
      </c>
      <c r="H2360" t="s">
        <v>618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30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X2360">
        <v>0</v>
      </c>
      <c r="Y2360" t="s">
        <v>3823</v>
      </c>
    </row>
    <row r="2361" spans="1:25" x14ac:dyDescent="0.25">
      <c r="H2361" t="s">
        <v>23</v>
      </c>
    </row>
    <row r="2362" spans="1:25" x14ac:dyDescent="0.25">
      <c r="A2362">
        <v>1178</v>
      </c>
      <c r="B2362">
        <v>1878</v>
      </c>
      <c r="C2362" t="s">
        <v>3824</v>
      </c>
      <c r="D2362" t="s">
        <v>3825</v>
      </c>
      <c r="E2362" t="s">
        <v>81</v>
      </c>
      <c r="F2362" t="s">
        <v>3826</v>
      </c>
      <c r="G2362" t="str">
        <f>"00191883"</f>
        <v>00191883</v>
      </c>
      <c r="H2362" t="s">
        <v>618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30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X2362">
        <v>0</v>
      </c>
      <c r="Y2362" t="s">
        <v>3823</v>
      </c>
    </row>
    <row r="2363" spans="1:25" x14ac:dyDescent="0.25">
      <c r="H2363" t="s">
        <v>34</v>
      </c>
    </row>
    <row r="2364" spans="1:25" x14ac:dyDescent="0.25">
      <c r="A2364">
        <v>1179</v>
      </c>
      <c r="B2364">
        <v>2550</v>
      </c>
      <c r="C2364" t="s">
        <v>3827</v>
      </c>
      <c r="D2364" t="s">
        <v>245</v>
      </c>
      <c r="E2364" t="s">
        <v>147</v>
      </c>
      <c r="F2364" t="s">
        <v>3828</v>
      </c>
      <c r="G2364" t="str">
        <f>"00208303"</f>
        <v>00208303</v>
      </c>
      <c r="H2364" t="s">
        <v>3657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70</v>
      </c>
      <c r="O2364">
        <v>50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X2364">
        <v>0</v>
      </c>
      <c r="Y2364" t="s">
        <v>3829</v>
      </c>
    </row>
    <row r="2365" spans="1:25" x14ac:dyDescent="0.25">
      <c r="H2365">
        <v>102</v>
      </c>
    </row>
    <row r="2366" spans="1:25" x14ac:dyDescent="0.25">
      <c r="A2366">
        <v>1180</v>
      </c>
      <c r="B2366">
        <v>5575</v>
      </c>
      <c r="C2366" t="s">
        <v>2976</v>
      </c>
      <c r="D2366" t="s">
        <v>25</v>
      </c>
      <c r="E2366" t="s">
        <v>87</v>
      </c>
      <c r="F2366" t="s">
        <v>3830</v>
      </c>
      <c r="G2366" t="str">
        <f>"201303000719"</f>
        <v>201303000719</v>
      </c>
      <c r="H2366" t="s">
        <v>1397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70</v>
      </c>
      <c r="O2366">
        <v>30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X2366">
        <v>0</v>
      </c>
      <c r="Y2366" t="s">
        <v>3831</v>
      </c>
    </row>
    <row r="2367" spans="1:25" x14ac:dyDescent="0.25">
      <c r="H2367" t="s">
        <v>53</v>
      </c>
    </row>
    <row r="2368" spans="1:25" x14ac:dyDescent="0.25">
      <c r="A2368">
        <v>1181</v>
      </c>
      <c r="B2368">
        <v>1605</v>
      </c>
      <c r="C2368" t="s">
        <v>3832</v>
      </c>
      <c r="D2368" t="s">
        <v>3833</v>
      </c>
      <c r="E2368" t="s">
        <v>21</v>
      </c>
      <c r="F2368" t="s">
        <v>3834</v>
      </c>
      <c r="G2368" t="str">
        <f>"00117704"</f>
        <v>00117704</v>
      </c>
      <c r="H2368" t="s">
        <v>2109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70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X2368">
        <v>0</v>
      </c>
      <c r="Y2368" t="s">
        <v>3835</v>
      </c>
    </row>
    <row r="2369" spans="1:25" x14ac:dyDescent="0.25">
      <c r="H2369" t="s">
        <v>91</v>
      </c>
    </row>
    <row r="2370" spans="1:25" x14ac:dyDescent="0.25">
      <c r="A2370">
        <v>1182</v>
      </c>
      <c r="B2370">
        <v>4244</v>
      </c>
      <c r="C2370" t="s">
        <v>3836</v>
      </c>
      <c r="D2370" t="s">
        <v>3837</v>
      </c>
      <c r="E2370" t="s">
        <v>55</v>
      </c>
      <c r="F2370" t="s">
        <v>3838</v>
      </c>
      <c r="G2370" t="str">
        <f>"00013333"</f>
        <v>00013333</v>
      </c>
      <c r="H2370" t="s">
        <v>2515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70</v>
      </c>
      <c r="O2370">
        <v>0</v>
      </c>
      <c r="P2370">
        <v>0</v>
      </c>
      <c r="Q2370">
        <v>70</v>
      </c>
      <c r="R2370">
        <v>0</v>
      </c>
      <c r="S2370">
        <v>0</v>
      </c>
      <c r="T2370">
        <v>0</v>
      </c>
      <c r="U2370">
        <v>0</v>
      </c>
      <c r="V2370">
        <v>0</v>
      </c>
      <c r="X2370">
        <v>0</v>
      </c>
      <c r="Y2370" t="s">
        <v>3839</v>
      </c>
    </row>
    <row r="2371" spans="1:25" x14ac:dyDescent="0.25">
      <c r="H2371" t="s">
        <v>34</v>
      </c>
    </row>
    <row r="2372" spans="1:25" x14ac:dyDescent="0.25">
      <c r="A2372">
        <v>1183</v>
      </c>
      <c r="B2372">
        <v>4974</v>
      </c>
      <c r="C2372" t="s">
        <v>3840</v>
      </c>
      <c r="D2372" t="s">
        <v>3841</v>
      </c>
      <c r="E2372" t="s">
        <v>43</v>
      </c>
      <c r="F2372" t="s">
        <v>3842</v>
      </c>
      <c r="G2372" t="str">
        <f>"201412003422"</f>
        <v>201412003422</v>
      </c>
      <c r="H2372" t="s">
        <v>1530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50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X2372">
        <v>0</v>
      </c>
      <c r="Y2372" t="s">
        <v>3843</v>
      </c>
    </row>
    <row r="2373" spans="1:25" x14ac:dyDescent="0.25">
      <c r="H2373" t="s">
        <v>23</v>
      </c>
    </row>
    <row r="2374" spans="1:25" x14ac:dyDescent="0.25">
      <c r="A2374">
        <v>1184</v>
      </c>
      <c r="B2374">
        <v>1268</v>
      </c>
      <c r="C2374" t="s">
        <v>3844</v>
      </c>
      <c r="D2374" t="s">
        <v>217</v>
      </c>
      <c r="E2374" t="s">
        <v>3845</v>
      </c>
      <c r="F2374" t="s">
        <v>3846</v>
      </c>
      <c r="G2374" t="str">
        <f>"00165985"</f>
        <v>00165985</v>
      </c>
      <c r="H2374" t="s">
        <v>783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70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X2374">
        <v>0</v>
      </c>
      <c r="Y2374" t="s">
        <v>3847</v>
      </c>
    </row>
    <row r="2375" spans="1:25" x14ac:dyDescent="0.25">
      <c r="H2375" t="s">
        <v>2695</v>
      </c>
    </row>
    <row r="2376" spans="1:25" x14ac:dyDescent="0.25">
      <c r="A2376">
        <v>1185</v>
      </c>
      <c r="B2376">
        <v>56</v>
      </c>
      <c r="C2376" t="s">
        <v>3848</v>
      </c>
      <c r="D2376" t="s">
        <v>509</v>
      </c>
      <c r="E2376" t="s">
        <v>1035</v>
      </c>
      <c r="F2376" t="s">
        <v>3849</v>
      </c>
      <c r="G2376" t="str">
        <f>"00027834"</f>
        <v>00027834</v>
      </c>
      <c r="H2376" t="s">
        <v>51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30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X2376">
        <v>0</v>
      </c>
      <c r="Y2376" t="s">
        <v>3850</v>
      </c>
    </row>
    <row r="2377" spans="1:25" x14ac:dyDescent="0.25">
      <c r="H2377" t="s">
        <v>118</v>
      </c>
    </row>
    <row r="2378" spans="1:25" x14ac:dyDescent="0.25">
      <c r="A2378">
        <v>1186</v>
      </c>
      <c r="B2378">
        <v>215</v>
      </c>
      <c r="C2378" t="s">
        <v>3851</v>
      </c>
      <c r="D2378" t="s">
        <v>217</v>
      </c>
      <c r="E2378" t="s">
        <v>334</v>
      </c>
      <c r="F2378" t="s">
        <v>3852</v>
      </c>
      <c r="G2378" t="str">
        <f>"00097810"</f>
        <v>00097810</v>
      </c>
      <c r="H2378" t="s">
        <v>2757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30</v>
      </c>
      <c r="O2378">
        <v>0</v>
      </c>
      <c r="P2378">
        <v>0</v>
      </c>
      <c r="Q2378">
        <v>50</v>
      </c>
      <c r="R2378">
        <v>0</v>
      </c>
      <c r="S2378">
        <v>0</v>
      </c>
      <c r="T2378">
        <v>0</v>
      </c>
      <c r="U2378">
        <v>0</v>
      </c>
      <c r="V2378">
        <v>0</v>
      </c>
      <c r="X2378">
        <v>0</v>
      </c>
      <c r="Y2378" t="s">
        <v>3853</v>
      </c>
    </row>
    <row r="2379" spans="1:25" x14ac:dyDescent="0.25">
      <c r="H2379" t="s">
        <v>23</v>
      </c>
    </row>
    <row r="2380" spans="1:25" x14ac:dyDescent="0.25">
      <c r="A2380">
        <v>1187</v>
      </c>
      <c r="B2380">
        <v>2920</v>
      </c>
      <c r="C2380" t="s">
        <v>3854</v>
      </c>
      <c r="D2380" t="s">
        <v>3855</v>
      </c>
      <c r="E2380" t="s">
        <v>283</v>
      </c>
      <c r="F2380" t="s">
        <v>3856</v>
      </c>
      <c r="G2380" t="str">
        <f>"00197085"</f>
        <v>00197085</v>
      </c>
      <c r="H2380" t="s">
        <v>1734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70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X2380">
        <v>0</v>
      </c>
      <c r="Y2380" t="s">
        <v>3857</v>
      </c>
    </row>
    <row r="2381" spans="1:25" x14ac:dyDescent="0.25">
      <c r="H2381" t="s">
        <v>23</v>
      </c>
    </row>
    <row r="2382" spans="1:25" x14ac:dyDescent="0.25">
      <c r="A2382">
        <v>1188</v>
      </c>
      <c r="B2382">
        <v>1492</v>
      </c>
      <c r="C2382" t="s">
        <v>3858</v>
      </c>
      <c r="D2382" t="s">
        <v>1670</v>
      </c>
      <c r="E2382" t="s">
        <v>49</v>
      </c>
      <c r="F2382" t="s">
        <v>3859</v>
      </c>
      <c r="G2382" t="str">
        <f>"00130545"</f>
        <v>00130545</v>
      </c>
      <c r="H2382">
        <v>748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30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X2382">
        <v>0</v>
      </c>
      <c r="Y2382">
        <v>778</v>
      </c>
    </row>
    <row r="2383" spans="1:25" x14ac:dyDescent="0.25">
      <c r="H2383" t="s">
        <v>34</v>
      </c>
    </row>
    <row r="2384" spans="1:25" x14ac:dyDescent="0.25">
      <c r="A2384">
        <v>1189</v>
      </c>
      <c r="B2384">
        <v>5426</v>
      </c>
      <c r="C2384" t="s">
        <v>3860</v>
      </c>
      <c r="D2384" t="s">
        <v>25</v>
      </c>
      <c r="E2384" t="s">
        <v>21</v>
      </c>
      <c r="F2384" t="s">
        <v>3861</v>
      </c>
      <c r="G2384" t="str">
        <f>"00013302"</f>
        <v>00013302</v>
      </c>
      <c r="H2384" t="s">
        <v>3862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30</v>
      </c>
      <c r="O2384">
        <v>0</v>
      </c>
      <c r="P2384">
        <v>0</v>
      </c>
      <c r="Q2384">
        <v>70</v>
      </c>
      <c r="R2384">
        <v>0</v>
      </c>
      <c r="S2384">
        <v>0</v>
      </c>
      <c r="T2384">
        <v>0</v>
      </c>
      <c r="U2384">
        <v>0</v>
      </c>
      <c r="V2384">
        <v>0</v>
      </c>
      <c r="X2384">
        <v>0</v>
      </c>
      <c r="Y2384" t="s">
        <v>3863</v>
      </c>
    </row>
    <row r="2385" spans="1:25" x14ac:dyDescent="0.25">
      <c r="H2385" t="s">
        <v>23</v>
      </c>
    </row>
    <row r="2386" spans="1:25" x14ac:dyDescent="0.25">
      <c r="A2386">
        <v>1190</v>
      </c>
      <c r="B2386">
        <v>762</v>
      </c>
      <c r="C2386" t="s">
        <v>3864</v>
      </c>
      <c r="D2386" t="s">
        <v>55</v>
      </c>
      <c r="E2386" t="s">
        <v>283</v>
      </c>
      <c r="F2386" t="s">
        <v>3865</v>
      </c>
      <c r="G2386" t="str">
        <f>"00015021"</f>
        <v>00015021</v>
      </c>
      <c r="H2386" t="s">
        <v>723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50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X2386">
        <v>0</v>
      </c>
      <c r="Y2386" t="s">
        <v>3866</v>
      </c>
    </row>
    <row r="2387" spans="1:25" x14ac:dyDescent="0.25">
      <c r="H2387" t="s">
        <v>23</v>
      </c>
    </row>
    <row r="2388" spans="1:25" x14ac:dyDescent="0.25">
      <c r="A2388">
        <v>1191</v>
      </c>
      <c r="B2388">
        <v>3559</v>
      </c>
      <c r="C2388" t="s">
        <v>3867</v>
      </c>
      <c r="D2388" t="s">
        <v>487</v>
      </c>
      <c r="E2388" t="s">
        <v>200</v>
      </c>
      <c r="F2388" t="s">
        <v>3868</v>
      </c>
      <c r="G2388" t="str">
        <f>"00135012"</f>
        <v>00135012</v>
      </c>
      <c r="H2388" t="s">
        <v>3248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70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X2388">
        <v>0</v>
      </c>
      <c r="Y2388" t="s">
        <v>3869</v>
      </c>
    </row>
    <row r="2389" spans="1:25" x14ac:dyDescent="0.25">
      <c r="H2389" t="s">
        <v>53</v>
      </c>
    </row>
    <row r="2390" spans="1:25" x14ac:dyDescent="0.25">
      <c r="A2390">
        <v>1192</v>
      </c>
      <c r="B2390">
        <v>3329</v>
      </c>
      <c r="C2390" t="s">
        <v>3870</v>
      </c>
      <c r="D2390" t="s">
        <v>193</v>
      </c>
      <c r="E2390" t="s">
        <v>87</v>
      </c>
      <c r="F2390" t="s">
        <v>3871</v>
      </c>
      <c r="G2390" t="str">
        <f>"00205320"</f>
        <v>00205320</v>
      </c>
      <c r="H2390" t="s">
        <v>1089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30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X2390">
        <v>0</v>
      </c>
      <c r="Y2390" t="s">
        <v>3872</v>
      </c>
    </row>
    <row r="2391" spans="1:25" x14ac:dyDescent="0.25">
      <c r="H2391" t="s">
        <v>213</v>
      </c>
    </row>
    <row r="2392" spans="1:25" x14ac:dyDescent="0.25">
      <c r="A2392">
        <v>1193</v>
      </c>
      <c r="B2392">
        <v>4584</v>
      </c>
      <c r="C2392" t="s">
        <v>1473</v>
      </c>
      <c r="D2392" t="s">
        <v>20</v>
      </c>
      <c r="E2392" t="s">
        <v>933</v>
      </c>
      <c r="F2392" t="s">
        <v>3873</v>
      </c>
      <c r="G2392" t="str">
        <f>"00116552"</f>
        <v>00116552</v>
      </c>
      <c r="H2392" t="s">
        <v>1096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X2392">
        <v>0</v>
      </c>
      <c r="Y2392" t="s">
        <v>3874</v>
      </c>
    </row>
    <row r="2393" spans="1:25" x14ac:dyDescent="0.25">
      <c r="H2393" t="s">
        <v>118</v>
      </c>
    </row>
    <row r="2394" spans="1:25" x14ac:dyDescent="0.25">
      <c r="A2394">
        <v>1194</v>
      </c>
      <c r="B2394">
        <v>1485</v>
      </c>
      <c r="C2394" t="s">
        <v>3875</v>
      </c>
      <c r="D2394" t="s">
        <v>283</v>
      </c>
      <c r="E2394" t="s">
        <v>895</v>
      </c>
      <c r="F2394" t="s">
        <v>3876</v>
      </c>
      <c r="G2394" t="str">
        <f>"00113847"</f>
        <v>00113847</v>
      </c>
      <c r="H2394" t="s">
        <v>1096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X2394">
        <v>0</v>
      </c>
      <c r="Y2394" t="s">
        <v>3874</v>
      </c>
    </row>
    <row r="2395" spans="1:25" x14ac:dyDescent="0.25">
      <c r="H2395" t="s">
        <v>34</v>
      </c>
    </row>
    <row r="2396" spans="1:25" x14ac:dyDescent="0.25">
      <c r="A2396">
        <v>1195</v>
      </c>
      <c r="B2396">
        <v>607</v>
      </c>
      <c r="C2396" t="s">
        <v>3877</v>
      </c>
      <c r="D2396" t="s">
        <v>3878</v>
      </c>
      <c r="E2396" t="s">
        <v>65</v>
      </c>
      <c r="F2396" t="s">
        <v>3879</v>
      </c>
      <c r="G2396" t="str">
        <f>"00181430"</f>
        <v>00181430</v>
      </c>
      <c r="H2396" t="s">
        <v>3880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70</v>
      </c>
      <c r="O2396">
        <v>50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0</v>
      </c>
      <c r="X2396">
        <v>0</v>
      </c>
      <c r="Y2396" t="s">
        <v>3881</v>
      </c>
    </row>
    <row r="2397" spans="1:25" x14ac:dyDescent="0.25">
      <c r="H2397" t="s">
        <v>213</v>
      </c>
    </row>
    <row r="2398" spans="1:25" x14ac:dyDescent="0.25">
      <c r="A2398">
        <v>1196</v>
      </c>
      <c r="B2398">
        <v>635</v>
      </c>
      <c r="C2398" t="s">
        <v>3882</v>
      </c>
      <c r="D2398" t="s">
        <v>440</v>
      </c>
      <c r="E2398" t="s">
        <v>21</v>
      </c>
      <c r="F2398" t="s">
        <v>3883</v>
      </c>
      <c r="G2398" t="str">
        <f>"201402001589"</f>
        <v>201402001589</v>
      </c>
      <c r="H2398" t="s">
        <v>3884</v>
      </c>
      <c r="I2398">
        <v>0</v>
      </c>
      <c r="J2398">
        <v>0</v>
      </c>
      <c r="K2398">
        <v>0</v>
      </c>
      <c r="L2398">
        <v>0</v>
      </c>
      <c r="M2398">
        <v>100</v>
      </c>
      <c r="N2398">
        <v>30</v>
      </c>
      <c r="O2398">
        <v>30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X2398">
        <v>0</v>
      </c>
      <c r="Y2398" t="s">
        <v>3885</v>
      </c>
    </row>
    <row r="2399" spans="1:25" x14ac:dyDescent="0.25">
      <c r="H2399" t="s">
        <v>118</v>
      </c>
    </row>
    <row r="2400" spans="1:25" x14ac:dyDescent="0.25">
      <c r="A2400">
        <v>1197</v>
      </c>
      <c r="B2400">
        <v>95</v>
      </c>
      <c r="C2400" t="s">
        <v>3886</v>
      </c>
      <c r="D2400" t="s">
        <v>3887</v>
      </c>
      <c r="E2400" t="s">
        <v>3888</v>
      </c>
      <c r="F2400" t="s">
        <v>3889</v>
      </c>
      <c r="G2400" t="str">
        <f>"201511026319"</f>
        <v>201511026319</v>
      </c>
      <c r="H2400" t="s">
        <v>747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X2400">
        <v>0</v>
      </c>
      <c r="Y2400" t="s">
        <v>3890</v>
      </c>
    </row>
    <row r="2401" spans="1:25" x14ac:dyDescent="0.25">
      <c r="H2401" t="s">
        <v>34</v>
      </c>
    </row>
    <row r="2402" spans="1:25" x14ac:dyDescent="0.25">
      <c r="A2402">
        <v>1198</v>
      </c>
      <c r="B2402">
        <v>4655</v>
      </c>
      <c r="C2402" t="s">
        <v>3891</v>
      </c>
      <c r="D2402" t="s">
        <v>245</v>
      </c>
      <c r="E2402" t="s">
        <v>252</v>
      </c>
      <c r="F2402" t="s">
        <v>3892</v>
      </c>
      <c r="G2402" t="str">
        <f>"00130715"</f>
        <v>00130715</v>
      </c>
      <c r="H2402" t="s">
        <v>83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X2402">
        <v>0</v>
      </c>
      <c r="Y2402" t="s">
        <v>83</v>
      </c>
    </row>
    <row r="2403" spans="1:25" x14ac:dyDescent="0.25">
      <c r="H2403" t="s">
        <v>213</v>
      </c>
    </row>
    <row r="2404" spans="1:25" x14ac:dyDescent="0.25">
      <c r="A2404">
        <v>1199</v>
      </c>
      <c r="B2404">
        <v>4948</v>
      </c>
      <c r="C2404" t="s">
        <v>3893</v>
      </c>
      <c r="D2404" t="s">
        <v>1441</v>
      </c>
      <c r="E2404" t="s">
        <v>147</v>
      </c>
      <c r="F2404" t="s">
        <v>3894</v>
      </c>
      <c r="G2404" t="str">
        <f>"201506003231"</f>
        <v>201506003231</v>
      </c>
      <c r="H2404" t="s">
        <v>1276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70</v>
      </c>
      <c r="O2404">
        <v>0</v>
      </c>
      <c r="P2404">
        <v>30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X2404">
        <v>0</v>
      </c>
      <c r="Y2404" t="s">
        <v>3895</v>
      </c>
    </row>
    <row r="2405" spans="1:25" x14ac:dyDescent="0.25">
      <c r="H2405" t="s">
        <v>53</v>
      </c>
    </row>
    <row r="2406" spans="1:25" x14ac:dyDescent="0.25">
      <c r="A2406">
        <v>1200</v>
      </c>
      <c r="B2406">
        <v>4070</v>
      </c>
      <c r="C2406" t="s">
        <v>3896</v>
      </c>
      <c r="D2406" t="s">
        <v>25</v>
      </c>
      <c r="E2406" t="s">
        <v>383</v>
      </c>
      <c r="F2406" t="s">
        <v>3897</v>
      </c>
      <c r="G2406" t="str">
        <f>"00010472"</f>
        <v>00010472</v>
      </c>
      <c r="H2406" t="s">
        <v>1698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30</v>
      </c>
      <c r="O2406">
        <v>0</v>
      </c>
      <c r="P2406">
        <v>0</v>
      </c>
      <c r="Q2406">
        <v>30</v>
      </c>
      <c r="R2406">
        <v>0</v>
      </c>
      <c r="S2406">
        <v>0</v>
      </c>
      <c r="T2406">
        <v>0</v>
      </c>
      <c r="U2406">
        <v>0</v>
      </c>
      <c r="V2406">
        <v>0</v>
      </c>
      <c r="X2406">
        <v>0</v>
      </c>
      <c r="Y2406" t="s">
        <v>3898</v>
      </c>
    </row>
    <row r="2407" spans="1:25" x14ac:dyDescent="0.25">
      <c r="H2407" t="s">
        <v>118</v>
      </c>
    </row>
    <row r="2408" spans="1:25" x14ac:dyDescent="0.25">
      <c r="A2408">
        <v>1201</v>
      </c>
      <c r="B2408">
        <v>5632</v>
      </c>
      <c r="C2408" t="s">
        <v>982</v>
      </c>
      <c r="D2408" t="s">
        <v>113</v>
      </c>
      <c r="E2408" t="s">
        <v>706</v>
      </c>
      <c r="F2408" t="s">
        <v>3899</v>
      </c>
      <c r="G2408" t="str">
        <f>"201402010720"</f>
        <v>201402010720</v>
      </c>
      <c r="H2408" t="s">
        <v>938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30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X2408">
        <v>2</v>
      </c>
      <c r="Y2408" t="s">
        <v>3900</v>
      </c>
    </row>
    <row r="2409" spans="1:25" x14ac:dyDescent="0.25">
      <c r="H2409" t="s">
        <v>34</v>
      </c>
    </row>
    <row r="2410" spans="1:25" x14ac:dyDescent="0.25">
      <c r="A2410">
        <v>1202</v>
      </c>
      <c r="B2410">
        <v>869</v>
      </c>
      <c r="C2410" t="s">
        <v>3901</v>
      </c>
      <c r="D2410" t="s">
        <v>266</v>
      </c>
      <c r="E2410" t="s">
        <v>99</v>
      </c>
      <c r="F2410" t="s">
        <v>3902</v>
      </c>
      <c r="G2410" t="str">
        <f>"200807000889"</f>
        <v>200807000889</v>
      </c>
      <c r="H2410" t="s">
        <v>2081</v>
      </c>
      <c r="I2410">
        <v>0</v>
      </c>
      <c r="J2410">
        <v>0</v>
      </c>
      <c r="K2410">
        <v>0</v>
      </c>
      <c r="L2410">
        <v>0</v>
      </c>
      <c r="M2410">
        <v>100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X2410">
        <v>0</v>
      </c>
      <c r="Y2410" t="s">
        <v>3903</v>
      </c>
    </row>
    <row r="2411" spans="1:25" x14ac:dyDescent="0.25">
      <c r="H2411" t="s">
        <v>23</v>
      </c>
    </row>
    <row r="2412" spans="1:25" x14ac:dyDescent="0.25">
      <c r="A2412">
        <v>1203</v>
      </c>
      <c r="B2412">
        <v>1049</v>
      </c>
      <c r="C2412" t="s">
        <v>3904</v>
      </c>
      <c r="D2412" t="s">
        <v>598</v>
      </c>
      <c r="E2412" t="s">
        <v>87</v>
      </c>
      <c r="F2412" t="s">
        <v>3905</v>
      </c>
      <c r="G2412" t="str">
        <f>"00014564"</f>
        <v>00014564</v>
      </c>
      <c r="H2412" t="s">
        <v>1970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70</v>
      </c>
      <c r="O2412">
        <v>0</v>
      </c>
      <c r="P2412">
        <v>0</v>
      </c>
      <c r="Q2412">
        <v>0</v>
      </c>
      <c r="R2412">
        <v>0</v>
      </c>
      <c r="S2412">
        <v>50</v>
      </c>
      <c r="T2412">
        <v>0</v>
      </c>
      <c r="U2412">
        <v>0</v>
      </c>
      <c r="V2412">
        <v>0</v>
      </c>
      <c r="X2412">
        <v>0</v>
      </c>
      <c r="Y2412" t="s">
        <v>3906</v>
      </c>
    </row>
    <row r="2413" spans="1:25" x14ac:dyDescent="0.25">
      <c r="H2413" t="s">
        <v>23</v>
      </c>
    </row>
    <row r="2414" spans="1:25" x14ac:dyDescent="0.25">
      <c r="A2414">
        <v>1204</v>
      </c>
      <c r="B2414">
        <v>5990</v>
      </c>
      <c r="C2414" t="s">
        <v>3907</v>
      </c>
      <c r="D2414" t="s">
        <v>70</v>
      </c>
      <c r="E2414" t="s">
        <v>61</v>
      </c>
      <c r="F2414" t="s">
        <v>3908</v>
      </c>
      <c r="G2414" t="str">
        <f>"00185667"</f>
        <v>00185667</v>
      </c>
      <c r="H2414" t="s">
        <v>828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70</v>
      </c>
      <c r="O2414">
        <v>30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X2414">
        <v>0</v>
      </c>
      <c r="Y2414" t="s">
        <v>3909</v>
      </c>
    </row>
    <row r="2415" spans="1:25" x14ac:dyDescent="0.25">
      <c r="H2415" t="s">
        <v>34</v>
      </c>
    </row>
    <row r="2416" spans="1:25" x14ac:dyDescent="0.25">
      <c r="A2416">
        <v>1205</v>
      </c>
      <c r="B2416">
        <v>5146</v>
      </c>
      <c r="C2416" t="s">
        <v>3910</v>
      </c>
      <c r="D2416" t="s">
        <v>209</v>
      </c>
      <c r="E2416" t="s">
        <v>2572</v>
      </c>
      <c r="F2416" t="s">
        <v>3911</v>
      </c>
      <c r="G2416" t="str">
        <f>"201512004167"</f>
        <v>201512004167</v>
      </c>
      <c r="H2416" t="s">
        <v>828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70</v>
      </c>
      <c r="O2416">
        <v>30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X2416">
        <v>0</v>
      </c>
      <c r="Y2416" t="s">
        <v>3909</v>
      </c>
    </row>
    <row r="2417" spans="1:25" x14ac:dyDescent="0.25">
      <c r="H2417" t="s">
        <v>53</v>
      </c>
    </row>
    <row r="2418" spans="1:25" x14ac:dyDescent="0.25">
      <c r="A2418">
        <v>1206</v>
      </c>
      <c r="B2418">
        <v>5316</v>
      </c>
      <c r="C2418" t="s">
        <v>3912</v>
      </c>
      <c r="D2418" t="s">
        <v>891</v>
      </c>
      <c r="E2418" t="s">
        <v>55</v>
      </c>
      <c r="F2418" t="s">
        <v>3913</v>
      </c>
      <c r="G2418" t="str">
        <f>"00121410"</f>
        <v>00121410</v>
      </c>
      <c r="H2418" t="s">
        <v>1492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30</v>
      </c>
      <c r="O2418">
        <v>0</v>
      </c>
      <c r="P2418">
        <v>30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0</v>
      </c>
      <c r="X2418">
        <v>0</v>
      </c>
      <c r="Y2418" t="s">
        <v>3914</v>
      </c>
    </row>
    <row r="2419" spans="1:25" x14ac:dyDescent="0.25">
      <c r="H2419" t="s">
        <v>53</v>
      </c>
    </row>
    <row r="2420" spans="1:25" x14ac:dyDescent="0.25">
      <c r="A2420">
        <v>1207</v>
      </c>
      <c r="B2420">
        <v>4464</v>
      </c>
      <c r="C2420" t="s">
        <v>3915</v>
      </c>
      <c r="D2420" t="s">
        <v>266</v>
      </c>
      <c r="E2420" t="s">
        <v>87</v>
      </c>
      <c r="F2420" t="s">
        <v>3916</v>
      </c>
      <c r="G2420" t="str">
        <f>"00123260"</f>
        <v>00123260</v>
      </c>
      <c r="H2420" t="s">
        <v>608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30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X2420">
        <v>0</v>
      </c>
      <c r="Y2420" t="s">
        <v>3917</v>
      </c>
    </row>
    <row r="2421" spans="1:25" x14ac:dyDescent="0.25">
      <c r="H2421">
        <v>101</v>
      </c>
    </row>
    <row r="2422" spans="1:25" x14ac:dyDescent="0.25">
      <c r="A2422">
        <v>1208</v>
      </c>
      <c r="B2422">
        <v>5091</v>
      </c>
      <c r="C2422" t="s">
        <v>3918</v>
      </c>
      <c r="D2422" t="s">
        <v>217</v>
      </c>
      <c r="E2422" t="s">
        <v>1667</v>
      </c>
      <c r="F2422" t="s">
        <v>3919</v>
      </c>
      <c r="G2422" t="str">
        <f>"00116865"</f>
        <v>00116865</v>
      </c>
      <c r="H2422" t="s">
        <v>2250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30</v>
      </c>
      <c r="O2422">
        <v>70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X2422">
        <v>0</v>
      </c>
      <c r="Y2422" t="s">
        <v>3920</v>
      </c>
    </row>
    <row r="2423" spans="1:25" x14ac:dyDescent="0.25">
      <c r="H2423" t="s">
        <v>34</v>
      </c>
    </row>
    <row r="2424" spans="1:25" x14ac:dyDescent="0.25">
      <c r="A2424">
        <v>1209</v>
      </c>
      <c r="B2424">
        <v>4898</v>
      </c>
      <c r="C2424" t="s">
        <v>3921</v>
      </c>
      <c r="D2424" t="s">
        <v>25</v>
      </c>
      <c r="E2424" t="s">
        <v>15</v>
      </c>
      <c r="F2424" t="s">
        <v>3922</v>
      </c>
      <c r="G2424" t="str">
        <f>"201402008215"</f>
        <v>201402008215</v>
      </c>
      <c r="H2424" t="s">
        <v>2250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30</v>
      </c>
      <c r="O2424">
        <v>0</v>
      </c>
      <c r="P2424">
        <v>0</v>
      </c>
      <c r="Q2424">
        <v>70</v>
      </c>
      <c r="R2424">
        <v>0</v>
      </c>
      <c r="S2424">
        <v>0</v>
      </c>
      <c r="T2424">
        <v>0</v>
      </c>
      <c r="U2424">
        <v>0</v>
      </c>
      <c r="V2424">
        <v>0</v>
      </c>
      <c r="X2424">
        <v>0</v>
      </c>
      <c r="Y2424" t="s">
        <v>3920</v>
      </c>
    </row>
    <row r="2425" spans="1:25" x14ac:dyDescent="0.25">
      <c r="H2425" t="s">
        <v>34</v>
      </c>
    </row>
    <row r="2426" spans="1:25" x14ac:dyDescent="0.25">
      <c r="A2426">
        <v>1210</v>
      </c>
      <c r="B2426">
        <v>3727</v>
      </c>
      <c r="C2426" t="s">
        <v>3923</v>
      </c>
      <c r="D2426" t="s">
        <v>245</v>
      </c>
      <c r="E2426" t="s">
        <v>61</v>
      </c>
      <c r="F2426" t="s">
        <v>3924</v>
      </c>
      <c r="G2426" t="str">
        <f>"00114111"</f>
        <v>00114111</v>
      </c>
      <c r="H2426" t="s">
        <v>954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70</v>
      </c>
      <c r="U2426">
        <v>0</v>
      </c>
      <c r="V2426">
        <v>0</v>
      </c>
      <c r="X2426">
        <v>0</v>
      </c>
      <c r="Y2426" t="s">
        <v>3925</v>
      </c>
    </row>
    <row r="2427" spans="1:25" x14ac:dyDescent="0.25">
      <c r="H2427">
        <v>101</v>
      </c>
    </row>
    <row r="2428" spans="1:25" x14ac:dyDescent="0.25">
      <c r="A2428">
        <v>1211</v>
      </c>
      <c r="B2428">
        <v>2553</v>
      </c>
      <c r="C2428" t="s">
        <v>3926</v>
      </c>
      <c r="D2428" t="s">
        <v>3927</v>
      </c>
      <c r="E2428" t="s">
        <v>43</v>
      </c>
      <c r="F2428" t="s">
        <v>3928</v>
      </c>
      <c r="G2428" t="str">
        <f>"00014607"</f>
        <v>00014607</v>
      </c>
      <c r="H2428" t="s">
        <v>2877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30</v>
      </c>
      <c r="O2428">
        <v>0</v>
      </c>
      <c r="P2428">
        <v>30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X2428">
        <v>0</v>
      </c>
      <c r="Y2428" t="s">
        <v>3929</v>
      </c>
    </row>
    <row r="2429" spans="1:25" x14ac:dyDescent="0.25">
      <c r="H2429" t="s">
        <v>53</v>
      </c>
    </row>
    <row r="2430" spans="1:25" x14ac:dyDescent="0.25">
      <c r="A2430">
        <v>1212</v>
      </c>
      <c r="B2430">
        <v>2131</v>
      </c>
      <c r="C2430" t="s">
        <v>3930</v>
      </c>
      <c r="D2430" t="s">
        <v>3931</v>
      </c>
      <c r="E2430" t="s">
        <v>15</v>
      </c>
      <c r="F2430" t="s">
        <v>3932</v>
      </c>
      <c r="G2430" t="str">
        <f>"201304006315"</f>
        <v>201304006315</v>
      </c>
      <c r="H2430" t="s">
        <v>2877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30</v>
      </c>
      <c r="O2430">
        <v>30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X2430">
        <v>0</v>
      </c>
      <c r="Y2430" t="s">
        <v>3929</v>
      </c>
    </row>
    <row r="2431" spans="1:25" x14ac:dyDescent="0.25">
      <c r="H2431" t="s">
        <v>23</v>
      </c>
    </row>
    <row r="2432" spans="1:25" x14ac:dyDescent="0.25">
      <c r="A2432">
        <v>1213</v>
      </c>
      <c r="B2432">
        <v>225</v>
      </c>
      <c r="C2432" t="s">
        <v>830</v>
      </c>
      <c r="D2432" t="s">
        <v>25</v>
      </c>
      <c r="E2432" t="s">
        <v>2494</v>
      </c>
      <c r="F2432" t="s">
        <v>3933</v>
      </c>
      <c r="G2432" t="str">
        <f>"201506002802"</f>
        <v>201506002802</v>
      </c>
      <c r="H2432" t="s">
        <v>622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0</v>
      </c>
      <c r="X2432">
        <v>0</v>
      </c>
      <c r="Y2432" t="s">
        <v>622</v>
      </c>
    </row>
    <row r="2433" spans="1:25" x14ac:dyDescent="0.25">
      <c r="H2433" t="s">
        <v>53</v>
      </c>
    </row>
    <row r="2434" spans="1:25" x14ac:dyDescent="0.25">
      <c r="A2434">
        <v>1214</v>
      </c>
      <c r="B2434">
        <v>6102</v>
      </c>
      <c r="C2434" t="s">
        <v>3934</v>
      </c>
      <c r="D2434" t="s">
        <v>266</v>
      </c>
      <c r="E2434" t="s">
        <v>147</v>
      </c>
      <c r="F2434" t="s">
        <v>3935</v>
      </c>
      <c r="G2434" t="str">
        <f>"00117830"</f>
        <v>00117830</v>
      </c>
      <c r="H2434" t="s">
        <v>3549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50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X2434">
        <v>0</v>
      </c>
      <c r="Y2434" t="s">
        <v>3936</v>
      </c>
    </row>
    <row r="2435" spans="1:25" x14ac:dyDescent="0.25">
      <c r="H2435">
        <v>102</v>
      </c>
    </row>
    <row r="2436" spans="1:25" x14ac:dyDescent="0.25">
      <c r="A2436">
        <v>1215</v>
      </c>
      <c r="B2436">
        <v>4172</v>
      </c>
      <c r="C2436" t="s">
        <v>3937</v>
      </c>
      <c r="D2436" t="s">
        <v>3938</v>
      </c>
      <c r="E2436" t="s">
        <v>947</v>
      </c>
      <c r="F2436" t="s">
        <v>3939</v>
      </c>
      <c r="G2436" t="str">
        <f>"00013349"</f>
        <v>00013349</v>
      </c>
      <c r="H2436" t="s">
        <v>2109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30</v>
      </c>
      <c r="O2436">
        <v>30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X2436">
        <v>2</v>
      </c>
      <c r="Y2436" t="s">
        <v>3940</v>
      </c>
    </row>
    <row r="2437" spans="1:25" x14ac:dyDescent="0.25">
      <c r="H2437" t="s">
        <v>23</v>
      </c>
    </row>
    <row r="2438" spans="1:25" x14ac:dyDescent="0.25">
      <c r="A2438">
        <v>1216</v>
      </c>
      <c r="B2438">
        <v>1450</v>
      </c>
      <c r="C2438" t="s">
        <v>3941</v>
      </c>
      <c r="D2438" t="s">
        <v>25</v>
      </c>
      <c r="E2438" t="s">
        <v>291</v>
      </c>
      <c r="F2438" t="s">
        <v>3942</v>
      </c>
      <c r="G2438" t="str">
        <f>"00129911"</f>
        <v>00129911</v>
      </c>
      <c r="H2438" t="s">
        <v>636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50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X2438">
        <v>0</v>
      </c>
      <c r="Y2438" t="s">
        <v>3943</v>
      </c>
    </row>
    <row r="2439" spans="1:25" x14ac:dyDescent="0.25">
      <c r="H2439" t="s">
        <v>23</v>
      </c>
    </row>
    <row r="2440" spans="1:25" x14ac:dyDescent="0.25">
      <c r="A2440">
        <v>1217</v>
      </c>
      <c r="B2440">
        <v>380</v>
      </c>
      <c r="C2440" t="s">
        <v>1732</v>
      </c>
      <c r="D2440" t="s">
        <v>440</v>
      </c>
      <c r="E2440" t="s">
        <v>1929</v>
      </c>
      <c r="F2440" t="s">
        <v>3944</v>
      </c>
      <c r="G2440" t="str">
        <f>"00014406"</f>
        <v>00014406</v>
      </c>
      <c r="H2440" t="s">
        <v>1055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0</v>
      </c>
      <c r="X2440">
        <v>0</v>
      </c>
      <c r="Y2440" t="s">
        <v>3945</v>
      </c>
    </row>
    <row r="2441" spans="1:25" x14ac:dyDescent="0.25">
      <c r="H2441" t="s">
        <v>23</v>
      </c>
    </row>
    <row r="2442" spans="1:25" x14ac:dyDescent="0.25">
      <c r="A2442">
        <v>1218</v>
      </c>
      <c r="B2442">
        <v>2519</v>
      </c>
      <c r="C2442" t="s">
        <v>3946</v>
      </c>
      <c r="D2442" t="s">
        <v>3947</v>
      </c>
      <c r="E2442" t="s">
        <v>291</v>
      </c>
      <c r="F2442" t="s">
        <v>3948</v>
      </c>
      <c r="G2442" t="str">
        <f>"00121790"</f>
        <v>00121790</v>
      </c>
      <c r="H2442" t="s">
        <v>1055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30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X2442">
        <v>0</v>
      </c>
      <c r="Y2442" t="s">
        <v>3945</v>
      </c>
    </row>
    <row r="2443" spans="1:25" x14ac:dyDescent="0.25">
      <c r="H2443" t="s">
        <v>34</v>
      </c>
    </row>
    <row r="2444" spans="1:25" x14ac:dyDescent="0.25">
      <c r="A2444">
        <v>1219</v>
      </c>
      <c r="B2444">
        <v>2242</v>
      </c>
      <c r="C2444" t="s">
        <v>795</v>
      </c>
      <c r="D2444" t="s">
        <v>3949</v>
      </c>
      <c r="E2444" t="s">
        <v>49</v>
      </c>
      <c r="F2444" t="s">
        <v>3950</v>
      </c>
      <c r="G2444" t="str">
        <f>"00209310"</f>
        <v>00209310</v>
      </c>
      <c r="H2444">
        <v>660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50</v>
      </c>
      <c r="O2444">
        <v>30</v>
      </c>
      <c r="P2444">
        <v>0</v>
      </c>
      <c r="Q2444">
        <v>0</v>
      </c>
      <c r="R2444">
        <v>30</v>
      </c>
      <c r="S2444">
        <v>0</v>
      </c>
      <c r="T2444">
        <v>0</v>
      </c>
      <c r="U2444">
        <v>0</v>
      </c>
      <c r="V2444">
        <v>0</v>
      </c>
      <c r="X2444">
        <v>0</v>
      </c>
      <c r="Y2444">
        <v>770</v>
      </c>
    </row>
    <row r="2445" spans="1:25" x14ac:dyDescent="0.25">
      <c r="H2445">
        <v>101</v>
      </c>
    </row>
    <row r="2446" spans="1:25" x14ac:dyDescent="0.25">
      <c r="A2446">
        <v>1220</v>
      </c>
      <c r="B2446">
        <v>5540</v>
      </c>
      <c r="C2446" t="s">
        <v>3951</v>
      </c>
      <c r="D2446" t="s">
        <v>86</v>
      </c>
      <c r="E2446" t="s">
        <v>55</v>
      </c>
      <c r="F2446" t="s">
        <v>3952</v>
      </c>
      <c r="G2446" t="str">
        <f>"00121752"</f>
        <v>00121752</v>
      </c>
      <c r="H2446" t="s">
        <v>2007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30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50</v>
      </c>
      <c r="U2446">
        <v>0</v>
      </c>
      <c r="V2446">
        <v>0</v>
      </c>
      <c r="X2446">
        <v>0</v>
      </c>
      <c r="Y2446" t="s">
        <v>3953</v>
      </c>
    </row>
    <row r="2447" spans="1:25" x14ac:dyDescent="0.25">
      <c r="H2447" t="s">
        <v>23</v>
      </c>
    </row>
    <row r="2448" spans="1:25" x14ac:dyDescent="0.25">
      <c r="A2448">
        <v>1221</v>
      </c>
      <c r="B2448">
        <v>3631</v>
      </c>
      <c r="C2448" t="s">
        <v>3954</v>
      </c>
      <c r="D2448" t="s">
        <v>355</v>
      </c>
      <c r="E2448" t="s">
        <v>55</v>
      </c>
      <c r="F2448" t="s">
        <v>3955</v>
      </c>
      <c r="G2448" t="str">
        <f>"201406010295"</f>
        <v>201406010295</v>
      </c>
      <c r="H2448" t="s">
        <v>2007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0</v>
      </c>
      <c r="P2448">
        <v>50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0</v>
      </c>
      <c r="X2448">
        <v>0</v>
      </c>
      <c r="Y2448" t="s">
        <v>3953</v>
      </c>
    </row>
    <row r="2449" spans="1:25" x14ac:dyDescent="0.25">
      <c r="H2449" t="s">
        <v>23</v>
      </c>
    </row>
    <row r="2450" spans="1:25" x14ac:dyDescent="0.25">
      <c r="A2450">
        <v>1222</v>
      </c>
      <c r="B2450">
        <v>5399</v>
      </c>
      <c r="C2450" t="s">
        <v>3956</v>
      </c>
      <c r="D2450" t="s">
        <v>509</v>
      </c>
      <c r="E2450" t="s">
        <v>55</v>
      </c>
      <c r="F2450" t="s">
        <v>3957</v>
      </c>
      <c r="G2450" t="str">
        <f>"201405002206"</f>
        <v>201405002206</v>
      </c>
      <c r="H2450" t="s">
        <v>1530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70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X2450">
        <v>0</v>
      </c>
      <c r="Y2450" t="s">
        <v>3958</v>
      </c>
    </row>
    <row r="2451" spans="1:25" x14ac:dyDescent="0.25">
      <c r="H2451" t="s">
        <v>118</v>
      </c>
    </row>
    <row r="2452" spans="1:25" x14ac:dyDescent="0.25">
      <c r="A2452">
        <v>1223</v>
      </c>
      <c r="B2452">
        <v>3587</v>
      </c>
      <c r="C2452" t="s">
        <v>3959</v>
      </c>
      <c r="D2452" t="s">
        <v>663</v>
      </c>
      <c r="E2452" t="s">
        <v>283</v>
      </c>
      <c r="F2452" t="s">
        <v>3960</v>
      </c>
      <c r="G2452" t="str">
        <f>"201406000022"</f>
        <v>201406000022</v>
      </c>
      <c r="H2452" t="s">
        <v>1530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70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0</v>
      </c>
      <c r="X2452">
        <v>0</v>
      </c>
      <c r="Y2452" t="s">
        <v>3958</v>
      </c>
    </row>
    <row r="2453" spans="1:25" x14ac:dyDescent="0.25">
      <c r="H2453" t="s">
        <v>118</v>
      </c>
    </row>
    <row r="2454" spans="1:25" x14ac:dyDescent="0.25">
      <c r="A2454">
        <v>1224</v>
      </c>
      <c r="B2454">
        <v>5501</v>
      </c>
      <c r="C2454" t="s">
        <v>3961</v>
      </c>
      <c r="D2454" t="s">
        <v>900</v>
      </c>
      <c r="E2454" t="s">
        <v>87</v>
      </c>
      <c r="F2454" t="s">
        <v>3962</v>
      </c>
      <c r="G2454" t="str">
        <f>"00121291"</f>
        <v>00121291</v>
      </c>
      <c r="H2454" t="s">
        <v>1530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70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0</v>
      </c>
      <c r="X2454">
        <v>1</v>
      </c>
      <c r="Y2454" t="s">
        <v>3958</v>
      </c>
    </row>
    <row r="2455" spans="1:25" x14ac:dyDescent="0.25">
      <c r="H2455" t="s">
        <v>23</v>
      </c>
    </row>
    <row r="2456" spans="1:25" x14ac:dyDescent="0.25">
      <c r="A2456">
        <v>1225</v>
      </c>
      <c r="B2456">
        <v>3353</v>
      </c>
      <c r="C2456" t="s">
        <v>3963</v>
      </c>
      <c r="D2456" t="s">
        <v>820</v>
      </c>
      <c r="E2456" t="s">
        <v>99</v>
      </c>
      <c r="F2456" t="s">
        <v>3964</v>
      </c>
      <c r="G2456" t="str">
        <f>"00047988"</f>
        <v>00047988</v>
      </c>
      <c r="H2456" t="s">
        <v>783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30</v>
      </c>
      <c r="O2456">
        <v>0</v>
      </c>
      <c r="P2456">
        <v>0</v>
      </c>
      <c r="Q2456">
        <v>30</v>
      </c>
      <c r="R2456">
        <v>0</v>
      </c>
      <c r="S2456">
        <v>0</v>
      </c>
      <c r="T2456">
        <v>0</v>
      </c>
      <c r="U2456">
        <v>0</v>
      </c>
      <c r="V2456">
        <v>0</v>
      </c>
      <c r="X2456">
        <v>1</v>
      </c>
      <c r="Y2456" t="s">
        <v>3965</v>
      </c>
    </row>
    <row r="2457" spans="1:25" x14ac:dyDescent="0.25">
      <c r="H2457" t="s">
        <v>366</v>
      </c>
    </row>
    <row r="2458" spans="1:25" x14ac:dyDescent="0.25">
      <c r="A2458">
        <v>1226</v>
      </c>
      <c r="B2458">
        <v>3821</v>
      </c>
      <c r="C2458" t="s">
        <v>2279</v>
      </c>
      <c r="D2458" t="s">
        <v>598</v>
      </c>
      <c r="E2458" t="s">
        <v>43</v>
      </c>
      <c r="F2458" t="s">
        <v>3966</v>
      </c>
      <c r="G2458" t="str">
        <f>"00094758"</f>
        <v>00094758</v>
      </c>
      <c r="H2458" t="s">
        <v>783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30</v>
      </c>
      <c r="O2458">
        <v>0</v>
      </c>
      <c r="P2458">
        <v>0</v>
      </c>
      <c r="Q2458">
        <v>30</v>
      </c>
      <c r="R2458">
        <v>0</v>
      </c>
      <c r="S2458">
        <v>0</v>
      </c>
      <c r="T2458">
        <v>0</v>
      </c>
      <c r="U2458">
        <v>0</v>
      </c>
      <c r="V2458">
        <v>0</v>
      </c>
      <c r="X2458">
        <v>0</v>
      </c>
      <c r="Y2458" t="s">
        <v>3965</v>
      </c>
    </row>
    <row r="2459" spans="1:25" x14ac:dyDescent="0.25">
      <c r="H2459" t="s">
        <v>118</v>
      </c>
    </row>
    <row r="2460" spans="1:25" x14ac:dyDescent="0.25">
      <c r="A2460">
        <v>1227</v>
      </c>
      <c r="B2460">
        <v>774</v>
      </c>
      <c r="C2460" t="s">
        <v>3967</v>
      </c>
      <c r="D2460" t="s">
        <v>1030</v>
      </c>
      <c r="E2460" t="s">
        <v>21</v>
      </c>
      <c r="F2460" t="s">
        <v>3968</v>
      </c>
      <c r="G2460" t="str">
        <f>"201511042668"</f>
        <v>201511042668</v>
      </c>
      <c r="H2460" t="s">
        <v>2212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30</v>
      </c>
      <c r="O2460">
        <v>0</v>
      </c>
      <c r="P2460">
        <v>30</v>
      </c>
      <c r="Q2460">
        <v>30</v>
      </c>
      <c r="R2460">
        <v>0</v>
      </c>
      <c r="S2460">
        <v>0</v>
      </c>
      <c r="T2460">
        <v>0</v>
      </c>
      <c r="U2460">
        <v>0</v>
      </c>
      <c r="V2460">
        <v>0</v>
      </c>
      <c r="X2460">
        <v>0</v>
      </c>
      <c r="Y2460" t="s">
        <v>3969</v>
      </c>
    </row>
    <row r="2461" spans="1:25" x14ac:dyDescent="0.25">
      <c r="H2461" t="s">
        <v>23</v>
      </c>
    </row>
    <row r="2462" spans="1:25" x14ac:dyDescent="0.25">
      <c r="A2462">
        <v>1228</v>
      </c>
      <c r="B2462">
        <v>3285</v>
      </c>
      <c r="C2462" t="s">
        <v>3970</v>
      </c>
      <c r="D2462" t="s">
        <v>509</v>
      </c>
      <c r="E2462" t="s">
        <v>567</v>
      </c>
      <c r="F2462" t="s">
        <v>3971</v>
      </c>
      <c r="G2462" t="str">
        <f>"00105186"</f>
        <v>00105186</v>
      </c>
      <c r="H2462" t="s">
        <v>2757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70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0</v>
      </c>
      <c r="X2462">
        <v>0</v>
      </c>
      <c r="Y2462" t="s">
        <v>3972</v>
      </c>
    </row>
    <row r="2463" spans="1:25" x14ac:dyDescent="0.25">
      <c r="H2463" t="s">
        <v>366</v>
      </c>
    </row>
    <row r="2464" spans="1:25" x14ac:dyDescent="0.25">
      <c r="A2464">
        <v>1229</v>
      </c>
      <c r="B2464">
        <v>12</v>
      </c>
      <c r="C2464" t="s">
        <v>3973</v>
      </c>
      <c r="D2464" t="s">
        <v>159</v>
      </c>
      <c r="E2464" t="s">
        <v>3974</v>
      </c>
      <c r="F2464" t="s">
        <v>3975</v>
      </c>
      <c r="G2464" t="str">
        <f>"201406011520"</f>
        <v>201406011520</v>
      </c>
      <c r="H2464" t="s">
        <v>980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X2464">
        <v>0</v>
      </c>
      <c r="Y2464" t="s">
        <v>3976</v>
      </c>
    </row>
    <row r="2465" spans="1:25" x14ac:dyDescent="0.25">
      <c r="H2465" t="s">
        <v>91</v>
      </c>
    </row>
    <row r="2466" spans="1:25" x14ac:dyDescent="0.25">
      <c r="A2466">
        <v>1230</v>
      </c>
      <c r="B2466">
        <v>2603</v>
      </c>
      <c r="C2466" t="s">
        <v>3977</v>
      </c>
      <c r="D2466" t="s">
        <v>1046</v>
      </c>
      <c r="E2466" t="s">
        <v>1260</v>
      </c>
      <c r="F2466" t="s">
        <v>3978</v>
      </c>
      <c r="G2466" t="str">
        <f>"00088162"</f>
        <v>00088162</v>
      </c>
      <c r="H2466" t="s">
        <v>980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30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X2466">
        <v>0</v>
      </c>
      <c r="Y2466" t="s">
        <v>3976</v>
      </c>
    </row>
    <row r="2467" spans="1:25" x14ac:dyDescent="0.25">
      <c r="H2467" t="s">
        <v>34</v>
      </c>
    </row>
    <row r="2468" spans="1:25" x14ac:dyDescent="0.25">
      <c r="A2468">
        <v>1231</v>
      </c>
      <c r="B2468">
        <v>2927</v>
      </c>
      <c r="C2468" t="s">
        <v>3979</v>
      </c>
      <c r="D2468" t="s">
        <v>245</v>
      </c>
      <c r="E2468" t="s">
        <v>1790</v>
      </c>
      <c r="F2468" t="s">
        <v>3980</v>
      </c>
      <c r="G2468" t="str">
        <f>"00118759"</f>
        <v>00118759</v>
      </c>
      <c r="H2468" t="s">
        <v>2534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70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X2468">
        <v>0</v>
      </c>
      <c r="Y2468" t="s">
        <v>3981</v>
      </c>
    </row>
    <row r="2469" spans="1:25" x14ac:dyDescent="0.25">
      <c r="H2469" t="s">
        <v>23</v>
      </c>
    </row>
    <row r="2470" spans="1:25" x14ac:dyDescent="0.25">
      <c r="A2470">
        <v>1232</v>
      </c>
      <c r="B2470">
        <v>2530</v>
      </c>
      <c r="C2470" t="s">
        <v>3982</v>
      </c>
      <c r="D2470" t="s">
        <v>781</v>
      </c>
      <c r="E2470" t="s">
        <v>86</v>
      </c>
      <c r="F2470" t="s">
        <v>3983</v>
      </c>
      <c r="G2470" t="str">
        <f>"00197059"</f>
        <v>00197059</v>
      </c>
      <c r="H2470" t="s">
        <v>1425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30</v>
      </c>
      <c r="O2470">
        <v>30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X2470">
        <v>0</v>
      </c>
      <c r="Y2470" t="s">
        <v>3984</v>
      </c>
    </row>
    <row r="2471" spans="1:25" x14ac:dyDescent="0.25">
      <c r="H2471" t="s">
        <v>118</v>
      </c>
    </row>
    <row r="2472" spans="1:25" x14ac:dyDescent="0.25">
      <c r="A2472">
        <v>1233</v>
      </c>
      <c r="B2472">
        <v>5098</v>
      </c>
      <c r="C2472" t="s">
        <v>3985</v>
      </c>
      <c r="D2472" t="s">
        <v>55</v>
      </c>
      <c r="E2472" t="s">
        <v>86</v>
      </c>
      <c r="F2472" t="s">
        <v>3986</v>
      </c>
      <c r="G2472" t="str">
        <f>"201405001757"</f>
        <v>201405001757</v>
      </c>
      <c r="H2472">
        <v>737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30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0</v>
      </c>
      <c r="X2472">
        <v>0</v>
      </c>
      <c r="Y2472">
        <v>767</v>
      </c>
    </row>
    <row r="2473" spans="1:25" x14ac:dyDescent="0.25">
      <c r="H2473" t="s">
        <v>23</v>
      </c>
    </row>
    <row r="2474" spans="1:25" x14ac:dyDescent="0.25">
      <c r="A2474">
        <v>1234</v>
      </c>
      <c r="B2474">
        <v>1984</v>
      </c>
      <c r="C2474" t="s">
        <v>3987</v>
      </c>
      <c r="D2474" t="s">
        <v>355</v>
      </c>
      <c r="E2474" t="s">
        <v>200</v>
      </c>
      <c r="F2474" t="s">
        <v>3988</v>
      </c>
      <c r="G2474" t="str">
        <f>"201406007929"</f>
        <v>201406007929</v>
      </c>
      <c r="H2474" t="s">
        <v>1089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50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0</v>
      </c>
      <c r="X2474">
        <v>0</v>
      </c>
      <c r="Y2474" t="s">
        <v>3989</v>
      </c>
    </row>
    <row r="2475" spans="1:25" x14ac:dyDescent="0.25">
      <c r="H2475" t="s">
        <v>53</v>
      </c>
    </row>
    <row r="2476" spans="1:25" x14ac:dyDescent="0.25">
      <c r="A2476">
        <v>1235</v>
      </c>
      <c r="B2476">
        <v>1496</v>
      </c>
      <c r="C2476" t="s">
        <v>3990</v>
      </c>
      <c r="D2476" t="s">
        <v>209</v>
      </c>
      <c r="E2476" t="s">
        <v>15</v>
      </c>
      <c r="F2476" t="s">
        <v>3991</v>
      </c>
      <c r="G2476" t="str">
        <f>"00209224"</f>
        <v>00209224</v>
      </c>
      <c r="H2476" t="s">
        <v>910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30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X2476">
        <v>2</v>
      </c>
      <c r="Y2476" t="s">
        <v>3992</v>
      </c>
    </row>
    <row r="2477" spans="1:25" x14ac:dyDescent="0.25">
      <c r="H2477" t="s">
        <v>213</v>
      </c>
    </row>
    <row r="2478" spans="1:25" x14ac:dyDescent="0.25">
      <c r="A2478">
        <v>1236</v>
      </c>
      <c r="B2478">
        <v>1838</v>
      </c>
      <c r="C2478" t="s">
        <v>3993</v>
      </c>
      <c r="D2478" t="s">
        <v>20</v>
      </c>
      <c r="E2478" t="s">
        <v>200</v>
      </c>
      <c r="F2478" t="s">
        <v>3994</v>
      </c>
      <c r="G2478" t="str">
        <f>"201511042747"</f>
        <v>201511042747</v>
      </c>
      <c r="H2478" t="s">
        <v>1672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70</v>
      </c>
      <c r="O2478">
        <v>30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0</v>
      </c>
      <c r="X2478">
        <v>0</v>
      </c>
      <c r="Y2478" t="s">
        <v>3995</v>
      </c>
    </row>
    <row r="2479" spans="1:25" x14ac:dyDescent="0.25">
      <c r="H2479" t="s">
        <v>53</v>
      </c>
    </row>
    <row r="2480" spans="1:25" x14ac:dyDescent="0.25">
      <c r="A2480">
        <v>1237</v>
      </c>
      <c r="B2480">
        <v>5113</v>
      </c>
      <c r="C2480" t="s">
        <v>3996</v>
      </c>
      <c r="D2480" t="s">
        <v>904</v>
      </c>
      <c r="E2480" t="s">
        <v>200</v>
      </c>
      <c r="F2480" t="s">
        <v>3997</v>
      </c>
      <c r="G2480" t="str">
        <f>"00036815"</f>
        <v>00036815</v>
      </c>
      <c r="H2480" t="s">
        <v>1466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70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0</v>
      </c>
      <c r="X2480">
        <v>0</v>
      </c>
      <c r="Y2480" t="s">
        <v>3998</v>
      </c>
    </row>
    <row r="2481" spans="1:25" x14ac:dyDescent="0.25">
      <c r="H2481" t="s">
        <v>23</v>
      </c>
    </row>
    <row r="2482" spans="1:25" x14ac:dyDescent="0.25">
      <c r="A2482">
        <v>1238</v>
      </c>
      <c r="B2482">
        <v>1482</v>
      </c>
      <c r="C2482" t="s">
        <v>217</v>
      </c>
      <c r="D2482" t="s">
        <v>3999</v>
      </c>
      <c r="E2482" t="s">
        <v>87</v>
      </c>
      <c r="F2482" t="s">
        <v>4000</v>
      </c>
      <c r="G2482" t="str">
        <f>"201511020571"</f>
        <v>201511020571</v>
      </c>
      <c r="H2482" t="s">
        <v>1269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30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X2482">
        <v>0</v>
      </c>
      <c r="Y2482" t="s">
        <v>4001</v>
      </c>
    </row>
    <row r="2483" spans="1:25" x14ac:dyDescent="0.25">
      <c r="H2483" t="s">
        <v>23</v>
      </c>
    </row>
    <row r="2484" spans="1:25" x14ac:dyDescent="0.25">
      <c r="A2484">
        <v>1239</v>
      </c>
      <c r="B2484">
        <v>4</v>
      </c>
      <c r="C2484" t="s">
        <v>4002</v>
      </c>
      <c r="D2484" t="s">
        <v>571</v>
      </c>
      <c r="E2484" t="s">
        <v>21</v>
      </c>
      <c r="F2484" t="s">
        <v>4003</v>
      </c>
      <c r="G2484" t="str">
        <f>"00116715"</f>
        <v>00116715</v>
      </c>
      <c r="H2484" t="s">
        <v>2340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70</v>
      </c>
      <c r="O2484">
        <v>30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X2484">
        <v>1</v>
      </c>
      <c r="Y2484" t="s">
        <v>4004</v>
      </c>
    </row>
    <row r="2485" spans="1:25" x14ac:dyDescent="0.25">
      <c r="H2485" t="s">
        <v>23</v>
      </c>
    </row>
    <row r="2486" spans="1:25" x14ac:dyDescent="0.25">
      <c r="A2486">
        <v>1240</v>
      </c>
      <c r="B2486">
        <v>5785</v>
      </c>
      <c r="C2486" t="s">
        <v>4005</v>
      </c>
      <c r="D2486" t="s">
        <v>2955</v>
      </c>
      <c r="E2486" t="s">
        <v>21</v>
      </c>
      <c r="F2486" t="s">
        <v>4006</v>
      </c>
      <c r="G2486" t="str">
        <f>"00015295"</f>
        <v>00015295</v>
      </c>
      <c r="H2486" t="s">
        <v>331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70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X2486">
        <v>0</v>
      </c>
      <c r="Y2486" t="s">
        <v>4007</v>
      </c>
    </row>
    <row r="2487" spans="1:25" x14ac:dyDescent="0.25">
      <c r="H2487" t="s">
        <v>53</v>
      </c>
    </row>
    <row r="2488" spans="1:25" x14ac:dyDescent="0.25">
      <c r="A2488">
        <v>1241</v>
      </c>
      <c r="B2488">
        <v>5334</v>
      </c>
      <c r="C2488" t="s">
        <v>4008</v>
      </c>
      <c r="D2488" t="s">
        <v>209</v>
      </c>
      <c r="E2488" t="s">
        <v>87</v>
      </c>
      <c r="F2488" t="s">
        <v>4009</v>
      </c>
      <c r="G2488" t="str">
        <f>"00171656"</f>
        <v>00171656</v>
      </c>
      <c r="H2488" t="s">
        <v>331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70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0</v>
      </c>
      <c r="X2488">
        <v>0</v>
      </c>
      <c r="Y2488" t="s">
        <v>4007</v>
      </c>
    </row>
    <row r="2489" spans="1:25" x14ac:dyDescent="0.25">
      <c r="H2489" t="s">
        <v>91</v>
      </c>
    </row>
    <row r="2490" spans="1:25" x14ac:dyDescent="0.25">
      <c r="A2490">
        <v>1242</v>
      </c>
      <c r="B2490">
        <v>5421</v>
      </c>
      <c r="C2490" t="s">
        <v>4010</v>
      </c>
      <c r="D2490" t="s">
        <v>1046</v>
      </c>
      <c r="E2490" t="s">
        <v>147</v>
      </c>
      <c r="F2490" t="s">
        <v>4011</v>
      </c>
      <c r="G2490" t="str">
        <f>"00014797"</f>
        <v>00014797</v>
      </c>
      <c r="H2490">
        <v>704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30</v>
      </c>
      <c r="O2490">
        <v>30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0</v>
      </c>
      <c r="X2490">
        <v>0</v>
      </c>
      <c r="Y2490">
        <v>764</v>
      </c>
    </row>
    <row r="2491" spans="1:25" x14ac:dyDescent="0.25">
      <c r="H2491" t="s">
        <v>53</v>
      </c>
    </row>
    <row r="2492" spans="1:25" x14ac:dyDescent="0.25">
      <c r="A2492">
        <v>1243</v>
      </c>
      <c r="B2492">
        <v>91</v>
      </c>
      <c r="C2492" t="s">
        <v>4012</v>
      </c>
      <c r="D2492" t="s">
        <v>4013</v>
      </c>
      <c r="E2492" t="s">
        <v>184</v>
      </c>
      <c r="F2492" t="s">
        <v>4014</v>
      </c>
      <c r="G2492" t="str">
        <f>"201406011798"</f>
        <v>201406011798</v>
      </c>
      <c r="H2492">
        <v>704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30</v>
      </c>
      <c r="O2492">
        <v>30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0</v>
      </c>
      <c r="X2492">
        <v>0</v>
      </c>
      <c r="Y2492">
        <v>764</v>
      </c>
    </row>
    <row r="2493" spans="1:25" x14ac:dyDescent="0.25">
      <c r="H2493" t="s">
        <v>53</v>
      </c>
    </row>
    <row r="2494" spans="1:25" x14ac:dyDescent="0.25">
      <c r="A2494">
        <v>1244</v>
      </c>
      <c r="B2494">
        <v>297</v>
      </c>
      <c r="C2494" t="s">
        <v>1662</v>
      </c>
      <c r="D2494" t="s">
        <v>1207</v>
      </c>
      <c r="E2494" t="s">
        <v>49</v>
      </c>
      <c r="F2494" t="s">
        <v>4015</v>
      </c>
      <c r="G2494" t="str">
        <f>"00117831"</f>
        <v>00117831</v>
      </c>
      <c r="H2494" t="s">
        <v>2094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70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0</v>
      </c>
      <c r="X2494">
        <v>0</v>
      </c>
      <c r="Y2494" t="s">
        <v>4016</v>
      </c>
    </row>
    <row r="2495" spans="1:25" x14ac:dyDescent="0.25">
      <c r="H2495" t="s">
        <v>788</v>
      </c>
    </row>
    <row r="2496" spans="1:25" x14ac:dyDescent="0.25">
      <c r="A2496">
        <v>1245</v>
      </c>
      <c r="B2496">
        <v>4061</v>
      </c>
      <c r="C2496" t="s">
        <v>4017</v>
      </c>
      <c r="D2496" t="s">
        <v>25</v>
      </c>
      <c r="E2496" t="s">
        <v>895</v>
      </c>
      <c r="F2496" t="s">
        <v>4018</v>
      </c>
      <c r="G2496" t="str">
        <f>"00115766"</f>
        <v>00115766</v>
      </c>
      <c r="H2496" t="s">
        <v>1397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30</v>
      </c>
      <c r="O2496">
        <v>50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0</v>
      </c>
      <c r="X2496">
        <v>0</v>
      </c>
      <c r="Y2496" t="s">
        <v>4019</v>
      </c>
    </row>
    <row r="2497" spans="1:25" x14ac:dyDescent="0.25">
      <c r="H2497" t="s">
        <v>53</v>
      </c>
    </row>
    <row r="2498" spans="1:25" x14ac:dyDescent="0.25">
      <c r="A2498">
        <v>1246</v>
      </c>
      <c r="B2498">
        <v>2992</v>
      </c>
      <c r="C2498" t="s">
        <v>4020</v>
      </c>
      <c r="D2498" t="s">
        <v>561</v>
      </c>
      <c r="E2498" t="s">
        <v>21</v>
      </c>
      <c r="F2498" t="s">
        <v>4021</v>
      </c>
      <c r="G2498" t="str">
        <f>"00014204"</f>
        <v>00014204</v>
      </c>
      <c r="H2498" t="s">
        <v>2109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50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0</v>
      </c>
      <c r="X2498">
        <v>0</v>
      </c>
      <c r="Y2498" t="s">
        <v>4022</v>
      </c>
    </row>
    <row r="2499" spans="1:25" x14ac:dyDescent="0.25">
      <c r="H2499" t="s">
        <v>34</v>
      </c>
    </row>
    <row r="2500" spans="1:25" x14ac:dyDescent="0.25">
      <c r="A2500">
        <v>1247</v>
      </c>
      <c r="B2500">
        <v>3746</v>
      </c>
      <c r="C2500" t="s">
        <v>4023</v>
      </c>
      <c r="D2500" t="s">
        <v>283</v>
      </c>
      <c r="E2500" t="s">
        <v>1106</v>
      </c>
      <c r="F2500" t="s">
        <v>4024</v>
      </c>
      <c r="G2500" t="str">
        <f>"00012824"</f>
        <v>00012824</v>
      </c>
      <c r="H2500" t="s">
        <v>1904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30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0</v>
      </c>
      <c r="X2500">
        <v>0</v>
      </c>
      <c r="Y2500" t="s">
        <v>4025</v>
      </c>
    </row>
    <row r="2501" spans="1:25" x14ac:dyDescent="0.25">
      <c r="H2501" t="s">
        <v>23</v>
      </c>
    </row>
    <row r="2502" spans="1:25" x14ac:dyDescent="0.25">
      <c r="A2502">
        <v>1248</v>
      </c>
      <c r="B2502">
        <v>6022</v>
      </c>
      <c r="C2502" t="s">
        <v>1864</v>
      </c>
      <c r="D2502" t="s">
        <v>193</v>
      </c>
      <c r="E2502" t="s">
        <v>55</v>
      </c>
      <c r="F2502" t="s">
        <v>4026</v>
      </c>
      <c r="G2502" t="str">
        <f>"201506002209"</f>
        <v>201506002209</v>
      </c>
      <c r="H2502" t="s">
        <v>1910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X2502">
        <v>0</v>
      </c>
      <c r="Y2502" t="s">
        <v>1910</v>
      </c>
    </row>
    <row r="2503" spans="1:25" x14ac:dyDescent="0.25">
      <c r="H2503" t="s">
        <v>34</v>
      </c>
    </row>
    <row r="2504" spans="1:25" x14ac:dyDescent="0.25">
      <c r="A2504">
        <v>1249</v>
      </c>
      <c r="B2504">
        <v>276</v>
      </c>
      <c r="C2504" t="s">
        <v>4027</v>
      </c>
      <c r="D2504" t="s">
        <v>76</v>
      </c>
      <c r="E2504" t="s">
        <v>21</v>
      </c>
      <c r="F2504" t="s">
        <v>4028</v>
      </c>
      <c r="G2504" t="str">
        <f>"00134595"</f>
        <v>00134595</v>
      </c>
      <c r="H2504">
        <v>660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70</v>
      </c>
      <c r="O2504">
        <v>30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0</v>
      </c>
      <c r="X2504">
        <v>0</v>
      </c>
      <c r="Y2504">
        <v>760</v>
      </c>
    </row>
    <row r="2505" spans="1:25" x14ac:dyDescent="0.25">
      <c r="H2505">
        <v>101</v>
      </c>
    </row>
    <row r="2506" spans="1:25" x14ac:dyDescent="0.25">
      <c r="A2506">
        <v>1250</v>
      </c>
      <c r="B2506">
        <v>2317</v>
      </c>
      <c r="C2506" t="s">
        <v>1091</v>
      </c>
      <c r="D2506" t="s">
        <v>1087</v>
      </c>
      <c r="E2506" t="s">
        <v>21</v>
      </c>
      <c r="F2506" t="s">
        <v>4029</v>
      </c>
      <c r="G2506" t="str">
        <f>"201406012845"</f>
        <v>201406012845</v>
      </c>
      <c r="H2506">
        <v>660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70</v>
      </c>
      <c r="O2506">
        <v>0</v>
      </c>
      <c r="P2506">
        <v>30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0</v>
      </c>
      <c r="X2506">
        <v>0</v>
      </c>
      <c r="Y2506">
        <v>760</v>
      </c>
    </row>
    <row r="2507" spans="1:25" x14ac:dyDescent="0.25">
      <c r="H2507" t="s">
        <v>53</v>
      </c>
    </row>
    <row r="2508" spans="1:25" x14ac:dyDescent="0.25">
      <c r="A2508">
        <v>1251</v>
      </c>
      <c r="B2508">
        <v>5115</v>
      </c>
      <c r="C2508" t="s">
        <v>4030</v>
      </c>
      <c r="D2508" t="s">
        <v>43</v>
      </c>
      <c r="E2508" t="s">
        <v>55</v>
      </c>
      <c r="F2508" t="s">
        <v>4031</v>
      </c>
      <c r="G2508" t="str">
        <f>"00101798"</f>
        <v>00101798</v>
      </c>
      <c r="H2508" t="s">
        <v>2007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70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X2508">
        <v>0</v>
      </c>
      <c r="Y2508" t="s">
        <v>4032</v>
      </c>
    </row>
    <row r="2509" spans="1:25" x14ac:dyDescent="0.25">
      <c r="H2509" t="s">
        <v>53</v>
      </c>
    </row>
    <row r="2510" spans="1:25" x14ac:dyDescent="0.25">
      <c r="A2510">
        <v>1252</v>
      </c>
      <c r="B2510">
        <v>2785</v>
      </c>
      <c r="C2510" t="s">
        <v>4033</v>
      </c>
      <c r="D2510" t="s">
        <v>237</v>
      </c>
      <c r="E2510" t="s">
        <v>43</v>
      </c>
      <c r="F2510" t="s">
        <v>4034</v>
      </c>
      <c r="G2510" t="str">
        <f>"201410001440"</f>
        <v>201410001440</v>
      </c>
      <c r="H2510" t="s">
        <v>2007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70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0</v>
      </c>
      <c r="X2510">
        <v>2</v>
      </c>
      <c r="Y2510" t="s">
        <v>4032</v>
      </c>
    </row>
    <row r="2511" spans="1:25" x14ac:dyDescent="0.25">
      <c r="H2511" t="s">
        <v>53</v>
      </c>
    </row>
    <row r="2512" spans="1:25" x14ac:dyDescent="0.25">
      <c r="A2512">
        <v>1253</v>
      </c>
      <c r="B2512">
        <v>6229</v>
      </c>
      <c r="C2512" t="s">
        <v>4035</v>
      </c>
      <c r="D2512" t="s">
        <v>377</v>
      </c>
      <c r="E2512" t="s">
        <v>86</v>
      </c>
      <c r="F2512" t="s">
        <v>4036</v>
      </c>
      <c r="G2512" t="str">
        <f>"201406010363"</f>
        <v>201406010363</v>
      </c>
      <c r="H2512" t="s">
        <v>2007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70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0</v>
      </c>
      <c r="X2512">
        <v>2</v>
      </c>
      <c r="Y2512" t="s">
        <v>4032</v>
      </c>
    </row>
    <row r="2513" spans="1:25" x14ac:dyDescent="0.25">
      <c r="H2513" t="s">
        <v>34</v>
      </c>
    </row>
    <row r="2514" spans="1:25" x14ac:dyDescent="0.25">
      <c r="A2514">
        <v>1254</v>
      </c>
      <c r="B2514">
        <v>1152</v>
      </c>
      <c r="C2514" t="s">
        <v>4037</v>
      </c>
      <c r="D2514" t="s">
        <v>36</v>
      </c>
      <c r="E2514" t="s">
        <v>87</v>
      </c>
      <c r="F2514" t="s">
        <v>4038</v>
      </c>
      <c r="G2514" t="str">
        <f>"00199888"</f>
        <v>00199888</v>
      </c>
      <c r="H2514" t="s">
        <v>2007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70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X2514">
        <v>2</v>
      </c>
      <c r="Y2514" t="s">
        <v>4032</v>
      </c>
    </row>
    <row r="2515" spans="1:25" x14ac:dyDescent="0.25">
      <c r="H2515" t="s">
        <v>23</v>
      </c>
    </row>
    <row r="2516" spans="1:25" x14ac:dyDescent="0.25">
      <c r="A2516">
        <v>1255</v>
      </c>
      <c r="B2516">
        <v>277</v>
      </c>
      <c r="C2516" t="s">
        <v>4039</v>
      </c>
      <c r="D2516" t="s">
        <v>43</v>
      </c>
      <c r="E2516" t="s">
        <v>99</v>
      </c>
      <c r="F2516" t="s">
        <v>4040</v>
      </c>
      <c r="G2516" t="str">
        <f>"00198686"</f>
        <v>00198686</v>
      </c>
      <c r="H2516" t="s">
        <v>2007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70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0</v>
      </c>
      <c r="X2516">
        <v>1</v>
      </c>
      <c r="Y2516" t="s">
        <v>4032</v>
      </c>
    </row>
    <row r="2517" spans="1:25" x14ac:dyDescent="0.25">
      <c r="H2517" t="s">
        <v>23</v>
      </c>
    </row>
    <row r="2518" spans="1:25" x14ac:dyDescent="0.25">
      <c r="A2518">
        <v>1256</v>
      </c>
      <c r="B2518">
        <v>1514</v>
      </c>
      <c r="C2518" t="s">
        <v>4041</v>
      </c>
      <c r="D2518" t="s">
        <v>36</v>
      </c>
      <c r="E2518" t="s">
        <v>200</v>
      </c>
      <c r="F2518" t="s">
        <v>4042</v>
      </c>
      <c r="G2518" t="str">
        <f>"00127841"</f>
        <v>00127841</v>
      </c>
      <c r="H2518" t="s">
        <v>442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30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0</v>
      </c>
      <c r="X2518">
        <v>0</v>
      </c>
      <c r="Y2518" t="s">
        <v>4043</v>
      </c>
    </row>
    <row r="2519" spans="1:25" x14ac:dyDescent="0.25">
      <c r="H2519" t="s">
        <v>23</v>
      </c>
    </row>
    <row r="2520" spans="1:25" x14ac:dyDescent="0.25">
      <c r="A2520">
        <v>1257</v>
      </c>
      <c r="B2520">
        <v>36</v>
      </c>
      <c r="C2520" t="s">
        <v>4044</v>
      </c>
      <c r="D2520" t="s">
        <v>663</v>
      </c>
      <c r="E2520" t="s">
        <v>21</v>
      </c>
      <c r="F2520" t="s">
        <v>4045</v>
      </c>
      <c r="G2520" t="str">
        <f>"00090883"</f>
        <v>00090883</v>
      </c>
      <c r="H2520" t="s">
        <v>2693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70</v>
      </c>
      <c r="O2520">
        <v>30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0</v>
      </c>
      <c r="X2520">
        <v>0</v>
      </c>
      <c r="Y2520" t="s">
        <v>4046</v>
      </c>
    </row>
    <row r="2521" spans="1:25" x14ac:dyDescent="0.25">
      <c r="H2521" t="s">
        <v>23</v>
      </c>
    </row>
    <row r="2522" spans="1:25" x14ac:dyDescent="0.25">
      <c r="A2522">
        <v>1258</v>
      </c>
      <c r="B2522">
        <v>1888</v>
      </c>
      <c r="C2522" t="s">
        <v>4047</v>
      </c>
      <c r="D2522" t="s">
        <v>86</v>
      </c>
      <c r="E2522" t="s">
        <v>1340</v>
      </c>
      <c r="F2522" t="s">
        <v>4048</v>
      </c>
      <c r="G2522" t="str">
        <f>"00200615"</f>
        <v>00200615</v>
      </c>
      <c r="H2522" t="s">
        <v>1066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70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0</v>
      </c>
      <c r="X2522">
        <v>0</v>
      </c>
      <c r="Y2522" t="s">
        <v>4049</v>
      </c>
    </row>
    <row r="2523" spans="1:25" x14ac:dyDescent="0.25">
      <c r="H2523" t="s">
        <v>23</v>
      </c>
    </row>
    <row r="2524" spans="1:25" x14ac:dyDescent="0.25">
      <c r="A2524">
        <v>1259</v>
      </c>
      <c r="B2524">
        <v>408</v>
      </c>
      <c r="C2524" t="s">
        <v>920</v>
      </c>
      <c r="D2524" t="s">
        <v>43</v>
      </c>
      <c r="E2524" t="s">
        <v>1340</v>
      </c>
      <c r="F2524" t="s">
        <v>4050</v>
      </c>
      <c r="G2524" t="str">
        <f>"00113062"</f>
        <v>00113062</v>
      </c>
      <c r="H2524" t="s">
        <v>1066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70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0</v>
      </c>
      <c r="X2524">
        <v>2</v>
      </c>
      <c r="Y2524" t="s">
        <v>4049</v>
      </c>
    </row>
    <row r="2525" spans="1:25" x14ac:dyDescent="0.25">
      <c r="H2525" t="s">
        <v>23</v>
      </c>
    </row>
    <row r="2526" spans="1:25" x14ac:dyDescent="0.25">
      <c r="A2526">
        <v>1260</v>
      </c>
      <c r="B2526">
        <v>4718</v>
      </c>
      <c r="C2526" t="s">
        <v>4051</v>
      </c>
      <c r="D2526" t="s">
        <v>70</v>
      </c>
      <c r="E2526" t="s">
        <v>81</v>
      </c>
      <c r="F2526" t="s">
        <v>4052</v>
      </c>
      <c r="G2526" t="str">
        <f>"00208551"</f>
        <v>00208551</v>
      </c>
      <c r="H2526" t="s">
        <v>1066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70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X2526">
        <v>0</v>
      </c>
      <c r="Y2526" t="s">
        <v>4049</v>
      </c>
    </row>
    <row r="2527" spans="1:25" x14ac:dyDescent="0.25">
      <c r="H2527" t="s">
        <v>91</v>
      </c>
    </row>
    <row r="2528" spans="1:25" x14ac:dyDescent="0.25">
      <c r="A2528">
        <v>1261</v>
      </c>
      <c r="B2528">
        <v>6512</v>
      </c>
      <c r="C2528" t="s">
        <v>4053</v>
      </c>
      <c r="D2528" t="s">
        <v>4054</v>
      </c>
      <c r="E2528" t="s">
        <v>147</v>
      </c>
      <c r="F2528" t="s">
        <v>4055</v>
      </c>
      <c r="G2528" t="str">
        <f>"00129263"</f>
        <v>00129263</v>
      </c>
      <c r="H2528" t="s">
        <v>1734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50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X2528">
        <v>0</v>
      </c>
      <c r="Y2528" t="s">
        <v>4056</v>
      </c>
    </row>
    <row r="2529" spans="1:25" x14ac:dyDescent="0.25">
      <c r="H2529" t="s">
        <v>4057</v>
      </c>
    </row>
    <row r="2530" spans="1:25" x14ac:dyDescent="0.25">
      <c r="A2530">
        <v>1262</v>
      </c>
      <c r="B2530">
        <v>5251</v>
      </c>
      <c r="C2530" t="s">
        <v>4058</v>
      </c>
      <c r="D2530" t="s">
        <v>440</v>
      </c>
      <c r="E2530" t="s">
        <v>200</v>
      </c>
      <c r="F2530" t="s">
        <v>4059</v>
      </c>
      <c r="G2530" t="str">
        <f>"00182676"</f>
        <v>00182676</v>
      </c>
      <c r="H2530" t="s">
        <v>1558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30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0</v>
      </c>
      <c r="X2530">
        <v>0</v>
      </c>
      <c r="Y2530" t="s">
        <v>4060</v>
      </c>
    </row>
    <row r="2531" spans="1:25" x14ac:dyDescent="0.25">
      <c r="H2531" t="s">
        <v>34</v>
      </c>
    </row>
    <row r="2532" spans="1:25" x14ac:dyDescent="0.25">
      <c r="A2532">
        <v>1263</v>
      </c>
      <c r="B2532">
        <v>1861</v>
      </c>
      <c r="C2532" t="s">
        <v>4061</v>
      </c>
      <c r="D2532" t="s">
        <v>2980</v>
      </c>
      <c r="E2532" t="s">
        <v>21</v>
      </c>
      <c r="F2532" t="s">
        <v>4062</v>
      </c>
      <c r="G2532" t="str">
        <f>"00004503"</f>
        <v>00004503</v>
      </c>
      <c r="H2532" t="s">
        <v>4063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70</v>
      </c>
      <c r="O2532">
        <v>30</v>
      </c>
      <c r="P2532">
        <v>30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0</v>
      </c>
      <c r="X2532">
        <v>0</v>
      </c>
      <c r="Y2532" t="s">
        <v>4064</v>
      </c>
    </row>
    <row r="2533" spans="1:25" x14ac:dyDescent="0.25">
      <c r="H2533" t="s">
        <v>91</v>
      </c>
    </row>
    <row r="2534" spans="1:25" x14ac:dyDescent="0.25">
      <c r="A2534">
        <v>1264</v>
      </c>
      <c r="B2534">
        <v>2033</v>
      </c>
      <c r="C2534" t="s">
        <v>4065</v>
      </c>
      <c r="D2534" t="s">
        <v>55</v>
      </c>
      <c r="E2534" t="s">
        <v>334</v>
      </c>
      <c r="F2534">
        <v>1423</v>
      </c>
      <c r="G2534" t="str">
        <f>"00195414"</f>
        <v>00195414</v>
      </c>
      <c r="H2534" t="s">
        <v>3862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0</v>
      </c>
      <c r="Q2534">
        <v>50</v>
      </c>
      <c r="R2534">
        <v>0</v>
      </c>
      <c r="S2534">
        <v>0</v>
      </c>
      <c r="T2534">
        <v>0</v>
      </c>
      <c r="U2534">
        <v>0</v>
      </c>
      <c r="V2534">
        <v>0</v>
      </c>
      <c r="X2534">
        <v>0</v>
      </c>
      <c r="Y2534" t="s">
        <v>4066</v>
      </c>
    </row>
    <row r="2535" spans="1:25" x14ac:dyDescent="0.25">
      <c r="H2535" t="s">
        <v>23</v>
      </c>
    </row>
    <row r="2536" spans="1:25" x14ac:dyDescent="0.25">
      <c r="A2536">
        <v>1265</v>
      </c>
      <c r="B2536">
        <v>1270</v>
      </c>
      <c r="C2536" t="s">
        <v>4067</v>
      </c>
      <c r="D2536" t="s">
        <v>598</v>
      </c>
      <c r="E2536" t="s">
        <v>55</v>
      </c>
      <c r="F2536" t="s">
        <v>4068</v>
      </c>
      <c r="G2536" t="str">
        <f>"201304003949"</f>
        <v>201304003949</v>
      </c>
      <c r="H2536" t="s">
        <v>1937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70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0</v>
      </c>
      <c r="X2536">
        <v>0</v>
      </c>
      <c r="Y2536" t="s">
        <v>4069</v>
      </c>
    </row>
    <row r="2537" spans="1:25" x14ac:dyDescent="0.25">
      <c r="H2537">
        <v>101</v>
      </c>
    </row>
    <row r="2538" spans="1:25" x14ac:dyDescent="0.25">
      <c r="A2538">
        <v>1266</v>
      </c>
      <c r="B2538">
        <v>2978</v>
      </c>
      <c r="C2538" t="s">
        <v>4070</v>
      </c>
      <c r="D2538" t="s">
        <v>237</v>
      </c>
      <c r="E2538" t="s">
        <v>49</v>
      </c>
      <c r="F2538" t="s">
        <v>4071</v>
      </c>
      <c r="G2538" t="str">
        <f>"00209502"</f>
        <v>00209502</v>
      </c>
      <c r="H2538" t="s">
        <v>1937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70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0</v>
      </c>
      <c r="X2538">
        <v>0</v>
      </c>
      <c r="Y2538" t="s">
        <v>4069</v>
      </c>
    </row>
    <row r="2539" spans="1:25" x14ac:dyDescent="0.25">
      <c r="H2539" t="s">
        <v>34</v>
      </c>
    </row>
    <row r="2540" spans="1:25" x14ac:dyDescent="0.25">
      <c r="A2540">
        <v>1267</v>
      </c>
      <c r="B2540">
        <v>5336</v>
      </c>
      <c r="C2540" t="s">
        <v>1086</v>
      </c>
      <c r="D2540" t="s">
        <v>1965</v>
      </c>
      <c r="E2540" t="s">
        <v>61</v>
      </c>
      <c r="F2540" t="s">
        <v>4072</v>
      </c>
      <c r="G2540" t="str">
        <f>"00200861"</f>
        <v>00200861</v>
      </c>
      <c r="H2540" t="s">
        <v>723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30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0</v>
      </c>
      <c r="X2540">
        <v>0</v>
      </c>
      <c r="Y2540" t="s">
        <v>4073</v>
      </c>
    </row>
    <row r="2541" spans="1:25" x14ac:dyDescent="0.25">
      <c r="H2541" t="s">
        <v>53</v>
      </c>
    </row>
    <row r="2542" spans="1:25" x14ac:dyDescent="0.25">
      <c r="A2542">
        <v>1268</v>
      </c>
      <c r="B2542">
        <v>5561</v>
      </c>
      <c r="C2542" t="s">
        <v>4074</v>
      </c>
      <c r="D2542" t="s">
        <v>4075</v>
      </c>
      <c r="E2542" t="s">
        <v>87</v>
      </c>
      <c r="F2542" t="s">
        <v>4076</v>
      </c>
      <c r="G2542" t="str">
        <f>"00014691"</f>
        <v>00014691</v>
      </c>
      <c r="H2542" t="s">
        <v>2143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70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0</v>
      </c>
      <c r="X2542">
        <v>0</v>
      </c>
      <c r="Y2542" t="s">
        <v>4077</v>
      </c>
    </row>
    <row r="2543" spans="1:25" x14ac:dyDescent="0.25">
      <c r="H2543" t="s">
        <v>23</v>
      </c>
    </row>
    <row r="2544" spans="1:25" x14ac:dyDescent="0.25">
      <c r="A2544">
        <v>1269</v>
      </c>
      <c r="B2544">
        <v>133</v>
      </c>
      <c r="C2544" t="s">
        <v>4078</v>
      </c>
      <c r="D2544" t="s">
        <v>87</v>
      </c>
      <c r="E2544" t="s">
        <v>55</v>
      </c>
      <c r="F2544" t="s">
        <v>4079</v>
      </c>
      <c r="G2544" t="str">
        <f>"20160708652"</f>
        <v>20160708652</v>
      </c>
      <c r="H2544">
        <v>726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30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X2544">
        <v>0</v>
      </c>
      <c r="Y2544">
        <v>756</v>
      </c>
    </row>
    <row r="2545" spans="1:25" x14ac:dyDescent="0.25">
      <c r="H2545" t="s">
        <v>34</v>
      </c>
    </row>
    <row r="2546" spans="1:25" x14ac:dyDescent="0.25">
      <c r="A2546">
        <v>1270</v>
      </c>
      <c r="B2546">
        <v>3017</v>
      </c>
      <c r="C2546" t="s">
        <v>4080</v>
      </c>
      <c r="D2546" t="s">
        <v>4081</v>
      </c>
      <c r="E2546" t="s">
        <v>21</v>
      </c>
      <c r="F2546" t="s">
        <v>4082</v>
      </c>
      <c r="G2546" t="str">
        <f>"00131045"</f>
        <v>00131045</v>
      </c>
      <c r="H2546" t="s">
        <v>2063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50</v>
      </c>
      <c r="O2546">
        <v>30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X2546">
        <v>0</v>
      </c>
      <c r="Y2546" t="s">
        <v>4083</v>
      </c>
    </row>
    <row r="2547" spans="1:25" x14ac:dyDescent="0.25">
      <c r="H2547">
        <v>102</v>
      </c>
    </row>
    <row r="2548" spans="1:25" x14ac:dyDescent="0.25">
      <c r="A2548">
        <v>1271</v>
      </c>
      <c r="B2548">
        <v>3816</v>
      </c>
      <c r="C2548" t="s">
        <v>2470</v>
      </c>
      <c r="D2548" t="s">
        <v>1035</v>
      </c>
      <c r="E2548" t="s">
        <v>21</v>
      </c>
      <c r="F2548" t="s">
        <v>4084</v>
      </c>
      <c r="G2548" t="str">
        <f>"201406000694"</f>
        <v>201406000694</v>
      </c>
      <c r="H2548" t="s">
        <v>1953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70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0</v>
      </c>
      <c r="X2548">
        <v>0</v>
      </c>
      <c r="Y2548" t="s">
        <v>4085</v>
      </c>
    </row>
    <row r="2549" spans="1:25" x14ac:dyDescent="0.25">
      <c r="H2549" t="s">
        <v>4057</v>
      </c>
    </row>
    <row r="2550" spans="1:25" x14ac:dyDescent="0.25">
      <c r="A2550">
        <v>1272</v>
      </c>
      <c r="B2550">
        <v>2100</v>
      </c>
      <c r="C2550" t="s">
        <v>4086</v>
      </c>
      <c r="D2550" t="s">
        <v>854</v>
      </c>
      <c r="E2550" t="s">
        <v>49</v>
      </c>
      <c r="F2550" t="s">
        <v>4087</v>
      </c>
      <c r="G2550" t="str">
        <f>"201506003395"</f>
        <v>201506003395</v>
      </c>
      <c r="H2550" t="s">
        <v>1953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70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0</v>
      </c>
      <c r="X2550">
        <v>2</v>
      </c>
      <c r="Y2550" t="s">
        <v>4085</v>
      </c>
    </row>
    <row r="2551" spans="1:25" x14ac:dyDescent="0.25">
      <c r="H2551" t="s">
        <v>23</v>
      </c>
    </row>
    <row r="2552" spans="1:25" x14ac:dyDescent="0.25">
      <c r="A2552">
        <v>1273</v>
      </c>
      <c r="B2552">
        <v>642</v>
      </c>
      <c r="C2552" t="s">
        <v>4088</v>
      </c>
      <c r="D2552" t="s">
        <v>4089</v>
      </c>
      <c r="E2552" t="s">
        <v>15</v>
      </c>
      <c r="F2552" t="s">
        <v>4090</v>
      </c>
      <c r="G2552" t="str">
        <f>"00014212"</f>
        <v>00014212</v>
      </c>
      <c r="H2552" t="s">
        <v>1466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30</v>
      </c>
      <c r="O2552">
        <v>0</v>
      </c>
      <c r="P2552">
        <v>30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0</v>
      </c>
      <c r="X2552">
        <v>0</v>
      </c>
      <c r="Y2552" t="s">
        <v>4091</v>
      </c>
    </row>
    <row r="2553" spans="1:25" x14ac:dyDescent="0.25">
      <c r="H2553" t="s">
        <v>91</v>
      </c>
    </row>
    <row r="2554" spans="1:25" x14ac:dyDescent="0.25">
      <c r="A2554">
        <v>1274</v>
      </c>
      <c r="B2554">
        <v>2416</v>
      </c>
      <c r="C2554" t="s">
        <v>4092</v>
      </c>
      <c r="D2554" t="s">
        <v>419</v>
      </c>
      <c r="E2554" t="s">
        <v>55</v>
      </c>
      <c r="F2554" t="s">
        <v>4093</v>
      </c>
      <c r="G2554" t="str">
        <f>"00108836"</f>
        <v>00108836</v>
      </c>
      <c r="H2554" t="s">
        <v>1286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30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X2554">
        <v>0</v>
      </c>
      <c r="Y2554" t="s">
        <v>4094</v>
      </c>
    </row>
    <row r="2555" spans="1:25" x14ac:dyDescent="0.25">
      <c r="H2555" t="s">
        <v>118</v>
      </c>
    </row>
    <row r="2556" spans="1:25" x14ac:dyDescent="0.25">
      <c r="A2556">
        <v>1275</v>
      </c>
      <c r="B2556">
        <v>1969</v>
      </c>
      <c r="C2556" t="s">
        <v>4095</v>
      </c>
      <c r="D2556" t="s">
        <v>209</v>
      </c>
      <c r="E2556" t="s">
        <v>4096</v>
      </c>
      <c r="F2556" t="s">
        <v>4097</v>
      </c>
      <c r="G2556" t="str">
        <f>"201304003543"</f>
        <v>201304003543</v>
      </c>
      <c r="H2556" t="s">
        <v>4098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70</v>
      </c>
      <c r="O2556">
        <v>50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0</v>
      </c>
      <c r="X2556">
        <v>0</v>
      </c>
      <c r="Y2556" t="s">
        <v>4099</v>
      </c>
    </row>
    <row r="2557" spans="1:25" x14ac:dyDescent="0.25">
      <c r="H2557" t="s">
        <v>23</v>
      </c>
    </row>
    <row r="2558" spans="1:25" x14ac:dyDescent="0.25">
      <c r="A2558">
        <v>1276</v>
      </c>
      <c r="B2558">
        <v>5351</v>
      </c>
      <c r="C2558" t="s">
        <v>4100</v>
      </c>
      <c r="D2558" t="s">
        <v>87</v>
      </c>
      <c r="E2558" t="s">
        <v>49</v>
      </c>
      <c r="F2558" t="s">
        <v>4101</v>
      </c>
      <c r="G2558" t="str">
        <f>"201405000302"</f>
        <v>201405000302</v>
      </c>
      <c r="H2558" t="s">
        <v>828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30</v>
      </c>
      <c r="O2558">
        <v>0</v>
      </c>
      <c r="P2558">
        <v>50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X2558">
        <v>0</v>
      </c>
      <c r="Y2558" t="s">
        <v>4102</v>
      </c>
    </row>
    <row r="2559" spans="1:25" x14ac:dyDescent="0.25">
      <c r="H2559">
        <v>103</v>
      </c>
    </row>
    <row r="2560" spans="1:25" x14ac:dyDescent="0.25">
      <c r="A2560">
        <v>1277</v>
      </c>
      <c r="B2560">
        <v>4835</v>
      </c>
      <c r="C2560" t="s">
        <v>4103</v>
      </c>
      <c r="D2560" t="s">
        <v>36</v>
      </c>
      <c r="E2560" t="s">
        <v>147</v>
      </c>
      <c r="F2560" t="s">
        <v>4104</v>
      </c>
      <c r="G2560" t="str">
        <f>"201304006537"</f>
        <v>201304006537</v>
      </c>
      <c r="H2560">
        <v>693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30</v>
      </c>
      <c r="O2560">
        <v>30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0</v>
      </c>
      <c r="X2560">
        <v>0</v>
      </c>
      <c r="Y2560">
        <v>753</v>
      </c>
    </row>
    <row r="2561" spans="1:25" x14ac:dyDescent="0.25">
      <c r="H2561">
        <v>101</v>
      </c>
    </row>
    <row r="2562" spans="1:25" x14ac:dyDescent="0.25">
      <c r="A2562">
        <v>1278</v>
      </c>
      <c r="B2562">
        <v>5731</v>
      </c>
      <c r="C2562" t="s">
        <v>4105</v>
      </c>
      <c r="D2562" t="s">
        <v>48</v>
      </c>
      <c r="E2562" t="s">
        <v>1035</v>
      </c>
      <c r="F2562" t="s">
        <v>4106</v>
      </c>
      <c r="G2562" t="str">
        <f>"201405000924"</f>
        <v>201405000924</v>
      </c>
      <c r="H2562">
        <v>693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30</v>
      </c>
      <c r="O2562">
        <v>30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0</v>
      </c>
      <c r="X2562">
        <v>0</v>
      </c>
      <c r="Y2562">
        <v>753</v>
      </c>
    </row>
    <row r="2563" spans="1:25" x14ac:dyDescent="0.25">
      <c r="H2563" t="s">
        <v>23</v>
      </c>
    </row>
    <row r="2564" spans="1:25" x14ac:dyDescent="0.25">
      <c r="A2564">
        <v>1279</v>
      </c>
      <c r="B2564">
        <v>5025</v>
      </c>
      <c r="C2564" t="s">
        <v>4107</v>
      </c>
      <c r="D2564" t="s">
        <v>113</v>
      </c>
      <c r="E2564" t="s">
        <v>99</v>
      </c>
      <c r="F2564" t="s">
        <v>4108</v>
      </c>
      <c r="G2564" t="str">
        <f>"00014659"</f>
        <v>00014659</v>
      </c>
      <c r="H2564" t="s">
        <v>511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30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0</v>
      </c>
      <c r="X2564">
        <v>0</v>
      </c>
      <c r="Y2564" t="s">
        <v>4109</v>
      </c>
    </row>
    <row r="2565" spans="1:25" x14ac:dyDescent="0.25">
      <c r="H2565">
        <v>101</v>
      </c>
    </row>
    <row r="2566" spans="1:25" x14ac:dyDescent="0.25">
      <c r="A2566">
        <v>1280</v>
      </c>
      <c r="B2566">
        <v>5313</v>
      </c>
      <c r="C2566" t="s">
        <v>2222</v>
      </c>
      <c r="D2566" t="s">
        <v>25</v>
      </c>
      <c r="E2566" t="s">
        <v>87</v>
      </c>
      <c r="F2566" t="s">
        <v>4110</v>
      </c>
      <c r="G2566" t="str">
        <f>"201406011148"</f>
        <v>201406011148</v>
      </c>
      <c r="H2566">
        <v>682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70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0</v>
      </c>
      <c r="X2566">
        <v>0</v>
      </c>
      <c r="Y2566">
        <v>752</v>
      </c>
    </row>
    <row r="2567" spans="1:25" x14ac:dyDescent="0.25">
      <c r="H2567">
        <v>101</v>
      </c>
    </row>
    <row r="2568" spans="1:25" x14ac:dyDescent="0.25">
      <c r="A2568">
        <v>1281</v>
      </c>
      <c r="B2568">
        <v>1606</v>
      </c>
      <c r="C2568" t="s">
        <v>4111</v>
      </c>
      <c r="D2568" t="s">
        <v>99</v>
      </c>
      <c r="E2568" t="s">
        <v>130</v>
      </c>
      <c r="F2568" t="s">
        <v>4112</v>
      </c>
      <c r="G2568" t="str">
        <f>"00121901"</f>
        <v>00121901</v>
      </c>
      <c r="H2568" t="s">
        <v>2094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30</v>
      </c>
      <c r="O2568">
        <v>0</v>
      </c>
      <c r="P2568">
        <v>0</v>
      </c>
      <c r="Q2568">
        <v>30</v>
      </c>
      <c r="R2568">
        <v>0</v>
      </c>
      <c r="S2568">
        <v>0</v>
      </c>
      <c r="T2568">
        <v>0</v>
      </c>
      <c r="U2568">
        <v>0</v>
      </c>
      <c r="V2568">
        <v>0</v>
      </c>
      <c r="X2568">
        <v>0</v>
      </c>
      <c r="Y2568" t="s">
        <v>4113</v>
      </c>
    </row>
    <row r="2569" spans="1:25" x14ac:dyDescent="0.25">
      <c r="H2569" t="s">
        <v>23</v>
      </c>
    </row>
    <row r="2570" spans="1:25" x14ac:dyDescent="0.25">
      <c r="A2570">
        <v>1282</v>
      </c>
      <c r="B2570">
        <v>5156</v>
      </c>
      <c r="C2570" t="s">
        <v>4114</v>
      </c>
      <c r="D2570" t="s">
        <v>43</v>
      </c>
      <c r="E2570" t="s">
        <v>200</v>
      </c>
      <c r="F2570" t="s">
        <v>4115</v>
      </c>
      <c r="G2570" t="str">
        <f>"00189661"</f>
        <v>00189661</v>
      </c>
      <c r="H2570" t="s">
        <v>954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50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0</v>
      </c>
      <c r="X2570">
        <v>0</v>
      </c>
      <c r="Y2570" t="s">
        <v>4116</v>
      </c>
    </row>
    <row r="2571" spans="1:25" x14ac:dyDescent="0.25">
      <c r="H2571">
        <v>101</v>
      </c>
    </row>
    <row r="2572" spans="1:25" x14ac:dyDescent="0.25">
      <c r="A2572">
        <v>1283</v>
      </c>
      <c r="B2572">
        <v>879</v>
      </c>
      <c r="C2572" t="s">
        <v>4117</v>
      </c>
      <c r="D2572" t="s">
        <v>598</v>
      </c>
      <c r="E2572" t="s">
        <v>43</v>
      </c>
      <c r="F2572" t="s">
        <v>4118</v>
      </c>
      <c r="G2572" t="str">
        <f>"201402011363"</f>
        <v>201402011363</v>
      </c>
      <c r="H2572" t="s">
        <v>4119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70</v>
      </c>
      <c r="O2572">
        <v>0</v>
      </c>
      <c r="P2572">
        <v>30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X2572">
        <v>1</v>
      </c>
      <c r="Y2572" t="s">
        <v>4120</v>
      </c>
    </row>
    <row r="2573" spans="1:25" x14ac:dyDescent="0.25">
      <c r="H2573" t="s">
        <v>34</v>
      </c>
    </row>
    <row r="2574" spans="1:25" x14ac:dyDescent="0.25">
      <c r="A2574">
        <v>1284</v>
      </c>
      <c r="B2574">
        <v>1859</v>
      </c>
      <c r="C2574" t="s">
        <v>4121</v>
      </c>
      <c r="D2574" t="s">
        <v>1179</v>
      </c>
      <c r="E2574" t="s">
        <v>200</v>
      </c>
      <c r="F2574" t="s">
        <v>4122</v>
      </c>
      <c r="G2574" t="str">
        <f>"00206901"</f>
        <v>00206901</v>
      </c>
      <c r="H2574" t="s">
        <v>1397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70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X2574">
        <v>0</v>
      </c>
      <c r="Y2574" t="s">
        <v>4123</v>
      </c>
    </row>
    <row r="2575" spans="1:25" x14ac:dyDescent="0.25">
      <c r="H2575" t="s">
        <v>91</v>
      </c>
    </row>
    <row r="2576" spans="1:25" x14ac:dyDescent="0.25">
      <c r="A2576">
        <v>1285</v>
      </c>
      <c r="B2576">
        <v>4436</v>
      </c>
      <c r="C2576" t="s">
        <v>2002</v>
      </c>
      <c r="D2576" t="s">
        <v>113</v>
      </c>
      <c r="E2576" t="s">
        <v>55</v>
      </c>
      <c r="F2576" t="s">
        <v>4124</v>
      </c>
      <c r="G2576" t="str">
        <f>"00130958"</f>
        <v>00130958</v>
      </c>
      <c r="H2576" t="s">
        <v>636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30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0</v>
      </c>
      <c r="X2576">
        <v>0</v>
      </c>
      <c r="Y2576" t="s">
        <v>4125</v>
      </c>
    </row>
    <row r="2577" spans="1:25" x14ac:dyDescent="0.25">
      <c r="H2577" t="s">
        <v>34</v>
      </c>
    </row>
    <row r="2578" spans="1:25" x14ac:dyDescent="0.25">
      <c r="A2578">
        <v>1286</v>
      </c>
      <c r="B2578">
        <v>720</v>
      </c>
      <c r="C2578" t="s">
        <v>2015</v>
      </c>
      <c r="D2578" t="s">
        <v>1241</v>
      </c>
      <c r="E2578" t="s">
        <v>87</v>
      </c>
      <c r="F2578" t="s">
        <v>4126</v>
      </c>
      <c r="G2578" t="str">
        <f>"201406011367"</f>
        <v>201406011367</v>
      </c>
      <c r="H2578" t="s">
        <v>1317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70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X2578">
        <v>0</v>
      </c>
      <c r="Y2578" t="s">
        <v>4127</v>
      </c>
    </row>
    <row r="2579" spans="1:25" x14ac:dyDescent="0.25">
      <c r="H2579" t="s">
        <v>34</v>
      </c>
    </row>
    <row r="2580" spans="1:25" x14ac:dyDescent="0.25">
      <c r="A2580">
        <v>1287</v>
      </c>
      <c r="B2580">
        <v>37</v>
      </c>
      <c r="C2580" t="s">
        <v>4128</v>
      </c>
      <c r="D2580" t="s">
        <v>3205</v>
      </c>
      <c r="E2580" t="s">
        <v>99</v>
      </c>
      <c r="F2580" t="s">
        <v>4129</v>
      </c>
      <c r="G2580" t="str">
        <f>"200801001243"</f>
        <v>200801001243</v>
      </c>
      <c r="H2580">
        <v>649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30</v>
      </c>
      <c r="O2580">
        <v>0</v>
      </c>
      <c r="P2580">
        <v>70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0</v>
      </c>
      <c r="X2580">
        <v>0</v>
      </c>
      <c r="Y2580">
        <v>749</v>
      </c>
    </row>
    <row r="2581" spans="1:25" x14ac:dyDescent="0.25">
      <c r="H2581" t="s">
        <v>91</v>
      </c>
    </row>
    <row r="2582" spans="1:25" x14ac:dyDescent="0.25">
      <c r="A2582">
        <v>1288</v>
      </c>
      <c r="B2582">
        <v>5083</v>
      </c>
      <c r="C2582" t="s">
        <v>15</v>
      </c>
      <c r="D2582" t="s">
        <v>685</v>
      </c>
      <c r="E2582" t="s">
        <v>4130</v>
      </c>
      <c r="F2582" t="s">
        <v>4131</v>
      </c>
      <c r="G2582" t="str">
        <f>"00130148"</f>
        <v>00130148</v>
      </c>
      <c r="H2582" t="s">
        <v>3862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70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X2582">
        <v>0</v>
      </c>
      <c r="Y2582" t="s">
        <v>4132</v>
      </c>
    </row>
    <row r="2583" spans="1:25" x14ac:dyDescent="0.25">
      <c r="H2583" t="s">
        <v>34</v>
      </c>
    </row>
    <row r="2584" spans="1:25" x14ac:dyDescent="0.25">
      <c r="A2584">
        <v>1289</v>
      </c>
      <c r="B2584">
        <v>557</v>
      </c>
      <c r="C2584" t="s">
        <v>1102</v>
      </c>
      <c r="D2584" t="s">
        <v>2421</v>
      </c>
      <c r="E2584" t="s">
        <v>49</v>
      </c>
      <c r="F2584" t="s">
        <v>4133</v>
      </c>
      <c r="G2584" t="str">
        <f>"00012794"</f>
        <v>00012794</v>
      </c>
      <c r="H2584" t="s">
        <v>3862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70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X2584">
        <v>0</v>
      </c>
      <c r="Y2584" t="s">
        <v>4132</v>
      </c>
    </row>
    <row r="2585" spans="1:25" x14ac:dyDescent="0.25">
      <c r="H2585" t="s">
        <v>23</v>
      </c>
    </row>
    <row r="2586" spans="1:25" x14ac:dyDescent="0.25">
      <c r="A2586">
        <v>1290</v>
      </c>
      <c r="B2586">
        <v>5254</v>
      </c>
      <c r="C2586" t="s">
        <v>4134</v>
      </c>
      <c r="D2586" t="s">
        <v>2615</v>
      </c>
      <c r="E2586" t="s">
        <v>1035</v>
      </c>
      <c r="F2586" t="s">
        <v>4135</v>
      </c>
      <c r="G2586" t="str">
        <f>"201511030651"</f>
        <v>201511030651</v>
      </c>
      <c r="H2586" t="s">
        <v>1337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30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X2586">
        <v>0</v>
      </c>
      <c r="Y2586" t="s">
        <v>4136</v>
      </c>
    </row>
    <row r="2587" spans="1:25" x14ac:dyDescent="0.25">
      <c r="H2587" t="s">
        <v>3709</v>
      </c>
    </row>
    <row r="2588" spans="1:25" x14ac:dyDescent="0.25">
      <c r="A2588">
        <v>1291</v>
      </c>
      <c r="B2588">
        <v>6147</v>
      </c>
      <c r="C2588" t="s">
        <v>4137</v>
      </c>
      <c r="D2588" t="s">
        <v>4138</v>
      </c>
      <c r="E2588" t="s">
        <v>87</v>
      </c>
      <c r="F2588" t="s">
        <v>4139</v>
      </c>
      <c r="G2588" t="str">
        <f>"00123360"</f>
        <v>00123360</v>
      </c>
      <c r="H2588" t="s">
        <v>1747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70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X2588">
        <v>0</v>
      </c>
      <c r="Y2588" t="s">
        <v>4140</v>
      </c>
    </row>
    <row r="2589" spans="1:25" x14ac:dyDescent="0.25">
      <c r="H2589" t="s">
        <v>23</v>
      </c>
    </row>
    <row r="2590" spans="1:25" x14ac:dyDescent="0.25">
      <c r="A2590">
        <v>1292</v>
      </c>
      <c r="B2590">
        <v>1084</v>
      </c>
      <c r="C2590" t="s">
        <v>4141</v>
      </c>
      <c r="D2590" t="s">
        <v>217</v>
      </c>
      <c r="E2590" t="s">
        <v>43</v>
      </c>
      <c r="F2590" t="s">
        <v>4142</v>
      </c>
      <c r="G2590" t="str">
        <f>"201406009525"</f>
        <v>201406009525</v>
      </c>
      <c r="H2590" t="s">
        <v>1438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30</v>
      </c>
      <c r="O2590">
        <v>0</v>
      </c>
      <c r="P2590">
        <v>50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0</v>
      </c>
      <c r="X2590">
        <v>0</v>
      </c>
      <c r="Y2590" t="s">
        <v>4143</v>
      </c>
    </row>
    <row r="2591" spans="1:25" x14ac:dyDescent="0.25">
      <c r="H2591" t="s">
        <v>23</v>
      </c>
    </row>
    <row r="2592" spans="1:25" x14ac:dyDescent="0.25">
      <c r="A2592">
        <v>1293</v>
      </c>
      <c r="B2592">
        <v>5472</v>
      </c>
      <c r="C2592" t="s">
        <v>4144</v>
      </c>
      <c r="D2592" t="s">
        <v>15</v>
      </c>
      <c r="E2592" t="s">
        <v>4145</v>
      </c>
      <c r="F2592" t="s">
        <v>4146</v>
      </c>
      <c r="G2592" t="str">
        <f>"201506002534"</f>
        <v>201506002534</v>
      </c>
      <c r="H2592" t="s">
        <v>2409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70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X2592">
        <v>0</v>
      </c>
      <c r="Y2592" t="s">
        <v>4147</v>
      </c>
    </row>
    <row r="2593" spans="1:25" x14ac:dyDescent="0.25">
      <c r="H2593" t="s">
        <v>118</v>
      </c>
    </row>
    <row r="2594" spans="1:25" x14ac:dyDescent="0.25">
      <c r="A2594">
        <v>1294</v>
      </c>
      <c r="B2594">
        <v>6464</v>
      </c>
      <c r="C2594" t="s">
        <v>4148</v>
      </c>
      <c r="D2594" t="s">
        <v>501</v>
      </c>
      <c r="E2594" t="s">
        <v>55</v>
      </c>
      <c r="F2594" t="s">
        <v>4149</v>
      </c>
      <c r="G2594" t="str">
        <f>"00128978"</f>
        <v>00128978</v>
      </c>
      <c r="H2594" t="s">
        <v>2409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70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X2594">
        <v>0</v>
      </c>
      <c r="Y2594" t="s">
        <v>4147</v>
      </c>
    </row>
    <row r="2595" spans="1:25" x14ac:dyDescent="0.25">
      <c r="H2595" t="s">
        <v>23</v>
      </c>
    </row>
    <row r="2596" spans="1:25" x14ac:dyDescent="0.25">
      <c r="A2596">
        <v>1295</v>
      </c>
      <c r="B2596">
        <v>2010</v>
      </c>
      <c r="C2596" t="s">
        <v>4150</v>
      </c>
      <c r="D2596" t="s">
        <v>571</v>
      </c>
      <c r="E2596" t="s">
        <v>200</v>
      </c>
      <c r="F2596" t="s">
        <v>4151</v>
      </c>
      <c r="G2596" t="str">
        <f>"00121226"</f>
        <v>00121226</v>
      </c>
      <c r="H2596" t="s">
        <v>2143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30</v>
      </c>
      <c r="O2596">
        <v>0</v>
      </c>
      <c r="P2596">
        <v>0</v>
      </c>
      <c r="Q2596">
        <v>30</v>
      </c>
      <c r="R2596">
        <v>0</v>
      </c>
      <c r="S2596">
        <v>0</v>
      </c>
      <c r="T2596">
        <v>0</v>
      </c>
      <c r="U2596">
        <v>0</v>
      </c>
      <c r="V2596">
        <v>0</v>
      </c>
      <c r="X2596">
        <v>0</v>
      </c>
      <c r="Y2596" t="s">
        <v>4152</v>
      </c>
    </row>
    <row r="2597" spans="1:25" x14ac:dyDescent="0.25">
      <c r="H2597" t="s">
        <v>118</v>
      </c>
    </row>
    <row r="2598" spans="1:25" x14ac:dyDescent="0.25">
      <c r="A2598">
        <v>1296</v>
      </c>
      <c r="B2598">
        <v>5684</v>
      </c>
      <c r="C2598" t="s">
        <v>4153</v>
      </c>
      <c r="D2598" t="s">
        <v>1030</v>
      </c>
      <c r="E2598" t="s">
        <v>184</v>
      </c>
      <c r="F2598" t="s">
        <v>4154</v>
      </c>
      <c r="G2598" t="str">
        <f>"00201904"</f>
        <v>00201904</v>
      </c>
      <c r="H2598" t="s">
        <v>1089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30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0</v>
      </c>
      <c r="X2598">
        <v>0</v>
      </c>
      <c r="Y2598" t="s">
        <v>4155</v>
      </c>
    </row>
    <row r="2599" spans="1:25" x14ac:dyDescent="0.25">
      <c r="H2599" t="s">
        <v>23</v>
      </c>
    </row>
    <row r="2600" spans="1:25" x14ac:dyDescent="0.25">
      <c r="A2600">
        <v>1297</v>
      </c>
      <c r="B2600">
        <v>5948</v>
      </c>
      <c r="C2600" t="s">
        <v>4156</v>
      </c>
      <c r="D2600" t="s">
        <v>48</v>
      </c>
      <c r="E2600" t="s">
        <v>21</v>
      </c>
      <c r="F2600" t="s">
        <v>4157</v>
      </c>
      <c r="G2600" t="str">
        <f>"00011855"</f>
        <v>00011855</v>
      </c>
      <c r="H2600" t="s">
        <v>1672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50</v>
      </c>
      <c r="O2600">
        <v>30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0</v>
      </c>
      <c r="X2600">
        <v>0</v>
      </c>
      <c r="Y2600" t="s">
        <v>4158</v>
      </c>
    </row>
    <row r="2601" spans="1:25" x14ac:dyDescent="0.25">
      <c r="H2601" t="s">
        <v>34</v>
      </c>
    </row>
    <row r="2602" spans="1:25" x14ac:dyDescent="0.25">
      <c r="A2602">
        <v>1298</v>
      </c>
      <c r="B2602">
        <v>1572</v>
      </c>
      <c r="C2602" t="s">
        <v>3186</v>
      </c>
      <c r="D2602" t="s">
        <v>805</v>
      </c>
      <c r="E2602" t="s">
        <v>429</v>
      </c>
      <c r="F2602" t="s">
        <v>4159</v>
      </c>
      <c r="G2602" t="str">
        <f>"00125333"</f>
        <v>00125333</v>
      </c>
      <c r="H2602">
        <v>715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X2602">
        <v>1</v>
      </c>
      <c r="Y2602">
        <v>745</v>
      </c>
    </row>
    <row r="2603" spans="1:25" x14ac:dyDescent="0.25">
      <c r="H2603" t="s">
        <v>53</v>
      </c>
    </row>
    <row r="2604" spans="1:25" x14ac:dyDescent="0.25">
      <c r="A2604">
        <v>1299</v>
      </c>
      <c r="B2604">
        <v>5963</v>
      </c>
      <c r="C2604" t="s">
        <v>2222</v>
      </c>
      <c r="D2604" t="s">
        <v>1335</v>
      </c>
      <c r="E2604" t="s">
        <v>1035</v>
      </c>
      <c r="F2604" t="s">
        <v>4160</v>
      </c>
      <c r="G2604" t="str">
        <f>"00114490"</f>
        <v>00114490</v>
      </c>
      <c r="H2604" t="s">
        <v>2336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70</v>
      </c>
      <c r="O2604">
        <v>30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0</v>
      </c>
      <c r="X2604">
        <v>0</v>
      </c>
      <c r="Y2604" t="s">
        <v>4161</v>
      </c>
    </row>
    <row r="2605" spans="1:25" x14ac:dyDescent="0.25">
      <c r="H2605">
        <v>101</v>
      </c>
    </row>
    <row r="2606" spans="1:25" x14ac:dyDescent="0.25">
      <c r="A2606">
        <v>1300</v>
      </c>
      <c r="B2606">
        <v>4209</v>
      </c>
      <c r="C2606" t="s">
        <v>4162</v>
      </c>
      <c r="D2606" t="s">
        <v>48</v>
      </c>
      <c r="E2606" t="s">
        <v>147</v>
      </c>
      <c r="F2606" t="s">
        <v>4163</v>
      </c>
      <c r="G2606" t="str">
        <f>"00118919"</f>
        <v>00118919</v>
      </c>
      <c r="H2606" t="s">
        <v>1698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30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X2606">
        <v>0</v>
      </c>
      <c r="Y2606" t="s">
        <v>4164</v>
      </c>
    </row>
    <row r="2607" spans="1:25" x14ac:dyDescent="0.25">
      <c r="H2607" t="s">
        <v>91</v>
      </c>
    </row>
    <row r="2608" spans="1:25" x14ac:dyDescent="0.25">
      <c r="A2608">
        <v>1301</v>
      </c>
      <c r="B2608">
        <v>706</v>
      </c>
      <c r="C2608" t="s">
        <v>4165</v>
      </c>
      <c r="D2608" t="s">
        <v>322</v>
      </c>
      <c r="E2608" t="s">
        <v>49</v>
      </c>
      <c r="F2608" t="s">
        <v>4166</v>
      </c>
      <c r="G2608" t="str">
        <f>"00012109"</f>
        <v>00012109</v>
      </c>
      <c r="H2608" t="s">
        <v>2935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50</v>
      </c>
      <c r="O2608">
        <v>70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0</v>
      </c>
      <c r="X2608">
        <v>0</v>
      </c>
      <c r="Y2608" t="s">
        <v>4167</v>
      </c>
    </row>
    <row r="2609" spans="1:25" x14ac:dyDescent="0.25">
      <c r="H2609" t="s">
        <v>213</v>
      </c>
    </row>
    <row r="2610" spans="1:25" x14ac:dyDescent="0.25">
      <c r="A2610">
        <v>1302</v>
      </c>
      <c r="B2610">
        <v>657</v>
      </c>
      <c r="C2610" t="s">
        <v>4168</v>
      </c>
      <c r="D2610" t="s">
        <v>509</v>
      </c>
      <c r="E2610" t="s">
        <v>184</v>
      </c>
      <c r="F2610" t="s">
        <v>4169</v>
      </c>
      <c r="G2610" t="str">
        <f>"00012043"</f>
        <v>00012043</v>
      </c>
      <c r="H2610">
        <v>693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50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0</v>
      </c>
      <c r="X2610">
        <v>2</v>
      </c>
      <c r="Y2610">
        <v>743</v>
      </c>
    </row>
    <row r="2611" spans="1:25" x14ac:dyDescent="0.25">
      <c r="H2611" t="s">
        <v>23</v>
      </c>
    </row>
    <row r="2612" spans="1:25" x14ac:dyDescent="0.25">
      <c r="A2612">
        <v>1303</v>
      </c>
      <c r="B2612">
        <v>6271</v>
      </c>
      <c r="C2612" t="s">
        <v>4170</v>
      </c>
      <c r="D2612" t="s">
        <v>4171</v>
      </c>
      <c r="E2612" t="s">
        <v>61</v>
      </c>
      <c r="F2612" t="s">
        <v>4172</v>
      </c>
      <c r="G2612" t="str">
        <f>"00176214"</f>
        <v>00176214</v>
      </c>
      <c r="H2612" t="s">
        <v>1492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30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X2612">
        <v>0</v>
      </c>
      <c r="Y2612" t="s">
        <v>4173</v>
      </c>
    </row>
    <row r="2613" spans="1:25" x14ac:dyDescent="0.25">
      <c r="H2613">
        <v>102</v>
      </c>
    </row>
    <row r="2614" spans="1:25" x14ac:dyDescent="0.25">
      <c r="A2614">
        <v>1304</v>
      </c>
      <c r="B2614">
        <v>1809</v>
      </c>
      <c r="C2614" t="s">
        <v>3588</v>
      </c>
      <c r="D2614" t="s">
        <v>20</v>
      </c>
      <c r="E2614" t="s">
        <v>61</v>
      </c>
      <c r="F2614" t="s">
        <v>4174</v>
      </c>
      <c r="G2614" t="str">
        <f>"201304000373"</f>
        <v>201304000373</v>
      </c>
      <c r="H2614" t="s">
        <v>1492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30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0</v>
      </c>
      <c r="X2614">
        <v>0</v>
      </c>
      <c r="Y2614" t="s">
        <v>4173</v>
      </c>
    </row>
    <row r="2615" spans="1:25" x14ac:dyDescent="0.25">
      <c r="H2615" t="s">
        <v>91</v>
      </c>
    </row>
    <row r="2616" spans="1:25" x14ac:dyDescent="0.25">
      <c r="A2616">
        <v>1305</v>
      </c>
      <c r="B2616">
        <v>5292</v>
      </c>
      <c r="C2616" t="s">
        <v>4175</v>
      </c>
      <c r="D2616" t="s">
        <v>49</v>
      </c>
      <c r="E2616" t="s">
        <v>2030</v>
      </c>
      <c r="F2616" t="s">
        <v>4176</v>
      </c>
      <c r="G2616" t="str">
        <f>"201406009117"</f>
        <v>201406009117</v>
      </c>
      <c r="H2616" t="s">
        <v>2250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70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0</v>
      </c>
      <c r="X2616">
        <v>0</v>
      </c>
      <c r="Y2616" t="s">
        <v>4177</v>
      </c>
    </row>
    <row r="2617" spans="1:25" x14ac:dyDescent="0.25">
      <c r="H2617" t="s">
        <v>118</v>
      </c>
    </row>
    <row r="2618" spans="1:25" x14ac:dyDescent="0.25">
      <c r="A2618">
        <v>1306</v>
      </c>
      <c r="B2618">
        <v>3682</v>
      </c>
      <c r="C2618" t="s">
        <v>4178</v>
      </c>
      <c r="D2618" t="s">
        <v>245</v>
      </c>
      <c r="E2618" t="s">
        <v>419</v>
      </c>
      <c r="F2618" t="s">
        <v>4179</v>
      </c>
      <c r="G2618" t="str">
        <f>"00013490"</f>
        <v>00013490</v>
      </c>
      <c r="H2618" t="s">
        <v>2877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30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0</v>
      </c>
      <c r="X2618">
        <v>2</v>
      </c>
      <c r="Y2618" t="s">
        <v>4180</v>
      </c>
    </row>
    <row r="2619" spans="1:25" x14ac:dyDescent="0.25">
      <c r="H2619" t="s">
        <v>23</v>
      </c>
    </row>
    <row r="2620" spans="1:25" x14ac:dyDescent="0.25">
      <c r="A2620">
        <v>1307</v>
      </c>
      <c r="B2620">
        <v>5536</v>
      </c>
      <c r="C2620" t="s">
        <v>4181</v>
      </c>
      <c r="D2620" t="s">
        <v>21</v>
      </c>
      <c r="E2620" t="s">
        <v>65</v>
      </c>
      <c r="F2620" t="s">
        <v>4182</v>
      </c>
      <c r="G2620" t="str">
        <f>"00201335"</f>
        <v>00201335</v>
      </c>
      <c r="H2620">
        <v>671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70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0</v>
      </c>
      <c r="X2620">
        <v>0</v>
      </c>
      <c r="Y2620">
        <v>741</v>
      </c>
    </row>
    <row r="2621" spans="1:25" x14ac:dyDescent="0.25">
      <c r="H2621">
        <v>101</v>
      </c>
    </row>
    <row r="2622" spans="1:25" x14ac:dyDescent="0.25">
      <c r="A2622">
        <v>1308</v>
      </c>
      <c r="B2622">
        <v>1073</v>
      </c>
      <c r="C2622" t="s">
        <v>4183</v>
      </c>
      <c r="D2622" t="s">
        <v>1752</v>
      </c>
      <c r="E2622" t="s">
        <v>3322</v>
      </c>
      <c r="F2622" t="s">
        <v>4184</v>
      </c>
      <c r="G2622" t="str">
        <f>"00119215"</f>
        <v>00119215</v>
      </c>
      <c r="H2622" t="s">
        <v>3549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50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0</v>
      </c>
      <c r="X2622">
        <v>0</v>
      </c>
      <c r="Y2622" t="s">
        <v>4185</v>
      </c>
    </row>
    <row r="2623" spans="1:25" x14ac:dyDescent="0.25">
      <c r="H2623">
        <v>101</v>
      </c>
    </row>
    <row r="2624" spans="1:25" x14ac:dyDescent="0.25">
      <c r="A2624">
        <v>1309</v>
      </c>
      <c r="B2624">
        <v>5671</v>
      </c>
      <c r="C2624" t="s">
        <v>4186</v>
      </c>
      <c r="D2624" t="s">
        <v>4187</v>
      </c>
      <c r="E2624" t="s">
        <v>303</v>
      </c>
      <c r="F2624" t="s">
        <v>4188</v>
      </c>
      <c r="G2624" t="str">
        <f>"00072785"</f>
        <v>00072785</v>
      </c>
      <c r="H2624" t="s">
        <v>2109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30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0</v>
      </c>
      <c r="X2624">
        <v>2</v>
      </c>
      <c r="Y2624" t="s">
        <v>4189</v>
      </c>
    </row>
    <row r="2625" spans="1:25" x14ac:dyDescent="0.25">
      <c r="H2625">
        <v>101</v>
      </c>
    </row>
    <row r="2626" spans="1:25" x14ac:dyDescent="0.25">
      <c r="A2626">
        <v>1310</v>
      </c>
      <c r="B2626">
        <v>5513</v>
      </c>
      <c r="C2626" t="s">
        <v>4190</v>
      </c>
      <c r="D2626" t="s">
        <v>322</v>
      </c>
      <c r="E2626" t="s">
        <v>291</v>
      </c>
      <c r="F2626" t="s">
        <v>4191</v>
      </c>
      <c r="G2626" t="str">
        <f>"00199794"</f>
        <v>00199794</v>
      </c>
      <c r="H2626" t="s">
        <v>2109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30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0</v>
      </c>
      <c r="X2626">
        <v>0</v>
      </c>
      <c r="Y2626" t="s">
        <v>4189</v>
      </c>
    </row>
    <row r="2627" spans="1:25" x14ac:dyDescent="0.25">
      <c r="H2627" t="s">
        <v>118</v>
      </c>
    </row>
    <row r="2628" spans="1:25" x14ac:dyDescent="0.25">
      <c r="A2628">
        <v>1311</v>
      </c>
      <c r="B2628">
        <v>2682</v>
      </c>
      <c r="C2628" t="s">
        <v>4192</v>
      </c>
      <c r="D2628" t="s">
        <v>2106</v>
      </c>
      <c r="E2628" t="s">
        <v>1257</v>
      </c>
      <c r="F2628" t="s">
        <v>4193</v>
      </c>
      <c r="G2628" t="str">
        <f>"00198164"</f>
        <v>00198164</v>
      </c>
      <c r="H2628" t="s">
        <v>2109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30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0</v>
      </c>
      <c r="X2628">
        <v>0</v>
      </c>
      <c r="Y2628" t="s">
        <v>4189</v>
      </c>
    </row>
    <row r="2629" spans="1:25" x14ac:dyDescent="0.25">
      <c r="H2629" t="s">
        <v>34</v>
      </c>
    </row>
    <row r="2630" spans="1:25" x14ac:dyDescent="0.25">
      <c r="A2630">
        <v>1312</v>
      </c>
      <c r="B2630">
        <v>4930</v>
      </c>
      <c r="C2630" t="s">
        <v>3750</v>
      </c>
      <c r="D2630" t="s">
        <v>2202</v>
      </c>
      <c r="E2630" t="s">
        <v>55</v>
      </c>
      <c r="F2630" t="s">
        <v>4194</v>
      </c>
      <c r="G2630" t="str">
        <f>"00112415"</f>
        <v>00112415</v>
      </c>
      <c r="H2630" t="s">
        <v>2272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70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0</v>
      </c>
      <c r="X2630">
        <v>0</v>
      </c>
      <c r="Y2630" t="s">
        <v>4195</v>
      </c>
    </row>
    <row r="2631" spans="1:25" x14ac:dyDescent="0.25">
      <c r="H2631" t="s">
        <v>213</v>
      </c>
    </row>
    <row r="2632" spans="1:25" x14ac:dyDescent="0.25">
      <c r="A2632">
        <v>1313</v>
      </c>
      <c r="B2632">
        <v>4031</v>
      </c>
      <c r="C2632" t="s">
        <v>920</v>
      </c>
      <c r="D2632" t="s">
        <v>36</v>
      </c>
      <c r="E2632" t="s">
        <v>4196</v>
      </c>
      <c r="F2632" t="s">
        <v>4197</v>
      </c>
      <c r="G2632" t="str">
        <f>"00130310"</f>
        <v>00130310</v>
      </c>
      <c r="H2632" t="s">
        <v>2272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70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X2632">
        <v>0</v>
      </c>
      <c r="Y2632" t="s">
        <v>4195</v>
      </c>
    </row>
    <row r="2633" spans="1:25" x14ac:dyDescent="0.25">
      <c r="H2633" t="s">
        <v>53</v>
      </c>
    </row>
    <row r="2634" spans="1:25" x14ac:dyDescent="0.25">
      <c r="A2634">
        <v>1314</v>
      </c>
      <c r="B2634">
        <v>1257</v>
      </c>
      <c r="C2634" t="s">
        <v>4198</v>
      </c>
      <c r="D2634" t="s">
        <v>895</v>
      </c>
      <c r="E2634" t="s">
        <v>49</v>
      </c>
      <c r="F2634" t="s">
        <v>4199</v>
      </c>
      <c r="G2634" t="str">
        <f>"00209537"</f>
        <v>00209537</v>
      </c>
      <c r="H2634" t="s">
        <v>1317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30</v>
      </c>
      <c r="O2634">
        <v>30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0</v>
      </c>
      <c r="X2634">
        <v>0</v>
      </c>
      <c r="Y2634" t="s">
        <v>4200</v>
      </c>
    </row>
    <row r="2635" spans="1:25" x14ac:dyDescent="0.25">
      <c r="H2635" t="s">
        <v>23</v>
      </c>
    </row>
    <row r="2636" spans="1:25" x14ac:dyDescent="0.25">
      <c r="A2636">
        <v>1315</v>
      </c>
      <c r="B2636">
        <v>1233</v>
      </c>
      <c r="C2636" t="s">
        <v>4201</v>
      </c>
      <c r="D2636" t="s">
        <v>2980</v>
      </c>
      <c r="E2636" t="s">
        <v>4202</v>
      </c>
      <c r="F2636" t="s">
        <v>4203</v>
      </c>
      <c r="G2636" t="str">
        <f>"00113626"</f>
        <v>00113626</v>
      </c>
      <c r="H2636" t="s">
        <v>2007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50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0</v>
      </c>
      <c r="X2636">
        <v>1</v>
      </c>
      <c r="Y2636" t="s">
        <v>4204</v>
      </c>
    </row>
    <row r="2637" spans="1:25" x14ac:dyDescent="0.25">
      <c r="H2637" t="s">
        <v>34</v>
      </c>
    </row>
    <row r="2638" spans="1:25" x14ac:dyDescent="0.25">
      <c r="A2638">
        <v>1316</v>
      </c>
      <c r="B2638">
        <v>1391</v>
      </c>
      <c r="C2638" t="s">
        <v>4205</v>
      </c>
      <c r="D2638" t="s">
        <v>4206</v>
      </c>
      <c r="E2638" t="s">
        <v>43</v>
      </c>
      <c r="F2638" t="s">
        <v>4207</v>
      </c>
      <c r="G2638" t="str">
        <f>"201506000500"</f>
        <v>201506000500</v>
      </c>
      <c r="H2638" t="s">
        <v>2458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70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0</v>
      </c>
      <c r="X2638">
        <v>0</v>
      </c>
      <c r="Y2638" t="s">
        <v>4208</v>
      </c>
    </row>
    <row r="2639" spans="1:25" x14ac:dyDescent="0.25">
      <c r="H2639" t="s">
        <v>53</v>
      </c>
    </row>
    <row r="2640" spans="1:25" x14ac:dyDescent="0.25">
      <c r="A2640">
        <v>1317</v>
      </c>
      <c r="B2640">
        <v>3983</v>
      </c>
      <c r="C2640" t="s">
        <v>4209</v>
      </c>
      <c r="D2640" t="s">
        <v>55</v>
      </c>
      <c r="E2640" t="s">
        <v>1257</v>
      </c>
      <c r="F2640" t="s">
        <v>4210</v>
      </c>
      <c r="G2640" t="str">
        <f>"00111479"</f>
        <v>00111479</v>
      </c>
      <c r="H2640" t="s">
        <v>1734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30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0</v>
      </c>
      <c r="X2640">
        <v>0</v>
      </c>
      <c r="Y2640" t="s">
        <v>4211</v>
      </c>
    </row>
    <row r="2641" spans="1:25" x14ac:dyDescent="0.25">
      <c r="H2641" t="s">
        <v>23</v>
      </c>
    </row>
    <row r="2642" spans="1:25" x14ac:dyDescent="0.25">
      <c r="A2642">
        <v>1318</v>
      </c>
      <c r="B2642">
        <v>22</v>
      </c>
      <c r="C2642" t="s">
        <v>4212</v>
      </c>
      <c r="D2642" t="s">
        <v>113</v>
      </c>
      <c r="E2642" t="s">
        <v>21</v>
      </c>
      <c r="F2642" t="s">
        <v>4213</v>
      </c>
      <c r="G2642" t="str">
        <f>"201411002368"</f>
        <v>201411002368</v>
      </c>
      <c r="H2642" t="s">
        <v>980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X2642">
        <v>0</v>
      </c>
      <c r="Y2642" t="s">
        <v>980</v>
      </c>
    </row>
    <row r="2643" spans="1:25" x14ac:dyDescent="0.25">
      <c r="H2643">
        <v>101</v>
      </c>
    </row>
    <row r="2644" spans="1:25" x14ac:dyDescent="0.25">
      <c r="A2644">
        <v>1319</v>
      </c>
      <c r="B2644">
        <v>972</v>
      </c>
      <c r="C2644" t="s">
        <v>657</v>
      </c>
      <c r="D2644" t="s">
        <v>65</v>
      </c>
      <c r="E2644" t="s">
        <v>55</v>
      </c>
      <c r="F2644" t="s">
        <v>4214</v>
      </c>
      <c r="G2644" t="str">
        <f>"00011129"</f>
        <v>00011129</v>
      </c>
      <c r="H2644" t="s">
        <v>980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0</v>
      </c>
      <c r="X2644">
        <v>0</v>
      </c>
      <c r="Y2644" t="s">
        <v>980</v>
      </c>
    </row>
    <row r="2645" spans="1:25" x14ac:dyDescent="0.25">
      <c r="H2645" t="s">
        <v>23</v>
      </c>
    </row>
    <row r="2646" spans="1:25" x14ac:dyDescent="0.25">
      <c r="A2646">
        <v>1320</v>
      </c>
      <c r="B2646">
        <v>5211</v>
      </c>
      <c r="C2646" t="s">
        <v>4215</v>
      </c>
      <c r="D2646" t="s">
        <v>4216</v>
      </c>
      <c r="E2646" t="s">
        <v>377</v>
      </c>
      <c r="F2646" t="s">
        <v>4217</v>
      </c>
      <c r="G2646" t="str">
        <f>"201506001024"</f>
        <v>201506001024</v>
      </c>
      <c r="H2646" t="s">
        <v>2292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70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0</v>
      </c>
      <c r="X2646">
        <v>0</v>
      </c>
      <c r="Y2646" t="s">
        <v>4218</v>
      </c>
    </row>
    <row r="2647" spans="1:25" x14ac:dyDescent="0.25">
      <c r="H2647" t="s">
        <v>53</v>
      </c>
    </row>
    <row r="2648" spans="1:25" x14ac:dyDescent="0.25">
      <c r="A2648">
        <v>1321</v>
      </c>
      <c r="B2648">
        <v>1956</v>
      </c>
      <c r="C2648" t="s">
        <v>1763</v>
      </c>
      <c r="D2648" t="s">
        <v>1030</v>
      </c>
      <c r="E2648" t="s">
        <v>21</v>
      </c>
      <c r="F2648" t="s">
        <v>4219</v>
      </c>
      <c r="G2648" t="str">
        <f>"201304001237"</f>
        <v>201304001237</v>
      </c>
      <c r="H2648" t="s">
        <v>2292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70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0</v>
      </c>
      <c r="X2648">
        <v>0</v>
      </c>
      <c r="Y2648" t="s">
        <v>4218</v>
      </c>
    </row>
    <row r="2649" spans="1:25" x14ac:dyDescent="0.25">
      <c r="H2649" t="s">
        <v>53</v>
      </c>
    </row>
    <row r="2650" spans="1:25" x14ac:dyDescent="0.25">
      <c r="A2650">
        <v>1322</v>
      </c>
      <c r="B2650">
        <v>3026</v>
      </c>
      <c r="C2650" t="s">
        <v>4220</v>
      </c>
      <c r="D2650" t="s">
        <v>4221</v>
      </c>
      <c r="E2650" t="s">
        <v>21</v>
      </c>
      <c r="F2650" t="s">
        <v>4222</v>
      </c>
      <c r="G2650" t="str">
        <f>"201304001391"</f>
        <v>201304001391</v>
      </c>
      <c r="H2650" t="s">
        <v>1438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70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X2650">
        <v>0</v>
      </c>
      <c r="Y2650" t="s">
        <v>4223</v>
      </c>
    </row>
    <row r="2651" spans="1:25" x14ac:dyDescent="0.25">
      <c r="H2651">
        <v>101</v>
      </c>
    </row>
    <row r="2652" spans="1:25" x14ac:dyDescent="0.25">
      <c r="A2652">
        <v>1323</v>
      </c>
      <c r="B2652">
        <v>206</v>
      </c>
      <c r="C2652" t="s">
        <v>4224</v>
      </c>
      <c r="D2652" t="s">
        <v>355</v>
      </c>
      <c r="E2652" t="s">
        <v>334</v>
      </c>
      <c r="F2652" t="s">
        <v>4225</v>
      </c>
      <c r="G2652" t="str">
        <f>"00208816"</f>
        <v>00208816</v>
      </c>
      <c r="H2652" t="s">
        <v>1438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70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0</v>
      </c>
      <c r="X2652">
        <v>0</v>
      </c>
      <c r="Y2652" t="s">
        <v>4223</v>
      </c>
    </row>
    <row r="2653" spans="1:25" x14ac:dyDescent="0.25">
      <c r="H2653" t="s">
        <v>53</v>
      </c>
    </row>
    <row r="2654" spans="1:25" x14ac:dyDescent="0.25">
      <c r="A2654">
        <v>1324</v>
      </c>
      <c r="B2654">
        <v>5287</v>
      </c>
      <c r="C2654" t="s">
        <v>4226</v>
      </c>
      <c r="D2654" t="s">
        <v>113</v>
      </c>
      <c r="E2654" t="s">
        <v>87</v>
      </c>
      <c r="F2654" t="s">
        <v>4227</v>
      </c>
      <c r="G2654" t="str">
        <f>"00111927"</f>
        <v>00111927</v>
      </c>
      <c r="H2654" t="s">
        <v>2143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50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0</v>
      </c>
      <c r="X2654">
        <v>1</v>
      </c>
      <c r="Y2654" t="s">
        <v>4228</v>
      </c>
    </row>
    <row r="2655" spans="1:25" x14ac:dyDescent="0.25">
      <c r="H2655">
        <v>101</v>
      </c>
    </row>
    <row r="2656" spans="1:25" x14ac:dyDescent="0.25">
      <c r="A2656">
        <v>1325</v>
      </c>
      <c r="B2656">
        <v>2093</v>
      </c>
      <c r="C2656" t="s">
        <v>4229</v>
      </c>
      <c r="D2656" t="s">
        <v>4230</v>
      </c>
      <c r="E2656" t="s">
        <v>429</v>
      </c>
      <c r="F2656" t="s">
        <v>4231</v>
      </c>
      <c r="G2656" t="str">
        <f>"00089308"</f>
        <v>00089308</v>
      </c>
      <c r="H2656" t="s">
        <v>2839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50</v>
      </c>
      <c r="O2656">
        <v>50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0</v>
      </c>
      <c r="X2656">
        <v>0</v>
      </c>
      <c r="Y2656" t="s">
        <v>4232</v>
      </c>
    </row>
    <row r="2657" spans="1:25" x14ac:dyDescent="0.25">
      <c r="H2657" t="s">
        <v>23</v>
      </c>
    </row>
    <row r="2658" spans="1:25" x14ac:dyDescent="0.25">
      <c r="A2658">
        <v>1326</v>
      </c>
      <c r="B2658">
        <v>2865</v>
      </c>
      <c r="C2658" t="s">
        <v>4233</v>
      </c>
      <c r="D2658" t="s">
        <v>70</v>
      </c>
      <c r="E2658" t="s">
        <v>200</v>
      </c>
      <c r="F2658" t="s">
        <v>4234</v>
      </c>
      <c r="G2658" t="str">
        <f>"00021375"</f>
        <v>00021375</v>
      </c>
      <c r="H2658" t="s">
        <v>2147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30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0</v>
      </c>
      <c r="X2658">
        <v>0</v>
      </c>
      <c r="Y2658" t="s">
        <v>4235</v>
      </c>
    </row>
    <row r="2659" spans="1:25" x14ac:dyDescent="0.25">
      <c r="H2659" t="s">
        <v>53</v>
      </c>
    </row>
    <row r="2660" spans="1:25" x14ac:dyDescent="0.25">
      <c r="A2660">
        <v>1327</v>
      </c>
      <c r="B2660">
        <v>4675</v>
      </c>
      <c r="C2660" t="s">
        <v>4236</v>
      </c>
      <c r="D2660" t="s">
        <v>81</v>
      </c>
      <c r="E2660" t="s">
        <v>43</v>
      </c>
      <c r="F2660" t="s">
        <v>4237</v>
      </c>
      <c r="G2660" t="str">
        <f>"201406014676"</f>
        <v>201406014676</v>
      </c>
      <c r="H2660" t="s">
        <v>1959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50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0</v>
      </c>
      <c r="X2660">
        <v>0</v>
      </c>
      <c r="Y2660" t="s">
        <v>4238</v>
      </c>
    </row>
    <row r="2661" spans="1:25" x14ac:dyDescent="0.25">
      <c r="H2661">
        <v>101</v>
      </c>
    </row>
    <row r="2662" spans="1:25" x14ac:dyDescent="0.25">
      <c r="A2662">
        <v>1328</v>
      </c>
      <c r="B2662">
        <v>3748</v>
      </c>
      <c r="C2662" t="s">
        <v>4239</v>
      </c>
      <c r="D2662" t="s">
        <v>245</v>
      </c>
      <c r="E2662" t="s">
        <v>1035</v>
      </c>
      <c r="F2662" t="s">
        <v>4240</v>
      </c>
      <c r="G2662" t="str">
        <f>"00015374"</f>
        <v>00015374</v>
      </c>
      <c r="H2662" t="s">
        <v>1959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50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0</v>
      </c>
      <c r="X2662">
        <v>0</v>
      </c>
      <c r="Y2662" t="s">
        <v>4238</v>
      </c>
    </row>
    <row r="2663" spans="1:25" x14ac:dyDescent="0.25">
      <c r="H2663" t="s">
        <v>34</v>
      </c>
    </row>
    <row r="2664" spans="1:25" x14ac:dyDescent="0.25">
      <c r="A2664">
        <v>1329</v>
      </c>
      <c r="B2664">
        <v>3185</v>
      </c>
      <c r="C2664" t="s">
        <v>4241</v>
      </c>
      <c r="D2664" t="s">
        <v>468</v>
      </c>
      <c r="E2664" t="s">
        <v>43</v>
      </c>
      <c r="F2664" t="s">
        <v>4242</v>
      </c>
      <c r="G2664" t="str">
        <f>"00112590"</f>
        <v>00112590</v>
      </c>
      <c r="H2664">
        <v>704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30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0</v>
      </c>
      <c r="X2664">
        <v>0</v>
      </c>
      <c r="Y2664">
        <v>734</v>
      </c>
    </row>
    <row r="2665" spans="1:25" x14ac:dyDescent="0.25">
      <c r="H2665" t="s">
        <v>91</v>
      </c>
    </row>
    <row r="2666" spans="1:25" x14ac:dyDescent="0.25">
      <c r="A2666">
        <v>1330</v>
      </c>
      <c r="B2666">
        <v>4597</v>
      </c>
      <c r="C2666" t="s">
        <v>4243</v>
      </c>
      <c r="D2666" t="s">
        <v>81</v>
      </c>
      <c r="E2666" t="s">
        <v>71</v>
      </c>
      <c r="F2666" t="s">
        <v>4244</v>
      </c>
      <c r="G2666" t="str">
        <f>"201303000987"</f>
        <v>201303000987</v>
      </c>
      <c r="H2666">
        <v>704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30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0</v>
      </c>
      <c r="X2666">
        <v>0</v>
      </c>
      <c r="Y2666">
        <v>734</v>
      </c>
    </row>
    <row r="2667" spans="1:25" x14ac:dyDescent="0.25">
      <c r="H2667" t="s">
        <v>23</v>
      </c>
    </row>
    <row r="2668" spans="1:25" x14ac:dyDescent="0.25">
      <c r="A2668">
        <v>1331</v>
      </c>
      <c r="B2668">
        <v>4127</v>
      </c>
      <c r="C2668" t="s">
        <v>4245</v>
      </c>
      <c r="D2668" t="s">
        <v>36</v>
      </c>
      <c r="E2668" t="s">
        <v>49</v>
      </c>
      <c r="F2668" t="s">
        <v>4246</v>
      </c>
      <c r="G2668" t="str">
        <f>"00131166"</f>
        <v>00131166</v>
      </c>
      <c r="H2668">
        <v>704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30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0</v>
      </c>
      <c r="X2668">
        <v>0</v>
      </c>
      <c r="Y2668">
        <v>734</v>
      </c>
    </row>
    <row r="2669" spans="1:25" x14ac:dyDescent="0.25">
      <c r="H2669" t="s">
        <v>53</v>
      </c>
    </row>
    <row r="2670" spans="1:25" x14ac:dyDescent="0.25">
      <c r="A2670">
        <v>1332</v>
      </c>
      <c r="B2670">
        <v>6179</v>
      </c>
      <c r="C2670" t="s">
        <v>4247</v>
      </c>
      <c r="D2670" t="s">
        <v>25</v>
      </c>
      <c r="E2670" t="s">
        <v>21</v>
      </c>
      <c r="F2670" t="s">
        <v>4248</v>
      </c>
      <c r="G2670" t="str">
        <f>"00011136"</f>
        <v>00011136</v>
      </c>
      <c r="H2670" t="s">
        <v>4249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70</v>
      </c>
      <c r="O2670">
        <v>0</v>
      </c>
      <c r="P2670">
        <v>50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0</v>
      </c>
      <c r="X2670">
        <v>1</v>
      </c>
      <c r="Y2670" t="s">
        <v>4250</v>
      </c>
    </row>
    <row r="2671" spans="1:25" x14ac:dyDescent="0.25">
      <c r="H2671" t="s">
        <v>34</v>
      </c>
    </row>
    <row r="2672" spans="1:25" x14ac:dyDescent="0.25">
      <c r="A2672">
        <v>1333</v>
      </c>
      <c r="B2672">
        <v>5711</v>
      </c>
      <c r="C2672" t="s">
        <v>4251</v>
      </c>
      <c r="D2672" t="s">
        <v>509</v>
      </c>
      <c r="E2672" t="s">
        <v>334</v>
      </c>
      <c r="F2672" t="s">
        <v>4252</v>
      </c>
      <c r="G2672" t="str">
        <f>"00124127"</f>
        <v>00124127</v>
      </c>
      <c r="H2672" t="s">
        <v>954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30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X2672">
        <v>0</v>
      </c>
      <c r="Y2672" t="s">
        <v>4253</v>
      </c>
    </row>
    <row r="2673" spans="1:25" x14ac:dyDescent="0.25">
      <c r="H2673" t="s">
        <v>23</v>
      </c>
    </row>
    <row r="2674" spans="1:25" x14ac:dyDescent="0.25">
      <c r="A2674">
        <v>1334</v>
      </c>
      <c r="B2674">
        <v>1327</v>
      </c>
      <c r="C2674" t="s">
        <v>4254</v>
      </c>
      <c r="D2674" t="s">
        <v>355</v>
      </c>
      <c r="E2674" t="s">
        <v>55</v>
      </c>
      <c r="F2674" t="s">
        <v>4255</v>
      </c>
      <c r="G2674" t="str">
        <f>"00014880"</f>
        <v>00014880</v>
      </c>
      <c r="H2674" t="s">
        <v>954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30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X2674">
        <v>0</v>
      </c>
      <c r="Y2674" t="s">
        <v>4253</v>
      </c>
    </row>
    <row r="2675" spans="1:25" x14ac:dyDescent="0.25">
      <c r="H2675" t="s">
        <v>91</v>
      </c>
    </row>
    <row r="2676" spans="1:25" x14ac:dyDescent="0.25">
      <c r="A2676">
        <v>1335</v>
      </c>
      <c r="B2676">
        <v>4040</v>
      </c>
      <c r="C2676" t="s">
        <v>4256</v>
      </c>
      <c r="D2676" t="s">
        <v>4257</v>
      </c>
      <c r="E2676" t="s">
        <v>99</v>
      </c>
      <c r="F2676" t="s">
        <v>4258</v>
      </c>
      <c r="G2676" t="str">
        <f>"00088112"</f>
        <v>00088112</v>
      </c>
      <c r="H2676" t="s">
        <v>1893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0</v>
      </c>
      <c r="X2676">
        <v>0</v>
      </c>
      <c r="Y2676" t="s">
        <v>1893</v>
      </c>
    </row>
    <row r="2677" spans="1:25" x14ac:dyDescent="0.25">
      <c r="H2677" t="s">
        <v>53</v>
      </c>
    </row>
    <row r="2678" spans="1:25" x14ac:dyDescent="0.25">
      <c r="A2678">
        <v>1336</v>
      </c>
      <c r="B2678">
        <v>5121</v>
      </c>
      <c r="C2678" t="s">
        <v>4259</v>
      </c>
      <c r="D2678" t="s">
        <v>25</v>
      </c>
      <c r="E2678" t="s">
        <v>1035</v>
      </c>
      <c r="F2678" t="s">
        <v>4260</v>
      </c>
      <c r="G2678" t="str">
        <f>"00037222"</f>
        <v>00037222</v>
      </c>
      <c r="H2678" t="s">
        <v>4261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70</v>
      </c>
      <c r="O2678">
        <v>30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0</v>
      </c>
      <c r="X2678">
        <v>0</v>
      </c>
      <c r="Y2678" t="s">
        <v>4262</v>
      </c>
    </row>
    <row r="2679" spans="1:25" x14ac:dyDescent="0.25">
      <c r="H2679" t="s">
        <v>23</v>
      </c>
    </row>
    <row r="2680" spans="1:25" x14ac:dyDescent="0.25">
      <c r="A2680">
        <v>1337</v>
      </c>
      <c r="B2680">
        <v>4110</v>
      </c>
      <c r="C2680" t="s">
        <v>4263</v>
      </c>
      <c r="D2680" t="s">
        <v>468</v>
      </c>
      <c r="E2680" t="s">
        <v>86</v>
      </c>
      <c r="F2680" t="s">
        <v>4264</v>
      </c>
      <c r="G2680" t="str">
        <f>"00089880"</f>
        <v>00089880</v>
      </c>
      <c r="H2680">
        <v>671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30</v>
      </c>
      <c r="O2680">
        <v>30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0</v>
      </c>
      <c r="X2680">
        <v>0</v>
      </c>
      <c r="Y2680">
        <v>731</v>
      </c>
    </row>
    <row r="2681" spans="1:25" x14ac:dyDescent="0.25">
      <c r="H2681" t="s">
        <v>34</v>
      </c>
    </row>
    <row r="2682" spans="1:25" x14ac:dyDescent="0.25">
      <c r="A2682">
        <v>1338</v>
      </c>
      <c r="B2682">
        <v>2254</v>
      </c>
      <c r="C2682" t="s">
        <v>2152</v>
      </c>
      <c r="D2682" t="s">
        <v>37</v>
      </c>
      <c r="E2682" t="s">
        <v>3101</v>
      </c>
      <c r="F2682" t="s">
        <v>4265</v>
      </c>
      <c r="G2682" t="str">
        <f>"00200997"</f>
        <v>00200997</v>
      </c>
      <c r="H2682" t="s">
        <v>3029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70</v>
      </c>
      <c r="O2682">
        <v>30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0</v>
      </c>
      <c r="X2682">
        <v>0</v>
      </c>
      <c r="Y2682" t="s">
        <v>4266</v>
      </c>
    </row>
    <row r="2683" spans="1:25" x14ac:dyDescent="0.25">
      <c r="H2683" t="s">
        <v>34</v>
      </c>
    </row>
    <row r="2684" spans="1:25" x14ac:dyDescent="0.25">
      <c r="A2684">
        <v>1339</v>
      </c>
      <c r="B2684">
        <v>1336</v>
      </c>
      <c r="C2684" t="s">
        <v>4267</v>
      </c>
      <c r="D2684" t="s">
        <v>4268</v>
      </c>
      <c r="E2684" t="s">
        <v>252</v>
      </c>
      <c r="F2684" t="s">
        <v>4269</v>
      </c>
      <c r="G2684" t="str">
        <f>"00208445"</f>
        <v>00208445</v>
      </c>
      <c r="H2684" t="s">
        <v>4270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30</v>
      </c>
      <c r="O2684">
        <v>50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X2684">
        <v>0</v>
      </c>
      <c r="Y2684" t="s">
        <v>4271</v>
      </c>
    </row>
    <row r="2685" spans="1:25" x14ac:dyDescent="0.25">
      <c r="H2685">
        <v>103</v>
      </c>
    </row>
    <row r="2686" spans="1:25" x14ac:dyDescent="0.25">
      <c r="A2686">
        <v>1340</v>
      </c>
      <c r="B2686">
        <v>6141</v>
      </c>
      <c r="C2686" t="s">
        <v>4272</v>
      </c>
      <c r="D2686" t="s">
        <v>634</v>
      </c>
      <c r="E2686" t="s">
        <v>55</v>
      </c>
      <c r="F2686" t="s">
        <v>4273</v>
      </c>
      <c r="G2686" t="str">
        <f>"00008112"</f>
        <v>00008112</v>
      </c>
      <c r="H2686">
        <v>660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70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X2686">
        <v>0</v>
      </c>
      <c r="Y2686">
        <v>730</v>
      </c>
    </row>
    <row r="2687" spans="1:25" x14ac:dyDescent="0.25">
      <c r="H2687" t="s">
        <v>23</v>
      </c>
    </row>
    <row r="2688" spans="1:25" x14ac:dyDescent="0.25">
      <c r="A2688">
        <v>1341</v>
      </c>
      <c r="B2688">
        <v>5114</v>
      </c>
      <c r="C2688" t="s">
        <v>4274</v>
      </c>
      <c r="D2688" t="s">
        <v>159</v>
      </c>
      <c r="E2688" t="s">
        <v>55</v>
      </c>
      <c r="F2688" t="s">
        <v>4275</v>
      </c>
      <c r="G2688" t="str">
        <f>"00123211"</f>
        <v>00123211</v>
      </c>
      <c r="H2688" t="s">
        <v>1530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30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0</v>
      </c>
      <c r="X2688">
        <v>0</v>
      </c>
      <c r="Y2688" t="s">
        <v>4276</v>
      </c>
    </row>
    <row r="2689" spans="1:25" x14ac:dyDescent="0.25">
      <c r="H2689" t="s">
        <v>23</v>
      </c>
    </row>
    <row r="2690" spans="1:25" x14ac:dyDescent="0.25">
      <c r="A2690">
        <v>1342</v>
      </c>
      <c r="B2690">
        <v>2248</v>
      </c>
      <c r="C2690" t="s">
        <v>4277</v>
      </c>
      <c r="D2690" t="s">
        <v>55</v>
      </c>
      <c r="E2690" t="s">
        <v>147</v>
      </c>
      <c r="F2690" t="s">
        <v>4278</v>
      </c>
      <c r="G2690" t="str">
        <f>"00127339"</f>
        <v>00127339</v>
      </c>
      <c r="H2690" t="s">
        <v>2693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70</v>
      </c>
      <c r="R2690">
        <v>0</v>
      </c>
      <c r="S2690">
        <v>0</v>
      </c>
      <c r="T2690">
        <v>0</v>
      </c>
      <c r="U2690">
        <v>0</v>
      </c>
      <c r="V2690">
        <v>0</v>
      </c>
      <c r="X2690">
        <v>0</v>
      </c>
      <c r="Y2690" t="s">
        <v>4279</v>
      </c>
    </row>
    <row r="2691" spans="1:25" x14ac:dyDescent="0.25">
      <c r="H2691" t="s">
        <v>53</v>
      </c>
    </row>
    <row r="2692" spans="1:25" x14ac:dyDescent="0.25">
      <c r="A2692">
        <v>1343</v>
      </c>
      <c r="B2692">
        <v>2495</v>
      </c>
      <c r="C2692" t="s">
        <v>4280</v>
      </c>
      <c r="D2692" t="s">
        <v>4281</v>
      </c>
      <c r="E2692" t="s">
        <v>200</v>
      </c>
      <c r="F2692" t="s">
        <v>4282</v>
      </c>
      <c r="G2692" t="str">
        <f>"201406007646"</f>
        <v>201406007646</v>
      </c>
      <c r="H2692" t="s">
        <v>2212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50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0</v>
      </c>
      <c r="X2692">
        <v>0</v>
      </c>
      <c r="Y2692" t="s">
        <v>4283</v>
      </c>
    </row>
    <row r="2693" spans="1:25" x14ac:dyDescent="0.25">
      <c r="H2693" t="s">
        <v>23</v>
      </c>
    </row>
    <row r="2694" spans="1:25" x14ac:dyDescent="0.25">
      <c r="A2694">
        <v>1344</v>
      </c>
      <c r="B2694">
        <v>3377</v>
      </c>
      <c r="C2694" t="s">
        <v>4284</v>
      </c>
      <c r="D2694" t="s">
        <v>194</v>
      </c>
      <c r="E2694" t="s">
        <v>21</v>
      </c>
      <c r="F2694" t="s">
        <v>4285</v>
      </c>
      <c r="G2694" t="str">
        <f>"00050153"</f>
        <v>00050153</v>
      </c>
      <c r="H2694" t="s">
        <v>2757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30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</v>
      </c>
      <c r="X2694">
        <v>2</v>
      </c>
      <c r="Y2694" t="s">
        <v>4286</v>
      </c>
    </row>
    <row r="2695" spans="1:25" x14ac:dyDescent="0.25">
      <c r="H2695" t="s">
        <v>23</v>
      </c>
    </row>
    <row r="2696" spans="1:25" x14ac:dyDescent="0.25">
      <c r="A2696">
        <v>1345</v>
      </c>
      <c r="B2696">
        <v>3529</v>
      </c>
      <c r="C2696" t="s">
        <v>3186</v>
      </c>
      <c r="D2696" t="s">
        <v>501</v>
      </c>
      <c r="E2696" t="s">
        <v>147</v>
      </c>
      <c r="F2696" t="s">
        <v>4287</v>
      </c>
      <c r="G2696" t="str">
        <f>"201406013850"</f>
        <v>201406013850</v>
      </c>
      <c r="H2696" t="s">
        <v>1570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70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0</v>
      </c>
      <c r="X2696">
        <v>0</v>
      </c>
      <c r="Y2696" t="s">
        <v>4288</v>
      </c>
    </row>
    <row r="2697" spans="1:25" x14ac:dyDescent="0.25">
      <c r="H2697" t="s">
        <v>91</v>
      </c>
    </row>
    <row r="2698" spans="1:25" x14ac:dyDescent="0.25">
      <c r="A2698">
        <v>1346</v>
      </c>
      <c r="B2698">
        <v>5677</v>
      </c>
      <c r="C2698" t="s">
        <v>4289</v>
      </c>
      <c r="D2698" t="s">
        <v>217</v>
      </c>
      <c r="E2698" t="s">
        <v>4290</v>
      </c>
      <c r="F2698" t="s">
        <v>4291</v>
      </c>
      <c r="G2698" t="str">
        <f>"00114430"</f>
        <v>00114430</v>
      </c>
      <c r="H2698" t="s">
        <v>3880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70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X2698">
        <v>0</v>
      </c>
      <c r="Y2698" t="s">
        <v>4292</v>
      </c>
    </row>
    <row r="2699" spans="1:25" x14ac:dyDescent="0.25">
      <c r="H2699" t="s">
        <v>23</v>
      </c>
    </row>
    <row r="2700" spans="1:25" x14ac:dyDescent="0.25">
      <c r="A2700">
        <v>1347</v>
      </c>
      <c r="B2700">
        <v>4814</v>
      </c>
      <c r="C2700" t="s">
        <v>680</v>
      </c>
      <c r="D2700" t="s">
        <v>217</v>
      </c>
      <c r="E2700" t="s">
        <v>81</v>
      </c>
      <c r="F2700" t="s">
        <v>4293</v>
      </c>
      <c r="G2700" t="str">
        <f>"00033980"</f>
        <v>00033980</v>
      </c>
      <c r="H2700" t="s">
        <v>3880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70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X2700">
        <v>2</v>
      </c>
      <c r="Y2700" t="s">
        <v>4292</v>
      </c>
    </row>
    <row r="2701" spans="1:25" x14ac:dyDescent="0.25">
      <c r="H2701" t="s">
        <v>23</v>
      </c>
    </row>
    <row r="2702" spans="1:25" x14ac:dyDescent="0.25">
      <c r="A2702">
        <v>1348</v>
      </c>
      <c r="B2702">
        <v>475</v>
      </c>
      <c r="C2702" t="s">
        <v>478</v>
      </c>
      <c r="D2702" t="s">
        <v>2182</v>
      </c>
      <c r="E2702" t="s">
        <v>37</v>
      </c>
      <c r="F2702" t="s">
        <v>4294</v>
      </c>
      <c r="G2702" t="str">
        <f>"00208526"</f>
        <v>00208526</v>
      </c>
      <c r="H2702" t="s">
        <v>2336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30</v>
      </c>
      <c r="O2702">
        <v>0</v>
      </c>
      <c r="P2702">
        <v>50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X2702">
        <v>0</v>
      </c>
      <c r="Y2702" t="s">
        <v>4295</v>
      </c>
    </row>
    <row r="2703" spans="1:25" x14ac:dyDescent="0.25">
      <c r="H2703" t="s">
        <v>23</v>
      </c>
    </row>
    <row r="2704" spans="1:25" x14ac:dyDescent="0.25">
      <c r="A2704">
        <v>1349</v>
      </c>
      <c r="B2704">
        <v>5239</v>
      </c>
      <c r="C2704" t="s">
        <v>4296</v>
      </c>
      <c r="D2704" t="s">
        <v>4297</v>
      </c>
      <c r="E2704" t="s">
        <v>200</v>
      </c>
      <c r="F2704" t="s">
        <v>4298</v>
      </c>
      <c r="G2704" t="str">
        <f>"00127536"</f>
        <v>00127536</v>
      </c>
      <c r="H2704" t="s">
        <v>331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30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0</v>
      </c>
      <c r="X2704">
        <v>0</v>
      </c>
      <c r="Y2704" t="s">
        <v>4299</v>
      </c>
    </row>
    <row r="2705" spans="1:25" x14ac:dyDescent="0.25">
      <c r="H2705" t="s">
        <v>23</v>
      </c>
    </row>
    <row r="2706" spans="1:25" x14ac:dyDescent="0.25">
      <c r="A2706">
        <v>1350</v>
      </c>
      <c r="B2706">
        <v>4820</v>
      </c>
      <c r="C2706" t="s">
        <v>4300</v>
      </c>
      <c r="D2706" t="s">
        <v>1128</v>
      </c>
      <c r="E2706" t="s">
        <v>86</v>
      </c>
      <c r="F2706" t="s">
        <v>4301</v>
      </c>
      <c r="G2706" t="str">
        <f>"00013772"</f>
        <v>00013772</v>
      </c>
      <c r="H2706" t="s">
        <v>2081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50</v>
      </c>
      <c r="O2706">
        <v>0</v>
      </c>
      <c r="P2706">
        <v>0</v>
      </c>
      <c r="Q2706">
        <v>30</v>
      </c>
      <c r="R2706">
        <v>0</v>
      </c>
      <c r="S2706">
        <v>0</v>
      </c>
      <c r="T2706">
        <v>0</v>
      </c>
      <c r="U2706">
        <v>0</v>
      </c>
      <c r="V2706">
        <v>0</v>
      </c>
      <c r="X2706">
        <v>0</v>
      </c>
      <c r="Y2706" t="s">
        <v>4302</v>
      </c>
    </row>
    <row r="2707" spans="1:25" x14ac:dyDescent="0.25">
      <c r="H2707" t="s">
        <v>118</v>
      </c>
    </row>
    <row r="2708" spans="1:25" x14ac:dyDescent="0.25">
      <c r="A2708">
        <v>1351</v>
      </c>
      <c r="B2708">
        <v>5848</v>
      </c>
      <c r="C2708" t="s">
        <v>4303</v>
      </c>
      <c r="D2708" t="s">
        <v>4304</v>
      </c>
      <c r="E2708" t="s">
        <v>49</v>
      </c>
      <c r="F2708" t="s">
        <v>4305</v>
      </c>
      <c r="G2708" t="str">
        <f>"00202276"</f>
        <v>00202276</v>
      </c>
      <c r="H2708" t="s">
        <v>1970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70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0</v>
      </c>
      <c r="X2708">
        <v>0</v>
      </c>
      <c r="Y2708" t="s">
        <v>4306</v>
      </c>
    </row>
    <row r="2709" spans="1:25" x14ac:dyDescent="0.25">
      <c r="H2709" t="s">
        <v>34</v>
      </c>
    </row>
    <row r="2710" spans="1:25" x14ac:dyDescent="0.25">
      <c r="A2710">
        <v>1352</v>
      </c>
      <c r="B2710">
        <v>2622</v>
      </c>
      <c r="C2710" t="s">
        <v>4307</v>
      </c>
      <c r="D2710" t="s">
        <v>200</v>
      </c>
      <c r="E2710" t="s">
        <v>21</v>
      </c>
      <c r="F2710" t="s">
        <v>4308</v>
      </c>
      <c r="G2710" t="str">
        <f>"00130604"</f>
        <v>00130604</v>
      </c>
      <c r="H2710" t="s">
        <v>1970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70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0</v>
      </c>
      <c r="X2710">
        <v>0</v>
      </c>
      <c r="Y2710" t="s">
        <v>4306</v>
      </c>
    </row>
    <row r="2711" spans="1:25" x14ac:dyDescent="0.25">
      <c r="H2711" t="s">
        <v>91</v>
      </c>
    </row>
    <row r="2712" spans="1:25" x14ac:dyDescent="0.25">
      <c r="A2712">
        <v>1353</v>
      </c>
      <c r="B2712">
        <v>4629</v>
      </c>
      <c r="C2712" t="s">
        <v>4309</v>
      </c>
      <c r="D2712" t="s">
        <v>4310</v>
      </c>
      <c r="E2712" t="s">
        <v>419</v>
      </c>
      <c r="F2712" t="s">
        <v>4311</v>
      </c>
      <c r="G2712" t="str">
        <f>"00091440"</f>
        <v>00091440</v>
      </c>
      <c r="H2712">
        <v>693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30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0</v>
      </c>
      <c r="X2712">
        <v>0</v>
      </c>
      <c r="Y2712">
        <v>723</v>
      </c>
    </row>
    <row r="2713" spans="1:25" x14ac:dyDescent="0.25">
      <c r="H2713" t="s">
        <v>34</v>
      </c>
    </row>
    <row r="2714" spans="1:25" x14ac:dyDescent="0.25">
      <c r="A2714">
        <v>1354</v>
      </c>
      <c r="B2714">
        <v>2743</v>
      </c>
      <c r="C2714" t="s">
        <v>2785</v>
      </c>
      <c r="D2714" t="s">
        <v>598</v>
      </c>
      <c r="E2714" t="s">
        <v>43</v>
      </c>
      <c r="F2714" t="s">
        <v>4312</v>
      </c>
      <c r="G2714" t="str">
        <f>"00014361"</f>
        <v>00014361</v>
      </c>
      <c r="H2714" t="s">
        <v>2094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30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0</v>
      </c>
      <c r="X2714">
        <v>0</v>
      </c>
      <c r="Y2714" t="s">
        <v>4313</v>
      </c>
    </row>
    <row r="2715" spans="1:25" x14ac:dyDescent="0.25">
      <c r="H2715" t="s">
        <v>118</v>
      </c>
    </row>
    <row r="2716" spans="1:25" x14ac:dyDescent="0.25">
      <c r="A2716">
        <v>1355</v>
      </c>
      <c r="B2716">
        <v>439</v>
      </c>
      <c r="C2716" t="s">
        <v>4314</v>
      </c>
      <c r="D2716" t="s">
        <v>113</v>
      </c>
      <c r="E2716" t="s">
        <v>147</v>
      </c>
      <c r="F2716" t="s">
        <v>4315</v>
      </c>
      <c r="G2716" t="str">
        <f>"00113269"</f>
        <v>00113269</v>
      </c>
      <c r="H2716" t="s">
        <v>4270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70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X2716">
        <v>2</v>
      </c>
      <c r="Y2716" t="s">
        <v>4316</v>
      </c>
    </row>
    <row r="2717" spans="1:25" x14ac:dyDescent="0.25">
      <c r="H2717" t="s">
        <v>23</v>
      </c>
    </row>
    <row r="2718" spans="1:25" x14ac:dyDescent="0.25">
      <c r="A2718">
        <v>1356</v>
      </c>
      <c r="B2718">
        <v>4163</v>
      </c>
      <c r="C2718" t="s">
        <v>4317</v>
      </c>
      <c r="D2718" t="s">
        <v>25</v>
      </c>
      <c r="E2718" t="s">
        <v>43</v>
      </c>
      <c r="F2718" t="s">
        <v>4318</v>
      </c>
      <c r="G2718" t="str">
        <f>"00125752"</f>
        <v>00125752</v>
      </c>
      <c r="H2718" t="s">
        <v>4270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70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0</v>
      </c>
      <c r="X2718">
        <v>0</v>
      </c>
      <c r="Y2718" t="s">
        <v>4316</v>
      </c>
    </row>
    <row r="2719" spans="1:25" x14ac:dyDescent="0.25">
      <c r="H2719" t="s">
        <v>53</v>
      </c>
    </row>
    <row r="2720" spans="1:25" x14ac:dyDescent="0.25">
      <c r="A2720">
        <v>1357</v>
      </c>
      <c r="B2720">
        <v>4481</v>
      </c>
      <c r="C2720" t="s">
        <v>4319</v>
      </c>
      <c r="D2720" t="s">
        <v>49</v>
      </c>
      <c r="E2720" t="s">
        <v>61</v>
      </c>
      <c r="F2720" t="s">
        <v>4320</v>
      </c>
      <c r="G2720" t="str">
        <f>"200802003240"</f>
        <v>200802003240</v>
      </c>
      <c r="H2720" t="s">
        <v>2007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30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0</v>
      </c>
      <c r="X2720">
        <v>0</v>
      </c>
      <c r="Y2720" t="s">
        <v>4321</v>
      </c>
    </row>
    <row r="2721" spans="1:25" x14ac:dyDescent="0.25">
      <c r="H2721" t="s">
        <v>91</v>
      </c>
    </row>
    <row r="2722" spans="1:25" x14ac:dyDescent="0.25">
      <c r="A2722">
        <v>1358</v>
      </c>
      <c r="B2722">
        <v>3978</v>
      </c>
      <c r="C2722" t="s">
        <v>4322</v>
      </c>
      <c r="D2722" t="s">
        <v>209</v>
      </c>
      <c r="E2722" t="s">
        <v>21</v>
      </c>
      <c r="F2722" t="s">
        <v>4323</v>
      </c>
      <c r="G2722" t="str">
        <f>"00124465"</f>
        <v>00124465</v>
      </c>
      <c r="H2722">
        <v>649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70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0</v>
      </c>
      <c r="X2722">
        <v>1</v>
      </c>
      <c r="Y2722">
        <v>719</v>
      </c>
    </row>
    <row r="2723" spans="1:25" x14ac:dyDescent="0.25">
      <c r="H2723" t="s">
        <v>23</v>
      </c>
    </row>
    <row r="2724" spans="1:25" x14ac:dyDescent="0.25">
      <c r="A2724">
        <v>1359</v>
      </c>
      <c r="B2724">
        <v>185</v>
      </c>
      <c r="C2724" t="s">
        <v>4324</v>
      </c>
      <c r="D2724" t="s">
        <v>4325</v>
      </c>
      <c r="E2724" t="s">
        <v>4326</v>
      </c>
      <c r="F2724" t="s">
        <v>4327</v>
      </c>
      <c r="G2724" t="str">
        <f>"00089254"</f>
        <v>00089254</v>
      </c>
      <c r="H2724">
        <v>649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70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0</v>
      </c>
      <c r="X2724">
        <v>0</v>
      </c>
      <c r="Y2724">
        <v>719</v>
      </c>
    </row>
    <row r="2725" spans="1:25" x14ac:dyDescent="0.25">
      <c r="H2725">
        <v>101</v>
      </c>
    </row>
    <row r="2726" spans="1:25" x14ac:dyDescent="0.25">
      <c r="A2726">
        <v>1360</v>
      </c>
      <c r="B2726">
        <v>2922</v>
      </c>
      <c r="C2726" t="s">
        <v>2601</v>
      </c>
      <c r="D2726" t="s">
        <v>4328</v>
      </c>
      <c r="E2726" t="s">
        <v>4329</v>
      </c>
      <c r="F2726" t="s">
        <v>4330</v>
      </c>
      <c r="G2726" t="str">
        <f>"00148312"</f>
        <v>00148312</v>
      </c>
      <c r="H2726" t="s">
        <v>2458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50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X2726">
        <v>0</v>
      </c>
      <c r="Y2726" t="s">
        <v>4331</v>
      </c>
    </row>
    <row r="2727" spans="1:25" x14ac:dyDescent="0.25">
      <c r="H2727">
        <v>101</v>
      </c>
    </row>
    <row r="2728" spans="1:25" x14ac:dyDescent="0.25">
      <c r="A2728">
        <v>1361</v>
      </c>
      <c r="B2728">
        <v>4997</v>
      </c>
      <c r="C2728" t="s">
        <v>4332</v>
      </c>
      <c r="D2728" t="s">
        <v>1441</v>
      </c>
      <c r="E2728" t="s">
        <v>283</v>
      </c>
      <c r="F2728" t="s">
        <v>4333</v>
      </c>
      <c r="G2728" t="str">
        <f>"201303000605"</f>
        <v>201303000605</v>
      </c>
      <c r="H2728" t="s">
        <v>1937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X2728">
        <v>0</v>
      </c>
      <c r="Y2728" t="s">
        <v>4334</v>
      </c>
    </row>
    <row r="2729" spans="1:25" x14ac:dyDescent="0.25">
      <c r="H2729" t="s">
        <v>23</v>
      </c>
    </row>
    <row r="2730" spans="1:25" x14ac:dyDescent="0.25">
      <c r="A2730">
        <v>1362</v>
      </c>
      <c r="B2730">
        <v>5738</v>
      </c>
      <c r="C2730" t="s">
        <v>1657</v>
      </c>
      <c r="D2730" t="s">
        <v>113</v>
      </c>
      <c r="E2730" t="s">
        <v>4335</v>
      </c>
      <c r="F2730" t="s">
        <v>4336</v>
      </c>
      <c r="G2730" t="str">
        <f>"201506000777"</f>
        <v>201506000777</v>
      </c>
      <c r="H2730" t="s">
        <v>1937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30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0</v>
      </c>
      <c r="X2730">
        <v>0</v>
      </c>
      <c r="Y2730" t="s">
        <v>4334</v>
      </c>
    </row>
    <row r="2731" spans="1:25" x14ac:dyDescent="0.25">
      <c r="H2731" t="s">
        <v>53</v>
      </c>
    </row>
    <row r="2732" spans="1:25" x14ac:dyDescent="0.25">
      <c r="A2732">
        <v>1363</v>
      </c>
      <c r="B2732">
        <v>4875</v>
      </c>
      <c r="C2732" t="s">
        <v>2783</v>
      </c>
      <c r="D2732" t="s">
        <v>501</v>
      </c>
      <c r="E2732" t="s">
        <v>200</v>
      </c>
      <c r="F2732" t="s">
        <v>4337</v>
      </c>
      <c r="G2732" t="str">
        <f>"00104279"</f>
        <v>00104279</v>
      </c>
      <c r="H2732" t="s">
        <v>2143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30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0</v>
      </c>
      <c r="X2732">
        <v>0</v>
      </c>
      <c r="Y2732" t="s">
        <v>4338</v>
      </c>
    </row>
    <row r="2733" spans="1:25" x14ac:dyDescent="0.25">
      <c r="H2733" t="s">
        <v>34</v>
      </c>
    </row>
    <row r="2734" spans="1:25" x14ac:dyDescent="0.25">
      <c r="A2734">
        <v>1364</v>
      </c>
      <c r="B2734">
        <v>1607</v>
      </c>
      <c r="C2734" t="s">
        <v>4339</v>
      </c>
      <c r="D2734" t="s">
        <v>509</v>
      </c>
      <c r="E2734" t="s">
        <v>4340</v>
      </c>
      <c r="F2734" t="s">
        <v>4341</v>
      </c>
      <c r="G2734" t="str">
        <f>"00012209"</f>
        <v>00012209</v>
      </c>
      <c r="H2734" t="s">
        <v>2143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30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0</v>
      </c>
      <c r="X2734">
        <v>0</v>
      </c>
      <c r="Y2734" t="s">
        <v>4338</v>
      </c>
    </row>
    <row r="2735" spans="1:25" x14ac:dyDescent="0.25">
      <c r="H2735" t="s">
        <v>23</v>
      </c>
    </row>
    <row r="2736" spans="1:25" x14ac:dyDescent="0.25">
      <c r="A2736">
        <v>1365</v>
      </c>
      <c r="B2736">
        <v>6482</v>
      </c>
      <c r="C2736" t="s">
        <v>4342</v>
      </c>
      <c r="D2736" t="s">
        <v>2924</v>
      </c>
      <c r="E2736" t="s">
        <v>87</v>
      </c>
      <c r="F2736" t="s">
        <v>4343</v>
      </c>
      <c r="G2736" t="str">
        <f>"201506000073"</f>
        <v>201506000073</v>
      </c>
      <c r="H2736" t="s">
        <v>2609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70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0</v>
      </c>
      <c r="X2736">
        <v>0</v>
      </c>
      <c r="Y2736" t="s">
        <v>4344</v>
      </c>
    </row>
    <row r="2737" spans="1:25" x14ac:dyDescent="0.25">
      <c r="H2737" t="s">
        <v>366</v>
      </c>
    </row>
    <row r="2738" spans="1:25" x14ac:dyDescent="0.25">
      <c r="A2738">
        <v>1366</v>
      </c>
      <c r="B2738">
        <v>2221</v>
      </c>
      <c r="C2738" t="s">
        <v>2658</v>
      </c>
      <c r="D2738" t="s">
        <v>2924</v>
      </c>
      <c r="E2738" t="s">
        <v>87</v>
      </c>
      <c r="F2738" t="s">
        <v>4345</v>
      </c>
      <c r="G2738" t="str">
        <f>"00208731"</f>
        <v>00208731</v>
      </c>
      <c r="H2738" t="s">
        <v>2609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70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0</v>
      </c>
      <c r="X2738">
        <v>0</v>
      </c>
      <c r="Y2738" t="s">
        <v>4344</v>
      </c>
    </row>
    <row r="2739" spans="1:25" x14ac:dyDescent="0.25">
      <c r="H2739" t="s">
        <v>34</v>
      </c>
    </row>
    <row r="2740" spans="1:25" x14ac:dyDescent="0.25">
      <c r="A2740">
        <v>1367</v>
      </c>
      <c r="B2740">
        <v>626</v>
      </c>
      <c r="C2740" t="s">
        <v>4346</v>
      </c>
      <c r="D2740" t="s">
        <v>113</v>
      </c>
      <c r="E2740" t="s">
        <v>87</v>
      </c>
      <c r="F2740" t="s">
        <v>4347</v>
      </c>
      <c r="G2740" t="str">
        <f>"00091241"</f>
        <v>00091241</v>
      </c>
      <c r="H2740" t="s">
        <v>3880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30</v>
      </c>
      <c r="O2740">
        <v>0</v>
      </c>
      <c r="P2740">
        <v>0</v>
      </c>
      <c r="Q2740">
        <v>30</v>
      </c>
      <c r="R2740">
        <v>0</v>
      </c>
      <c r="S2740">
        <v>0</v>
      </c>
      <c r="T2740">
        <v>0</v>
      </c>
      <c r="U2740">
        <v>0</v>
      </c>
      <c r="V2740">
        <v>0</v>
      </c>
      <c r="X2740">
        <v>0</v>
      </c>
      <c r="Y2740" t="s">
        <v>4348</v>
      </c>
    </row>
    <row r="2741" spans="1:25" x14ac:dyDescent="0.25">
      <c r="H2741" t="s">
        <v>23</v>
      </c>
    </row>
    <row r="2742" spans="1:25" x14ac:dyDescent="0.25">
      <c r="A2742">
        <v>1368</v>
      </c>
      <c r="B2742">
        <v>1074</v>
      </c>
      <c r="C2742" t="s">
        <v>4349</v>
      </c>
      <c r="D2742" t="s">
        <v>87</v>
      </c>
      <c r="E2742" t="s">
        <v>99</v>
      </c>
      <c r="F2742" t="s">
        <v>4350</v>
      </c>
      <c r="G2742" t="str">
        <f>"00161306"</f>
        <v>00161306</v>
      </c>
      <c r="H2742" t="s">
        <v>1698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0</v>
      </c>
      <c r="X2742">
        <v>0</v>
      </c>
      <c r="Y2742" t="s">
        <v>1698</v>
      </c>
    </row>
    <row r="2743" spans="1:25" x14ac:dyDescent="0.25">
      <c r="H2743" t="s">
        <v>23</v>
      </c>
    </row>
    <row r="2744" spans="1:25" x14ac:dyDescent="0.25">
      <c r="A2744">
        <v>1369</v>
      </c>
      <c r="B2744">
        <v>3184</v>
      </c>
      <c r="C2744" t="s">
        <v>4351</v>
      </c>
      <c r="D2744" t="s">
        <v>99</v>
      </c>
      <c r="E2744" t="s">
        <v>1213</v>
      </c>
      <c r="F2744" t="s">
        <v>4352</v>
      </c>
      <c r="G2744" t="str">
        <f>"00122056"</f>
        <v>00122056</v>
      </c>
      <c r="H2744" t="s">
        <v>3068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70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X2744">
        <v>0</v>
      </c>
      <c r="Y2744" t="s">
        <v>4353</v>
      </c>
    </row>
    <row r="2745" spans="1:25" x14ac:dyDescent="0.25">
      <c r="H2745" t="s">
        <v>23</v>
      </c>
    </row>
    <row r="2746" spans="1:25" x14ac:dyDescent="0.25">
      <c r="A2746">
        <v>1370</v>
      </c>
      <c r="B2746">
        <v>394</v>
      </c>
      <c r="C2746" t="s">
        <v>4354</v>
      </c>
      <c r="D2746" t="s">
        <v>987</v>
      </c>
      <c r="E2746" t="s">
        <v>15</v>
      </c>
      <c r="F2746" t="s">
        <v>4355</v>
      </c>
      <c r="G2746" t="str">
        <f>"00184033"</f>
        <v>00184033</v>
      </c>
      <c r="H2746" t="s">
        <v>2440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30</v>
      </c>
      <c r="O2746">
        <v>30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0</v>
      </c>
      <c r="X2746">
        <v>0</v>
      </c>
      <c r="Y2746" t="s">
        <v>4356</v>
      </c>
    </row>
    <row r="2747" spans="1:25" x14ac:dyDescent="0.25">
      <c r="H2747" t="s">
        <v>23</v>
      </c>
    </row>
    <row r="2748" spans="1:25" x14ac:dyDescent="0.25">
      <c r="A2748">
        <v>1371</v>
      </c>
      <c r="B2748">
        <v>6081</v>
      </c>
      <c r="C2748" t="s">
        <v>4357</v>
      </c>
      <c r="D2748" t="s">
        <v>895</v>
      </c>
      <c r="E2748" t="s">
        <v>252</v>
      </c>
      <c r="F2748" t="s">
        <v>4358</v>
      </c>
      <c r="G2748" t="str">
        <f>"00013169"</f>
        <v>00013169</v>
      </c>
      <c r="H2748" t="s">
        <v>1397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30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0</v>
      </c>
      <c r="X2748">
        <v>0</v>
      </c>
      <c r="Y2748" t="s">
        <v>4359</v>
      </c>
    </row>
    <row r="2749" spans="1:25" x14ac:dyDescent="0.25">
      <c r="H2749" t="s">
        <v>23</v>
      </c>
    </row>
    <row r="2750" spans="1:25" x14ac:dyDescent="0.25">
      <c r="A2750">
        <v>1372</v>
      </c>
      <c r="B2750">
        <v>2442</v>
      </c>
      <c r="C2750" t="s">
        <v>2000</v>
      </c>
      <c r="D2750" t="s">
        <v>159</v>
      </c>
      <c r="E2750" t="s">
        <v>87</v>
      </c>
      <c r="F2750" t="s">
        <v>4360</v>
      </c>
      <c r="G2750" t="str">
        <f>"00014804"</f>
        <v>00014804</v>
      </c>
      <c r="H2750" t="s">
        <v>2109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0</v>
      </c>
      <c r="X2750">
        <v>0</v>
      </c>
      <c r="Y2750" t="s">
        <v>2109</v>
      </c>
    </row>
    <row r="2751" spans="1:25" x14ac:dyDescent="0.25">
      <c r="H2751" t="s">
        <v>23</v>
      </c>
    </row>
    <row r="2752" spans="1:25" x14ac:dyDescent="0.25">
      <c r="A2752">
        <v>1373</v>
      </c>
      <c r="B2752">
        <v>80</v>
      </c>
      <c r="C2752" t="s">
        <v>4361</v>
      </c>
      <c r="D2752" t="s">
        <v>87</v>
      </c>
      <c r="E2752" t="s">
        <v>37</v>
      </c>
      <c r="F2752" t="s">
        <v>4362</v>
      </c>
      <c r="G2752" t="str">
        <f>"00121579"</f>
        <v>00121579</v>
      </c>
      <c r="H2752" t="s">
        <v>4270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30</v>
      </c>
      <c r="O2752">
        <v>0</v>
      </c>
      <c r="P2752">
        <v>30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X2752">
        <v>0</v>
      </c>
      <c r="Y2752" t="s">
        <v>4363</v>
      </c>
    </row>
    <row r="2753" spans="1:25" x14ac:dyDescent="0.25">
      <c r="H2753">
        <v>103</v>
      </c>
    </row>
    <row r="2754" spans="1:25" x14ac:dyDescent="0.25">
      <c r="A2754">
        <v>1374</v>
      </c>
      <c r="B2754">
        <v>4949</v>
      </c>
      <c r="C2754" t="s">
        <v>4364</v>
      </c>
      <c r="D2754" t="s">
        <v>1257</v>
      </c>
      <c r="E2754" t="s">
        <v>2199</v>
      </c>
      <c r="F2754" t="s">
        <v>4365</v>
      </c>
      <c r="G2754" t="str">
        <f>"00161769"</f>
        <v>00161769</v>
      </c>
      <c r="H2754">
        <v>660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50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0</v>
      </c>
      <c r="X2754">
        <v>0</v>
      </c>
      <c r="Y2754">
        <v>710</v>
      </c>
    </row>
    <row r="2755" spans="1:25" x14ac:dyDescent="0.25">
      <c r="H2755" t="s">
        <v>34</v>
      </c>
    </row>
    <row r="2756" spans="1:25" x14ac:dyDescent="0.25">
      <c r="A2756">
        <v>1375</v>
      </c>
      <c r="B2756">
        <v>4313</v>
      </c>
      <c r="C2756" t="s">
        <v>4366</v>
      </c>
      <c r="D2756" t="s">
        <v>209</v>
      </c>
      <c r="E2756" t="s">
        <v>1257</v>
      </c>
      <c r="F2756" t="s">
        <v>4367</v>
      </c>
      <c r="G2756" t="str">
        <f>"00201009"</f>
        <v>00201009</v>
      </c>
      <c r="H2756">
        <v>660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50</v>
      </c>
      <c r="R2756">
        <v>0</v>
      </c>
      <c r="S2756">
        <v>0</v>
      </c>
      <c r="T2756">
        <v>0</v>
      </c>
      <c r="U2756">
        <v>0</v>
      </c>
      <c r="V2756">
        <v>0</v>
      </c>
      <c r="X2756">
        <v>0</v>
      </c>
      <c r="Y2756">
        <v>710</v>
      </c>
    </row>
    <row r="2757" spans="1:25" x14ac:dyDescent="0.25">
      <c r="H2757" t="s">
        <v>34</v>
      </c>
    </row>
    <row r="2758" spans="1:25" x14ac:dyDescent="0.25">
      <c r="A2758">
        <v>1376</v>
      </c>
      <c r="B2758">
        <v>3999</v>
      </c>
      <c r="C2758" t="s">
        <v>4368</v>
      </c>
      <c r="D2758" t="s">
        <v>25</v>
      </c>
      <c r="E2758" t="s">
        <v>43</v>
      </c>
      <c r="F2758" t="s">
        <v>4369</v>
      </c>
      <c r="G2758" t="str">
        <f>"00094156"</f>
        <v>00094156</v>
      </c>
      <c r="H2758" t="s">
        <v>783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0</v>
      </c>
      <c r="X2758">
        <v>0</v>
      </c>
      <c r="Y2758" t="s">
        <v>783</v>
      </c>
    </row>
    <row r="2759" spans="1:25" x14ac:dyDescent="0.25">
      <c r="H2759" t="s">
        <v>118</v>
      </c>
    </row>
    <row r="2760" spans="1:25" x14ac:dyDescent="0.25">
      <c r="A2760">
        <v>1377</v>
      </c>
      <c r="B2760">
        <v>3697</v>
      </c>
      <c r="C2760" t="s">
        <v>4370</v>
      </c>
      <c r="D2760" t="s">
        <v>4371</v>
      </c>
      <c r="E2760" t="s">
        <v>1886</v>
      </c>
      <c r="F2760" t="s">
        <v>4372</v>
      </c>
      <c r="G2760" t="str">
        <f>"00144967"</f>
        <v>00144967</v>
      </c>
      <c r="H2760" t="s">
        <v>2816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70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X2760">
        <v>0</v>
      </c>
      <c r="Y2760" t="s">
        <v>4373</v>
      </c>
    </row>
    <row r="2761" spans="1:25" x14ac:dyDescent="0.25">
      <c r="H2761" t="s">
        <v>507</v>
      </c>
    </row>
    <row r="2762" spans="1:25" x14ac:dyDescent="0.25">
      <c r="A2762">
        <v>1378</v>
      </c>
      <c r="B2762">
        <v>1109</v>
      </c>
      <c r="C2762" t="s">
        <v>4374</v>
      </c>
      <c r="D2762" t="s">
        <v>49</v>
      </c>
      <c r="E2762" t="s">
        <v>419</v>
      </c>
      <c r="F2762" t="s">
        <v>4375</v>
      </c>
      <c r="G2762" t="str">
        <f>"00188498"</f>
        <v>00188498</v>
      </c>
      <c r="H2762" t="s">
        <v>2063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30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0</v>
      </c>
      <c r="X2762">
        <v>0</v>
      </c>
      <c r="Y2762" t="s">
        <v>4376</v>
      </c>
    </row>
    <row r="2763" spans="1:25" x14ac:dyDescent="0.25">
      <c r="H2763" t="s">
        <v>23</v>
      </c>
    </row>
    <row r="2764" spans="1:25" x14ac:dyDescent="0.25">
      <c r="A2764">
        <v>1379</v>
      </c>
      <c r="B2764">
        <v>959</v>
      </c>
      <c r="C2764" t="s">
        <v>4377</v>
      </c>
      <c r="D2764" t="s">
        <v>87</v>
      </c>
      <c r="E2764" t="s">
        <v>49</v>
      </c>
      <c r="F2764" t="s">
        <v>4378</v>
      </c>
      <c r="G2764" t="str">
        <f>"200802001873"</f>
        <v>200802001873</v>
      </c>
      <c r="H2764" t="s">
        <v>2063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30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X2764">
        <v>0</v>
      </c>
      <c r="Y2764" t="s">
        <v>4376</v>
      </c>
    </row>
    <row r="2765" spans="1:25" x14ac:dyDescent="0.25">
      <c r="H2765" t="s">
        <v>53</v>
      </c>
    </row>
    <row r="2766" spans="1:25" x14ac:dyDescent="0.25">
      <c r="A2766">
        <v>1380</v>
      </c>
      <c r="B2766">
        <v>6125</v>
      </c>
      <c r="C2766" t="s">
        <v>4379</v>
      </c>
      <c r="D2766" t="s">
        <v>854</v>
      </c>
      <c r="E2766" t="s">
        <v>43</v>
      </c>
      <c r="F2766" t="s">
        <v>4380</v>
      </c>
      <c r="G2766" t="str">
        <f>"00198829"</f>
        <v>00198829</v>
      </c>
      <c r="H2766" t="s">
        <v>1276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30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X2766">
        <v>0</v>
      </c>
      <c r="Y2766" t="s">
        <v>4381</v>
      </c>
    </row>
    <row r="2767" spans="1:25" x14ac:dyDescent="0.25">
      <c r="H2767" t="s">
        <v>53</v>
      </c>
    </row>
    <row r="2768" spans="1:25" x14ac:dyDescent="0.25">
      <c r="A2768">
        <v>1381</v>
      </c>
      <c r="B2768">
        <v>1926</v>
      </c>
      <c r="C2768" t="s">
        <v>4382</v>
      </c>
      <c r="D2768" t="s">
        <v>25</v>
      </c>
      <c r="E2768" t="s">
        <v>383</v>
      </c>
      <c r="F2768" t="s">
        <v>4383</v>
      </c>
      <c r="G2768" t="str">
        <f>"201304003368"</f>
        <v>201304003368</v>
      </c>
      <c r="H2768" t="s">
        <v>1276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30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X2768">
        <v>0</v>
      </c>
      <c r="Y2768" t="s">
        <v>4381</v>
      </c>
    </row>
    <row r="2769" spans="1:25" x14ac:dyDescent="0.25">
      <c r="H2769" t="s">
        <v>366</v>
      </c>
    </row>
    <row r="2770" spans="1:25" x14ac:dyDescent="0.25">
      <c r="A2770">
        <v>1382</v>
      </c>
      <c r="B2770">
        <v>1015</v>
      </c>
      <c r="C2770" t="s">
        <v>4384</v>
      </c>
      <c r="D2770" t="s">
        <v>509</v>
      </c>
      <c r="E2770" t="s">
        <v>4385</v>
      </c>
      <c r="F2770" t="s">
        <v>4386</v>
      </c>
      <c r="G2770" t="str">
        <f>"00129041"</f>
        <v>00129041</v>
      </c>
      <c r="H2770" t="s">
        <v>842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70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X2770">
        <v>0</v>
      </c>
      <c r="Y2770" t="s">
        <v>4387</v>
      </c>
    </row>
    <row r="2771" spans="1:25" x14ac:dyDescent="0.25">
      <c r="H2771">
        <v>101</v>
      </c>
    </row>
    <row r="2772" spans="1:25" x14ac:dyDescent="0.25">
      <c r="A2772">
        <v>1383</v>
      </c>
      <c r="B2772">
        <v>4333</v>
      </c>
      <c r="C2772" t="s">
        <v>4388</v>
      </c>
      <c r="D2772" t="s">
        <v>509</v>
      </c>
      <c r="E2772" t="s">
        <v>49</v>
      </c>
      <c r="F2772" t="s">
        <v>4389</v>
      </c>
      <c r="G2772" t="str">
        <f>"201506003648"</f>
        <v>201506003648</v>
      </c>
      <c r="H2772" t="s">
        <v>842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70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X2772">
        <v>0</v>
      </c>
      <c r="Y2772" t="s">
        <v>4387</v>
      </c>
    </row>
    <row r="2773" spans="1:25" x14ac:dyDescent="0.25">
      <c r="H2773" t="s">
        <v>118</v>
      </c>
    </row>
    <row r="2774" spans="1:25" x14ac:dyDescent="0.25">
      <c r="A2774">
        <v>1384</v>
      </c>
      <c r="B2774">
        <v>2356</v>
      </c>
      <c r="C2774" t="s">
        <v>4390</v>
      </c>
      <c r="D2774" t="s">
        <v>4391</v>
      </c>
      <c r="E2774" t="s">
        <v>419</v>
      </c>
      <c r="F2774" t="s">
        <v>4392</v>
      </c>
      <c r="G2774" t="str">
        <f>"201506003409"</f>
        <v>201506003409</v>
      </c>
      <c r="H2774" t="s">
        <v>2250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30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X2774">
        <v>0</v>
      </c>
      <c r="Y2774" t="s">
        <v>4393</v>
      </c>
    </row>
    <row r="2775" spans="1:25" x14ac:dyDescent="0.25">
      <c r="H2775" t="s">
        <v>366</v>
      </c>
    </row>
    <row r="2776" spans="1:25" x14ac:dyDescent="0.25">
      <c r="A2776">
        <v>1385</v>
      </c>
      <c r="B2776">
        <v>726</v>
      </c>
      <c r="C2776" t="s">
        <v>4394</v>
      </c>
      <c r="D2776" t="s">
        <v>113</v>
      </c>
      <c r="E2776" t="s">
        <v>65</v>
      </c>
      <c r="F2776" t="s">
        <v>4395</v>
      </c>
      <c r="G2776" t="str">
        <f>"00013189"</f>
        <v>00013189</v>
      </c>
      <c r="H2776" t="s">
        <v>2787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50</v>
      </c>
      <c r="O2776">
        <v>30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0</v>
      </c>
      <c r="X2776">
        <v>0</v>
      </c>
      <c r="Y2776" t="s">
        <v>4396</v>
      </c>
    </row>
    <row r="2777" spans="1:25" x14ac:dyDescent="0.25">
      <c r="H2777" t="s">
        <v>213</v>
      </c>
    </row>
    <row r="2778" spans="1:25" x14ac:dyDescent="0.25">
      <c r="A2778">
        <v>1386</v>
      </c>
      <c r="B2778">
        <v>1505</v>
      </c>
      <c r="C2778" t="s">
        <v>4397</v>
      </c>
      <c r="D2778" t="s">
        <v>3627</v>
      </c>
      <c r="E2778" t="s">
        <v>86</v>
      </c>
      <c r="F2778" t="s">
        <v>4398</v>
      </c>
      <c r="G2778" t="str">
        <f>"00155402"</f>
        <v>00155402</v>
      </c>
      <c r="H2778" t="s">
        <v>4399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30</v>
      </c>
      <c r="O2778">
        <v>0</v>
      </c>
      <c r="P2778">
        <v>30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X2778">
        <v>0</v>
      </c>
      <c r="Y2778" t="s">
        <v>4400</v>
      </c>
    </row>
    <row r="2779" spans="1:25" x14ac:dyDescent="0.25">
      <c r="H2779">
        <v>103</v>
      </c>
    </row>
    <row r="2780" spans="1:25" x14ac:dyDescent="0.25">
      <c r="A2780">
        <v>1387</v>
      </c>
      <c r="B2780">
        <v>5107</v>
      </c>
      <c r="C2780" t="s">
        <v>4401</v>
      </c>
      <c r="D2780" t="s">
        <v>193</v>
      </c>
      <c r="E2780" t="s">
        <v>43</v>
      </c>
      <c r="F2780" t="s">
        <v>4402</v>
      </c>
      <c r="G2780" t="str">
        <f>"00114639"</f>
        <v>00114639</v>
      </c>
      <c r="H2780" t="s">
        <v>4119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50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0</v>
      </c>
      <c r="X2780">
        <v>0</v>
      </c>
      <c r="Y2780" t="s">
        <v>4403</v>
      </c>
    </row>
    <row r="2781" spans="1:25" x14ac:dyDescent="0.25">
      <c r="H2781" t="s">
        <v>34</v>
      </c>
    </row>
    <row r="2782" spans="1:25" x14ac:dyDescent="0.25">
      <c r="A2782">
        <v>1388</v>
      </c>
      <c r="B2782">
        <v>2680</v>
      </c>
      <c r="C2782" t="s">
        <v>4404</v>
      </c>
      <c r="D2782" t="s">
        <v>113</v>
      </c>
      <c r="E2782" t="s">
        <v>4405</v>
      </c>
      <c r="F2782" t="s">
        <v>4406</v>
      </c>
      <c r="G2782" t="str">
        <f>"00124558"</f>
        <v>00124558</v>
      </c>
      <c r="H2782">
        <v>671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30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</v>
      </c>
      <c r="X2782">
        <v>0</v>
      </c>
      <c r="Y2782">
        <v>701</v>
      </c>
    </row>
    <row r="2783" spans="1:25" x14ac:dyDescent="0.25">
      <c r="H2783" t="s">
        <v>23</v>
      </c>
    </row>
    <row r="2784" spans="1:25" x14ac:dyDescent="0.25">
      <c r="A2784">
        <v>1389</v>
      </c>
      <c r="B2784">
        <v>7</v>
      </c>
      <c r="C2784" t="s">
        <v>4407</v>
      </c>
      <c r="D2784" t="s">
        <v>87</v>
      </c>
      <c r="E2784" t="s">
        <v>130</v>
      </c>
      <c r="F2784" t="s">
        <v>4408</v>
      </c>
      <c r="G2784" t="str">
        <f>"00079531"</f>
        <v>00079531</v>
      </c>
      <c r="H2784" t="s">
        <v>2458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30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X2784">
        <v>0</v>
      </c>
      <c r="Y2784" t="s">
        <v>4409</v>
      </c>
    </row>
    <row r="2785" spans="1:25" x14ac:dyDescent="0.25">
      <c r="H2785" t="s">
        <v>91</v>
      </c>
    </row>
    <row r="2786" spans="1:25" x14ac:dyDescent="0.25">
      <c r="A2786">
        <v>1390</v>
      </c>
      <c r="B2786">
        <v>6384</v>
      </c>
      <c r="C2786" t="s">
        <v>4410</v>
      </c>
      <c r="D2786" t="s">
        <v>15</v>
      </c>
      <c r="E2786" t="s">
        <v>200</v>
      </c>
      <c r="F2786" t="s">
        <v>4411</v>
      </c>
      <c r="G2786" t="str">
        <f>"00086167"</f>
        <v>00086167</v>
      </c>
      <c r="H2786" t="s">
        <v>2458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30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X2786">
        <v>0</v>
      </c>
      <c r="Y2786" t="s">
        <v>4409</v>
      </c>
    </row>
    <row r="2787" spans="1:25" x14ac:dyDescent="0.25">
      <c r="H2787" t="s">
        <v>145</v>
      </c>
    </row>
    <row r="2788" spans="1:25" x14ac:dyDescent="0.25">
      <c r="A2788">
        <v>1391</v>
      </c>
      <c r="B2788">
        <v>3867</v>
      </c>
      <c r="C2788" t="s">
        <v>4412</v>
      </c>
      <c r="D2788" t="s">
        <v>200</v>
      </c>
      <c r="E2788" t="s">
        <v>49</v>
      </c>
      <c r="F2788" t="s">
        <v>4413</v>
      </c>
      <c r="G2788" t="str">
        <f>"201604004871"</f>
        <v>201604004871</v>
      </c>
      <c r="H2788" t="s">
        <v>2292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30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0</v>
      </c>
      <c r="X2788">
        <v>0</v>
      </c>
      <c r="Y2788" t="s">
        <v>4414</v>
      </c>
    </row>
    <row r="2789" spans="1:25" x14ac:dyDescent="0.25">
      <c r="H2789" t="s">
        <v>23</v>
      </c>
    </row>
    <row r="2790" spans="1:25" x14ac:dyDescent="0.25">
      <c r="A2790">
        <v>1392</v>
      </c>
      <c r="B2790">
        <v>6311</v>
      </c>
      <c r="C2790" t="s">
        <v>1274</v>
      </c>
      <c r="D2790" t="s">
        <v>4415</v>
      </c>
      <c r="E2790" t="s">
        <v>4416</v>
      </c>
      <c r="F2790" t="s">
        <v>4417</v>
      </c>
      <c r="G2790" t="str">
        <f>"00198613"</f>
        <v>00198613</v>
      </c>
      <c r="H2790" t="s">
        <v>1672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30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</v>
      </c>
      <c r="X2790">
        <v>0</v>
      </c>
      <c r="Y2790" t="s">
        <v>4418</v>
      </c>
    </row>
    <row r="2791" spans="1:25" x14ac:dyDescent="0.25">
      <c r="H2791" t="s">
        <v>213</v>
      </c>
    </row>
    <row r="2792" spans="1:25" x14ac:dyDescent="0.25">
      <c r="A2792">
        <v>1393</v>
      </c>
      <c r="B2792">
        <v>2326</v>
      </c>
      <c r="C2792" t="s">
        <v>4419</v>
      </c>
      <c r="D2792" t="s">
        <v>4420</v>
      </c>
      <c r="E2792" t="s">
        <v>2199</v>
      </c>
      <c r="F2792" t="s">
        <v>4421</v>
      </c>
      <c r="G2792" t="str">
        <f>"201406012518"</f>
        <v>201406012518</v>
      </c>
      <c r="H2792" t="s">
        <v>1672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30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0</v>
      </c>
      <c r="X2792">
        <v>0</v>
      </c>
      <c r="Y2792" t="s">
        <v>4418</v>
      </c>
    </row>
    <row r="2793" spans="1:25" x14ac:dyDescent="0.25">
      <c r="H2793">
        <v>101</v>
      </c>
    </row>
    <row r="2794" spans="1:25" x14ac:dyDescent="0.25">
      <c r="A2794">
        <v>1394</v>
      </c>
      <c r="B2794">
        <v>3093</v>
      </c>
      <c r="C2794" t="s">
        <v>4422</v>
      </c>
      <c r="D2794" t="s">
        <v>629</v>
      </c>
      <c r="E2794" t="s">
        <v>4423</v>
      </c>
      <c r="F2794" t="s">
        <v>4424</v>
      </c>
      <c r="G2794" t="str">
        <f>"00208409"</f>
        <v>00208409</v>
      </c>
      <c r="H2794" t="s">
        <v>2340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30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0</v>
      </c>
      <c r="X2794">
        <v>0</v>
      </c>
      <c r="Y2794" t="s">
        <v>4425</v>
      </c>
    </row>
    <row r="2795" spans="1:25" x14ac:dyDescent="0.25">
      <c r="H2795" t="s">
        <v>23</v>
      </c>
    </row>
    <row r="2796" spans="1:25" x14ac:dyDescent="0.25">
      <c r="A2796">
        <v>1395</v>
      </c>
      <c r="B2796">
        <v>4219</v>
      </c>
      <c r="C2796" t="s">
        <v>4426</v>
      </c>
      <c r="D2796" t="s">
        <v>48</v>
      </c>
      <c r="E2796" t="s">
        <v>200</v>
      </c>
      <c r="F2796" t="s">
        <v>4427</v>
      </c>
      <c r="G2796" t="str">
        <f>"00160833"</f>
        <v>00160833</v>
      </c>
      <c r="H2796" t="s">
        <v>2935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70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X2796">
        <v>0</v>
      </c>
      <c r="Y2796" t="s">
        <v>4428</v>
      </c>
    </row>
    <row r="2797" spans="1:25" x14ac:dyDescent="0.25">
      <c r="H2797" t="s">
        <v>34</v>
      </c>
    </row>
    <row r="2798" spans="1:25" x14ac:dyDescent="0.25">
      <c r="A2798">
        <v>1396</v>
      </c>
      <c r="B2798">
        <v>2308</v>
      </c>
      <c r="C2798" t="s">
        <v>4429</v>
      </c>
      <c r="D2798" t="s">
        <v>4430</v>
      </c>
      <c r="E2798" t="s">
        <v>147</v>
      </c>
      <c r="F2798" t="s">
        <v>4431</v>
      </c>
      <c r="G2798" t="str">
        <f>"00085946"</f>
        <v>00085946</v>
      </c>
      <c r="H2798" t="s">
        <v>3260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30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X2798">
        <v>0</v>
      </c>
      <c r="Y2798" t="s">
        <v>4432</v>
      </c>
    </row>
    <row r="2799" spans="1:25" x14ac:dyDescent="0.25">
      <c r="H2799">
        <v>101</v>
      </c>
    </row>
    <row r="2800" spans="1:25" x14ac:dyDescent="0.25">
      <c r="A2800">
        <v>1397</v>
      </c>
      <c r="B2800">
        <v>1587</v>
      </c>
      <c r="C2800" t="s">
        <v>4433</v>
      </c>
      <c r="D2800" t="s">
        <v>1030</v>
      </c>
      <c r="E2800" t="s">
        <v>781</v>
      </c>
      <c r="F2800" t="s">
        <v>4434</v>
      </c>
      <c r="G2800" t="str">
        <f>"00116822"</f>
        <v>00116822</v>
      </c>
      <c r="H2800" t="s">
        <v>3260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30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X2800">
        <v>0</v>
      </c>
      <c r="Y2800" t="s">
        <v>4432</v>
      </c>
    </row>
    <row r="2801" spans="1:25" x14ac:dyDescent="0.25">
      <c r="H2801" t="s">
        <v>53</v>
      </c>
    </row>
    <row r="2802" spans="1:25" x14ac:dyDescent="0.25">
      <c r="A2802">
        <v>1398</v>
      </c>
      <c r="B2802">
        <v>3029</v>
      </c>
      <c r="C2802" t="s">
        <v>4435</v>
      </c>
      <c r="D2802" t="s">
        <v>99</v>
      </c>
      <c r="E2802" t="s">
        <v>4436</v>
      </c>
      <c r="F2802" t="s">
        <v>4437</v>
      </c>
      <c r="G2802" t="str">
        <f>"201506003180"</f>
        <v>201506003180</v>
      </c>
      <c r="H2802" t="s">
        <v>3657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0</v>
      </c>
      <c r="X2802">
        <v>0</v>
      </c>
      <c r="Y2802" t="s">
        <v>4438</v>
      </c>
    </row>
    <row r="2803" spans="1:25" x14ac:dyDescent="0.25">
      <c r="H2803" t="s">
        <v>23</v>
      </c>
    </row>
    <row r="2804" spans="1:25" x14ac:dyDescent="0.25">
      <c r="A2804">
        <v>1399</v>
      </c>
      <c r="B2804">
        <v>1414</v>
      </c>
      <c r="C2804" t="s">
        <v>4439</v>
      </c>
      <c r="D2804" t="s">
        <v>25</v>
      </c>
      <c r="E2804" t="s">
        <v>21</v>
      </c>
      <c r="F2804" t="s">
        <v>4440</v>
      </c>
      <c r="G2804" t="str">
        <f>"201401001995"</f>
        <v>201401001995</v>
      </c>
      <c r="H2804" t="s">
        <v>3657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30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X2804">
        <v>0</v>
      </c>
      <c r="Y2804" t="s">
        <v>4438</v>
      </c>
    </row>
    <row r="2805" spans="1:25" x14ac:dyDescent="0.25">
      <c r="H2805" t="s">
        <v>213</v>
      </c>
    </row>
    <row r="2806" spans="1:25" x14ac:dyDescent="0.25">
      <c r="A2806">
        <v>1400</v>
      </c>
      <c r="B2806">
        <v>2202</v>
      </c>
      <c r="C2806" t="s">
        <v>4441</v>
      </c>
      <c r="D2806" t="s">
        <v>4442</v>
      </c>
      <c r="E2806" t="s">
        <v>781</v>
      </c>
      <c r="F2806" t="s">
        <v>4443</v>
      </c>
      <c r="G2806" t="str">
        <f>"201304000414"</f>
        <v>201304000414</v>
      </c>
      <c r="H2806" t="s">
        <v>4444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70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0</v>
      </c>
      <c r="X2806">
        <v>1</v>
      </c>
      <c r="Y2806" t="s">
        <v>4445</v>
      </c>
    </row>
    <row r="2807" spans="1:25" x14ac:dyDescent="0.25">
      <c r="H2807" t="s">
        <v>118</v>
      </c>
    </row>
    <row r="2808" spans="1:25" x14ac:dyDescent="0.25">
      <c r="A2808">
        <v>1401</v>
      </c>
      <c r="B2808">
        <v>5378</v>
      </c>
      <c r="C2808" t="s">
        <v>4446</v>
      </c>
      <c r="D2808" t="s">
        <v>689</v>
      </c>
      <c r="E2808" t="s">
        <v>429</v>
      </c>
      <c r="F2808" t="s">
        <v>4447</v>
      </c>
      <c r="G2808" t="str">
        <f>"00191285"</f>
        <v>00191285</v>
      </c>
      <c r="H2808">
        <v>660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30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0</v>
      </c>
      <c r="X2808">
        <v>0</v>
      </c>
      <c r="Y2808">
        <v>690</v>
      </c>
    </row>
    <row r="2809" spans="1:25" x14ac:dyDescent="0.25">
      <c r="H2809" t="s">
        <v>34</v>
      </c>
    </row>
    <row r="2810" spans="1:25" x14ac:dyDescent="0.25">
      <c r="A2810">
        <v>1402</v>
      </c>
      <c r="B2810">
        <v>5376</v>
      </c>
      <c r="C2810" t="s">
        <v>4448</v>
      </c>
      <c r="D2810" t="s">
        <v>4449</v>
      </c>
      <c r="E2810" t="s">
        <v>350</v>
      </c>
      <c r="F2810" t="s">
        <v>4450</v>
      </c>
      <c r="G2810" t="str">
        <f>"201604001877"</f>
        <v>201604001877</v>
      </c>
      <c r="H2810">
        <v>660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30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0</v>
      </c>
      <c r="X2810">
        <v>0</v>
      </c>
      <c r="Y2810">
        <v>690</v>
      </c>
    </row>
    <row r="2811" spans="1:25" x14ac:dyDescent="0.25">
      <c r="H2811" t="s">
        <v>34</v>
      </c>
    </row>
    <row r="2812" spans="1:25" x14ac:dyDescent="0.25">
      <c r="A2812">
        <v>1403</v>
      </c>
      <c r="B2812">
        <v>4065</v>
      </c>
      <c r="C2812" t="s">
        <v>982</v>
      </c>
      <c r="D2812" t="s">
        <v>805</v>
      </c>
      <c r="E2812" t="s">
        <v>4451</v>
      </c>
      <c r="F2812" t="s">
        <v>4452</v>
      </c>
      <c r="G2812" t="str">
        <f>"201406013098"</f>
        <v>201406013098</v>
      </c>
      <c r="H2812">
        <v>660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30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</v>
      </c>
      <c r="X2812">
        <v>0</v>
      </c>
      <c r="Y2812">
        <v>690</v>
      </c>
    </row>
    <row r="2813" spans="1:25" x14ac:dyDescent="0.25">
      <c r="H2813">
        <v>101</v>
      </c>
    </row>
    <row r="2814" spans="1:25" x14ac:dyDescent="0.25">
      <c r="A2814">
        <v>1404</v>
      </c>
      <c r="B2814">
        <v>6430</v>
      </c>
      <c r="C2814" t="s">
        <v>4453</v>
      </c>
      <c r="D2814" t="s">
        <v>245</v>
      </c>
      <c r="E2814" t="s">
        <v>200</v>
      </c>
      <c r="F2814" t="s">
        <v>4454</v>
      </c>
      <c r="G2814" t="str">
        <f>"00113834"</f>
        <v>00113834</v>
      </c>
      <c r="H2814" t="s">
        <v>2892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70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X2814">
        <v>0</v>
      </c>
      <c r="Y2814" t="s">
        <v>4455</v>
      </c>
    </row>
    <row r="2815" spans="1:25" x14ac:dyDescent="0.25">
      <c r="H2815" t="s">
        <v>34</v>
      </c>
    </row>
    <row r="2816" spans="1:25" x14ac:dyDescent="0.25">
      <c r="A2816">
        <v>1405</v>
      </c>
      <c r="B2816">
        <v>6289</v>
      </c>
      <c r="C2816" t="s">
        <v>4456</v>
      </c>
      <c r="D2816" t="s">
        <v>355</v>
      </c>
      <c r="E2816" t="s">
        <v>49</v>
      </c>
      <c r="F2816" t="s">
        <v>4457</v>
      </c>
      <c r="G2816" t="str">
        <f>"00080845"</f>
        <v>00080845</v>
      </c>
      <c r="H2816" t="s">
        <v>2529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30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0</v>
      </c>
      <c r="X2816">
        <v>1</v>
      </c>
      <c r="Y2816" t="s">
        <v>4458</v>
      </c>
    </row>
    <row r="2817" spans="1:25" x14ac:dyDescent="0.25">
      <c r="H2817" t="s">
        <v>23</v>
      </c>
    </row>
    <row r="2818" spans="1:25" x14ac:dyDescent="0.25">
      <c r="A2818">
        <v>1406</v>
      </c>
      <c r="B2818">
        <v>4348</v>
      </c>
      <c r="C2818" t="s">
        <v>4459</v>
      </c>
      <c r="D2818" t="s">
        <v>891</v>
      </c>
      <c r="E2818" t="s">
        <v>55</v>
      </c>
      <c r="F2818" t="s">
        <v>4460</v>
      </c>
      <c r="G2818" t="str">
        <f>"201405001580"</f>
        <v>201405001580</v>
      </c>
      <c r="H2818" t="s">
        <v>3774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70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0</v>
      </c>
      <c r="X2818">
        <v>0</v>
      </c>
      <c r="Y2818" t="s">
        <v>4461</v>
      </c>
    </row>
    <row r="2819" spans="1:25" x14ac:dyDescent="0.25">
      <c r="H2819">
        <v>101</v>
      </c>
    </row>
    <row r="2820" spans="1:25" x14ac:dyDescent="0.25">
      <c r="A2820">
        <v>1407</v>
      </c>
      <c r="B2820">
        <v>4545</v>
      </c>
      <c r="C2820" t="s">
        <v>4462</v>
      </c>
      <c r="D2820" t="s">
        <v>25</v>
      </c>
      <c r="E2820" t="s">
        <v>21</v>
      </c>
      <c r="F2820" t="s">
        <v>4463</v>
      </c>
      <c r="G2820" t="str">
        <f>"00014837"</f>
        <v>00014837</v>
      </c>
      <c r="H2820" t="s">
        <v>1570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30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0</v>
      </c>
      <c r="X2820">
        <v>2</v>
      </c>
      <c r="Y2820" t="s">
        <v>4464</v>
      </c>
    </row>
    <row r="2821" spans="1:25" x14ac:dyDescent="0.25">
      <c r="H2821" t="s">
        <v>53</v>
      </c>
    </row>
    <row r="2822" spans="1:25" x14ac:dyDescent="0.25">
      <c r="A2822">
        <v>1408</v>
      </c>
      <c r="B2822">
        <v>682</v>
      </c>
      <c r="C2822" t="s">
        <v>4465</v>
      </c>
      <c r="D2822" t="s">
        <v>393</v>
      </c>
      <c r="E2822" t="s">
        <v>4466</v>
      </c>
      <c r="F2822" t="s">
        <v>4467</v>
      </c>
      <c r="G2822" t="str">
        <f>"201402000078"</f>
        <v>201402000078</v>
      </c>
      <c r="H2822" t="s">
        <v>3880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30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0</v>
      </c>
      <c r="X2822">
        <v>0</v>
      </c>
      <c r="Y2822" t="s">
        <v>4468</v>
      </c>
    </row>
    <row r="2823" spans="1:25" x14ac:dyDescent="0.25">
      <c r="H2823" t="s">
        <v>23</v>
      </c>
    </row>
    <row r="2824" spans="1:25" x14ac:dyDescent="0.25">
      <c r="A2824">
        <v>1409</v>
      </c>
      <c r="B2824">
        <v>5673</v>
      </c>
      <c r="C2824" t="s">
        <v>4469</v>
      </c>
      <c r="D2824" t="s">
        <v>864</v>
      </c>
      <c r="E2824" t="s">
        <v>49</v>
      </c>
      <c r="F2824" t="s">
        <v>4470</v>
      </c>
      <c r="G2824" t="str">
        <f>"00170695"</f>
        <v>00170695</v>
      </c>
      <c r="H2824" t="s">
        <v>3880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X2824">
        <v>0</v>
      </c>
      <c r="Y2824" t="s">
        <v>4468</v>
      </c>
    </row>
    <row r="2825" spans="1:25" x14ac:dyDescent="0.25">
      <c r="H2825" t="s">
        <v>23</v>
      </c>
    </row>
    <row r="2826" spans="1:25" x14ac:dyDescent="0.25">
      <c r="A2826">
        <v>1410</v>
      </c>
      <c r="B2826">
        <v>5375</v>
      </c>
      <c r="C2826" t="s">
        <v>4471</v>
      </c>
      <c r="D2826" t="s">
        <v>49</v>
      </c>
      <c r="E2826" t="s">
        <v>147</v>
      </c>
      <c r="F2826" t="s">
        <v>4472</v>
      </c>
      <c r="G2826" t="str">
        <f>"00084749"</f>
        <v>00084749</v>
      </c>
      <c r="H2826" t="s">
        <v>3884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70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0</v>
      </c>
      <c r="X2826">
        <v>0</v>
      </c>
      <c r="Y2826" t="s">
        <v>4473</v>
      </c>
    </row>
    <row r="2827" spans="1:25" x14ac:dyDescent="0.25">
      <c r="H2827" t="s">
        <v>34</v>
      </c>
    </row>
    <row r="2828" spans="1:25" x14ac:dyDescent="0.25">
      <c r="A2828">
        <v>1411</v>
      </c>
      <c r="B2828">
        <v>3580</v>
      </c>
      <c r="C2828" t="s">
        <v>4474</v>
      </c>
      <c r="D2828" t="s">
        <v>871</v>
      </c>
      <c r="E2828" t="s">
        <v>43</v>
      </c>
      <c r="F2828" t="s">
        <v>4475</v>
      </c>
      <c r="G2828" t="str">
        <f>"00124653"</f>
        <v>00124653</v>
      </c>
      <c r="H2828" t="s">
        <v>2419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30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X2828">
        <v>0</v>
      </c>
      <c r="Y2828" t="s">
        <v>4476</v>
      </c>
    </row>
    <row r="2829" spans="1:25" x14ac:dyDescent="0.25">
      <c r="H2829" t="s">
        <v>53</v>
      </c>
    </row>
    <row r="2830" spans="1:25" x14ac:dyDescent="0.25">
      <c r="A2830">
        <v>1412</v>
      </c>
      <c r="B2830">
        <v>1862</v>
      </c>
      <c r="C2830" t="s">
        <v>2680</v>
      </c>
      <c r="D2830" t="s">
        <v>322</v>
      </c>
      <c r="E2830" t="s">
        <v>87</v>
      </c>
      <c r="F2830" t="s">
        <v>4477</v>
      </c>
      <c r="G2830" t="str">
        <f>"00035955"</f>
        <v>00035955</v>
      </c>
      <c r="H2830" t="s">
        <v>2419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30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0</v>
      </c>
      <c r="X2830">
        <v>0</v>
      </c>
      <c r="Y2830" t="s">
        <v>4476</v>
      </c>
    </row>
    <row r="2831" spans="1:25" x14ac:dyDescent="0.25">
      <c r="H2831" t="s">
        <v>23</v>
      </c>
    </row>
    <row r="2832" spans="1:25" x14ac:dyDescent="0.25">
      <c r="A2832">
        <v>1413</v>
      </c>
      <c r="B2832">
        <v>2277</v>
      </c>
      <c r="C2832" t="s">
        <v>4478</v>
      </c>
      <c r="D2832" t="s">
        <v>242</v>
      </c>
      <c r="E2832" t="s">
        <v>1345</v>
      </c>
      <c r="F2832" t="s">
        <v>4479</v>
      </c>
      <c r="G2832" t="str">
        <f>"00011374"</f>
        <v>00011374</v>
      </c>
      <c r="H2832" t="s">
        <v>1970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30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X2832">
        <v>1</v>
      </c>
      <c r="Y2832" t="s">
        <v>4480</v>
      </c>
    </row>
    <row r="2833" spans="1:25" x14ac:dyDescent="0.25">
      <c r="H2833" t="s">
        <v>213</v>
      </c>
    </row>
    <row r="2834" spans="1:25" x14ac:dyDescent="0.25">
      <c r="A2834">
        <v>1414</v>
      </c>
      <c r="B2834">
        <v>2306</v>
      </c>
      <c r="C2834" t="s">
        <v>4481</v>
      </c>
      <c r="D2834" t="s">
        <v>900</v>
      </c>
      <c r="E2834" t="s">
        <v>43</v>
      </c>
      <c r="F2834" t="s">
        <v>4482</v>
      </c>
      <c r="G2834" t="str">
        <f>"00079213"</f>
        <v>00079213</v>
      </c>
      <c r="H2834" t="s">
        <v>2440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30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X2834">
        <v>0</v>
      </c>
      <c r="Y2834" t="s">
        <v>4483</v>
      </c>
    </row>
    <row r="2835" spans="1:25" x14ac:dyDescent="0.25">
      <c r="H2835" t="s">
        <v>23</v>
      </c>
    </row>
    <row r="2836" spans="1:25" x14ac:dyDescent="0.25">
      <c r="A2836">
        <v>1415</v>
      </c>
      <c r="B2836">
        <v>5525</v>
      </c>
      <c r="C2836" t="s">
        <v>4484</v>
      </c>
      <c r="D2836" t="s">
        <v>55</v>
      </c>
      <c r="E2836" t="s">
        <v>81</v>
      </c>
      <c r="F2836" t="s">
        <v>4485</v>
      </c>
      <c r="G2836" t="str">
        <f>"201406013602"</f>
        <v>201406013602</v>
      </c>
      <c r="H2836" t="s">
        <v>2440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30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X2836">
        <v>0</v>
      </c>
      <c r="Y2836" t="s">
        <v>4483</v>
      </c>
    </row>
    <row r="2837" spans="1:25" x14ac:dyDescent="0.25">
      <c r="H2837" t="s">
        <v>91</v>
      </c>
    </row>
    <row r="2838" spans="1:25" x14ac:dyDescent="0.25">
      <c r="A2838">
        <v>1416</v>
      </c>
      <c r="B2838">
        <v>2106</v>
      </c>
      <c r="C2838" t="s">
        <v>1086</v>
      </c>
      <c r="D2838" t="s">
        <v>217</v>
      </c>
      <c r="E2838" t="s">
        <v>424</v>
      </c>
      <c r="F2838" t="s">
        <v>4486</v>
      </c>
      <c r="G2838" t="str">
        <f>"00116930"</f>
        <v>00116930</v>
      </c>
      <c r="H2838" t="s">
        <v>2440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30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X2838">
        <v>1</v>
      </c>
      <c r="Y2838" t="s">
        <v>4483</v>
      </c>
    </row>
    <row r="2839" spans="1:25" x14ac:dyDescent="0.25">
      <c r="H2839" t="s">
        <v>34</v>
      </c>
    </row>
    <row r="2840" spans="1:25" x14ac:dyDescent="0.25">
      <c r="A2840">
        <v>1417</v>
      </c>
      <c r="B2840">
        <v>5329</v>
      </c>
      <c r="C2840" t="s">
        <v>4487</v>
      </c>
      <c r="D2840" t="s">
        <v>509</v>
      </c>
      <c r="E2840" t="s">
        <v>283</v>
      </c>
      <c r="F2840" t="s">
        <v>4488</v>
      </c>
      <c r="G2840" t="str">
        <f>"00092996"</f>
        <v>00092996</v>
      </c>
      <c r="H2840" t="s">
        <v>4119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30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0</v>
      </c>
      <c r="X2840">
        <v>0</v>
      </c>
      <c r="Y2840" t="s">
        <v>4489</v>
      </c>
    </row>
    <row r="2841" spans="1:25" x14ac:dyDescent="0.25">
      <c r="H2841">
        <v>101</v>
      </c>
    </row>
    <row r="2842" spans="1:25" x14ac:dyDescent="0.25">
      <c r="A2842">
        <v>1418</v>
      </c>
      <c r="B2842">
        <v>1434</v>
      </c>
      <c r="C2842" t="s">
        <v>4490</v>
      </c>
      <c r="D2842" t="s">
        <v>21</v>
      </c>
      <c r="E2842" t="s">
        <v>71</v>
      </c>
      <c r="F2842" t="s">
        <v>4491</v>
      </c>
      <c r="G2842" t="str">
        <f>"00192925"</f>
        <v>00192925</v>
      </c>
      <c r="H2842" t="s">
        <v>4270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30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0</v>
      </c>
      <c r="X2842">
        <v>0</v>
      </c>
      <c r="Y2842" t="s">
        <v>4492</v>
      </c>
    </row>
    <row r="2843" spans="1:25" x14ac:dyDescent="0.25">
      <c r="H2843" t="s">
        <v>118</v>
      </c>
    </row>
    <row r="2844" spans="1:25" x14ac:dyDescent="0.25">
      <c r="A2844">
        <v>1419</v>
      </c>
      <c r="B2844">
        <v>4511</v>
      </c>
      <c r="C2844" t="s">
        <v>134</v>
      </c>
      <c r="D2844" t="s">
        <v>891</v>
      </c>
      <c r="E2844" t="s">
        <v>49</v>
      </c>
      <c r="F2844" t="s">
        <v>4493</v>
      </c>
      <c r="G2844" t="str">
        <f>"00107867"</f>
        <v>00107867</v>
      </c>
      <c r="H2844">
        <v>649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30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X2844">
        <v>0</v>
      </c>
      <c r="Y2844">
        <v>679</v>
      </c>
    </row>
    <row r="2845" spans="1:25" x14ac:dyDescent="0.25">
      <c r="H2845">
        <v>102</v>
      </c>
    </row>
    <row r="2846" spans="1:25" x14ac:dyDescent="0.25">
      <c r="A2846">
        <v>1420</v>
      </c>
      <c r="B2846">
        <v>3932</v>
      </c>
      <c r="C2846" t="s">
        <v>4494</v>
      </c>
      <c r="D2846" t="s">
        <v>48</v>
      </c>
      <c r="E2846" t="s">
        <v>933</v>
      </c>
      <c r="F2846" t="s">
        <v>4495</v>
      </c>
      <c r="G2846" t="str">
        <f>"201511038950"</f>
        <v>201511038950</v>
      </c>
      <c r="H2846">
        <v>649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30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0</v>
      </c>
      <c r="X2846">
        <v>0</v>
      </c>
      <c r="Y2846">
        <v>679</v>
      </c>
    </row>
    <row r="2847" spans="1:25" x14ac:dyDescent="0.25">
      <c r="H2847" t="s">
        <v>23</v>
      </c>
    </row>
    <row r="2848" spans="1:25" x14ac:dyDescent="0.25">
      <c r="A2848">
        <v>1421</v>
      </c>
      <c r="B2848">
        <v>1379</v>
      </c>
      <c r="C2848" t="s">
        <v>4496</v>
      </c>
      <c r="D2848" t="s">
        <v>125</v>
      </c>
      <c r="E2848" t="s">
        <v>4497</v>
      </c>
      <c r="F2848" t="s">
        <v>4498</v>
      </c>
      <c r="G2848" t="str">
        <f>"00014844"</f>
        <v>00014844</v>
      </c>
      <c r="H2848">
        <v>649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30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X2848">
        <v>0</v>
      </c>
      <c r="Y2848">
        <v>679</v>
      </c>
    </row>
    <row r="2849" spans="1:25" x14ac:dyDescent="0.25">
      <c r="H2849">
        <v>103</v>
      </c>
    </row>
    <row r="2850" spans="1:25" x14ac:dyDescent="0.25">
      <c r="A2850">
        <v>1422</v>
      </c>
      <c r="B2850">
        <v>1395</v>
      </c>
      <c r="C2850" t="s">
        <v>1098</v>
      </c>
      <c r="D2850" t="s">
        <v>65</v>
      </c>
      <c r="E2850" t="s">
        <v>200</v>
      </c>
      <c r="F2850" t="s">
        <v>4499</v>
      </c>
      <c r="G2850" t="str">
        <f>"00126214"</f>
        <v>00126214</v>
      </c>
      <c r="H2850">
        <v>627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50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0</v>
      </c>
      <c r="X2850">
        <v>0</v>
      </c>
      <c r="Y2850">
        <v>677</v>
      </c>
    </row>
    <row r="2851" spans="1:25" x14ac:dyDescent="0.25">
      <c r="H2851" t="s">
        <v>23</v>
      </c>
    </row>
    <row r="2852" spans="1:25" x14ac:dyDescent="0.25">
      <c r="A2852">
        <v>1423</v>
      </c>
      <c r="B2852">
        <v>6540</v>
      </c>
      <c r="C2852" t="s">
        <v>4500</v>
      </c>
      <c r="D2852" t="s">
        <v>70</v>
      </c>
      <c r="E2852" t="s">
        <v>1035</v>
      </c>
      <c r="F2852" t="s">
        <v>4501</v>
      </c>
      <c r="G2852" t="str">
        <f>"00128260"</f>
        <v>00128260</v>
      </c>
      <c r="H2852" t="s">
        <v>1747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30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X2852">
        <v>0</v>
      </c>
      <c r="Y2852" t="s">
        <v>4502</v>
      </c>
    </row>
    <row r="2853" spans="1:25" x14ac:dyDescent="0.25">
      <c r="H2853" t="s">
        <v>34</v>
      </c>
    </row>
    <row r="2854" spans="1:25" x14ac:dyDescent="0.25">
      <c r="A2854">
        <v>1424</v>
      </c>
      <c r="B2854">
        <v>5830</v>
      </c>
      <c r="C2854" t="s">
        <v>2862</v>
      </c>
      <c r="D2854" t="s">
        <v>245</v>
      </c>
      <c r="E2854" t="s">
        <v>283</v>
      </c>
      <c r="F2854" t="s">
        <v>4503</v>
      </c>
      <c r="G2854" t="str">
        <f>"201406012761"</f>
        <v>201406012761</v>
      </c>
      <c r="H2854" t="s">
        <v>1747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30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X2854">
        <v>0</v>
      </c>
      <c r="Y2854" t="s">
        <v>4502</v>
      </c>
    </row>
    <row r="2855" spans="1:25" x14ac:dyDescent="0.25">
      <c r="H2855" t="s">
        <v>34</v>
      </c>
    </row>
    <row r="2856" spans="1:25" x14ac:dyDescent="0.25">
      <c r="A2856">
        <v>1425</v>
      </c>
      <c r="B2856">
        <v>6173</v>
      </c>
      <c r="C2856" t="s">
        <v>4504</v>
      </c>
      <c r="D2856" t="s">
        <v>25</v>
      </c>
      <c r="E2856" t="s">
        <v>1886</v>
      </c>
      <c r="F2856" t="s">
        <v>4505</v>
      </c>
      <c r="G2856" t="str">
        <f>"00129910"</f>
        <v>00129910</v>
      </c>
      <c r="H2856" t="s">
        <v>1276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0</v>
      </c>
      <c r="X2856">
        <v>0</v>
      </c>
      <c r="Y2856" t="s">
        <v>1276</v>
      </c>
    </row>
    <row r="2857" spans="1:25" x14ac:dyDescent="0.25">
      <c r="H2857" t="s">
        <v>23</v>
      </c>
    </row>
    <row r="2858" spans="1:25" x14ac:dyDescent="0.25">
      <c r="A2858">
        <v>1426</v>
      </c>
      <c r="B2858">
        <v>990</v>
      </c>
      <c r="C2858" t="s">
        <v>4506</v>
      </c>
      <c r="D2858" t="s">
        <v>4507</v>
      </c>
      <c r="E2858" t="s">
        <v>114</v>
      </c>
      <c r="F2858" t="s">
        <v>4508</v>
      </c>
      <c r="G2858" t="str">
        <f>"00188709"</f>
        <v>00188709</v>
      </c>
      <c r="H2858" t="s">
        <v>2515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30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0</v>
      </c>
      <c r="X2858">
        <v>2</v>
      </c>
      <c r="Y2858" t="s">
        <v>4509</v>
      </c>
    </row>
    <row r="2859" spans="1:25" x14ac:dyDescent="0.25">
      <c r="H2859" t="s">
        <v>34</v>
      </c>
    </row>
    <row r="2860" spans="1:25" x14ac:dyDescent="0.25">
      <c r="A2860">
        <v>1427</v>
      </c>
      <c r="B2860">
        <v>3467</v>
      </c>
      <c r="C2860" t="s">
        <v>4510</v>
      </c>
      <c r="D2860" t="s">
        <v>25</v>
      </c>
      <c r="E2860" t="s">
        <v>43</v>
      </c>
      <c r="F2860" t="s">
        <v>4511</v>
      </c>
      <c r="G2860" t="str">
        <f>"200903000407"</f>
        <v>200903000407</v>
      </c>
      <c r="H2860" t="s">
        <v>2816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30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X2860">
        <v>0</v>
      </c>
      <c r="Y2860" t="s">
        <v>4512</v>
      </c>
    </row>
    <row r="2861" spans="1:25" x14ac:dyDescent="0.25">
      <c r="H2861" t="s">
        <v>118</v>
      </c>
    </row>
    <row r="2862" spans="1:25" x14ac:dyDescent="0.25">
      <c r="A2862">
        <v>1428</v>
      </c>
      <c r="B2862">
        <v>467</v>
      </c>
      <c r="C2862" t="s">
        <v>428</v>
      </c>
      <c r="D2862" t="s">
        <v>4513</v>
      </c>
      <c r="E2862" t="s">
        <v>49</v>
      </c>
      <c r="F2862" t="s">
        <v>4514</v>
      </c>
      <c r="G2862" t="str">
        <f>"00122658"</f>
        <v>00122658</v>
      </c>
      <c r="H2862" t="s">
        <v>2816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30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0</v>
      </c>
      <c r="X2862">
        <v>0</v>
      </c>
      <c r="Y2862" t="s">
        <v>4512</v>
      </c>
    </row>
    <row r="2863" spans="1:25" x14ac:dyDescent="0.25">
      <c r="H2863" t="s">
        <v>23</v>
      </c>
    </row>
    <row r="2864" spans="1:25" x14ac:dyDescent="0.25">
      <c r="A2864">
        <v>1429</v>
      </c>
      <c r="B2864">
        <v>1947</v>
      </c>
      <c r="C2864" t="s">
        <v>2378</v>
      </c>
      <c r="D2864" t="s">
        <v>598</v>
      </c>
      <c r="E2864" t="s">
        <v>43</v>
      </c>
      <c r="F2864" t="s">
        <v>4515</v>
      </c>
      <c r="G2864" t="str">
        <f>"00199032"</f>
        <v>00199032</v>
      </c>
      <c r="H2864">
        <v>638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30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X2864">
        <v>0</v>
      </c>
      <c r="Y2864">
        <v>668</v>
      </c>
    </row>
    <row r="2865" spans="1:25" x14ac:dyDescent="0.25">
      <c r="H2865" t="s">
        <v>34</v>
      </c>
    </row>
    <row r="2866" spans="1:25" x14ac:dyDescent="0.25">
      <c r="A2866">
        <v>1430</v>
      </c>
      <c r="B2866">
        <v>3747</v>
      </c>
      <c r="C2866" t="s">
        <v>4516</v>
      </c>
      <c r="D2866" t="s">
        <v>48</v>
      </c>
      <c r="E2866" t="s">
        <v>200</v>
      </c>
      <c r="F2866" t="s">
        <v>4517</v>
      </c>
      <c r="G2866" t="str">
        <f>"201406005726"</f>
        <v>201406005726</v>
      </c>
      <c r="H2866" t="s">
        <v>4518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30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X2866">
        <v>0</v>
      </c>
      <c r="Y2866" t="s">
        <v>4519</v>
      </c>
    </row>
    <row r="2867" spans="1:25" x14ac:dyDescent="0.25">
      <c r="H2867" t="s">
        <v>23</v>
      </c>
    </row>
    <row r="2868" spans="1:25" x14ac:dyDescent="0.25">
      <c r="A2868">
        <v>1431</v>
      </c>
      <c r="B2868">
        <v>2060</v>
      </c>
      <c r="C2868" t="s">
        <v>4520</v>
      </c>
      <c r="D2868" t="s">
        <v>113</v>
      </c>
      <c r="E2868" t="s">
        <v>87</v>
      </c>
      <c r="F2868" t="s">
        <v>4521</v>
      </c>
      <c r="G2868" t="str">
        <f>"00014598"</f>
        <v>00014598</v>
      </c>
      <c r="H2868" t="s">
        <v>4063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30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X2868">
        <v>0</v>
      </c>
      <c r="Y2868" t="s">
        <v>4522</v>
      </c>
    </row>
    <row r="2869" spans="1:25" x14ac:dyDescent="0.25">
      <c r="H2869" t="s">
        <v>53</v>
      </c>
    </row>
    <row r="2870" spans="1:25" x14ac:dyDescent="0.25">
      <c r="A2870">
        <v>1432</v>
      </c>
      <c r="B2870">
        <v>5920</v>
      </c>
      <c r="C2870" t="s">
        <v>3877</v>
      </c>
      <c r="D2870" t="s">
        <v>113</v>
      </c>
      <c r="E2870" t="s">
        <v>130</v>
      </c>
      <c r="F2870" t="s">
        <v>4523</v>
      </c>
      <c r="G2870" t="str">
        <f>"200712001352"</f>
        <v>200712001352</v>
      </c>
      <c r="H2870" t="s">
        <v>4524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X2870">
        <v>0</v>
      </c>
      <c r="Y2870" t="s">
        <v>4525</v>
      </c>
    </row>
    <row r="2871" spans="1:25" x14ac:dyDescent="0.25">
      <c r="H2871" t="s">
        <v>118</v>
      </c>
    </row>
    <row r="2872" spans="1:25" x14ac:dyDescent="0.25">
      <c r="A2872">
        <v>1433</v>
      </c>
      <c r="B2872">
        <v>5681</v>
      </c>
      <c r="C2872" t="s">
        <v>4526</v>
      </c>
      <c r="D2872" t="s">
        <v>1079</v>
      </c>
      <c r="E2872" t="s">
        <v>49</v>
      </c>
      <c r="F2872" t="s">
        <v>4527</v>
      </c>
      <c r="G2872" t="str">
        <f>"00202776"</f>
        <v>00202776</v>
      </c>
      <c r="H2872" t="s">
        <v>4528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70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X2872">
        <v>2</v>
      </c>
      <c r="Y2872" t="s">
        <v>4529</v>
      </c>
    </row>
    <row r="2873" spans="1:25" x14ac:dyDescent="0.25">
      <c r="H2873" t="s">
        <v>53</v>
      </c>
    </row>
    <row r="2874" spans="1:25" x14ac:dyDescent="0.25">
      <c r="A2874">
        <v>1434</v>
      </c>
      <c r="B2874">
        <v>6354</v>
      </c>
      <c r="C2874" t="s">
        <v>929</v>
      </c>
      <c r="D2874" t="s">
        <v>48</v>
      </c>
      <c r="E2874" t="s">
        <v>424</v>
      </c>
      <c r="F2874" t="s">
        <v>4530</v>
      </c>
      <c r="G2874" t="str">
        <f>"201601001148"</f>
        <v>201601001148</v>
      </c>
      <c r="H2874">
        <v>616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30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X2874">
        <v>0</v>
      </c>
      <c r="Y2874">
        <v>646</v>
      </c>
    </row>
    <row r="2875" spans="1:25" x14ac:dyDescent="0.25">
      <c r="H2875" t="s">
        <v>23</v>
      </c>
    </row>
    <row r="2876" spans="1:25" x14ac:dyDescent="0.25">
      <c r="A2876">
        <v>1435</v>
      </c>
      <c r="B2876">
        <v>1813</v>
      </c>
      <c r="C2876" t="s">
        <v>4531</v>
      </c>
      <c r="D2876" t="s">
        <v>245</v>
      </c>
      <c r="E2876" t="s">
        <v>21</v>
      </c>
      <c r="F2876" t="s">
        <v>4532</v>
      </c>
      <c r="G2876" t="str">
        <f>"00004490"</f>
        <v>00004490</v>
      </c>
      <c r="H2876">
        <v>594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50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0</v>
      </c>
      <c r="X2876">
        <v>0</v>
      </c>
      <c r="Y2876">
        <v>644</v>
      </c>
    </row>
    <row r="2877" spans="1:25" x14ac:dyDescent="0.25">
      <c r="H2877" t="s">
        <v>53</v>
      </c>
    </row>
    <row r="2878" spans="1:25" x14ac:dyDescent="0.25">
      <c r="A2878">
        <v>1436</v>
      </c>
      <c r="B2878">
        <v>2094</v>
      </c>
      <c r="C2878" t="s">
        <v>4533</v>
      </c>
      <c r="D2878" t="s">
        <v>87</v>
      </c>
      <c r="E2878" t="s">
        <v>291</v>
      </c>
      <c r="F2878" t="s">
        <v>4534</v>
      </c>
      <c r="G2878" t="str">
        <f>"00191689"</f>
        <v>00191689</v>
      </c>
      <c r="H2878" t="s">
        <v>4535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X2878">
        <v>0</v>
      </c>
      <c r="Y2878" t="s">
        <v>4535</v>
      </c>
    </row>
    <row r="2879" spans="1:25" x14ac:dyDescent="0.25">
      <c r="H2879" t="s">
        <v>213</v>
      </c>
    </row>
    <row r="2881" spans="1:1" x14ac:dyDescent="0.25">
      <c r="A2881" t="s">
        <v>4536</v>
      </c>
    </row>
    <row r="2882" spans="1:1" x14ac:dyDescent="0.25">
      <c r="A2882" t="s">
        <v>4537</v>
      </c>
    </row>
    <row r="2883" spans="1:1" x14ac:dyDescent="0.25">
      <c r="A2883" t="s">
        <v>4538</v>
      </c>
    </row>
    <row r="2884" spans="1:1" x14ac:dyDescent="0.25">
      <c r="A2884" t="s">
        <v>4539</v>
      </c>
    </row>
    <row r="2885" spans="1:1" x14ac:dyDescent="0.25">
      <c r="A2885" t="s">
        <v>4540</v>
      </c>
    </row>
    <row r="2886" spans="1:1" x14ac:dyDescent="0.25">
      <c r="A2886" t="s">
        <v>4541</v>
      </c>
    </row>
    <row r="2887" spans="1:1" x14ac:dyDescent="0.25">
      <c r="A2887" t="s">
        <v>4542</v>
      </c>
    </row>
    <row r="2888" spans="1:1" x14ac:dyDescent="0.25">
      <c r="A2888" t="s">
        <v>4543</v>
      </c>
    </row>
    <row r="2889" spans="1:1" x14ac:dyDescent="0.25">
      <c r="A2889" t="s">
        <v>4544</v>
      </c>
    </row>
    <row r="2890" spans="1:1" x14ac:dyDescent="0.25">
      <c r="A2890" t="s">
        <v>4545</v>
      </c>
    </row>
    <row r="2891" spans="1:1" x14ac:dyDescent="0.25">
      <c r="A2891" t="s">
        <v>4546</v>
      </c>
    </row>
    <row r="2892" spans="1:1" x14ac:dyDescent="0.25">
      <c r="A2892" t="s">
        <v>4547</v>
      </c>
    </row>
    <row r="2893" spans="1:1" x14ac:dyDescent="0.25">
      <c r="A2893" t="s">
        <v>4548</v>
      </c>
    </row>
    <row r="2894" spans="1:1" x14ac:dyDescent="0.25">
      <c r="A2894" t="s">
        <v>4549</v>
      </c>
    </row>
    <row r="2895" spans="1:1" x14ac:dyDescent="0.25">
      <c r="A2895" t="s">
        <v>4550</v>
      </c>
    </row>
    <row r="2896" spans="1:1" x14ac:dyDescent="0.25">
      <c r="A2896" t="s">
        <v>4551</v>
      </c>
    </row>
    <row r="2897" spans="1:1" x14ac:dyDescent="0.25">
      <c r="A2897" t="s">
        <v>4552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2017-12-18T08:45:11Z</dcterms:created>
  <dcterms:modified xsi:type="dcterms:W3CDTF">2017-12-18T08:45:18Z</dcterms:modified>
</cp:coreProperties>
</file>